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罗湖区\"/>
    </mc:Choice>
  </mc:AlternateContent>
  <xr:revisionPtr revIDLastSave="0" documentId="13_ncr:1_{D7233F43-E5C1-49C7-AD0C-98400192EB60}" xr6:coauthVersionLast="47" xr6:coauthVersionMax="47" xr10:uidLastSave="{00000000-0000-0000-0000-000000000000}"/>
  <bookViews>
    <workbookView xWindow="-108" yWindow="-108" windowWidth="23256" windowHeight="12576" activeTab="4" xr2:uid="{1D7F45E5-AF49-4E82-9063-B4C4A6CFE039}"/>
  </bookViews>
  <sheets>
    <sheet name="Sheet1" sheetId="1" r:id="rId1"/>
    <sheet name="ww20" sheetId="2" r:id="rId2"/>
    <sheet name="ww25" sheetId="3" r:id="rId3"/>
    <sheet name="w20" sheetId="4" r:id="rId4"/>
    <sheet name="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5475" i="2" l="1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A15308" i="4"/>
  <c r="A15307" i="4"/>
  <c r="A15306" i="4"/>
  <c r="A15305" i="4"/>
  <c r="A15304" i="4"/>
  <c r="A15303" i="4"/>
  <c r="A15302" i="4"/>
  <c r="A15301" i="4"/>
  <c r="A15300" i="4"/>
  <c r="A15299" i="4"/>
  <c r="A15298" i="4"/>
  <c r="A15297" i="4"/>
  <c r="A15296" i="4"/>
  <c r="A15295" i="4"/>
  <c r="A15294" i="4"/>
  <c r="A15293" i="4"/>
  <c r="A15292" i="4"/>
  <c r="A15291" i="4"/>
  <c r="A15290" i="4"/>
  <c r="A15289" i="4"/>
  <c r="A15288" i="4"/>
  <c r="A15287" i="4"/>
  <c r="A15286" i="4"/>
  <c r="A15285" i="4"/>
  <c r="A15284" i="4"/>
  <c r="A15283" i="4"/>
  <c r="A15282" i="4"/>
  <c r="A15281" i="4"/>
  <c r="A15280" i="4"/>
  <c r="A15279" i="4"/>
  <c r="A15278" i="4"/>
  <c r="A15277" i="4"/>
  <c r="A15276" i="4"/>
  <c r="A15275" i="4"/>
  <c r="A15274" i="4"/>
  <c r="A15273" i="4"/>
  <c r="A15272" i="4"/>
  <c r="A15271" i="4"/>
  <c r="A15270" i="4"/>
  <c r="A15269" i="4"/>
  <c r="A15268" i="4"/>
  <c r="A15267" i="4"/>
  <c r="A15266" i="4"/>
  <c r="A15265" i="4"/>
  <c r="A15264" i="4"/>
  <c r="A15263" i="4"/>
  <c r="A15262" i="4"/>
  <c r="A15261" i="4"/>
  <c r="A15260" i="4"/>
  <c r="A15259" i="4"/>
  <c r="A15258" i="4"/>
  <c r="A15257" i="4"/>
  <c r="A15256" i="4"/>
  <c r="A15255" i="4"/>
  <c r="A15254" i="4"/>
  <c r="A15253" i="4"/>
  <c r="A15252" i="4"/>
  <c r="A15251" i="4"/>
  <c r="A15250" i="4"/>
  <c r="A15249" i="4"/>
  <c r="A15248" i="4"/>
  <c r="A15247" i="4"/>
  <c r="A15246" i="4"/>
  <c r="A15245" i="4"/>
  <c r="A15244" i="4"/>
  <c r="A15243" i="4"/>
  <c r="A15242" i="4"/>
  <c r="A15241" i="4"/>
  <c r="A15240" i="4"/>
  <c r="A15239" i="4"/>
  <c r="A15238" i="4"/>
  <c r="A15237" i="4"/>
  <c r="A15236" i="4"/>
  <c r="A15235" i="4"/>
  <c r="A15234" i="4"/>
  <c r="A15233" i="4"/>
  <c r="A15232" i="4"/>
  <c r="A15231" i="4"/>
  <c r="A15230" i="4"/>
  <c r="A15229" i="4"/>
  <c r="A15228" i="4"/>
  <c r="A15227" i="4"/>
  <c r="A15226" i="4"/>
  <c r="A15225" i="4"/>
  <c r="A15224" i="4"/>
  <c r="A15223" i="4"/>
  <c r="A15222" i="4"/>
  <c r="A15221" i="4"/>
  <c r="A15220" i="4"/>
  <c r="A15219" i="4"/>
  <c r="A15218" i="4"/>
  <c r="A15217" i="4"/>
  <c r="A15216" i="4"/>
  <c r="A15215" i="4"/>
  <c r="A15214" i="4"/>
  <c r="A15213" i="4"/>
  <c r="A15212" i="4"/>
  <c r="A15211" i="4"/>
  <c r="A15210" i="4"/>
  <c r="A15209" i="4"/>
  <c r="A15208" i="4"/>
  <c r="A15207" i="4"/>
  <c r="A15206" i="4"/>
  <c r="A15205" i="4"/>
  <c r="A15204" i="4"/>
  <c r="A15203" i="4"/>
  <c r="A15202" i="4"/>
  <c r="A15201" i="4"/>
  <c r="A15200" i="4"/>
  <c r="A15199" i="4"/>
  <c r="A15198" i="4"/>
  <c r="A15197" i="4"/>
  <c r="A15196" i="4"/>
  <c r="A15195" i="4"/>
  <c r="A15194" i="4"/>
  <c r="A15193" i="4"/>
  <c r="A15192" i="4"/>
  <c r="A15191" i="4"/>
  <c r="A15190" i="4"/>
  <c r="A15189" i="4"/>
  <c r="A15188" i="4"/>
  <c r="A15187" i="4"/>
  <c r="A15186" i="4"/>
  <c r="A15185" i="4"/>
  <c r="A15184" i="4"/>
  <c r="A15183" i="4"/>
  <c r="A15182" i="4"/>
  <c r="A15181" i="4"/>
  <c r="A15180" i="4"/>
  <c r="A15179" i="4"/>
  <c r="A15178" i="4"/>
  <c r="A15177" i="4"/>
  <c r="A15176" i="4"/>
  <c r="A15175" i="4"/>
  <c r="A15174" i="4"/>
  <c r="A15173" i="4"/>
  <c r="A15172" i="4"/>
  <c r="A15171" i="4"/>
  <c r="A15170" i="4"/>
  <c r="A15169" i="4"/>
  <c r="A15168" i="4"/>
  <c r="A15167" i="4"/>
  <c r="A15166" i="4"/>
  <c r="A15165" i="4"/>
  <c r="A15164" i="4"/>
  <c r="A15163" i="4"/>
  <c r="A15162" i="4"/>
  <c r="A15161" i="4"/>
  <c r="A15160" i="4"/>
  <c r="A15159" i="4"/>
  <c r="A15158" i="4"/>
  <c r="A15157" i="4"/>
  <c r="A15156" i="4"/>
  <c r="A15155" i="4"/>
  <c r="A15154" i="4"/>
  <c r="A15153" i="4"/>
  <c r="A15152" i="4"/>
  <c r="A15151" i="4"/>
  <c r="A15150" i="4"/>
  <c r="A15149" i="4"/>
  <c r="A15148" i="4"/>
  <c r="A15147" i="4"/>
  <c r="A15146" i="4"/>
  <c r="A15145" i="4"/>
  <c r="A15144" i="4"/>
  <c r="A15143" i="4"/>
  <c r="A15142" i="4"/>
  <c r="A15141" i="4"/>
  <c r="A15140" i="4"/>
  <c r="A15139" i="4"/>
  <c r="A15138" i="4"/>
  <c r="A15137" i="4"/>
  <c r="A15136" i="4"/>
  <c r="A15135" i="4"/>
  <c r="A15134" i="4"/>
  <c r="A15133" i="4"/>
  <c r="A15132" i="4"/>
  <c r="A15131" i="4"/>
  <c r="A15130" i="4"/>
  <c r="A15129" i="4"/>
  <c r="A15128" i="4"/>
  <c r="A15127" i="4"/>
  <c r="A15126" i="4"/>
  <c r="A15125" i="4"/>
  <c r="A15124" i="4"/>
  <c r="A15123" i="4"/>
  <c r="A15122" i="4"/>
  <c r="A15121" i="4"/>
  <c r="A15120" i="4"/>
  <c r="A15119" i="4"/>
  <c r="A15118" i="4"/>
  <c r="A15117" i="4"/>
  <c r="A15116" i="4"/>
  <c r="A15115" i="4"/>
  <c r="A15114" i="4"/>
  <c r="A15113" i="4"/>
  <c r="A15112" i="4"/>
  <c r="A15111" i="4"/>
  <c r="A15110" i="4"/>
  <c r="A15109" i="4"/>
  <c r="A15108" i="4"/>
  <c r="A15107" i="4"/>
  <c r="A15106" i="4"/>
  <c r="A15105" i="4"/>
  <c r="A15104" i="4"/>
  <c r="A15103" i="4"/>
  <c r="A15102" i="4"/>
  <c r="A15101" i="4"/>
  <c r="A15100" i="4"/>
  <c r="A15099" i="4"/>
  <c r="A15098" i="4"/>
  <c r="A15097" i="4"/>
  <c r="A15096" i="4"/>
  <c r="A15095" i="4"/>
  <c r="A15094" i="4"/>
  <c r="A15093" i="4"/>
  <c r="A15092" i="4"/>
  <c r="A15091" i="4"/>
  <c r="A15090" i="4"/>
  <c r="A15089" i="4"/>
  <c r="A15088" i="4"/>
  <c r="A15087" i="4"/>
  <c r="A15086" i="4"/>
  <c r="A15085" i="4"/>
  <c r="A15084" i="4"/>
  <c r="A15083" i="4"/>
  <c r="A15082" i="4"/>
  <c r="A15081" i="4"/>
  <c r="A15080" i="4"/>
  <c r="A15079" i="4"/>
  <c r="A15078" i="4"/>
  <c r="A15077" i="4"/>
  <c r="A15076" i="4"/>
  <c r="A15075" i="4"/>
  <c r="A15074" i="4"/>
  <c r="A15073" i="4"/>
  <c r="A15072" i="4"/>
  <c r="A15071" i="4"/>
  <c r="A15070" i="4"/>
  <c r="A15069" i="4"/>
  <c r="A15068" i="4"/>
  <c r="A15067" i="4"/>
  <c r="A15066" i="4"/>
  <c r="A15065" i="4"/>
  <c r="A15064" i="4"/>
  <c r="A15063" i="4"/>
  <c r="A15062" i="4"/>
  <c r="A15061" i="4"/>
  <c r="A15060" i="4"/>
  <c r="A15059" i="4"/>
  <c r="A15058" i="4"/>
  <c r="A15057" i="4"/>
  <c r="A15056" i="4"/>
  <c r="A15055" i="4"/>
  <c r="A15054" i="4"/>
  <c r="A15053" i="4"/>
  <c r="A15052" i="4"/>
  <c r="A15051" i="4"/>
  <c r="A15050" i="4"/>
  <c r="A15049" i="4"/>
  <c r="A15048" i="4"/>
  <c r="A15047" i="4"/>
  <c r="A15046" i="4"/>
  <c r="A15045" i="4"/>
  <c r="A15044" i="4"/>
  <c r="A15043" i="4"/>
  <c r="A15042" i="4"/>
  <c r="A15041" i="4"/>
  <c r="A15040" i="4"/>
  <c r="A15039" i="4"/>
  <c r="A15038" i="4"/>
  <c r="A15037" i="4"/>
  <c r="A15036" i="4"/>
  <c r="A15035" i="4"/>
  <c r="A15034" i="4"/>
  <c r="A15033" i="4"/>
  <c r="A15032" i="4"/>
  <c r="A15031" i="4"/>
  <c r="A15030" i="4"/>
  <c r="A15029" i="4"/>
  <c r="A15028" i="4"/>
  <c r="A15027" i="4"/>
  <c r="A15026" i="4"/>
  <c r="A15025" i="4"/>
  <c r="A15024" i="4"/>
  <c r="A15023" i="4"/>
  <c r="A15022" i="4"/>
  <c r="A15021" i="4"/>
  <c r="A15020" i="4"/>
  <c r="A15019" i="4"/>
  <c r="A15018" i="4"/>
  <c r="A15017" i="4"/>
  <c r="A15016" i="4"/>
  <c r="A15015" i="4"/>
  <c r="A15014" i="4"/>
  <c r="A15013" i="4"/>
  <c r="A15012" i="4"/>
  <c r="A15011" i="4"/>
  <c r="A15010" i="4"/>
  <c r="A15009" i="4"/>
  <c r="A15008" i="4"/>
  <c r="A15007" i="4"/>
  <c r="A15006" i="4"/>
  <c r="A15005" i="4"/>
  <c r="A15004" i="4"/>
  <c r="A15003" i="4"/>
  <c r="A15002" i="4"/>
  <c r="A15001" i="4"/>
  <c r="A15000" i="4"/>
  <c r="A14999" i="4"/>
  <c r="A14998" i="4"/>
  <c r="A14997" i="4"/>
  <c r="A14996" i="4"/>
  <c r="A14995" i="4"/>
  <c r="A14994" i="4"/>
  <c r="A14993" i="4"/>
  <c r="A14992" i="4"/>
  <c r="A14991" i="4"/>
  <c r="A14990" i="4"/>
  <c r="A14989" i="4"/>
  <c r="A14988" i="4"/>
  <c r="A14987" i="4"/>
  <c r="A14986" i="4"/>
  <c r="A14985" i="4"/>
  <c r="A14984" i="4"/>
  <c r="A14983" i="4"/>
  <c r="A14982" i="4"/>
  <c r="A14981" i="4"/>
  <c r="A14980" i="4"/>
  <c r="A14979" i="4"/>
  <c r="A14978" i="4"/>
  <c r="A14977" i="4"/>
  <c r="A14976" i="4"/>
  <c r="A14975" i="4"/>
  <c r="A14974" i="4"/>
  <c r="A14973" i="4"/>
  <c r="A14972" i="4"/>
  <c r="A14971" i="4"/>
  <c r="A14970" i="4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1" i="4"/>
  <c r="D15308" i="4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5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FDFDA-61D2-4CE0-ACC1-2718E848975D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D9722-0E35-4221-9042-C3D3FF95C19C}">
  <dimension ref="A1:B15475"/>
  <sheetViews>
    <sheetView topLeftCell="A15460" workbookViewId="0">
      <selection activeCell="D15475" sqref="D15475"/>
    </sheetView>
  </sheetViews>
  <sheetFormatPr defaultRowHeight="13.8" x14ac:dyDescent="0.25"/>
  <sheetData>
    <row r="1" spans="1:2" x14ac:dyDescent="0.25">
      <c r="A1">
        <f ca="1">28826.2300246263*((RANDBETWEEN(1620,2416)))</f>
        <v>57018282.988710739</v>
      </c>
      <c r="B1">
        <v>159171143.87989873</v>
      </c>
    </row>
    <row r="2" spans="1:2" x14ac:dyDescent="0.25">
      <c r="A2">
        <f ca="1">26382.7023642698*((RANDBETWEEN(1620,2416)))</f>
        <v>59862351.664528243</v>
      </c>
      <c r="B2">
        <v>151983303.14195901</v>
      </c>
    </row>
    <row r="3" spans="1:2" x14ac:dyDescent="0.25">
      <c r="A3">
        <f ca="1">32371.743637663*((RANDBETWEEN(1620,2416)))</f>
        <v>71217836.002858624</v>
      </c>
      <c r="B3">
        <v>195579831.99067193</v>
      </c>
    </row>
    <row r="4" spans="1:2" x14ac:dyDescent="0.25">
      <c r="A4">
        <f ca="1">29065.7765699345*((RANDBETWEEN(1620,2416)))</f>
        <v>47958531.340391926</v>
      </c>
      <c r="B4">
        <v>182532680.5027681</v>
      </c>
    </row>
    <row r="5" spans="1:2" x14ac:dyDescent="0.25">
      <c r="A5">
        <f ca="1">27834.3663238158*((RANDBETWEEN(1620,2416)))</f>
        <v>65076748.465081237</v>
      </c>
      <c r="B5">
        <v>148988138.49408233</v>
      </c>
    </row>
    <row r="6" spans="1:2" x14ac:dyDescent="0.25">
      <c r="A6">
        <f ca="1">27430.4315534276*((RANDBETWEEN(1620,2416)))</f>
        <v>60127505.965113379</v>
      </c>
      <c r="B6">
        <v>158273949.63377935</v>
      </c>
    </row>
    <row r="7" spans="1:2" x14ac:dyDescent="0.25">
      <c r="A7">
        <f ca="1">27736.6130211361*((RANDBETWEEN(1620,2416)))</f>
        <v>60354869.933992118</v>
      </c>
      <c r="B7">
        <v>148712868.17594975</v>
      </c>
    </row>
    <row r="8" spans="1:2" x14ac:dyDescent="0.25">
      <c r="A8">
        <f ca="1">29504.2807308738*((RANDBETWEEN(1620,2416)))</f>
        <v>60542784.059753045</v>
      </c>
      <c r="B8">
        <v>184183390.48408759</v>
      </c>
    </row>
    <row r="9" spans="1:2" x14ac:dyDescent="0.25">
      <c r="A9">
        <f ca="1">26805.3307378619*((RANDBETWEEN(1620,2416)))</f>
        <v>62536836.611431785</v>
      </c>
      <c r="B9">
        <v>165144508.00345504</v>
      </c>
    </row>
    <row r="10" spans="1:2" x14ac:dyDescent="0.25">
      <c r="A10">
        <f ca="1">31875.2981911162*((RANDBETWEEN(1620,2416)))</f>
        <v>75831334.396665439</v>
      </c>
      <c r="B10">
        <v>149343242.02009121</v>
      </c>
    </row>
    <row r="11" spans="1:2" x14ac:dyDescent="0.25">
      <c r="A11">
        <f ca="1">31826.2175237075*((RANDBETWEEN(1620,2416)))</f>
        <v>68617324.981113359</v>
      </c>
      <c r="B11">
        <v>185020863.41107589</v>
      </c>
    </row>
    <row r="12" spans="1:2" x14ac:dyDescent="0.25">
      <c r="A12">
        <f ca="1">26038.762696176*((RANDBETWEEN(1620,2416)))</f>
        <v>56165611.135651641</v>
      </c>
      <c r="B12">
        <v>151199935.1508956</v>
      </c>
    </row>
    <row r="13" spans="1:2" x14ac:dyDescent="0.25">
      <c r="A13">
        <f ca="1">26517.7804718433*((RANDBETWEEN(1620,2416)))</f>
        <v>44655942.314584114</v>
      </c>
      <c r="B13">
        <v>148993283.41250977</v>
      </c>
    </row>
    <row r="14" spans="1:2" x14ac:dyDescent="0.25">
      <c r="A14">
        <f ca="1">31148.6772341557*((RANDBETWEEN(1620,2416)))</f>
        <v>58528364.522978596</v>
      </c>
      <c r="B14">
        <v>191532929.21050861</v>
      </c>
    </row>
    <row r="15" spans="1:2" x14ac:dyDescent="0.25">
      <c r="A15">
        <f ca="1">26752.4015159751*((RANDBETWEEN(1620,2416)))</f>
        <v>63617210.804988816</v>
      </c>
      <c r="B15">
        <v>144743379.99699223</v>
      </c>
    </row>
    <row r="16" spans="1:2" x14ac:dyDescent="0.25">
      <c r="A16">
        <f ca="1">25713.1286819025*((RANDBETWEEN(1620,2416)))</f>
        <v>57571695.118779719</v>
      </c>
      <c r="B16">
        <v>149113283.96570048</v>
      </c>
    </row>
    <row r="17" spans="1:2" x14ac:dyDescent="0.25">
      <c r="A17">
        <f ca="1">27645.9832941801*((RANDBETWEEN(1620,2416)))</f>
        <v>57171893.452364452</v>
      </c>
      <c r="B17">
        <v>150308007.29705003</v>
      </c>
    </row>
    <row r="18" spans="1:2" x14ac:dyDescent="0.25">
      <c r="A18">
        <f ca="1">26843.9546893298*((RANDBETWEEN(1620,2416)))</f>
        <v>60989465.054157361</v>
      </c>
      <c r="B18">
        <v>160879852.56831887</v>
      </c>
    </row>
    <row r="19" spans="1:2" x14ac:dyDescent="0.25">
      <c r="A19">
        <f ca="1">27275.8834641591*((RANDBETWEEN(1620,2416)))</f>
        <v>48441969.032346547</v>
      </c>
      <c r="B19">
        <v>177511065.86487564</v>
      </c>
    </row>
    <row r="20" spans="1:2" x14ac:dyDescent="0.25">
      <c r="A20">
        <f ca="1">30257.4220262209*((RANDBETWEEN(1620,2416)))</f>
        <v>52375597.527388327</v>
      </c>
      <c r="B20">
        <v>163135931.72458631</v>
      </c>
    </row>
    <row r="21" spans="1:2" x14ac:dyDescent="0.25">
      <c r="A21">
        <f ca="1">30070.4917291854*((RANDBETWEEN(1620,2416)))</f>
        <v>51300258.889990352</v>
      </c>
      <c r="B21">
        <v>167492469.08232579</v>
      </c>
    </row>
    <row r="22" spans="1:2" x14ac:dyDescent="0.25">
      <c r="A22">
        <f ca="1">29177.6284222027*((RANDBETWEEN(1620,2416)))</f>
        <v>54591342.777941175</v>
      </c>
      <c r="B22">
        <v>160871915.31381062</v>
      </c>
    </row>
    <row r="23" spans="1:2" x14ac:dyDescent="0.25">
      <c r="A23">
        <f ca="1">26102.1637966968*((RANDBETWEEN(1620,2416)))</f>
        <v>44060452.488824211</v>
      </c>
      <c r="B23">
        <v>142928178.26160616</v>
      </c>
    </row>
    <row r="24" spans="1:2" x14ac:dyDescent="0.25">
      <c r="A24">
        <f ca="1">26096.2770530248*((RANDBETWEEN(1620,2416)))</f>
        <v>55376299.906518519</v>
      </c>
      <c r="B24">
        <v>146016126.81236535</v>
      </c>
    </row>
    <row r="25" spans="1:2" x14ac:dyDescent="0.25">
      <c r="A25">
        <f ca="1">31340.9476371379*((RANDBETWEEN(1620,2416)))</f>
        <v>53718384.250054352</v>
      </c>
      <c r="B25">
        <v>169101093.33585781</v>
      </c>
    </row>
    <row r="26" spans="1:2" x14ac:dyDescent="0.25">
      <c r="A26">
        <f ca="1">29656.9004665194*((RANDBETWEEN(1620,2416)))</f>
        <v>66105231.139871642</v>
      </c>
      <c r="B26">
        <v>166981939.4828009</v>
      </c>
    </row>
    <row r="27" spans="1:2" x14ac:dyDescent="0.25">
      <c r="A27">
        <f ca="1">26018.7224986455*((RANDBETWEEN(1620,2416)))</f>
        <v>42774779.787773199</v>
      </c>
      <c r="B27">
        <v>166873742.12284487</v>
      </c>
    </row>
    <row r="28" spans="1:2" x14ac:dyDescent="0.25">
      <c r="A28">
        <f ca="1">29736.7144433402*((RANDBETWEEN(1620,2416)))</f>
        <v>54656081.146859348</v>
      </c>
      <c r="B28">
        <v>201819824.651526</v>
      </c>
    </row>
    <row r="29" spans="1:2" x14ac:dyDescent="0.25">
      <c r="A29">
        <f ca="1">30531.4304168833*((RANDBETWEEN(1620,2416)))</f>
        <v>71413015.745089993</v>
      </c>
      <c r="B29">
        <v>160995172.12066823</v>
      </c>
    </row>
    <row r="30" spans="1:2" x14ac:dyDescent="0.25">
      <c r="A30">
        <f ca="1">27004.7698620126*((RANDBETWEEN(1620,2416)))</f>
        <v>60139622.482702032</v>
      </c>
      <c r="B30">
        <v>172742682.96615767</v>
      </c>
    </row>
    <row r="31" spans="1:2" x14ac:dyDescent="0.25">
      <c r="A31">
        <f ca="1">27786.0777604233*((RANDBETWEEN(1620,2416)))</f>
        <v>58434121.530170158</v>
      </c>
      <c r="B31">
        <v>172939305.23732379</v>
      </c>
    </row>
    <row r="32" spans="1:2" x14ac:dyDescent="0.25">
      <c r="A32">
        <f ca="1">29251.9587148968*((RANDBETWEEN(1620,2416)))</f>
        <v>62891711.237028196</v>
      </c>
      <c r="B32">
        <v>174731228.1276623</v>
      </c>
    </row>
    <row r="33" spans="1:2" x14ac:dyDescent="0.25">
      <c r="A33">
        <f ca="1">30087.677062926*((RANDBETWEEN(1620,2416)))</f>
        <v>62161140.81200505</v>
      </c>
      <c r="B33">
        <v>145656807.98628834</v>
      </c>
    </row>
    <row r="34" spans="1:2" x14ac:dyDescent="0.25">
      <c r="A34">
        <f ca="1">26312.1249656364*((RANDBETWEEN(1620,2416)))</f>
        <v>55360710.927698895</v>
      </c>
      <c r="B34">
        <v>154105054.37900415</v>
      </c>
    </row>
    <row r="35" spans="1:2" x14ac:dyDescent="0.25">
      <c r="A35">
        <f ca="1">30244.9591696515*((RANDBETWEEN(1620,2416)))</f>
        <v>62546575.562839255</v>
      </c>
      <c r="B35">
        <v>183616659.15902561</v>
      </c>
    </row>
    <row r="36" spans="1:2" x14ac:dyDescent="0.25">
      <c r="A36">
        <f ca="1">26331.0303235066*((RANDBETWEEN(1620,2416)))</f>
        <v>55268832.649040364</v>
      </c>
      <c r="B36">
        <v>185176263.85121432</v>
      </c>
    </row>
    <row r="37" spans="1:2" x14ac:dyDescent="0.25">
      <c r="A37">
        <f ca="1">26774.4947009373*((RANDBETWEEN(1620,2416)))</f>
        <v>44713406.150565274</v>
      </c>
      <c r="B37">
        <v>152193573.94061819</v>
      </c>
    </row>
    <row r="38" spans="1:2" x14ac:dyDescent="0.25">
      <c r="A38">
        <f ca="1">30327.3462153916*((RANDBETWEEN(1620,2416)))</f>
        <v>56833446.807643935</v>
      </c>
      <c r="B38">
        <v>193718941.23043114</v>
      </c>
    </row>
    <row r="39" spans="1:2" x14ac:dyDescent="0.25">
      <c r="A39">
        <f ca="1">29706.8836383428*((RANDBETWEEN(1620,2416)))</f>
        <v>66394884.931696065</v>
      </c>
      <c r="B39">
        <v>185488183.91891649</v>
      </c>
    </row>
    <row r="40" spans="1:2" x14ac:dyDescent="0.25">
      <c r="A40">
        <f ca="1">30162.6523108628*((RANDBETWEEN(1620,2416)))</f>
        <v>69826540.099647298</v>
      </c>
      <c r="B40">
        <v>199179685.77599725</v>
      </c>
    </row>
    <row r="41" spans="1:2" x14ac:dyDescent="0.25">
      <c r="A41">
        <f ca="1">25977.5993827774*((RANDBETWEEN(1620,2416)))</f>
        <v>49357438.82727699</v>
      </c>
      <c r="B41">
        <v>149285423.30306107</v>
      </c>
    </row>
    <row r="42" spans="1:2" x14ac:dyDescent="0.25">
      <c r="A42">
        <f ca="1">26051.9472932963*((RANDBETWEEN(1620,2416)))</f>
        <v>55256180.209081367</v>
      </c>
      <c r="B42">
        <v>164834425.14446783</v>
      </c>
    </row>
    <row r="43" spans="1:2" x14ac:dyDescent="0.25">
      <c r="A43">
        <f ca="1">29294.3682434952*((RANDBETWEEN(1620,2416)))</f>
        <v>50269135.905837841</v>
      </c>
      <c r="B43">
        <v>148431115.72535068</v>
      </c>
    </row>
    <row r="44" spans="1:2" x14ac:dyDescent="0.25">
      <c r="A44">
        <f ca="1">26908.9188466148*((RANDBETWEEN(1620,2416)))</f>
        <v>54813467.690554537</v>
      </c>
      <c r="B44">
        <v>195346745.47379661</v>
      </c>
    </row>
    <row r="45" spans="1:2" x14ac:dyDescent="0.25">
      <c r="A45">
        <f ca="1">27916.831824081*((RANDBETWEEN(1620,2416)))</f>
        <v>63064123.090598978</v>
      </c>
      <c r="B45">
        <v>164044785.14014536</v>
      </c>
    </row>
    <row r="46" spans="1:2" x14ac:dyDescent="0.25">
      <c r="A46">
        <f ca="1">27046.7551428566*((RANDBETWEEN(1620,2416)))</f>
        <v>64587651.281141616</v>
      </c>
      <c r="B46">
        <v>152062483.95918196</v>
      </c>
    </row>
    <row r="47" spans="1:2" x14ac:dyDescent="0.25">
      <c r="A47">
        <f ca="1">26724.0630352983*((RANDBETWEEN(1620,2416)))</f>
        <v>60236038.081562467</v>
      </c>
      <c r="B47">
        <v>189943887.15001076</v>
      </c>
    </row>
    <row r="48" spans="1:2" x14ac:dyDescent="0.25">
      <c r="A48">
        <f ca="1">25515.1698656331*((RANDBETWEEN(1620,2416)))</f>
        <v>55572039.967348948</v>
      </c>
      <c r="B48">
        <v>154492404.21712944</v>
      </c>
    </row>
    <row r="49" spans="1:2" x14ac:dyDescent="0.25">
      <c r="A49">
        <f ca="1">29802.9000678258*((RANDBETWEEN(1620,2416)))</f>
        <v>49651631.512997806</v>
      </c>
      <c r="B49">
        <v>181281330.4760415</v>
      </c>
    </row>
    <row r="50" spans="1:2" x14ac:dyDescent="0.25">
      <c r="A50">
        <f ca="1">26084.9836197711*((RANDBETWEEN(1620,2416)))</f>
        <v>59525932.620317675</v>
      </c>
      <c r="B50">
        <v>147310633.3844977</v>
      </c>
    </row>
    <row r="51" spans="1:2" x14ac:dyDescent="0.25">
      <c r="A51">
        <f ca="1">29745.9937583046*((RANDBETWEEN(1620,2416)))</f>
        <v>49110635.69496087</v>
      </c>
      <c r="B51">
        <v>156064616.48908392</v>
      </c>
    </row>
    <row r="52" spans="1:2" x14ac:dyDescent="0.25">
      <c r="A52">
        <f ca="1">27498.513642278*((RANDBETWEEN(1620,2416)))</f>
        <v>50019796.315303721</v>
      </c>
      <c r="B52">
        <v>185307097.16771945</v>
      </c>
    </row>
    <row r="53" spans="1:2" x14ac:dyDescent="0.25">
      <c r="A53">
        <f ca="1">27250.1347875189*((RANDBETWEEN(1620,2416)))</f>
        <v>60413548.823929414</v>
      </c>
      <c r="B53">
        <v>156640853.7764875</v>
      </c>
    </row>
    <row r="54" spans="1:2" x14ac:dyDescent="0.25">
      <c r="A54">
        <f ca="1">28007.5973589088*((RANDBETWEEN(1620,2416)))</f>
        <v>45428322.916150093</v>
      </c>
      <c r="B54">
        <v>179459875.55948573</v>
      </c>
    </row>
    <row r="55" spans="1:2" x14ac:dyDescent="0.25">
      <c r="A55">
        <f ca="1">30829.137112253*((RANDBETWEEN(1620,2416)))</f>
        <v>60270963.054454647</v>
      </c>
      <c r="B55">
        <v>182410324.77524203</v>
      </c>
    </row>
    <row r="56" spans="1:2" x14ac:dyDescent="0.25">
      <c r="A56">
        <f ca="1">26952.1676749226*((RANDBETWEEN(1620,2416)))</f>
        <v>48864279.994634628</v>
      </c>
      <c r="B56">
        <v>172182931.35789472</v>
      </c>
    </row>
    <row r="57" spans="1:2" x14ac:dyDescent="0.25">
      <c r="A57">
        <f ca="1">28383.0348134642*((RANDBETWEEN(1620,2416)))</f>
        <v>59377308.82976719</v>
      </c>
      <c r="B57">
        <v>193324396.0202029</v>
      </c>
    </row>
    <row r="58" spans="1:2" x14ac:dyDescent="0.25">
      <c r="A58">
        <f ca="1">29703.2699670359*((RANDBETWEEN(1620,2416)))</f>
        <v>50168822.974323601</v>
      </c>
      <c r="B58">
        <v>181599224.8808623</v>
      </c>
    </row>
    <row r="59" spans="1:2" x14ac:dyDescent="0.25">
      <c r="A59">
        <f ca="1">27805.2590318619*((RANDBETWEEN(1620,2416)))</f>
        <v>61672064.532669634</v>
      </c>
      <c r="B59">
        <v>194626457.00058359</v>
      </c>
    </row>
    <row r="60" spans="1:2" x14ac:dyDescent="0.25">
      <c r="A60">
        <f ca="1">26794.76056622*((RANDBETWEEN(1620,2416)))</f>
        <v>62592560.682689875</v>
      </c>
      <c r="B60">
        <v>182216146.8721545</v>
      </c>
    </row>
    <row r="61" spans="1:2" x14ac:dyDescent="0.25">
      <c r="A61">
        <f ca="1">31491.7900729362*((RANDBETWEEN(1620,2416)))</f>
        <v>59802909.348505907</v>
      </c>
      <c r="B61">
        <v>164355270.50379932</v>
      </c>
    </row>
    <row r="62" spans="1:2" x14ac:dyDescent="0.25">
      <c r="A62">
        <f ca="1">29974.9409069135*((RANDBETWEEN(1620,2416)))</f>
        <v>71250434.535733461</v>
      </c>
      <c r="B62">
        <v>147236019.61592546</v>
      </c>
    </row>
    <row r="63" spans="1:2" x14ac:dyDescent="0.25">
      <c r="A63">
        <f ca="1">27856.2749477353*((RANDBETWEEN(1620,2416)))</f>
        <v>63094462.756620459</v>
      </c>
      <c r="B63">
        <v>197920868.37000906</v>
      </c>
    </row>
    <row r="64" spans="1:2" x14ac:dyDescent="0.25">
      <c r="A64">
        <f ca="1">32243.7856825866*((RANDBETWEEN(1620,2416)))</f>
        <v>70581646.85918209</v>
      </c>
      <c r="B64">
        <v>185280297.46040726</v>
      </c>
    </row>
    <row r="65" spans="1:2" x14ac:dyDescent="0.25">
      <c r="A65">
        <f ca="1">27613.8488713856*((RANDBETWEEN(1620,2416)))</f>
        <v>65389594.12744116</v>
      </c>
      <c r="B65">
        <v>167470167.60999429</v>
      </c>
    </row>
    <row r="66" spans="1:2" x14ac:dyDescent="0.25">
      <c r="A66">
        <f ca="1">30420.8542993122*((RANDBETWEEN(1620,2416)))</f>
        <v>63731689.757058956</v>
      </c>
      <c r="B66">
        <v>198153737.70028242</v>
      </c>
    </row>
    <row r="67" spans="1:2" x14ac:dyDescent="0.25">
      <c r="A67">
        <f ca="1">27554.2151566296*((RANDBETWEEN(1620,2416)))</f>
        <v>64504417.681669988</v>
      </c>
      <c r="B67">
        <v>146588769.04328448</v>
      </c>
    </row>
    <row r="68" spans="1:2" x14ac:dyDescent="0.25">
      <c r="A68">
        <f ca="1">29161.0749289073*((RANDBETWEEN(1620,2416)))</f>
        <v>64766747.417103082</v>
      </c>
      <c r="B68">
        <v>175125862.75181833</v>
      </c>
    </row>
    <row r="69" spans="1:2" x14ac:dyDescent="0.25">
      <c r="A69">
        <f ca="1">31107.373436314*((RANDBETWEEN(1620,2416)))</f>
        <v>61312633.042974979</v>
      </c>
      <c r="B69">
        <v>199778032.7435388</v>
      </c>
    </row>
    <row r="70" spans="1:2" x14ac:dyDescent="0.25">
      <c r="A70">
        <f ca="1">29520.8003268188*((RANDBETWEEN(1620,2416)))</f>
        <v>66156113.532400981</v>
      </c>
      <c r="B70">
        <v>178125097.28236744</v>
      </c>
    </row>
    <row r="71" spans="1:2" x14ac:dyDescent="0.25">
      <c r="A71">
        <f ca="1">26357.7924883418*((RANDBETWEEN(1620,2416)))</f>
        <v>59753115.57107079</v>
      </c>
      <c r="B71">
        <v>165863515.97785258</v>
      </c>
    </row>
    <row r="72" spans="1:2" x14ac:dyDescent="0.25">
      <c r="A72">
        <f ca="1">26878.4821611331*((RANDBETWEEN(1620,2416)))</f>
        <v>56149149.234607063</v>
      </c>
      <c r="B72">
        <v>181852478.00408092</v>
      </c>
    </row>
    <row r="73" spans="1:2" x14ac:dyDescent="0.25">
      <c r="A73">
        <f ca="1">25282.4645954838*((RANDBETWEEN(1620,2416)))</f>
        <v>47986117.802228242</v>
      </c>
      <c r="B73">
        <v>173405705.88201848</v>
      </c>
    </row>
    <row r="74" spans="1:2" x14ac:dyDescent="0.25">
      <c r="A74">
        <f ca="1">29219.6412903716*((RANDBETWEEN(1620,2416)))</f>
        <v>61069050.296876639</v>
      </c>
      <c r="B74">
        <v>147365345.64305592</v>
      </c>
    </row>
    <row r="75" spans="1:2" x14ac:dyDescent="0.25">
      <c r="A75">
        <f ca="1">28545.2315909249*((RANDBETWEEN(1620,2416)))</f>
        <v>59117174.62480545</v>
      </c>
      <c r="B75">
        <v>164242598.20695069</v>
      </c>
    </row>
    <row r="76" spans="1:2" x14ac:dyDescent="0.25">
      <c r="A76">
        <f ca="1">25967.7086076625*((RANDBETWEEN(1620,2416)))</f>
        <v>57648313.109010667</v>
      </c>
      <c r="B76">
        <v>187248365.54233548</v>
      </c>
    </row>
    <row r="77" spans="1:2" x14ac:dyDescent="0.25">
      <c r="A77">
        <f ca="1">27999.8712525542*((RANDBETWEEN(1620,2416)))</f>
        <v>58099732.849050045</v>
      </c>
      <c r="B77">
        <v>176621944.53377461</v>
      </c>
    </row>
    <row r="78" spans="1:2" x14ac:dyDescent="0.25">
      <c r="A78">
        <f ca="1">27042.1731676291*((RANDBETWEEN(1620,2416)))</f>
        <v>57897292.751893982</v>
      </c>
      <c r="B78">
        <v>154789771.97824901</v>
      </c>
    </row>
    <row r="79" spans="1:2" x14ac:dyDescent="0.25">
      <c r="A79">
        <f ca="1">26539.9210254372*((RANDBETWEEN(1620,2416)))</f>
        <v>63191551.961566083</v>
      </c>
      <c r="B79">
        <v>147902747.74210799</v>
      </c>
    </row>
    <row r="80" spans="1:2" x14ac:dyDescent="0.25">
      <c r="A80">
        <f ca="1">27867.5952869935*((RANDBETWEEN(1620,2416)))</f>
        <v>52140270.781964883</v>
      </c>
      <c r="B80">
        <v>167460697.10194629</v>
      </c>
    </row>
    <row r="81" spans="1:2" x14ac:dyDescent="0.25">
      <c r="A81">
        <f ca="1">27389.684939429*((RANDBETWEEN(1620,2416)))</f>
        <v>65433957.320295885</v>
      </c>
      <c r="B81">
        <v>185324670.43070427</v>
      </c>
    </row>
    <row r="82" spans="1:2" x14ac:dyDescent="0.25">
      <c r="A82">
        <f ca="1">26440.4373305646*((RANDBETWEEN(1620,2416)))</f>
        <v>54150015.652996212</v>
      </c>
      <c r="B82">
        <v>149486122.5290736</v>
      </c>
    </row>
    <row r="83" spans="1:2" x14ac:dyDescent="0.25">
      <c r="A83">
        <f ca="1">31419.8689965859*((RANDBETWEEN(1620,2416)))</f>
        <v>55801687.33793661</v>
      </c>
      <c r="B83">
        <v>144786042.48753583</v>
      </c>
    </row>
    <row r="84" spans="1:2" x14ac:dyDescent="0.25">
      <c r="A84">
        <f ca="1">31015.8860011268*((RANDBETWEEN(1620,2416)))</f>
        <v>58464945.112124048</v>
      </c>
      <c r="B84">
        <v>168685501.20795882</v>
      </c>
    </row>
    <row r="85" spans="1:2" x14ac:dyDescent="0.25">
      <c r="A85">
        <f ca="1">26472.9640087963*((RANDBETWEEN(1620,2416)))</f>
        <v>55196129.95834022</v>
      </c>
      <c r="B85">
        <v>169573451.74168628</v>
      </c>
    </row>
    <row r="86" spans="1:2" x14ac:dyDescent="0.25">
      <c r="A86">
        <f ca="1">25838.4725788877*((RANDBETWEEN(1620,2416)))</f>
        <v>44829749.924370132</v>
      </c>
      <c r="B86">
        <v>143775809.16203836</v>
      </c>
    </row>
    <row r="87" spans="1:2" x14ac:dyDescent="0.25">
      <c r="A87">
        <f ca="1">29337.9677898693*((RANDBETWEEN(1620,2416)))</f>
        <v>60993635.03513819</v>
      </c>
      <c r="B87">
        <v>160191428.33593345</v>
      </c>
    </row>
    <row r="88" spans="1:2" x14ac:dyDescent="0.25">
      <c r="A88">
        <f ca="1">26051.5405693567*((RANDBETWEEN(1620,2416)))</f>
        <v>51738359.570742413</v>
      </c>
      <c r="B88">
        <v>158107437.59236023</v>
      </c>
    </row>
    <row r="89" spans="1:2" x14ac:dyDescent="0.25">
      <c r="A89">
        <f ca="1">26162.6806613919*((RANDBETWEEN(1620,2416)))</f>
        <v>60095677.479217194</v>
      </c>
      <c r="B89">
        <v>149903464.09691939</v>
      </c>
    </row>
    <row r="90" spans="1:2" x14ac:dyDescent="0.25">
      <c r="A90">
        <f ca="1">30234.1550547687*((RANDBETWEEN(1620,2416)))</f>
        <v>49402609.359492026</v>
      </c>
      <c r="B90">
        <v>166547193.09378392</v>
      </c>
    </row>
    <row r="91" spans="1:2" x14ac:dyDescent="0.25">
      <c r="A91">
        <f ca="1">26540.7292282518*((RANDBETWEEN(1620,2416)))</f>
        <v>50268141.158308849</v>
      </c>
      <c r="B91">
        <v>195828781.88680732</v>
      </c>
    </row>
    <row r="92" spans="1:2" x14ac:dyDescent="0.25">
      <c r="A92">
        <f ca="1">28598.6607520646*((RANDBETWEEN(1620,2416)))</f>
        <v>59828398.29331924</v>
      </c>
      <c r="B92">
        <v>184333947.72774369</v>
      </c>
    </row>
    <row r="93" spans="1:2" x14ac:dyDescent="0.25">
      <c r="A93">
        <f ca="1">26252.3119347106*((RANDBETWEEN(1620,2416)))</f>
        <v>59697757.339531913</v>
      </c>
      <c r="B93">
        <v>170343735.83959121</v>
      </c>
    </row>
    <row r="94" spans="1:2" x14ac:dyDescent="0.25">
      <c r="A94">
        <f ca="1">33697.330246015*((RANDBETWEEN(1620,2416)))</f>
        <v>68641461.711132467</v>
      </c>
      <c r="B94">
        <v>146853031.30111635</v>
      </c>
    </row>
    <row r="95" spans="1:2" x14ac:dyDescent="0.25">
      <c r="A95">
        <f ca="1">27380.3462801787*((RANDBETWEEN(1620,2416)))</f>
        <v>64727138.606342502</v>
      </c>
      <c r="B95">
        <v>148621220.56479165</v>
      </c>
    </row>
    <row r="96" spans="1:2" x14ac:dyDescent="0.25">
      <c r="A96">
        <f ca="1">27511.3588269366*((RANDBETWEEN(1620,2416)))</f>
        <v>56590865.107008517</v>
      </c>
      <c r="B96">
        <v>170713718.50856397</v>
      </c>
    </row>
    <row r="97" spans="1:2" x14ac:dyDescent="0.25">
      <c r="A97">
        <f ca="1">30985.3358034119*((RANDBETWEEN(1620,2416)))</f>
        <v>65657926.567429736</v>
      </c>
      <c r="B97">
        <v>186431445.3482796</v>
      </c>
    </row>
    <row r="98" spans="1:2" x14ac:dyDescent="0.25">
      <c r="A98">
        <f ca="1">29782.4019552001*((RANDBETWEEN(1620,2416)))</f>
        <v>64806506.654515453</v>
      </c>
      <c r="B98">
        <v>192628736.9568696</v>
      </c>
    </row>
    <row r="99" spans="1:2" x14ac:dyDescent="0.25">
      <c r="A99">
        <f ca="1">27954.7254640551*((RANDBETWEEN(1620,2416)))</f>
        <v>52946250.028920397</v>
      </c>
      <c r="B99">
        <v>189300584.71533656</v>
      </c>
    </row>
    <row r="100" spans="1:2" x14ac:dyDescent="0.25">
      <c r="A100">
        <f ca="1">28490.4529674701*((RANDBETWEEN(1620,2416)))</f>
        <v>58576371.301118605</v>
      </c>
      <c r="B100">
        <v>203067834.18513149</v>
      </c>
    </row>
    <row r="101" spans="1:2" x14ac:dyDescent="0.25">
      <c r="A101">
        <f ca="1">31311.745695299*((RANDBETWEEN(1620,2416)))</f>
        <v>54701619.729687415</v>
      </c>
      <c r="B101">
        <v>162082278.34195495</v>
      </c>
    </row>
    <row r="102" spans="1:2" x14ac:dyDescent="0.25">
      <c r="A102">
        <f ca="1">27108.6662449743*((RANDBETWEEN(1620,2416)))</f>
        <v>48443186.579769015</v>
      </c>
      <c r="B102">
        <v>176261350.36178917</v>
      </c>
    </row>
    <row r="103" spans="1:2" x14ac:dyDescent="0.25">
      <c r="A103">
        <f ca="1">27068.0036489733*((RANDBETWEEN(1620,2416)))</f>
        <v>58791703.925569929</v>
      </c>
      <c r="B103">
        <v>186995791.05642623</v>
      </c>
    </row>
    <row r="104" spans="1:2" x14ac:dyDescent="0.25">
      <c r="A104">
        <f ca="1">28368.161180187*((RANDBETWEEN(1620,2416)))</f>
        <v>60282342.507897362</v>
      </c>
      <c r="B104">
        <v>178070181.99338093</v>
      </c>
    </row>
    <row r="105" spans="1:2" x14ac:dyDescent="0.25">
      <c r="A105">
        <f ca="1">29690.6359618467*((RANDBETWEEN(1620,2416)))</f>
        <v>49256765.060703747</v>
      </c>
      <c r="B105">
        <v>176899022.41387525</v>
      </c>
    </row>
    <row r="106" spans="1:2" x14ac:dyDescent="0.25">
      <c r="A106">
        <f ca="1">26319.9953370389*((RANDBETWEEN(1620,2416)))</f>
        <v>58851509.573619023</v>
      </c>
      <c r="B106">
        <v>186898231.99412349</v>
      </c>
    </row>
    <row r="107" spans="1:2" x14ac:dyDescent="0.25">
      <c r="A107">
        <f ca="1">28313.2066185311*((RANDBETWEEN(1620,2416)))</f>
        <v>53342081.269312643</v>
      </c>
      <c r="B107">
        <v>161939717.91062355</v>
      </c>
    </row>
    <row r="108" spans="1:2" x14ac:dyDescent="0.25">
      <c r="A108">
        <f ca="1">34597.6049042997*((RANDBETWEEN(1620,2416)))</f>
        <v>82169311.647711709</v>
      </c>
      <c r="B108">
        <v>162284658.86077332</v>
      </c>
    </row>
    <row r="109" spans="1:2" x14ac:dyDescent="0.25">
      <c r="A109">
        <f ca="1">27921.1702980387*((RANDBETWEEN(1620,2416)))</f>
        <v>58997432.839755692</v>
      </c>
      <c r="B109">
        <v>152296994.65536714</v>
      </c>
    </row>
    <row r="110" spans="1:2" x14ac:dyDescent="0.25">
      <c r="A110">
        <f ca="1">26335.6777095466*((RANDBETWEEN(1620,2416)))</f>
        <v>47588569.621150717</v>
      </c>
      <c r="B110">
        <v>148633538.32510957</v>
      </c>
    </row>
    <row r="111" spans="1:2" x14ac:dyDescent="0.25">
      <c r="A111">
        <f ca="1">26256.4452801059*((RANDBETWEEN(1620,2416)))</f>
        <v>54377098.17509941</v>
      </c>
      <c r="B111">
        <v>151327210.48801473</v>
      </c>
    </row>
    <row r="112" spans="1:2" x14ac:dyDescent="0.25">
      <c r="A112">
        <f ca="1">27385.5952410359*((RANDBETWEEN(1620,2416)))</f>
        <v>57674063.577621646</v>
      </c>
      <c r="B112">
        <v>146067702.53290036</v>
      </c>
    </row>
    <row r="113" spans="1:2" x14ac:dyDescent="0.25">
      <c r="A113">
        <f ca="1">27590.0734456403*((RANDBETWEEN(1620,2416)))</f>
        <v>58822036.586105198</v>
      </c>
      <c r="B113">
        <v>153669116.69505119</v>
      </c>
    </row>
    <row r="114" spans="1:2" x14ac:dyDescent="0.25">
      <c r="A114">
        <f ca="1">25964.6684807132*((RANDBETWEEN(1620,2416)))</f>
        <v>50371456.852583624</v>
      </c>
      <c r="B114">
        <v>144273498.58585292</v>
      </c>
    </row>
    <row r="115" spans="1:2" x14ac:dyDescent="0.25">
      <c r="A115">
        <f ca="1">25543.5552920699*((RANDBETWEEN(1620,2416)))</f>
        <v>49656671.487783901</v>
      </c>
      <c r="B115">
        <v>188630864.50863263</v>
      </c>
    </row>
    <row r="116" spans="1:2" x14ac:dyDescent="0.25">
      <c r="A116">
        <f ca="1">28842.7826434185*((RANDBETWEEN(1620,2416)))</f>
        <v>68097809.821111143</v>
      </c>
      <c r="B116">
        <v>188646281.43207875</v>
      </c>
    </row>
    <row r="117" spans="1:2" x14ac:dyDescent="0.25">
      <c r="A117">
        <f ca="1">26398.4349346174*((RANDBETWEEN(1620,2416)))</f>
        <v>56571846.064885058</v>
      </c>
      <c r="B117">
        <v>147659370.5241473</v>
      </c>
    </row>
    <row r="118" spans="1:2" x14ac:dyDescent="0.25">
      <c r="A118">
        <f ca="1">25153.8359058105*((RANDBETWEEN(1620,2416)))</f>
        <v>48697826.313649222</v>
      </c>
      <c r="B118">
        <v>147005891.37237555</v>
      </c>
    </row>
    <row r="119" spans="1:2" x14ac:dyDescent="0.25">
      <c r="A119">
        <f ca="1">30200.9033989821*((RANDBETWEEN(1620,2416)))</f>
        <v>61338034.803332627</v>
      </c>
      <c r="B119">
        <v>193205464.5179601</v>
      </c>
    </row>
    <row r="120" spans="1:2" x14ac:dyDescent="0.25">
      <c r="A120">
        <f ca="1">31898.8632379615*((RANDBETWEEN(1620,2416)))</f>
        <v>72410419.550172567</v>
      </c>
      <c r="B120">
        <v>202010226.49939156</v>
      </c>
    </row>
    <row r="121" spans="1:2" x14ac:dyDescent="0.25">
      <c r="A121">
        <f ca="1">30195.4333806622*((RANDBETWEEN(1620,2416)))</f>
        <v>56163506.088031679</v>
      </c>
      <c r="B121">
        <v>164182255.06883672</v>
      </c>
    </row>
    <row r="122" spans="1:2" x14ac:dyDescent="0.25">
      <c r="A122">
        <f ca="1">26619.864708688*((RANDBETWEEN(1620,2416)))</f>
        <v>44348694.604674287</v>
      </c>
      <c r="B122">
        <v>150656090.8063913</v>
      </c>
    </row>
    <row r="123" spans="1:2" x14ac:dyDescent="0.25">
      <c r="A123">
        <f ca="1">29220.021250333*((RANDBETWEEN(1620,2416)))</f>
        <v>65072987.324491613</v>
      </c>
      <c r="B123">
        <v>194930744.54823583</v>
      </c>
    </row>
    <row r="124" spans="1:2" x14ac:dyDescent="0.25">
      <c r="A124">
        <f ca="1">29691.0217178985*((RANDBETWEEN(1620,2416)))</f>
        <v>59886790.805001363</v>
      </c>
      <c r="B124">
        <v>147914431.88560089</v>
      </c>
    </row>
    <row r="125" spans="1:2" x14ac:dyDescent="0.25">
      <c r="A125">
        <f ca="1">29071.1246756297*((RANDBETWEEN(1620,2416)))</f>
        <v>67096155.751353435</v>
      </c>
      <c r="B125">
        <v>153309058.44018912</v>
      </c>
    </row>
    <row r="126" spans="1:2" x14ac:dyDescent="0.25">
      <c r="A126">
        <f ca="1">24960.7741425036*((RANDBETWEEN(1620,2416)))</f>
        <v>58358289.945173487</v>
      </c>
      <c r="B126">
        <v>169078462.18013778</v>
      </c>
    </row>
    <row r="127" spans="1:2" x14ac:dyDescent="0.25">
      <c r="A127">
        <f ca="1">26816.6597514205*((RANDBETWEEN(1620,2416)))</f>
        <v>55456852.365937628</v>
      </c>
      <c r="B127">
        <v>148827729.96709153</v>
      </c>
    </row>
    <row r="128" spans="1:2" x14ac:dyDescent="0.25">
      <c r="A128">
        <f ca="1">28777.2633473268*((RANDBETWEEN(1620,2416)))</f>
        <v>56892649.637665011</v>
      </c>
      <c r="B128">
        <v>179146787.56380361</v>
      </c>
    </row>
    <row r="129" spans="1:2" x14ac:dyDescent="0.25">
      <c r="A129">
        <f ca="1">28513.3282936716*((RANDBETWEEN(1620,2416)))</f>
        <v>53975730.459920347</v>
      </c>
      <c r="B129">
        <v>200613901.65990967</v>
      </c>
    </row>
    <row r="130" spans="1:2" x14ac:dyDescent="0.25">
      <c r="A130">
        <f ca="1">26633.4761664178*((RANDBETWEEN(1620,2416)))</f>
        <v>46129180.720235638</v>
      </c>
      <c r="B130">
        <v>197854871.66706008</v>
      </c>
    </row>
    <row r="131" spans="1:2" x14ac:dyDescent="0.25">
      <c r="A131">
        <f ca="1">27031.846803882*((RANDBETWEEN(1620,2416)))</f>
        <v>45954139.566599347</v>
      </c>
      <c r="B131">
        <v>171702237.78756294</v>
      </c>
    </row>
    <row r="132" spans="1:2" x14ac:dyDescent="0.25">
      <c r="A132">
        <f ca="1">26884.5545901571*((RANDBETWEEN(1620,2416)))</f>
        <v>53016341.651789851</v>
      </c>
      <c r="B132">
        <v>184837316.79927015</v>
      </c>
    </row>
    <row r="133" spans="1:2" x14ac:dyDescent="0.25">
      <c r="A133">
        <f ca="1">32350.6390358645*((RANDBETWEEN(1620,2416)))</f>
        <v>77091572.822465062</v>
      </c>
      <c r="B133">
        <v>186506255.6467042</v>
      </c>
    </row>
    <row r="134" spans="1:2" x14ac:dyDescent="0.25">
      <c r="A134">
        <f ca="1">30974.1126428213*((RANDBETWEEN(1620,2416)))</f>
        <v>65107584.775210366</v>
      </c>
      <c r="B134">
        <v>194598776.13985914</v>
      </c>
    </row>
    <row r="135" spans="1:2" x14ac:dyDescent="0.25">
      <c r="A135">
        <f ca="1">26765.7649822291*((RANDBETWEEN(1620,2416)))</f>
        <v>62203637.818700366</v>
      </c>
      <c r="B135">
        <v>154105766.36270085</v>
      </c>
    </row>
    <row r="136" spans="1:2" x14ac:dyDescent="0.25">
      <c r="A136">
        <f ca="1">27506.9113346683*((RANDBETWEEN(1620,2416)))</f>
        <v>55949057.654715359</v>
      </c>
      <c r="B136">
        <v>169280929.6729843</v>
      </c>
    </row>
    <row r="137" spans="1:2" x14ac:dyDescent="0.25">
      <c r="A137">
        <f ca="1">31318.5480796549*((RANDBETWEEN(1620,2416)))</f>
        <v>54149769.629723266</v>
      </c>
      <c r="B137">
        <v>164859025.44710606</v>
      </c>
    </row>
    <row r="138" spans="1:2" x14ac:dyDescent="0.25">
      <c r="A138">
        <f ca="1">28716.0095083355*((RANDBETWEEN(1620,2416)))</f>
        <v>51803681.153037228</v>
      </c>
      <c r="B138">
        <v>169058999.64245671</v>
      </c>
    </row>
    <row r="139" spans="1:2" x14ac:dyDescent="0.25">
      <c r="A139">
        <f ca="1">27484.8332839777*((RANDBETWEEN(1620,2416)))</f>
        <v>48785579.079060376</v>
      </c>
      <c r="B139">
        <v>183251630.60267007</v>
      </c>
    </row>
    <row r="140" spans="1:2" x14ac:dyDescent="0.25">
      <c r="A140">
        <f ca="1">31820.1466306743*((RANDBETWEEN(1620,2416)))</f>
        <v>63194811.208519295</v>
      </c>
      <c r="B140">
        <v>154040676.75929284</v>
      </c>
    </row>
    <row r="141" spans="1:2" x14ac:dyDescent="0.25">
      <c r="A141">
        <f ca="1">25668.9664297966*((RANDBETWEEN(1620,2416)))</f>
        <v>57909188.265621215</v>
      </c>
      <c r="B141">
        <v>147962072.5077379</v>
      </c>
    </row>
    <row r="142" spans="1:2" x14ac:dyDescent="0.25">
      <c r="A142">
        <f ca="1">25865.6761106802*((RANDBETWEEN(1620,2416)))</f>
        <v>53955800.366878912</v>
      </c>
      <c r="B142">
        <v>144063969.7628451</v>
      </c>
    </row>
    <row r="143" spans="1:2" x14ac:dyDescent="0.25">
      <c r="A143">
        <f ca="1">26864.944874414*((RANDBETWEEN(1620,2416)))</f>
        <v>44273429.153034322</v>
      </c>
      <c r="B143">
        <v>196762526.82527778</v>
      </c>
    </row>
    <row r="144" spans="1:2" x14ac:dyDescent="0.25">
      <c r="A144">
        <f ca="1">27974.2560175404*((RANDBETWEEN(1620,2416)))</f>
        <v>52927292.385186367</v>
      </c>
      <c r="B144">
        <v>161116278.08310556</v>
      </c>
    </row>
    <row r="145" spans="1:2" x14ac:dyDescent="0.25">
      <c r="A145">
        <f ca="1">26228.3935128365*((RANDBETWEEN(1620,2416)))</f>
        <v>51774848.794339247</v>
      </c>
      <c r="B145">
        <v>187588457.3905049</v>
      </c>
    </row>
    <row r="146" spans="1:2" x14ac:dyDescent="0.25">
      <c r="A146">
        <f ca="1">29111.564368295*((RANDBETWEEN(1620,2416)))</f>
        <v>66898374.918341957</v>
      </c>
      <c r="B146">
        <v>169080061.15530357</v>
      </c>
    </row>
    <row r="147" spans="1:2" x14ac:dyDescent="0.25">
      <c r="A147">
        <f ca="1">27870.7803661012*((RANDBETWEEN(1620,2416)))</f>
        <v>47157360.379443198</v>
      </c>
      <c r="B147">
        <v>179752212.1096231</v>
      </c>
    </row>
    <row r="148" spans="1:2" x14ac:dyDescent="0.25">
      <c r="A148">
        <f ca="1">27019.0210629392*((RANDBETWEEN(1620,2416)))</f>
        <v>52660072.051668443</v>
      </c>
      <c r="B148">
        <v>189523141.4068332</v>
      </c>
    </row>
    <row r="149" spans="1:2" x14ac:dyDescent="0.25">
      <c r="A149">
        <f ca="1">26974.1134818321*((RANDBETWEEN(1620,2416)))</f>
        <v>52977158.878318235</v>
      </c>
      <c r="B149">
        <v>143365103.14125872</v>
      </c>
    </row>
    <row r="150" spans="1:2" x14ac:dyDescent="0.25">
      <c r="A150">
        <f ca="1">28450.7677691793*((RANDBETWEEN(1620,2416)))</f>
        <v>53629697.244902894</v>
      </c>
      <c r="B150">
        <v>159478673.90842763</v>
      </c>
    </row>
    <row r="151" spans="1:2" x14ac:dyDescent="0.25">
      <c r="A151">
        <f ca="1">29802.426320386*((RANDBETWEEN(1620,2416)))</f>
        <v>59604852.64077197</v>
      </c>
      <c r="B151">
        <v>202101176.87295884</v>
      </c>
    </row>
    <row r="152" spans="1:2" x14ac:dyDescent="0.25">
      <c r="A152">
        <f ca="1">27325.1965951465*((RANDBETWEEN(1620,2416)))</f>
        <v>54650393.190292999</v>
      </c>
      <c r="B152">
        <v>146387474.55048645</v>
      </c>
    </row>
    <row r="153" spans="1:2" x14ac:dyDescent="0.25">
      <c r="A153">
        <f ca="1">26232.8276047037*((RANDBETWEEN(1620,2416)))</f>
        <v>50157166.380193517</v>
      </c>
      <c r="B153">
        <v>174666444.55885607</v>
      </c>
    </row>
    <row r="154" spans="1:2" x14ac:dyDescent="0.25">
      <c r="A154">
        <f ca="1">26374.4719248767*((RANDBETWEEN(1620,2416)))</f>
        <v>46419070.587783024</v>
      </c>
      <c r="B154">
        <v>148501181.39007694</v>
      </c>
    </row>
    <row r="155" spans="1:2" x14ac:dyDescent="0.25">
      <c r="A155">
        <f ca="1">28499.9383515692*((RANDBETWEEN(1620,2416)))</f>
        <v>63811361.969163455</v>
      </c>
      <c r="B155">
        <v>144230358.40174115</v>
      </c>
    </row>
    <row r="156" spans="1:2" x14ac:dyDescent="0.25">
      <c r="A156">
        <f ca="1">29812.1470285581*((RANDBETWEEN(1620,2416)))</f>
        <v>60995652.820429914</v>
      </c>
      <c r="B156">
        <v>169070039.48409864</v>
      </c>
    </row>
    <row r="157" spans="1:2" x14ac:dyDescent="0.25">
      <c r="A157">
        <f ca="1">27612.8324928861*((RANDBETWEEN(1620,2416)))</f>
        <v>53513669.371213235</v>
      </c>
      <c r="B157">
        <v>190604237.02933675</v>
      </c>
    </row>
    <row r="158" spans="1:2" x14ac:dyDescent="0.25">
      <c r="A158">
        <f ca="1">26086.9863831677*((RANDBETWEEN(1620,2416)))</f>
        <v>58095718.675314426</v>
      </c>
      <c r="B158">
        <v>172698197.62553126</v>
      </c>
    </row>
    <row r="159" spans="1:2" x14ac:dyDescent="0.25">
      <c r="A159">
        <f ca="1">26862.1092908551*((RANDBETWEEN(1620,2416)))</f>
        <v>56786499.040867582</v>
      </c>
      <c r="B159">
        <v>184590144.58208099</v>
      </c>
    </row>
    <row r="160" spans="1:2" x14ac:dyDescent="0.25">
      <c r="A160">
        <f ca="1">32055.5292664936*((RANDBETWEEN(1620,2416)))</f>
        <v>64784224.647583492</v>
      </c>
      <c r="B160">
        <v>170139865.92157841</v>
      </c>
    </row>
    <row r="161" spans="1:2" x14ac:dyDescent="0.25">
      <c r="A161">
        <f ca="1">29641.0950641376*((RANDBETWEEN(1620,2416)))</f>
        <v>63787636.578024119</v>
      </c>
      <c r="B161">
        <v>193851827.9101274</v>
      </c>
    </row>
    <row r="162" spans="1:2" x14ac:dyDescent="0.25">
      <c r="A162">
        <f ca="1">26856.365901872*((RANDBETWEEN(1620,2416)))</f>
        <v>58573734.031982765</v>
      </c>
      <c r="B162">
        <v>157970259.07730472</v>
      </c>
    </row>
    <row r="163" spans="1:2" x14ac:dyDescent="0.25">
      <c r="A163">
        <f ca="1">28499.6610460111*((RANDBETWEEN(1620,2416)))</f>
        <v>63098249.555868492</v>
      </c>
      <c r="B163">
        <v>192040945.96086198</v>
      </c>
    </row>
    <row r="164" spans="1:2" x14ac:dyDescent="0.25">
      <c r="A164">
        <f ca="1">28409.9278352583*((RANDBETWEEN(1620,2416)))</f>
        <v>66081492.144810803</v>
      </c>
      <c r="B164">
        <v>179322128.3303211</v>
      </c>
    </row>
    <row r="165" spans="1:2" x14ac:dyDescent="0.25">
      <c r="A165">
        <f ca="1">25526.6204868768*((RANDBETWEEN(1620,2416)))</f>
        <v>53197477.094651178</v>
      </c>
      <c r="B165">
        <v>156461711.91332015</v>
      </c>
    </row>
    <row r="166" spans="1:2" x14ac:dyDescent="0.25">
      <c r="A166">
        <f ca="1">28130.422543907*((RANDBETWEEN(1620,2416)))</f>
        <v>62224494.667122193</v>
      </c>
      <c r="B166">
        <v>183900403.53431901</v>
      </c>
    </row>
    <row r="167" spans="1:2" x14ac:dyDescent="0.25">
      <c r="A167">
        <f ca="1">27682.1046487043*((RANDBETWEEN(1620,2416)))</f>
        <v>64056390.157101847</v>
      </c>
      <c r="B167">
        <v>159294876.73699719</v>
      </c>
    </row>
    <row r="168" spans="1:2" x14ac:dyDescent="0.25">
      <c r="A168">
        <f ca="1">25819.3418269774*((RANDBETWEEN(1620,2416)))</f>
        <v>46603911.997694202</v>
      </c>
      <c r="B168">
        <v>149650901.40620494</v>
      </c>
    </row>
    <row r="169" spans="1:2" x14ac:dyDescent="0.25">
      <c r="A169">
        <f ca="1">27568.6966240419*((RANDBETWEEN(1620,2416)))</f>
        <v>63490708.325168468</v>
      </c>
      <c r="B169">
        <v>144222324.53432167</v>
      </c>
    </row>
    <row r="170" spans="1:2" x14ac:dyDescent="0.25">
      <c r="A170">
        <f ca="1">30819.6719374993*((RANDBETWEEN(1620,2416)))</f>
        <v>60437376.669436075</v>
      </c>
      <c r="B170">
        <v>144801043.17856055</v>
      </c>
    </row>
    <row r="171" spans="1:2" x14ac:dyDescent="0.25">
      <c r="A171">
        <f ca="1">25195.416926714*((RANDBETWEEN(1620,2416)))</f>
        <v>53943387.640094638</v>
      </c>
      <c r="B171">
        <v>151374792.41922259</v>
      </c>
    </row>
    <row r="172" spans="1:2" x14ac:dyDescent="0.25">
      <c r="A172">
        <f ca="1">26627.1556758858*((RANDBETWEEN(1620,2416)))</f>
        <v>49526509.557147659</v>
      </c>
      <c r="B172">
        <v>162450564.68901953</v>
      </c>
    </row>
    <row r="173" spans="1:2" x14ac:dyDescent="0.25">
      <c r="A173">
        <f ca="1">27468.1518590906*((RANDBETWEEN(1620,2416)))</f>
        <v>47849520.538535841</v>
      </c>
      <c r="B173">
        <v>152742376.78404421</v>
      </c>
    </row>
    <row r="174" spans="1:2" x14ac:dyDescent="0.25">
      <c r="A174">
        <f ca="1">26062.49117592*((RANDBETWEEN(1620,2416)))</f>
        <v>56321043.431163087</v>
      </c>
      <c r="B174">
        <v>148174698.04704931</v>
      </c>
    </row>
    <row r="175" spans="1:2" x14ac:dyDescent="0.25">
      <c r="A175">
        <f ca="1">31259.0332122278*((RANDBETWEEN(1620,2416)))</f>
        <v>68238469.502293393</v>
      </c>
      <c r="B175">
        <v>144202996.77124789</v>
      </c>
    </row>
    <row r="176" spans="1:2" x14ac:dyDescent="0.25">
      <c r="A176">
        <f ca="1">26885.0713572237*((RANDBETWEEN(1620,2416)))</f>
        <v>58985846.557748787</v>
      </c>
      <c r="B176">
        <v>168747446.99108538</v>
      </c>
    </row>
    <row r="177" spans="1:2" x14ac:dyDescent="0.25">
      <c r="A177">
        <f ca="1">26264.792055123*((RANDBETWEEN(1620,2416)))</f>
        <v>50953696.586938687</v>
      </c>
      <c r="B177">
        <v>152932974.99225986</v>
      </c>
    </row>
    <row r="178" spans="1:2" x14ac:dyDescent="0.25">
      <c r="A178">
        <f ca="1">27194.314913003*((RANDBETWEEN(1620,2416)))</f>
        <v>46719833.020539224</v>
      </c>
      <c r="B178">
        <v>143571757.40294561</v>
      </c>
    </row>
    <row r="179" spans="1:2" x14ac:dyDescent="0.25">
      <c r="A179">
        <f ca="1">26536.7773435909*((RANDBETWEEN(1620,2416)))</f>
        <v>47341610.780966185</v>
      </c>
      <c r="B179">
        <v>194617701.8399803</v>
      </c>
    </row>
    <row r="180" spans="1:2" x14ac:dyDescent="0.25">
      <c r="A180">
        <f ca="1">29215.4408538784*((RANDBETWEEN(1620,2416)))</f>
        <v>61819872.846806638</v>
      </c>
      <c r="B180">
        <v>168034559.48116958</v>
      </c>
    </row>
    <row r="181" spans="1:2" x14ac:dyDescent="0.25">
      <c r="A181">
        <f ca="1">32501.4952518209*((RANDBETWEEN(1620,2416)))</f>
        <v>67700614.609542921</v>
      </c>
      <c r="B181">
        <v>179008844.52567402</v>
      </c>
    </row>
    <row r="182" spans="1:2" x14ac:dyDescent="0.25">
      <c r="A182">
        <f ca="1">31044.8966272436*((RANDBETWEEN(1620,2416)))</f>
        <v>74507751.9053846</v>
      </c>
      <c r="B182">
        <v>192791658.44006684</v>
      </c>
    </row>
    <row r="183" spans="1:2" x14ac:dyDescent="0.25">
      <c r="A183">
        <f ca="1">30352.8453195498*((RANDBETWEEN(1620,2416)))</f>
        <v>61252041.854851484</v>
      </c>
      <c r="B183">
        <v>198789307.52234054</v>
      </c>
    </row>
    <row r="184" spans="1:2" x14ac:dyDescent="0.25">
      <c r="A184">
        <f ca="1">25939.0597109931*((RANDBETWEEN(1620,2416)))</f>
        <v>54134817.61684265</v>
      </c>
      <c r="B184">
        <v>157333475.78106686</v>
      </c>
    </row>
    <row r="185" spans="1:2" x14ac:dyDescent="0.25">
      <c r="A185">
        <f ca="1">30408.5061369982*((RANDBETWEEN(1620,2416)))</f>
        <v>63128058.740408324</v>
      </c>
      <c r="B185">
        <v>169264234.63468701</v>
      </c>
    </row>
    <row r="186" spans="1:2" x14ac:dyDescent="0.25">
      <c r="A186">
        <f ca="1">25629.667754868*((RANDBETWEEN(1620,2416)))</f>
        <v>51848817.868097998</v>
      </c>
      <c r="B186">
        <v>144994376.55194196</v>
      </c>
    </row>
    <row r="187" spans="1:2" x14ac:dyDescent="0.25">
      <c r="A187">
        <f ca="1">28025.3126457694*((RANDBETWEEN(1620,2416)))</f>
        <v>54341081.220146894</v>
      </c>
      <c r="B187">
        <v>146345359.88782048</v>
      </c>
    </row>
    <row r="188" spans="1:2" x14ac:dyDescent="0.25">
      <c r="A188">
        <f ca="1">33055.6681515981*((RANDBETWEEN(1620,2416)))</f>
        <v>76457760.434646502</v>
      </c>
      <c r="B188">
        <v>163611767.41497016</v>
      </c>
    </row>
    <row r="189" spans="1:2" x14ac:dyDescent="0.25">
      <c r="A189">
        <f ca="1">29464.6635809993*((RANDBETWEEN(1620,2416)))</f>
        <v>69595535.378320366</v>
      </c>
      <c r="B189">
        <v>168742631.25676048</v>
      </c>
    </row>
    <row r="190" spans="1:2" x14ac:dyDescent="0.25">
      <c r="A190">
        <f ca="1">31841.4260940524*((RANDBETWEEN(1620,2416)))</f>
        <v>58524541.160868257</v>
      </c>
      <c r="B190">
        <v>166978721.67267907</v>
      </c>
    </row>
    <row r="191" spans="1:2" x14ac:dyDescent="0.25">
      <c r="A191">
        <f ca="1">26505.0160264546*((RANDBETWEEN(1620,2416)))</f>
        <v>45244062.357158042</v>
      </c>
      <c r="B191">
        <v>143693087.96884137</v>
      </c>
    </row>
    <row r="192" spans="1:2" x14ac:dyDescent="0.25">
      <c r="A192">
        <f ca="1">25265.8065125959*((RANDBETWEEN(1620,2416)))</f>
        <v>53715104.645778924</v>
      </c>
      <c r="B192">
        <v>153638696.8283464</v>
      </c>
    </row>
    <row r="193" spans="1:2" x14ac:dyDescent="0.25">
      <c r="A193">
        <f ca="1">30493.813138583*((RANDBETWEEN(1620,2416)))</f>
        <v>71721448.501947328</v>
      </c>
      <c r="B193">
        <v>150873648.40782273</v>
      </c>
    </row>
    <row r="194" spans="1:2" x14ac:dyDescent="0.25">
      <c r="A194">
        <f ca="1">28946.1042740901*((RANDBETWEEN(1620,2416)))</f>
        <v>58500076.737936087</v>
      </c>
      <c r="B194">
        <v>202629520.76146019</v>
      </c>
    </row>
    <row r="195" spans="1:2" x14ac:dyDescent="0.25">
      <c r="A195">
        <f ca="1">31287.4132725815*((RANDBETWEEN(1620,2416)))</f>
        <v>73525421.190566525</v>
      </c>
      <c r="B195">
        <v>194166783.75232145</v>
      </c>
    </row>
    <row r="196" spans="1:2" x14ac:dyDescent="0.25">
      <c r="A196">
        <f ca="1">28056.112432545*((RANDBETWEEN(1620,2416)))</f>
        <v>55018036.480220787</v>
      </c>
      <c r="B196">
        <v>149846729.33578336</v>
      </c>
    </row>
    <row r="197" spans="1:2" x14ac:dyDescent="0.25">
      <c r="A197">
        <f ca="1">24973.7588939586*((RANDBETWEEN(1620,2416)))</f>
        <v>49273226.297780268</v>
      </c>
      <c r="B197">
        <v>143060662.61474371</v>
      </c>
    </row>
    <row r="198" spans="1:2" x14ac:dyDescent="0.25">
      <c r="A198">
        <f ca="1">27068.1193192197*((RANDBETWEEN(1620,2416)))</f>
        <v>55733257.67827332</v>
      </c>
      <c r="B198">
        <v>192642807.51273787</v>
      </c>
    </row>
    <row r="199" spans="1:2" x14ac:dyDescent="0.25">
      <c r="A199">
        <f ca="1">29736.9249633884*((RANDBETWEEN(1620,2416)))</f>
        <v>70744144.487901121</v>
      </c>
      <c r="B199">
        <v>168384966.94271111</v>
      </c>
    </row>
    <row r="200" spans="1:2" x14ac:dyDescent="0.25">
      <c r="A200">
        <f ca="1">30203.2717314714*((RANDBETWEEN(1620,2416)))</f>
        <v>68682239.917366058</v>
      </c>
      <c r="B200">
        <v>194636226.21774909</v>
      </c>
    </row>
    <row r="201" spans="1:2" x14ac:dyDescent="0.25">
      <c r="A201">
        <f ca="1">30949.86000398*((RANDBETWEEN(1620,2416)))</f>
        <v>70937079.129122123</v>
      </c>
      <c r="B201">
        <v>197952068.86817479</v>
      </c>
    </row>
    <row r="202" spans="1:2" x14ac:dyDescent="0.25">
      <c r="A202">
        <f ca="1">26359.0632474763*((RANDBETWEEN(1620,2416)))</f>
        <v>50424887.992422141</v>
      </c>
      <c r="B202">
        <v>157769248.43306017</v>
      </c>
    </row>
    <row r="203" spans="1:2" x14ac:dyDescent="0.25">
      <c r="A203">
        <f ca="1">26966.286981798*((RANDBETWEEN(1620,2416)))</f>
        <v>48512350.280254528</v>
      </c>
      <c r="B203">
        <v>158580763.09406659</v>
      </c>
    </row>
    <row r="204" spans="1:2" x14ac:dyDescent="0.25">
      <c r="A204">
        <f ca="1">30325.3860543488*((RANDBETWEEN(1620,2416)))</f>
        <v>52978449.436947301</v>
      </c>
      <c r="B204">
        <v>196250565.22034335</v>
      </c>
    </row>
    <row r="205" spans="1:2" x14ac:dyDescent="0.25">
      <c r="A205">
        <f ca="1">31347.0912322824*((RANDBETWEEN(1620,2416)))</f>
        <v>70969814.549887389</v>
      </c>
      <c r="B205">
        <v>173236617.79782319</v>
      </c>
    </row>
    <row r="206" spans="1:2" x14ac:dyDescent="0.25">
      <c r="A206">
        <f ca="1">32687.361543831*((RANDBETWEEN(1620,2416)))</f>
        <v>61386864.979314618</v>
      </c>
      <c r="B206">
        <v>202468924.12210694</v>
      </c>
    </row>
    <row r="207" spans="1:2" x14ac:dyDescent="0.25">
      <c r="A207">
        <f ca="1">28018.1932865155*((RANDBETWEEN(1620,2416)))</f>
        <v>53094476.277946904</v>
      </c>
      <c r="B207">
        <v>192354577.16511521</v>
      </c>
    </row>
    <row r="208" spans="1:2" x14ac:dyDescent="0.25">
      <c r="A208">
        <f ca="1">34487.6112070308*((RANDBETWEEN(1620,2416)))</f>
        <v>72458471.145971641</v>
      </c>
      <c r="B208">
        <v>163238006.54563749</v>
      </c>
    </row>
    <row r="209" spans="1:2" x14ac:dyDescent="0.25">
      <c r="A209">
        <f ca="1">27591.0758444269*((RANDBETWEEN(1620,2416)))</f>
        <v>58686218.321096055</v>
      </c>
      <c r="B209">
        <v>180323250.18835905</v>
      </c>
    </row>
    <row r="210" spans="1:2" x14ac:dyDescent="0.25">
      <c r="A210">
        <f ca="1">26757.1576264711*((RANDBETWEEN(1620,2416)))</f>
        <v>62317420.112051167</v>
      </c>
      <c r="B210">
        <v>160151041.95178509</v>
      </c>
    </row>
    <row r="211" spans="1:2" x14ac:dyDescent="0.25">
      <c r="A211">
        <f ca="1">27926.0037614922*((RANDBETWEEN(1620,2416)))</f>
        <v>57806827.786288805</v>
      </c>
      <c r="B211">
        <v>184885313.80647939</v>
      </c>
    </row>
    <row r="212" spans="1:2" x14ac:dyDescent="0.25">
      <c r="A212">
        <f ca="1">32296.6365257678*((RANDBETWEEN(1620,2416)))</f>
        <v>63075331.134824589</v>
      </c>
      <c r="B212">
        <v>145266225.9968918</v>
      </c>
    </row>
    <row r="213" spans="1:2" x14ac:dyDescent="0.25">
      <c r="A213">
        <f ca="1">28143.38234064*((RANDBETWEEN(1620,2416)))</f>
        <v>56737058.798730336</v>
      </c>
      <c r="B213">
        <v>188491786.26111338</v>
      </c>
    </row>
    <row r="214" spans="1:2" x14ac:dyDescent="0.25">
      <c r="A214">
        <f ca="1">31232.9604715861*((RANDBETWEEN(1620,2416)))</f>
        <v>62778250.547888026</v>
      </c>
      <c r="B214">
        <v>183007719.05197254</v>
      </c>
    </row>
    <row r="215" spans="1:2" x14ac:dyDescent="0.25">
      <c r="A215">
        <f ca="1">26513.821439989*((RANDBETWEEN(1620,2416)))</f>
        <v>61883259.24093432</v>
      </c>
      <c r="B215">
        <v>183083885.97457966</v>
      </c>
    </row>
    <row r="216" spans="1:2" x14ac:dyDescent="0.25">
      <c r="A216">
        <f ca="1">26922.5724135158*((RANDBETWEEN(1620,2416)))</f>
        <v>52041332.475325949</v>
      </c>
      <c r="B216">
        <v>162211753.0218493</v>
      </c>
    </row>
    <row r="217" spans="1:2" x14ac:dyDescent="0.25">
      <c r="A217">
        <f ca="1">27480.7831506243*((RANDBETWEEN(1620,2416)))</f>
        <v>60814973.112331472</v>
      </c>
      <c r="B217">
        <v>159054323.45665187</v>
      </c>
    </row>
    <row r="218" spans="1:2" x14ac:dyDescent="0.25">
      <c r="A218">
        <f ca="1">25906.4517295892*((RANDBETWEEN(1620,2416)))</f>
        <v>55128929.280565858</v>
      </c>
      <c r="B218">
        <v>198425022.74141181</v>
      </c>
    </row>
    <row r="219" spans="1:2" x14ac:dyDescent="0.25">
      <c r="A219">
        <f ca="1">31087.916015326*((RANDBETWEEN(1620,2416)))</f>
        <v>69201701.05011563</v>
      </c>
      <c r="B219">
        <v>187750017.59853709</v>
      </c>
    </row>
    <row r="220" spans="1:2" x14ac:dyDescent="0.25">
      <c r="A220">
        <f ca="1">32759.2068797004*((RANDBETWEEN(1620,2416)))</f>
        <v>67025337.275867067</v>
      </c>
      <c r="B220">
        <v>203508183.70393887</v>
      </c>
    </row>
    <row r="221" spans="1:2" x14ac:dyDescent="0.25">
      <c r="A221">
        <f ca="1">26722.9229792876*((RANDBETWEEN(1620,2416)))</f>
        <v>50212372.278081372</v>
      </c>
      <c r="B221">
        <v>149976304.82851326</v>
      </c>
    </row>
    <row r="222" spans="1:2" x14ac:dyDescent="0.25">
      <c r="A222">
        <f ca="1">25912.7725151798*((RANDBETWEEN(1620,2416)))</f>
        <v>46150647.849535152</v>
      </c>
      <c r="B222">
        <v>156282562.45671082</v>
      </c>
    </row>
    <row r="223" spans="1:2" x14ac:dyDescent="0.25">
      <c r="A223">
        <f ca="1">28055.10615434*((RANDBETWEEN(1620,2416)))</f>
        <v>58691282.07487946</v>
      </c>
      <c r="B223">
        <v>147563616.11036259</v>
      </c>
    </row>
    <row r="224" spans="1:2" x14ac:dyDescent="0.25">
      <c r="A224">
        <f ca="1">27477.7452117507*((RANDBETWEEN(1620,2416)))</f>
        <v>66056499.489048608</v>
      </c>
      <c r="B224">
        <v>171155706.56561726</v>
      </c>
    </row>
    <row r="225" spans="1:2" x14ac:dyDescent="0.25">
      <c r="A225">
        <f ca="1">26327.6596080387*((RANDBETWEEN(1620,2416)))</f>
        <v>53129217.089022107</v>
      </c>
      <c r="B225">
        <v>176992794.82324743</v>
      </c>
    </row>
    <row r="226" spans="1:2" x14ac:dyDescent="0.25">
      <c r="A226">
        <f ca="1">27831.3258428205*((RANDBETWEEN(1620,2416)))</f>
        <v>53102169.708101481</v>
      </c>
      <c r="B226">
        <v>180790491.8872253</v>
      </c>
    </row>
    <row r="227" spans="1:2" x14ac:dyDescent="0.25">
      <c r="A227">
        <f ca="1">31934.2268861085*((RANDBETWEEN(1620,2416)))</f>
        <v>67796363.679208338</v>
      </c>
      <c r="B227">
        <v>184761160.45696157</v>
      </c>
    </row>
    <row r="228" spans="1:2" x14ac:dyDescent="0.25">
      <c r="A228">
        <f ca="1">29547.9535605085*((RANDBETWEEN(1620,2416)))</f>
        <v>70471869.241812736</v>
      </c>
      <c r="B228">
        <v>178276292.90584689</v>
      </c>
    </row>
    <row r="229" spans="1:2" x14ac:dyDescent="0.25">
      <c r="A229">
        <f ca="1">26332.9879707688*((RANDBETWEEN(1620,2416)))</f>
        <v>44766079.550306916</v>
      </c>
      <c r="B229">
        <v>172110715.1885775</v>
      </c>
    </row>
    <row r="230" spans="1:2" x14ac:dyDescent="0.25">
      <c r="A230">
        <f ca="1">28102.7272179364*((RANDBETWEEN(1620,2416)))</f>
        <v>57919720.796166897</v>
      </c>
      <c r="B230">
        <v>147629687.6985957</v>
      </c>
    </row>
    <row r="231" spans="1:2" x14ac:dyDescent="0.25">
      <c r="A231">
        <f ca="1">30986.0701484044*((RANDBETWEEN(1620,2416)))</f>
        <v>68974992.150348097</v>
      </c>
      <c r="B231">
        <v>202878739.02312541</v>
      </c>
    </row>
    <row r="232" spans="1:2" x14ac:dyDescent="0.25">
      <c r="A232">
        <f ca="1">29067.0712392933*((RANDBETWEEN(1620,2416)))</f>
        <v>56535453.560425386</v>
      </c>
      <c r="B232">
        <v>150525115.43225443</v>
      </c>
    </row>
    <row r="233" spans="1:2" x14ac:dyDescent="0.25">
      <c r="A233">
        <f ca="1">27823.6303536096*((RANDBETWEEN(1620,2416)))</f>
        <v>46131579.126284696</v>
      </c>
      <c r="B233">
        <v>142982369.16980752</v>
      </c>
    </row>
    <row r="234" spans="1:2" x14ac:dyDescent="0.25">
      <c r="A234">
        <f ca="1">32474.0031542605*((RANDBETWEEN(1620,2416)))</f>
        <v>54848591.327545948</v>
      </c>
      <c r="B234">
        <v>193498270.55923212</v>
      </c>
    </row>
    <row r="235" spans="1:2" x14ac:dyDescent="0.25">
      <c r="A235">
        <f ca="1">26085.0022623305*((RANDBETWEEN(1620,2416)))</f>
        <v>47448619.115179121</v>
      </c>
      <c r="B235">
        <v>145002911.15455812</v>
      </c>
    </row>
    <row r="236" spans="1:2" x14ac:dyDescent="0.25">
      <c r="A236">
        <f ca="1">27564.0826527752*((RANDBETWEEN(1620,2416)))</f>
        <v>45177531.467898518</v>
      </c>
      <c r="B236">
        <v>157424202.5509375</v>
      </c>
    </row>
    <row r="237" spans="1:2" x14ac:dyDescent="0.25">
      <c r="A237">
        <f ca="1">28693.370362577*((RANDBETWEEN(1620,2416)))</f>
        <v>51963693.726627022</v>
      </c>
      <c r="B237">
        <v>187074503.46541741</v>
      </c>
    </row>
    <row r="238" spans="1:2" x14ac:dyDescent="0.25">
      <c r="A238">
        <f ca="1">29907.1980207891*((RANDBETWEEN(1620,2416)))</f>
        <v>54999337.16023121</v>
      </c>
      <c r="B238">
        <v>169598531.45852333</v>
      </c>
    </row>
    <row r="239" spans="1:2" x14ac:dyDescent="0.25">
      <c r="A239">
        <f ca="1">25113.8395941192*((RANDBETWEEN(1620,2416)))</f>
        <v>43848763.931332141</v>
      </c>
      <c r="B239">
        <v>201283889.32851964</v>
      </c>
    </row>
    <row r="240" spans="1:2" x14ac:dyDescent="0.25">
      <c r="A240">
        <f ca="1">32903.2079984238*((RANDBETWEEN(1620,2416)))</f>
        <v>76927700.300314948</v>
      </c>
      <c r="B240">
        <v>186217489.83534634</v>
      </c>
    </row>
    <row r="241" spans="1:2" x14ac:dyDescent="0.25">
      <c r="A241">
        <f ca="1">28565.3940515806*((RANDBETWEEN(1620,2416)))</f>
        <v>51989017.173876613</v>
      </c>
      <c r="B241">
        <v>182868677.95539805</v>
      </c>
    </row>
    <row r="242" spans="1:2" x14ac:dyDescent="0.25">
      <c r="A242">
        <f ca="1">32072.9596561334*((RANDBETWEEN(1620,2416)))</f>
        <v>64306284.110547416</v>
      </c>
      <c r="B242">
        <v>170504857.63550892</v>
      </c>
    </row>
    <row r="243" spans="1:2" x14ac:dyDescent="0.25">
      <c r="A243">
        <f ca="1">26093.4530713309*((RANDBETWEEN(1620,2416)))</f>
        <v>59101671.206564486</v>
      </c>
      <c r="B243">
        <v>189622159.48415291</v>
      </c>
    </row>
    <row r="244" spans="1:2" x14ac:dyDescent="0.25">
      <c r="A244">
        <f ca="1">28985.6551535482*((RANDBETWEEN(1620,2416)))</f>
        <v>58087252.927710511</v>
      </c>
      <c r="B244">
        <v>173094499.0658848</v>
      </c>
    </row>
    <row r="245" spans="1:2" x14ac:dyDescent="0.25">
      <c r="A245">
        <f ca="1">29001.6983415327*((RANDBETWEEN(1620,2416)))</f>
        <v>63513719.367956646</v>
      </c>
      <c r="B245">
        <v>143506270.91062757</v>
      </c>
    </row>
    <row r="246" spans="1:2" x14ac:dyDescent="0.25">
      <c r="A246">
        <f ca="1">32715.9066929965*((RANDBETWEEN(1620,2416)))</f>
        <v>69357722.189152494</v>
      </c>
      <c r="B246">
        <v>168678937.11812678</v>
      </c>
    </row>
    <row r="247" spans="1:2" x14ac:dyDescent="0.25">
      <c r="A247">
        <f ca="1">26989.0717470847*((RANDBETWEEN(1620,2416)))</f>
        <v>61319171.009376377</v>
      </c>
      <c r="B247">
        <v>155032218.35981086</v>
      </c>
    </row>
    <row r="248" spans="1:2" x14ac:dyDescent="0.25">
      <c r="A248">
        <f ca="1">28056.002801873*((RANDBETWEEN(1620,2416)))</f>
        <v>65286318.519958504</v>
      </c>
      <c r="B248">
        <v>160945958.56967431</v>
      </c>
    </row>
    <row r="249" spans="1:2" x14ac:dyDescent="0.25">
      <c r="A249">
        <f ca="1">26908.3386916911*((RANDBETWEEN(1620,2416)))</f>
        <v>62265895.732573204</v>
      </c>
      <c r="B249">
        <v>151697976.76890737</v>
      </c>
    </row>
    <row r="250" spans="1:2" x14ac:dyDescent="0.25">
      <c r="A250">
        <f ca="1">25780.8533722347*((RANDBETWEEN(1620,2416)))</f>
        <v>52773406.852964357</v>
      </c>
      <c r="B250">
        <v>195213637.91101962</v>
      </c>
    </row>
    <row r="251" spans="1:2" x14ac:dyDescent="0.25">
      <c r="A251">
        <f ca="1">26388.7613220556*((RANDBETWEEN(1620,2416)))</f>
        <v>50270590.318515994</v>
      </c>
      <c r="B251">
        <v>168683472.26421696</v>
      </c>
    </row>
    <row r="252" spans="1:2" x14ac:dyDescent="0.25">
      <c r="A252">
        <f ca="1">27118.3684299304*((RANDBETWEEN(1620,2416)))</f>
        <v>54182500.123001009</v>
      </c>
      <c r="B252">
        <v>143436578.54355538</v>
      </c>
    </row>
    <row r="253" spans="1:2" x14ac:dyDescent="0.25">
      <c r="A253">
        <f ca="1">26992.3671454384*((RANDBETWEEN(1620,2416)))</f>
        <v>50691665.499133401</v>
      </c>
      <c r="B253">
        <v>190984298.18689719</v>
      </c>
    </row>
    <row r="254" spans="1:2" x14ac:dyDescent="0.25">
      <c r="A254">
        <f ca="1">26112.0245592909*((RANDBETWEEN(1620,2416)))</f>
        <v>56793653.41645769</v>
      </c>
      <c r="B254">
        <v>151574248.29435599</v>
      </c>
    </row>
    <row r="255" spans="1:2" x14ac:dyDescent="0.25">
      <c r="A255">
        <f ca="1">26623.5306172376*((RANDBETWEEN(1620,2416)))</f>
        <v>54897720.132743947</v>
      </c>
      <c r="B255">
        <v>167460244.56005847</v>
      </c>
    </row>
    <row r="256" spans="1:2" x14ac:dyDescent="0.25">
      <c r="A256">
        <f ca="1">26422.2766750092*((RANDBETWEEN(1620,2416)))</f>
        <v>44310157.983990505</v>
      </c>
      <c r="B256">
        <v>192562941.11613697</v>
      </c>
    </row>
    <row r="257" spans="1:2" x14ac:dyDescent="0.25">
      <c r="A257">
        <f ca="1">27957.2080364626*((RANDBETWEEN(1620,2416)))</f>
        <v>59688639.157847725</v>
      </c>
      <c r="B257">
        <v>175741917.66821033</v>
      </c>
    </row>
    <row r="258" spans="1:2" x14ac:dyDescent="0.25">
      <c r="A258">
        <f ca="1">26779.4783132739*((RANDBETWEEN(1620,2416)))</f>
        <v>63092450.906073228</v>
      </c>
      <c r="B258">
        <v>146211958.27951834</v>
      </c>
    </row>
    <row r="259" spans="1:2" x14ac:dyDescent="0.25">
      <c r="A259">
        <f ca="1">26168.664445076*((RANDBETWEEN(1620,2416)))</f>
        <v>59481374.283657789</v>
      </c>
      <c r="B259">
        <v>147363258.32890451</v>
      </c>
    </row>
    <row r="260" spans="1:2" x14ac:dyDescent="0.25">
      <c r="A260">
        <f ca="1">29995.5964278359*((RANDBETWEEN(1620,2416)))</f>
        <v>54202042.745099433</v>
      </c>
      <c r="B260">
        <v>146894209.23298648</v>
      </c>
    </row>
    <row r="261" spans="1:2" x14ac:dyDescent="0.25">
      <c r="A261">
        <f ca="1">32777.0826329872*((RANDBETWEEN(1620,2416)))</f>
        <v>68799096.446640208</v>
      </c>
      <c r="B261">
        <v>160030818.08544645</v>
      </c>
    </row>
    <row r="262" spans="1:2" x14ac:dyDescent="0.25">
      <c r="A262">
        <f ca="1">30193.7519336714*((RANDBETWEEN(1620,2416)))</f>
        <v>54469528.488343135</v>
      </c>
      <c r="B262">
        <v>180122699.116474</v>
      </c>
    </row>
    <row r="263" spans="1:2" x14ac:dyDescent="0.25">
      <c r="A263">
        <f ca="1">26555.2834166194*((RANDBETWEEN(1620,2416)))</f>
        <v>63095353.39788758</v>
      </c>
      <c r="B263">
        <v>159382009.00530034</v>
      </c>
    </row>
    <row r="264" spans="1:2" x14ac:dyDescent="0.25">
      <c r="A264">
        <f ca="1">28380.4611200401*((RANDBETWEEN(1620,2416)))</f>
        <v>59684109.735444255</v>
      </c>
      <c r="B264">
        <v>143389782.90873745</v>
      </c>
    </row>
    <row r="265" spans="1:2" x14ac:dyDescent="0.25">
      <c r="A265">
        <f ca="1">29975.4167159415*((RANDBETWEEN(1620,2416)))</f>
        <v>65706113.441343799</v>
      </c>
      <c r="B265">
        <v>164232105.43510216</v>
      </c>
    </row>
    <row r="266" spans="1:2" x14ac:dyDescent="0.25">
      <c r="A266">
        <f ca="1">27098.8442120523*((RANDBETWEEN(1620,2416)))</f>
        <v>61893760.180327408</v>
      </c>
      <c r="B266">
        <v>155722366.80726326</v>
      </c>
    </row>
    <row r="267" spans="1:2" x14ac:dyDescent="0.25">
      <c r="A267">
        <f ca="1">26377.08637069*((RANDBETWEEN(1620,2416)))</f>
        <v>46186278.23507826</v>
      </c>
      <c r="B267">
        <v>153239591.48804712</v>
      </c>
    </row>
    <row r="268" spans="1:2" x14ac:dyDescent="0.25">
      <c r="A268">
        <f ca="1">28463.5733617713*((RANDBETWEEN(1620,2416)))</f>
        <v>48103438.981393442</v>
      </c>
      <c r="B268">
        <v>161675486.15283352</v>
      </c>
    </row>
    <row r="269" spans="1:2" x14ac:dyDescent="0.25">
      <c r="A269">
        <f ca="1">29780.9297853873*((RANDBETWEEN(1620,2416)))</f>
        <v>53695016.403053381</v>
      </c>
      <c r="B269">
        <v>155131571.27911532</v>
      </c>
    </row>
    <row r="270" spans="1:2" x14ac:dyDescent="0.25">
      <c r="A270">
        <f ca="1">26947.2843373681*((RANDBETWEEN(1620,2416)))</f>
        <v>58825921.708474636</v>
      </c>
      <c r="B270">
        <v>143216101.25120756</v>
      </c>
    </row>
    <row r="271" spans="1:2" x14ac:dyDescent="0.25">
      <c r="A271">
        <f ca="1">28906.6863793542*((RANDBETWEEN(1620,2416)))</f>
        <v>64259563.821304455</v>
      </c>
      <c r="B271">
        <v>143093735.36566925</v>
      </c>
    </row>
    <row r="272" spans="1:2" x14ac:dyDescent="0.25">
      <c r="A272">
        <f ca="1">30226.7427378755*((RANDBETWEEN(1620,2416)))</f>
        <v>51415689.397126235</v>
      </c>
      <c r="B272">
        <v>153862161.15218529</v>
      </c>
    </row>
    <row r="273" spans="1:2" x14ac:dyDescent="0.25">
      <c r="A273">
        <f ca="1">25976.6468700488*((RANDBETWEEN(1620,2416)))</f>
        <v>54343145.252141997</v>
      </c>
      <c r="B273">
        <v>160732309.35313165</v>
      </c>
    </row>
    <row r="274" spans="1:2" x14ac:dyDescent="0.25">
      <c r="A274">
        <f ca="1">30508.3447900899*((RANDBETWEEN(1620,2416)))</f>
        <v>53877736.899298772</v>
      </c>
      <c r="B274">
        <v>183584795.07193869</v>
      </c>
    </row>
    <row r="275" spans="1:2" x14ac:dyDescent="0.25">
      <c r="A275">
        <f ca="1">26654.7650733362*((RANDBETWEEN(1620,2416)))</f>
        <v>57414363.967966177</v>
      </c>
      <c r="B275">
        <v>158303817.7053206</v>
      </c>
    </row>
    <row r="276" spans="1:2" x14ac:dyDescent="0.25">
      <c r="A276">
        <f ca="1">29767.8905833058*((RANDBETWEEN(1620,2416)))</f>
        <v>49504002.040037557</v>
      </c>
      <c r="B276">
        <v>167255426.5465357</v>
      </c>
    </row>
    <row r="277" spans="1:2" x14ac:dyDescent="0.25">
      <c r="A277">
        <f ca="1">27913.2435589425*((RANDBETWEEN(1620,2416)))</f>
        <v>56049793.066356584</v>
      </c>
      <c r="B277">
        <v>168508492.82115573</v>
      </c>
    </row>
    <row r="278" spans="1:2" x14ac:dyDescent="0.25">
      <c r="A278">
        <f ca="1">26453.6340284159*((RANDBETWEEN(1620,2416)))</f>
        <v>53833145.24782639</v>
      </c>
      <c r="B278">
        <v>164853526.20674455</v>
      </c>
    </row>
    <row r="279" spans="1:2" x14ac:dyDescent="0.25">
      <c r="A279">
        <f ca="1">27172.7343301154*((RANDBETWEEN(1620,2416)))</f>
        <v>56030178.188697986</v>
      </c>
      <c r="B279">
        <v>192915603.10807821</v>
      </c>
    </row>
    <row r="280" spans="1:2" x14ac:dyDescent="0.25">
      <c r="A280">
        <f ca="1">28096.65571713*((RANDBETWEEN(1620,2416)))</f>
        <v>60098746.578941137</v>
      </c>
      <c r="B280">
        <v>165430570.0958235</v>
      </c>
    </row>
    <row r="281" spans="1:2" x14ac:dyDescent="0.25">
      <c r="A281">
        <f ca="1">26957.8239601447*((RANDBETWEEN(1620,2416)))</f>
        <v>44642156.47799968</v>
      </c>
      <c r="B281">
        <v>159724545.03492606</v>
      </c>
    </row>
    <row r="282" spans="1:2" x14ac:dyDescent="0.25">
      <c r="A282">
        <f ca="1">29133.119913769*((RANDBETWEEN(1620,2416)))</f>
        <v>53867138.720558874</v>
      </c>
      <c r="B282">
        <v>185108656.59672472</v>
      </c>
    </row>
    <row r="283" spans="1:2" x14ac:dyDescent="0.25">
      <c r="A283">
        <f ca="1">26644.6792428728*((RANDBETWEEN(1620,2416)))</f>
        <v>44763061.128026411</v>
      </c>
      <c r="B283">
        <v>148932198.92327511</v>
      </c>
    </row>
    <row r="284" spans="1:2" x14ac:dyDescent="0.25">
      <c r="A284">
        <f ca="1">29979.9028666596*((RANDBETWEEN(1620,2416)))</f>
        <v>70572691.348116651</v>
      </c>
      <c r="B284">
        <v>173832885.6140275</v>
      </c>
    </row>
    <row r="285" spans="1:2" x14ac:dyDescent="0.25">
      <c r="A285">
        <f ca="1">27816.2926729895*((RANDBETWEEN(1620,2416)))</f>
        <v>53852342.6149076</v>
      </c>
      <c r="B285">
        <v>169252636.93925497</v>
      </c>
    </row>
    <row r="286" spans="1:2" x14ac:dyDescent="0.25">
      <c r="A286">
        <f ca="1">27231.5591449839*((RANDBETWEEN(1620,2416)))</f>
        <v>62632586.033463046</v>
      </c>
      <c r="B286">
        <v>148332634.51231164</v>
      </c>
    </row>
    <row r="287" spans="1:2" x14ac:dyDescent="0.25">
      <c r="A287">
        <f ca="1">32850.2634783754*((RANDBETWEEN(1620,2416)))</f>
        <v>66390382.489796661</v>
      </c>
      <c r="B287">
        <v>176355848.30591536</v>
      </c>
    </row>
    <row r="288" spans="1:2" x14ac:dyDescent="0.25">
      <c r="A288">
        <f ca="1">29099.0715975991*((RANDBETWEEN(1620,2416)))</f>
        <v>64076155.657913186</v>
      </c>
      <c r="B288">
        <v>161617372.52830857</v>
      </c>
    </row>
    <row r="289" spans="1:2" x14ac:dyDescent="0.25">
      <c r="A289">
        <f ca="1">26648.1877852262*((RANDBETWEEN(1620,2416)))</f>
        <v>63236149.614341713</v>
      </c>
      <c r="B289">
        <v>201837003.98037672</v>
      </c>
    </row>
    <row r="290" spans="1:2" x14ac:dyDescent="0.25">
      <c r="A290">
        <f ca="1">26512.5980355679*((RANDBETWEEN(1620,2416)))</f>
        <v>62410655.775726892</v>
      </c>
      <c r="B290">
        <v>154583573.59099516</v>
      </c>
    </row>
    <row r="291" spans="1:2" x14ac:dyDescent="0.25">
      <c r="A291">
        <f ca="1">25906.0372226593*((RANDBETWEEN(1620,2416)))</f>
        <v>51060799.36586149</v>
      </c>
      <c r="B291">
        <v>152685781.35977757</v>
      </c>
    </row>
    <row r="292" spans="1:2" x14ac:dyDescent="0.25">
      <c r="A292">
        <f ca="1">27090.699846442*((RANDBETWEEN(1620,2416)))</f>
        <v>64313321.435453393</v>
      </c>
      <c r="B292">
        <v>164617277.32928175</v>
      </c>
    </row>
    <row r="293" spans="1:2" x14ac:dyDescent="0.25">
      <c r="A293">
        <f ca="1">31835.7001006192*((RANDBETWEEN(1620,2416)))</f>
        <v>74622881.035851315</v>
      </c>
      <c r="B293">
        <v>164782688.68392652</v>
      </c>
    </row>
    <row r="294" spans="1:2" x14ac:dyDescent="0.25">
      <c r="A294">
        <f ca="1">27289.5578208855*((RANDBETWEEN(1620,2416)))</f>
        <v>65795123.906154931</v>
      </c>
      <c r="B294">
        <v>165416699.89554223</v>
      </c>
    </row>
    <row r="295" spans="1:2" x14ac:dyDescent="0.25">
      <c r="A295">
        <f ca="1">26691.2890416532*((RANDBETWEEN(1620,2416)))</f>
        <v>44787983.011894144</v>
      </c>
      <c r="B295">
        <v>150607785.48268533</v>
      </c>
    </row>
    <row r="296" spans="1:2" x14ac:dyDescent="0.25">
      <c r="A296">
        <f ca="1">27903.4144743552*((RANDBETWEEN(1620,2416)))</f>
        <v>48635651.428801112</v>
      </c>
      <c r="B296">
        <v>161058475.54722995</v>
      </c>
    </row>
    <row r="297" spans="1:2" x14ac:dyDescent="0.25">
      <c r="A297">
        <f ca="1">28053.4670140802*((RANDBETWEEN(1620,2416)))</f>
        <v>58631746.059427574</v>
      </c>
      <c r="B297">
        <v>186612896.56243595</v>
      </c>
    </row>
    <row r="298" spans="1:2" x14ac:dyDescent="0.25">
      <c r="A298">
        <f ca="1">25831.5764181131*((RANDBETWEEN(1620,2416)))</f>
        <v>54297973.630873702</v>
      </c>
      <c r="B298">
        <v>193991181.12525818</v>
      </c>
    </row>
    <row r="299" spans="1:2" x14ac:dyDescent="0.25">
      <c r="A299">
        <f ca="1">30360.016112785*((RANDBETWEEN(1620,2416)))</f>
        <v>63027393.450141639</v>
      </c>
      <c r="B299">
        <v>165755962.04133284</v>
      </c>
    </row>
    <row r="300" spans="1:2" x14ac:dyDescent="0.25">
      <c r="A300">
        <f ca="1">27447.1264260812*((RANDBETWEEN(1620,2416)))</f>
        <v>62552001.125039041</v>
      </c>
      <c r="B300">
        <v>184895290.95552403</v>
      </c>
    </row>
    <row r="301" spans="1:2" x14ac:dyDescent="0.25">
      <c r="A301">
        <f ca="1">33856.4830136964*((RANDBETWEEN(1620,2416)))</f>
        <v>71098614.328762367</v>
      </c>
      <c r="B301">
        <v>188595028.21379793</v>
      </c>
    </row>
    <row r="302" spans="1:2" x14ac:dyDescent="0.25">
      <c r="A302">
        <f ca="1">29046.8592984255*((RANDBETWEEN(1620,2416)))</f>
        <v>52632909.048747055</v>
      </c>
      <c r="B302">
        <v>144963645.78254575</v>
      </c>
    </row>
    <row r="303" spans="1:2" x14ac:dyDescent="0.25">
      <c r="A303">
        <f ca="1">26524.7091402824*((RANDBETWEEN(1620,2416)))</f>
        <v>62677887.698487267</v>
      </c>
      <c r="B303">
        <v>164865074.78551322</v>
      </c>
    </row>
    <row r="304" spans="1:2" x14ac:dyDescent="0.25">
      <c r="A304">
        <f ca="1">32318.906293336*((RANDBETWEEN(1620,2416)))</f>
        <v>56945912.888858065</v>
      </c>
      <c r="B304">
        <v>197095611.80396199</v>
      </c>
    </row>
    <row r="305" spans="1:2" x14ac:dyDescent="0.25">
      <c r="A305">
        <f ca="1">27164.7460383329*((RANDBETWEEN(1620,2416)))</f>
        <v>61935620.967399009</v>
      </c>
      <c r="B305">
        <v>181597935.04886365</v>
      </c>
    </row>
    <row r="306" spans="1:2" x14ac:dyDescent="0.25">
      <c r="A306">
        <f ca="1">27262.2457003664*((RANDBETWEEN(1620,2416)))</f>
        <v>57032618.005166419</v>
      </c>
      <c r="B306">
        <v>144592345.94438362</v>
      </c>
    </row>
    <row r="307" spans="1:2" x14ac:dyDescent="0.25">
      <c r="A307">
        <f ca="1">26137.1455616512*((RANDBETWEEN(1620,2416)))</f>
        <v>58939263.241523363</v>
      </c>
      <c r="B307">
        <v>154063430.62299135</v>
      </c>
    </row>
    <row r="308" spans="1:2" x14ac:dyDescent="0.25">
      <c r="A308">
        <f ca="1">26022.5257360576*((RANDBETWEEN(1620,2416)))</f>
        <v>44420451.431450263</v>
      </c>
      <c r="B308">
        <v>150381637.65583861</v>
      </c>
    </row>
    <row r="309" spans="1:2" x14ac:dyDescent="0.25">
      <c r="A309">
        <f ca="1">30304.0320104648*((RANDBETWEEN(1620,2416)))</f>
        <v>68759848.631744549</v>
      </c>
      <c r="B309">
        <v>160215719.32135546</v>
      </c>
    </row>
    <row r="310" spans="1:2" x14ac:dyDescent="0.25">
      <c r="A310">
        <f ca="1">26103.573719562*((RANDBETWEEN(1620,2416)))</f>
        <v>48787579.281861387</v>
      </c>
      <c r="B310">
        <v>161397954.51378539</v>
      </c>
    </row>
    <row r="311" spans="1:2" x14ac:dyDescent="0.25">
      <c r="A311">
        <f ca="1">27812.2141898034*((RANDBETWEEN(1620,2416)))</f>
        <v>60880936.861479618</v>
      </c>
      <c r="B311">
        <v>165785480.89731401</v>
      </c>
    </row>
    <row r="312" spans="1:2" x14ac:dyDescent="0.25">
      <c r="A312">
        <f ca="1">27027.2946098671*((RANDBETWEEN(1620,2416)))</f>
        <v>57405973.751357786</v>
      </c>
      <c r="B312">
        <v>157127125.94657561</v>
      </c>
    </row>
    <row r="313" spans="1:2" x14ac:dyDescent="0.25">
      <c r="A313">
        <f ca="1">28952.3588273273*((RANDBETWEEN(1620,2416)))</f>
        <v>53011769.012836203</v>
      </c>
      <c r="B313">
        <v>149518732.25614136</v>
      </c>
    </row>
    <row r="314" spans="1:2" x14ac:dyDescent="0.25">
      <c r="A314">
        <f ca="1">27691.3408106346*((RANDBETWEEN(1620,2416)))</f>
        <v>47296810.104563937</v>
      </c>
      <c r="B314">
        <v>176703848.44022495</v>
      </c>
    </row>
    <row r="315" spans="1:2" x14ac:dyDescent="0.25">
      <c r="A315">
        <f ca="1">29986.4448005637*((RANDBETWEEN(1620,2416)))</f>
        <v>61712103.399560057</v>
      </c>
      <c r="B315">
        <v>203289196.35742095</v>
      </c>
    </row>
    <row r="316" spans="1:2" x14ac:dyDescent="0.25">
      <c r="A316">
        <f ca="1">27212.3207426115*((RANDBETWEEN(1620,2416)))</f>
        <v>53825970.428885587</v>
      </c>
      <c r="B316">
        <v>168017988.43504849</v>
      </c>
    </row>
    <row r="317" spans="1:2" x14ac:dyDescent="0.25">
      <c r="A317">
        <f ca="1">28017.5283317572*((RANDBETWEEN(1620,2416)))</f>
        <v>54410040.020272575</v>
      </c>
      <c r="B317">
        <v>159263043.46026638</v>
      </c>
    </row>
    <row r="318" spans="1:2" x14ac:dyDescent="0.25">
      <c r="A318">
        <f ca="1">26832.4122286863*((RANDBETWEEN(1620,2416)))</f>
        <v>60453424.751230218</v>
      </c>
      <c r="B318">
        <v>151401002.69473618</v>
      </c>
    </row>
    <row r="319" spans="1:2" x14ac:dyDescent="0.25">
      <c r="A319">
        <f ca="1">26308.3564873722*((RANDBETWEEN(1620,2416)))</f>
        <v>54879231.632658347</v>
      </c>
      <c r="B319">
        <v>181144864.5902054</v>
      </c>
    </row>
    <row r="320" spans="1:2" x14ac:dyDescent="0.25">
      <c r="A320">
        <f ca="1">25204.8338971175*((RANDBETWEEN(1620,2416)))</f>
        <v>60214348.180213742</v>
      </c>
      <c r="B320">
        <v>186629748.72570974</v>
      </c>
    </row>
    <row r="321" spans="1:2" x14ac:dyDescent="0.25">
      <c r="A321">
        <f ca="1">33354.761500399*((RANDBETWEEN(1620,2416)))</f>
        <v>65308623.017781183</v>
      </c>
      <c r="B321">
        <v>153524212.10838673</v>
      </c>
    </row>
    <row r="322" spans="1:2" x14ac:dyDescent="0.25">
      <c r="A322">
        <f ca="1">27674.5594952858*((RANDBETWEEN(1620,2416)))</f>
        <v>47627916.891386777</v>
      </c>
      <c r="B322">
        <v>154727903.09765318</v>
      </c>
    </row>
    <row r="323" spans="1:2" x14ac:dyDescent="0.25">
      <c r="A323">
        <f ca="1">33087.032934818*((RANDBETWEEN(1620,2416)))</f>
        <v>76133262.783016205</v>
      </c>
      <c r="B323">
        <v>155705994.02201787</v>
      </c>
    </row>
    <row r="324" spans="1:2" x14ac:dyDescent="0.25">
      <c r="A324">
        <f ca="1">27091.9990858535*((RANDBETWEEN(1620,2416)))</f>
        <v>46462778.432238705</v>
      </c>
      <c r="B324">
        <v>165456674.74379554</v>
      </c>
    </row>
    <row r="325" spans="1:2" x14ac:dyDescent="0.25">
      <c r="A325">
        <f ca="1">26264.3805930062*((RANDBETWEEN(1620,2416)))</f>
        <v>45594964.709458783</v>
      </c>
      <c r="B325">
        <v>187717379.14391214</v>
      </c>
    </row>
    <row r="326" spans="1:2" x14ac:dyDescent="0.25">
      <c r="A326">
        <f ca="1">30929.7269398951*((RANDBETWEEN(1620,2416)))</f>
        <v>68756782.987386882</v>
      </c>
      <c r="B326">
        <v>149670937.94785118</v>
      </c>
    </row>
    <row r="327" spans="1:2" x14ac:dyDescent="0.25">
      <c r="A327">
        <f ca="1">30458.9514400545*((RANDBETWEEN(1620,2416)))</f>
        <v>52693985.991294369</v>
      </c>
      <c r="B327">
        <v>195773916.1059013</v>
      </c>
    </row>
    <row r="328" spans="1:2" x14ac:dyDescent="0.25">
      <c r="A328">
        <f ca="1">28548.1793991658*((RANDBETWEEN(1620,2416)))</f>
        <v>51757849.250687651</v>
      </c>
      <c r="B328">
        <v>169670880.49608237</v>
      </c>
    </row>
    <row r="329" spans="1:2" x14ac:dyDescent="0.25">
      <c r="A329">
        <f ca="1">25807.5422364221*((RANDBETWEEN(1620,2416)))</f>
        <v>43976051.97086332</v>
      </c>
      <c r="B329">
        <v>156069790.22002971</v>
      </c>
    </row>
    <row r="330" spans="1:2" x14ac:dyDescent="0.25">
      <c r="A330">
        <f ca="1">26763.5435941259*((RANDBETWEEN(1620,2416)))</f>
        <v>50690151.567274429</v>
      </c>
      <c r="B330">
        <v>190318106.90184331</v>
      </c>
    </row>
    <row r="331" spans="1:2" x14ac:dyDescent="0.25">
      <c r="A331">
        <f ca="1">27575.7642679494*((RANDBETWEEN(1620,2416)))</f>
        <v>48643648.16866266</v>
      </c>
      <c r="B331">
        <v>154633244.03532767</v>
      </c>
    </row>
    <row r="332" spans="1:2" x14ac:dyDescent="0.25">
      <c r="A332">
        <f ca="1">26986.0709037786*((RANDBETWEEN(1620,2416)))</f>
        <v>48251094.775956154</v>
      </c>
      <c r="B332">
        <v>145501884.70243621</v>
      </c>
    </row>
    <row r="333" spans="1:2" x14ac:dyDescent="0.25">
      <c r="A333">
        <f ca="1">27465.7777503167*((RANDBETWEEN(1620,2416)))</f>
        <v>56661899.498903334</v>
      </c>
      <c r="B333">
        <v>156047797.12019616</v>
      </c>
    </row>
    <row r="334" spans="1:2" x14ac:dyDescent="0.25">
      <c r="A334">
        <f ca="1">31706.1608888655*((RANDBETWEEN(1620,2416)))</f>
        <v>60083174.88440007</v>
      </c>
      <c r="B334">
        <v>189043066.74573758</v>
      </c>
    </row>
    <row r="335" spans="1:2" x14ac:dyDescent="0.25">
      <c r="A335">
        <f ca="1">28866.5467378547*((RANDBETWEEN(1620,2416)))</f>
        <v>60879547.070135541</v>
      </c>
      <c r="B335">
        <v>182574957.87004805</v>
      </c>
    </row>
    <row r="336" spans="1:2" x14ac:dyDescent="0.25">
      <c r="A336">
        <f ca="1">27831.4948393987*((RANDBETWEEN(1620,2416)))</f>
        <v>57054564.42076727</v>
      </c>
      <c r="B336">
        <v>158324342.26546517</v>
      </c>
    </row>
    <row r="337" spans="1:2" x14ac:dyDescent="0.25">
      <c r="A337">
        <f ca="1">26607.2366751986*((RANDBETWEEN(1620,2416)))</f>
        <v>47174630.625127181</v>
      </c>
      <c r="B337">
        <v>186192303.81443304</v>
      </c>
    </row>
    <row r="338" spans="1:2" x14ac:dyDescent="0.25">
      <c r="A338">
        <f ca="1">28553.2850496039*((RANDBETWEEN(1620,2416)))</f>
        <v>65786768.75428737</v>
      </c>
      <c r="B338">
        <v>172103410.83593249</v>
      </c>
    </row>
    <row r="339" spans="1:2" x14ac:dyDescent="0.25">
      <c r="A339">
        <f ca="1">27688.3920442817*((RANDBETWEEN(1620,2416)))</f>
        <v>53992364.486349292</v>
      </c>
      <c r="B339">
        <v>197160705.45423141</v>
      </c>
    </row>
    <row r="340" spans="1:2" x14ac:dyDescent="0.25">
      <c r="A340">
        <f ca="1">29353.625378268*((RANDBETWEEN(1620,2416)))</f>
        <v>62024210.42428036</v>
      </c>
      <c r="B340">
        <v>183937335.15269518</v>
      </c>
    </row>
    <row r="341" spans="1:2" x14ac:dyDescent="0.25">
      <c r="A341">
        <f ca="1">26669.2460086898*((RANDBETWEEN(1620,2416)))</f>
        <v>58218964.036969788</v>
      </c>
      <c r="B341">
        <v>151798545.9443213</v>
      </c>
    </row>
    <row r="342" spans="1:2" x14ac:dyDescent="0.25">
      <c r="A342">
        <f ca="1">26659.23954844*((RANDBETWEEN(1620,2416)))</f>
        <v>60116585.181732237</v>
      </c>
      <c r="B342">
        <v>151253901.15861437</v>
      </c>
    </row>
    <row r="343" spans="1:2" x14ac:dyDescent="0.25">
      <c r="A343">
        <f ca="1">26914.9831238258*((RANDBETWEEN(1620,2416)))</f>
        <v>61285416.572951242</v>
      </c>
      <c r="B343">
        <v>177708531.54835269</v>
      </c>
    </row>
    <row r="344" spans="1:2" x14ac:dyDescent="0.25">
      <c r="A344">
        <f ca="1">25781.7337287887*((RANDBETWEEN(1620,2416)))</f>
        <v>53626006.155880466</v>
      </c>
      <c r="B344">
        <v>144385378.29121894</v>
      </c>
    </row>
    <row r="345" spans="1:2" x14ac:dyDescent="0.25">
      <c r="A345">
        <f ca="1">26140.2287045174*((RANDBETWEEN(1620,2416)))</f>
        <v>53665889.530374147</v>
      </c>
      <c r="B345">
        <v>164530696.73496741</v>
      </c>
    </row>
    <row r="346" spans="1:2" x14ac:dyDescent="0.25">
      <c r="A346">
        <f ca="1">27232.0602118768*((RANDBETWEEN(1620,2416)))</f>
        <v>64322126.220453039</v>
      </c>
      <c r="B346">
        <v>167150130.5073258</v>
      </c>
    </row>
    <row r="347" spans="1:2" x14ac:dyDescent="0.25">
      <c r="A347">
        <f ca="1">26490.0343888023*((RANDBETWEEN(1620,2416)))</f>
        <v>49059543.688061789</v>
      </c>
      <c r="B347">
        <v>160353439.27207923</v>
      </c>
    </row>
    <row r="348" spans="1:2" x14ac:dyDescent="0.25">
      <c r="A348">
        <f ca="1">25857.4507461294*((RANDBETWEEN(1620,2416)))</f>
        <v>46879558.202732556</v>
      </c>
      <c r="B348">
        <v>167085845.68147948</v>
      </c>
    </row>
    <row r="349" spans="1:2" x14ac:dyDescent="0.25">
      <c r="A349">
        <f ca="1">27088.0847600414*((RANDBETWEEN(1620,2416)))</f>
        <v>64361289.389858395</v>
      </c>
      <c r="B349">
        <v>152114108.18166244</v>
      </c>
    </row>
    <row r="350" spans="1:2" x14ac:dyDescent="0.25">
      <c r="A350">
        <f ca="1">28673.5482675518*((RANDBETWEEN(1620,2416)))</f>
        <v>50293403.661285862</v>
      </c>
      <c r="B350">
        <v>185337484.67721504</v>
      </c>
    </row>
    <row r="351" spans="1:2" x14ac:dyDescent="0.25">
      <c r="A351">
        <f ca="1">28723.8039929215*((RANDBETWEEN(1620,2416)))</f>
        <v>60262540.77714932</v>
      </c>
      <c r="B351">
        <v>168704422.29567191</v>
      </c>
    </row>
    <row r="352" spans="1:2" x14ac:dyDescent="0.25">
      <c r="A352">
        <f ca="1">32032.1537820779*((RANDBETWEEN(1620,2416)))</f>
        <v>61213445.877550796</v>
      </c>
      <c r="B352">
        <v>170741906.37967512</v>
      </c>
    </row>
    <row r="353" spans="1:2" x14ac:dyDescent="0.25">
      <c r="A353">
        <f ca="1">27916.1882178205*((RANDBETWEEN(1620,2416)))</f>
        <v>46843363.829502754</v>
      </c>
      <c r="B353">
        <v>142917708.80617768</v>
      </c>
    </row>
    <row r="354" spans="1:2" x14ac:dyDescent="0.25">
      <c r="A354">
        <f ca="1">27691.7777723557*((RANDBETWEEN(1620,2416)))</f>
        <v>45663741.54661449</v>
      </c>
      <c r="B354">
        <v>178171405.48029536</v>
      </c>
    </row>
    <row r="355" spans="1:2" x14ac:dyDescent="0.25">
      <c r="A355">
        <f ca="1">27785.126427515*((RANDBETWEEN(1620,2416)))</f>
        <v>57848633.222086154</v>
      </c>
      <c r="B355">
        <v>157919882.35289925</v>
      </c>
    </row>
    <row r="356" spans="1:2" x14ac:dyDescent="0.25">
      <c r="A356">
        <f ca="1">29249.4919216749*((RANDBETWEEN(1620,2416)))</f>
        <v>67741823.290598989</v>
      </c>
      <c r="B356">
        <v>171363043.42573288</v>
      </c>
    </row>
    <row r="357" spans="1:2" x14ac:dyDescent="0.25">
      <c r="A357">
        <f ca="1">32070.4395421326*((RANDBETWEEN(1620,2416)))</f>
        <v>61318680.404557571</v>
      </c>
      <c r="B357">
        <v>170400916.41691509</v>
      </c>
    </row>
    <row r="358" spans="1:2" x14ac:dyDescent="0.25">
      <c r="A358">
        <f ca="1">25934.1488719258*((RANDBETWEEN(1620,2416)))</f>
        <v>58170295.919729494</v>
      </c>
      <c r="B358">
        <v>155566033.22685805</v>
      </c>
    </row>
    <row r="359" spans="1:2" x14ac:dyDescent="0.25">
      <c r="A359">
        <f ca="1">28360.7053442194*((RANDBETWEEN(1620,2416)))</f>
        <v>47163852.987436883</v>
      </c>
      <c r="B359">
        <v>154882362.01717195</v>
      </c>
    </row>
    <row r="360" spans="1:2" x14ac:dyDescent="0.25">
      <c r="A360">
        <f ca="1">31799.5323922147*((RANDBETWEEN(1620,2416)))</f>
        <v>67923801.189770699</v>
      </c>
      <c r="B360">
        <v>169164522.996948</v>
      </c>
    </row>
    <row r="361" spans="1:2" x14ac:dyDescent="0.25">
      <c r="A361">
        <f ca="1">28665.3294080222*((RANDBETWEEN(1620,2416)))</f>
        <v>54034145.934121914</v>
      </c>
      <c r="B361">
        <v>153581062.04545051</v>
      </c>
    </row>
    <row r="362" spans="1:2" x14ac:dyDescent="0.25">
      <c r="A362">
        <f ca="1">26764.8493821049*((RANDBETWEEN(1620,2416)))</f>
        <v>50344681.687739402</v>
      </c>
      <c r="B362">
        <v>194853348.63045466</v>
      </c>
    </row>
    <row r="363" spans="1:2" x14ac:dyDescent="0.25">
      <c r="A363">
        <f ca="1">28822.5342856949*((RANDBETWEEN(1620,2416)))</f>
        <v>64331896.525670975</v>
      </c>
      <c r="B363">
        <v>195749984.20538116</v>
      </c>
    </row>
    <row r="364" spans="1:2" x14ac:dyDescent="0.25">
      <c r="A364">
        <f ca="1">27240.01144976*((RANDBETWEEN(1620,2416)))</f>
        <v>61208305.727610804</v>
      </c>
      <c r="B364">
        <v>159900305.60632074</v>
      </c>
    </row>
    <row r="365" spans="1:2" x14ac:dyDescent="0.25">
      <c r="A365">
        <f ca="1">28051.2169046833*((RANDBETWEEN(1620,2416)))</f>
        <v>60618679.731020696</v>
      </c>
      <c r="B365">
        <v>150024407.91649634</v>
      </c>
    </row>
    <row r="366" spans="1:2" x14ac:dyDescent="0.25">
      <c r="A366">
        <f ca="1">29748.1709611842*((RANDBETWEEN(1620,2416)))</f>
        <v>68480289.552645996</v>
      </c>
      <c r="B366">
        <v>168641524.81429929</v>
      </c>
    </row>
    <row r="367" spans="1:2" x14ac:dyDescent="0.25">
      <c r="A367">
        <f ca="1">25930.1997187255*((RANDBETWEEN(1620,2416)))</f>
        <v>58446670.16600734</v>
      </c>
      <c r="B367">
        <v>156865737.01932856</v>
      </c>
    </row>
    <row r="368" spans="1:2" x14ac:dyDescent="0.25">
      <c r="A368">
        <f ca="1">30507.8510496103*((RANDBETWEEN(1620,2416)))</f>
        <v>67391842.968589172</v>
      </c>
      <c r="B368">
        <v>184038284.40696439</v>
      </c>
    </row>
    <row r="369" spans="1:2" x14ac:dyDescent="0.25">
      <c r="A369">
        <f ca="1">26318.2326746386*((RANDBETWEEN(1620,2416)))</f>
        <v>59768706.404104322</v>
      </c>
      <c r="B369">
        <v>167846646.7764582</v>
      </c>
    </row>
    <row r="370" spans="1:2" x14ac:dyDescent="0.25">
      <c r="A370">
        <f ca="1">27349.4258774316*((RANDBETWEEN(1620,2416)))</f>
        <v>65392477.272938929</v>
      </c>
      <c r="B370">
        <v>150459655.62677008</v>
      </c>
    </row>
    <row r="371" spans="1:2" x14ac:dyDescent="0.25">
      <c r="A371">
        <f ca="1">26377.008829662*((RANDBETWEEN(1620,2416)))</f>
        <v>49061236.423171245</v>
      </c>
      <c r="B371">
        <v>167810202.92187977</v>
      </c>
    </row>
    <row r="372" spans="1:2" x14ac:dyDescent="0.25">
      <c r="A372">
        <f ca="1">32659.8640869627*((RANDBETWEEN(1620,2416)))</f>
        <v>76685360.876188442</v>
      </c>
      <c r="B372">
        <v>186737544.78349596</v>
      </c>
    </row>
    <row r="373" spans="1:2" x14ac:dyDescent="0.25">
      <c r="A373">
        <f ca="1">29583.5339502218*((RANDBETWEEN(1620,2416)))</f>
        <v>62184588.363366187</v>
      </c>
      <c r="B373">
        <v>183104801.42188978</v>
      </c>
    </row>
    <row r="374" spans="1:2" x14ac:dyDescent="0.25">
      <c r="A374">
        <f ca="1">27365.8423176014*((RANDBETWEEN(1620,2416)))</f>
        <v>63680315.073058426</v>
      </c>
      <c r="B374">
        <v>152920978.72843403</v>
      </c>
    </row>
    <row r="375" spans="1:2" x14ac:dyDescent="0.25">
      <c r="A375">
        <f ca="1">28036.6030036158*((RANDBETWEEN(1620,2416)))</f>
        <v>63699162.024215154</v>
      </c>
      <c r="B375">
        <v>152506445.69440007</v>
      </c>
    </row>
    <row r="376" spans="1:2" x14ac:dyDescent="0.25">
      <c r="A376">
        <f ca="1">27376.6748350285*((RANDBETWEEN(1620,2416)))</f>
        <v>54506959.596541822</v>
      </c>
      <c r="B376">
        <v>149636871.50904462</v>
      </c>
    </row>
    <row r="377" spans="1:2" x14ac:dyDescent="0.25">
      <c r="A377">
        <f ca="1">28004.1083075045*((RANDBETWEEN(1620,2416)))</f>
        <v>58612598.687606819</v>
      </c>
      <c r="B377">
        <v>175981255.14843017</v>
      </c>
    </row>
    <row r="378" spans="1:2" x14ac:dyDescent="0.25">
      <c r="A378">
        <f ca="1">26725.9416127322*((RANDBETWEEN(1620,2416)))</f>
        <v>54734728.422875576</v>
      </c>
      <c r="B378">
        <v>152288875.40899509</v>
      </c>
    </row>
    <row r="379" spans="1:2" x14ac:dyDescent="0.25">
      <c r="A379">
        <f ca="1">24757.1955902611*((RANDBETWEEN(1620,2416)))</f>
        <v>54490587.494164772</v>
      </c>
      <c r="B379">
        <v>149637830.77270848</v>
      </c>
    </row>
    <row r="380" spans="1:2" x14ac:dyDescent="0.25">
      <c r="A380">
        <f ca="1">27082.7377067363*((RANDBETWEEN(1620,2416)))</f>
        <v>44578186.265287898</v>
      </c>
      <c r="B380">
        <v>144383678.54691076</v>
      </c>
    </row>
    <row r="381" spans="1:2" x14ac:dyDescent="0.25">
      <c r="A381">
        <f ca="1">31225.1949392984*((RANDBETWEEN(1620,2416)))</f>
        <v>73597784.471926227</v>
      </c>
      <c r="B381">
        <v>172202525.09954429</v>
      </c>
    </row>
    <row r="382" spans="1:2" x14ac:dyDescent="0.25">
      <c r="A382">
        <f ca="1">27089.1424817381*((RANDBETWEEN(1620,2416)))</f>
        <v>50114913.591215417</v>
      </c>
      <c r="B382">
        <v>167280594.52717006</v>
      </c>
    </row>
    <row r="383" spans="1:2" x14ac:dyDescent="0.25">
      <c r="A383">
        <f ca="1">26946.8592094903*((RANDBETWEEN(1620,2416)))</f>
        <v>56534510.62151055</v>
      </c>
      <c r="B383">
        <v>149557880.4221215</v>
      </c>
    </row>
    <row r="384" spans="1:2" x14ac:dyDescent="0.25">
      <c r="A384">
        <f ca="1">27153.4760559052*((RANDBETWEEN(1620,2416)))</f>
        <v>54469872.968145765</v>
      </c>
      <c r="B384">
        <v>151893399.08825165</v>
      </c>
    </row>
    <row r="385" spans="1:2" x14ac:dyDescent="0.25">
      <c r="A385">
        <f ca="1">28177.7736838937*((RANDBETWEEN(1620,2416)))</f>
        <v>51029948.141531467</v>
      </c>
      <c r="B385">
        <v>147718474.83273634</v>
      </c>
    </row>
    <row r="386" spans="1:2" x14ac:dyDescent="0.25">
      <c r="A386">
        <f ca="1">26480.1710924088*((RANDBETWEEN(1620,2416)))</f>
        <v>57991574.692375235</v>
      </c>
      <c r="B386">
        <v>190413925.77509227</v>
      </c>
    </row>
    <row r="387" spans="1:2" x14ac:dyDescent="0.25">
      <c r="A387">
        <f ca="1">28082.2203699164*((RANDBETWEEN(1620,2416)))</f>
        <v>55602796.332434565</v>
      </c>
      <c r="B387">
        <v>156814243.34158057</v>
      </c>
    </row>
    <row r="388" spans="1:2" x14ac:dyDescent="0.25">
      <c r="A388">
        <f ca="1">26738.2116926316*((RANDBETWEEN(1620,2416)))</f>
        <v>48743759.915667444</v>
      </c>
      <c r="B388">
        <v>149002107.93504089</v>
      </c>
    </row>
    <row r="389" spans="1:2" x14ac:dyDescent="0.25">
      <c r="A389">
        <f ca="1">25518.7946128433*((RANDBETWEEN(1620,2416)))</f>
        <v>50297544.181914203</v>
      </c>
      <c r="B389">
        <v>198595787.88783598</v>
      </c>
    </row>
    <row r="390" spans="1:2" x14ac:dyDescent="0.25">
      <c r="A390">
        <f ca="1">27818.6061025301*((RANDBETWEEN(1620,2416)))</f>
        <v>57083779.722391814</v>
      </c>
      <c r="B390">
        <v>162110889.42460772</v>
      </c>
    </row>
    <row r="391" spans="1:2" x14ac:dyDescent="0.25">
      <c r="A391">
        <f ca="1">28679.8949035908*((RANDBETWEEN(1620,2416)))</f>
        <v>55180117.794508681</v>
      </c>
      <c r="B391">
        <v>173958078.7813229</v>
      </c>
    </row>
    <row r="392" spans="1:2" x14ac:dyDescent="0.25">
      <c r="A392">
        <f ca="1">29342.0526184007*((RANDBETWEEN(1620,2416)))</f>
        <v>49059911.977965958</v>
      </c>
      <c r="B392">
        <v>178887953.76896605</v>
      </c>
    </row>
    <row r="393" spans="1:2" x14ac:dyDescent="0.25">
      <c r="A393">
        <f ca="1">28484.8253198172*((RANDBETWEEN(1620,2416)))</f>
        <v>62467221.926359184</v>
      </c>
      <c r="B393">
        <v>166880172.91238639</v>
      </c>
    </row>
    <row r="394" spans="1:2" x14ac:dyDescent="0.25">
      <c r="A394">
        <f ca="1">28245.4882855373*((RANDBETWEEN(1620,2416)))</f>
        <v>64851641.103593662</v>
      </c>
      <c r="B394">
        <v>156937440.51693219</v>
      </c>
    </row>
    <row r="395" spans="1:2" x14ac:dyDescent="0.25">
      <c r="A395">
        <f ca="1">30268.4234914271*((RANDBETWEEN(1620,2416)))</f>
        <v>70585963.582007959</v>
      </c>
      <c r="B395">
        <v>174984728.71219474</v>
      </c>
    </row>
    <row r="396" spans="1:2" x14ac:dyDescent="0.25">
      <c r="A396">
        <f ca="1">23378.9434571888*((RANDBETWEEN(1620,2416)))</f>
        <v>51316780.888529442</v>
      </c>
      <c r="B396">
        <v>145335993.50870228</v>
      </c>
    </row>
    <row r="397" spans="1:2" x14ac:dyDescent="0.25">
      <c r="A397">
        <f ca="1">27323.4601538376*((RANDBETWEEN(1620,2416)))</f>
        <v>52051191.593060583</v>
      </c>
      <c r="B397">
        <v>153938123.44494092</v>
      </c>
    </row>
    <row r="398" spans="1:2" x14ac:dyDescent="0.25">
      <c r="A398">
        <f ca="1">28681.0521019535*((RANDBETWEEN(1620,2416)))</f>
        <v>67773326.11691609</v>
      </c>
      <c r="B398">
        <v>182160484.82016268</v>
      </c>
    </row>
    <row r="399" spans="1:2" x14ac:dyDescent="0.25">
      <c r="A399">
        <f ca="1">25615.4122466772*((RANDBETWEEN(1620,2416)))</f>
        <v>45851587.921552241</v>
      </c>
      <c r="B399">
        <v>147074363.49043784</v>
      </c>
    </row>
    <row r="400" spans="1:2" x14ac:dyDescent="0.25">
      <c r="A400">
        <f ca="1">26416.4990867053*((RANDBETWEEN(1620,2416)))</f>
        <v>56319976.052855782</v>
      </c>
      <c r="B400">
        <v>172087321.16825294</v>
      </c>
    </row>
    <row r="401" spans="1:2" x14ac:dyDescent="0.25">
      <c r="A401">
        <f ca="1">28795.7690784171*((RANDBETWEEN(1620,2416)))</f>
        <v>68188381.177691594</v>
      </c>
      <c r="B401">
        <v>178995967.22860903</v>
      </c>
    </row>
    <row r="402" spans="1:2" x14ac:dyDescent="0.25">
      <c r="A402">
        <f ca="1">25360.5111140052*((RANDBETWEEN(1620,2416)))</f>
        <v>51101429.89472039</v>
      </c>
      <c r="B402">
        <v>151840667.29964155</v>
      </c>
    </row>
    <row r="403" spans="1:2" x14ac:dyDescent="0.25">
      <c r="A403">
        <f ca="1">27629.1523896682*((RANDBETWEEN(1620,2416)))</f>
        <v>54014992.921801314</v>
      </c>
      <c r="B403">
        <v>155970254.36969811</v>
      </c>
    </row>
    <row r="404" spans="1:2" x14ac:dyDescent="0.25">
      <c r="A404">
        <f ca="1">28154.3488571157*((RANDBETWEEN(1620,2416)))</f>
        <v>67401511.163934886</v>
      </c>
      <c r="B404">
        <v>200885606.58471304</v>
      </c>
    </row>
    <row r="405" spans="1:2" x14ac:dyDescent="0.25">
      <c r="A405">
        <f ca="1">28768.0518989638*((RANDBETWEEN(1620,2416)))</f>
        <v>62829425.347336963</v>
      </c>
      <c r="B405">
        <v>164625970.98090947</v>
      </c>
    </row>
    <row r="406" spans="1:2" x14ac:dyDescent="0.25">
      <c r="A406">
        <f ca="1">26917.6183173475*((RANDBETWEEN(1620,2416)))</f>
        <v>52112509.062384829</v>
      </c>
      <c r="B406">
        <v>146864792.79374605</v>
      </c>
    </row>
    <row r="407" spans="1:2" x14ac:dyDescent="0.25">
      <c r="A407">
        <f ca="1">29961.9186455509*((RANDBETWEEN(1620,2416)))</f>
        <v>72178262.017132089</v>
      </c>
      <c r="B407">
        <v>197673047.87036178</v>
      </c>
    </row>
    <row r="408" spans="1:2" x14ac:dyDescent="0.25">
      <c r="A408">
        <f ca="1">27245.4228344326*((RANDBETWEEN(1620,2416)))</f>
        <v>46126500.858694427</v>
      </c>
      <c r="B408">
        <v>152130557.75240833</v>
      </c>
    </row>
    <row r="409" spans="1:2" x14ac:dyDescent="0.25">
      <c r="A409">
        <f ca="1">31178.1077095609*((RANDBETWEEN(1620,2416)))</f>
        <v>74141540.133335754</v>
      </c>
      <c r="B409">
        <v>188066660.68034214</v>
      </c>
    </row>
    <row r="410" spans="1:2" x14ac:dyDescent="0.25">
      <c r="A410">
        <f ca="1">28588.9584943453*((RANDBETWEEN(1620,2416)))</f>
        <v>57892640.951049149</v>
      </c>
      <c r="B410">
        <v>145380755.46240154</v>
      </c>
    </row>
    <row r="411" spans="1:2" x14ac:dyDescent="0.25">
      <c r="A411">
        <f ca="1">25632.0989481033*((RANDBETWEEN(1620,2416)))</f>
        <v>55647286.816332191</v>
      </c>
      <c r="B411">
        <v>147184957.73489916</v>
      </c>
    </row>
    <row r="412" spans="1:2" x14ac:dyDescent="0.25">
      <c r="A412">
        <f ca="1">26179.6563824462*((RANDBETWEEN(1620,2416)))</f>
        <v>44531595.506541036</v>
      </c>
      <c r="B412">
        <v>146240252.15075442</v>
      </c>
    </row>
    <row r="413" spans="1:2" x14ac:dyDescent="0.25">
      <c r="A413">
        <f ca="1">26910.2088594962*((RANDBETWEEN(1620,2416)))</f>
        <v>63992476.667881973</v>
      </c>
      <c r="B413">
        <v>144614327.5321826</v>
      </c>
    </row>
    <row r="414" spans="1:2" x14ac:dyDescent="0.25">
      <c r="A414">
        <f ca="1">27228.5383961267*((RANDBETWEEN(1620,2416)))</f>
        <v>63333580.309390604</v>
      </c>
      <c r="B414">
        <v>153301250.49098566</v>
      </c>
    </row>
    <row r="415" spans="1:2" x14ac:dyDescent="0.25">
      <c r="A415">
        <f ca="1">29455.1536805473*((RANDBETWEEN(1620,2416)))</f>
        <v>60500885.659844086</v>
      </c>
      <c r="B415">
        <v>184418046.22629967</v>
      </c>
    </row>
    <row r="416" spans="1:2" x14ac:dyDescent="0.25">
      <c r="A416">
        <f ca="1">26570.7491330833*((RANDBETWEEN(1620,2416)))</f>
        <v>63876080.915932164</v>
      </c>
      <c r="B416">
        <v>168983098.39476377</v>
      </c>
    </row>
    <row r="417" spans="1:2" x14ac:dyDescent="0.25">
      <c r="A417">
        <f ca="1">31062.9120340175*((RANDBETWEEN(1620,2416)))</f>
        <v>69021790.539586902</v>
      </c>
      <c r="B417">
        <v>178511603.53347412</v>
      </c>
    </row>
    <row r="418" spans="1:2" x14ac:dyDescent="0.25">
      <c r="A418">
        <f ca="1">26649.1087633009*((RANDBETWEEN(1620,2416)))</f>
        <v>44157573.220789552</v>
      </c>
      <c r="B418">
        <v>155501708.6392338</v>
      </c>
    </row>
    <row r="419" spans="1:2" x14ac:dyDescent="0.25">
      <c r="A419">
        <f ca="1">26937.5304171216*((RANDBETWEEN(1620,2416)))</f>
        <v>45308926.161598481</v>
      </c>
      <c r="B419">
        <v>146130523.40056396</v>
      </c>
    </row>
    <row r="420" spans="1:2" x14ac:dyDescent="0.25">
      <c r="A420">
        <f ca="1">28170.8288756333*((RANDBETWEEN(1620,2416)))</f>
        <v>58623494.890192926</v>
      </c>
      <c r="B420">
        <v>178606956.62584051</v>
      </c>
    </row>
    <row r="421" spans="1:2" x14ac:dyDescent="0.25">
      <c r="A421">
        <f ca="1">33132.0645973075*((RANDBETWEEN(1620,2416)))</f>
        <v>57947980.980690829</v>
      </c>
      <c r="B421">
        <v>155606838.82022598</v>
      </c>
    </row>
    <row r="422" spans="1:2" x14ac:dyDescent="0.25">
      <c r="A422">
        <f ca="1">26673.5966271572*((RANDBETWEEN(1620,2416)))</f>
        <v>44438211.980843879</v>
      </c>
      <c r="B422">
        <v>152182395.17763066</v>
      </c>
    </row>
    <row r="423" spans="1:2" x14ac:dyDescent="0.25">
      <c r="A423">
        <f ca="1">27850.8352323989*((RANDBETWEEN(1620,2416)))</f>
        <v>65115252.77334851</v>
      </c>
      <c r="B423">
        <v>152401803.21190366</v>
      </c>
    </row>
    <row r="424" spans="1:2" x14ac:dyDescent="0.25">
      <c r="A424">
        <f ca="1">31819.4158594365*((RANDBETWEEN(1620,2416)))</f>
        <v>63893387.045748584</v>
      </c>
      <c r="B424">
        <v>194667519.36752015</v>
      </c>
    </row>
    <row r="425" spans="1:2" x14ac:dyDescent="0.25">
      <c r="A425">
        <f ca="1">26655.0946105813*((RANDBETWEEN(1620,2416)))</f>
        <v>57868210.399571925</v>
      </c>
      <c r="B425">
        <v>182015130.24758428</v>
      </c>
    </row>
    <row r="426" spans="1:2" x14ac:dyDescent="0.25">
      <c r="A426">
        <f ca="1">26858.6142288064*((RANDBETWEEN(1620,2416)))</f>
        <v>59491830.516806126</v>
      </c>
      <c r="B426">
        <v>163554996.96356416</v>
      </c>
    </row>
    <row r="427" spans="1:2" x14ac:dyDescent="0.25">
      <c r="A427">
        <f ca="1">29803.6020864361*((RANDBETWEEN(1620,2416)))</f>
        <v>52335125.263781801</v>
      </c>
      <c r="B427">
        <v>150219484.08736229</v>
      </c>
    </row>
    <row r="428" spans="1:2" x14ac:dyDescent="0.25">
      <c r="A428">
        <f ca="1">32134.3366591023*((RANDBETWEEN(1620,2416)))</f>
        <v>75644228.495526895</v>
      </c>
      <c r="B428">
        <v>201638536.36969537</v>
      </c>
    </row>
    <row r="429" spans="1:2" x14ac:dyDescent="0.25">
      <c r="A429">
        <f ca="1">26752.7798215131*((RANDBETWEEN(1620,2416)))</f>
        <v>56635634.882143252</v>
      </c>
      <c r="B429">
        <v>172836354.39204326</v>
      </c>
    </row>
    <row r="430" spans="1:2" x14ac:dyDescent="0.25">
      <c r="A430">
        <f ca="1">26279.5450103527*((RANDBETWEEN(1620,2416)))</f>
        <v>43571485.627164818</v>
      </c>
      <c r="B430">
        <v>151536688.07788944</v>
      </c>
    </row>
    <row r="431" spans="1:2" x14ac:dyDescent="0.25">
      <c r="A431">
        <f ca="1">27179.9890743293*((RANDBETWEEN(1620,2416)))</f>
        <v>55963597.504044063</v>
      </c>
      <c r="B431">
        <v>171617267.25876543</v>
      </c>
    </row>
    <row r="432" spans="1:2" x14ac:dyDescent="0.25">
      <c r="A432">
        <f ca="1">27852.5905320587*((RANDBETWEEN(1620,2416)))</f>
        <v>63420348.641497739</v>
      </c>
      <c r="B432">
        <v>162389508.24843422</v>
      </c>
    </row>
    <row r="433" spans="1:2" x14ac:dyDescent="0.25">
      <c r="A433">
        <f ca="1">29955.0101366716*((RANDBETWEEN(1620,2416)))</f>
        <v>48796711.512637973</v>
      </c>
      <c r="B433">
        <v>166874602.62892002</v>
      </c>
    </row>
    <row r="434" spans="1:2" x14ac:dyDescent="0.25">
      <c r="A434">
        <f ca="1">27452.2096429923*((RANDBETWEEN(1620,2416)))</f>
        <v>57292761.524924986</v>
      </c>
      <c r="B434">
        <v>155335540.82269204</v>
      </c>
    </row>
    <row r="435" spans="1:2" x14ac:dyDescent="0.25">
      <c r="A435">
        <f ca="1">27522.07113609*((RANDBETWEEN(1620,2416)))</f>
        <v>58044048.026013918</v>
      </c>
      <c r="B435">
        <v>145980252.29549274</v>
      </c>
    </row>
    <row r="436" spans="1:2" x14ac:dyDescent="0.25">
      <c r="A436">
        <f ca="1">26247.6913754972*((RANDBETWEEN(1620,2416)))</f>
        <v>52705364.281998292</v>
      </c>
      <c r="B436">
        <v>202529866.48968446</v>
      </c>
    </row>
    <row r="437" spans="1:2" x14ac:dyDescent="0.25">
      <c r="A437">
        <f ca="1">27641.0590491905*((RANDBETWEEN(1620,2416)))</f>
        <v>59455918.014808849</v>
      </c>
      <c r="B437">
        <v>183122558.56645125</v>
      </c>
    </row>
    <row r="438" spans="1:2" x14ac:dyDescent="0.25">
      <c r="A438">
        <f ca="1">28424.6417309094*((RANDBETWEEN(1620,2416)))</f>
        <v>50709560.847942419</v>
      </c>
      <c r="B438">
        <v>142960230.68386865</v>
      </c>
    </row>
    <row r="439" spans="1:2" x14ac:dyDescent="0.25">
      <c r="A439">
        <f ca="1">27695.4866669048*((RANDBETWEEN(1620,2416)))</f>
        <v>60708506.773855306</v>
      </c>
      <c r="B439">
        <v>148082845.70274115</v>
      </c>
    </row>
    <row r="440" spans="1:2" x14ac:dyDescent="0.25">
      <c r="A440">
        <f ca="1">27982.6201044356*((RANDBETWEEN(1620,2416)))</f>
        <v>47710367.278062776</v>
      </c>
      <c r="B440">
        <v>149368011.87273753</v>
      </c>
    </row>
    <row r="441" spans="1:2" x14ac:dyDescent="0.25">
      <c r="A441">
        <f ca="1">33896.5666568345*((RANDBETWEEN(1620,2416)))</f>
        <v>80911104.609864026</v>
      </c>
      <c r="B441">
        <v>192423287.6461409</v>
      </c>
    </row>
    <row r="442" spans="1:2" x14ac:dyDescent="0.25">
      <c r="A442">
        <f ca="1">35209.3714193959*((RANDBETWEEN(1620,2416)))</f>
        <v>75172007.980410278</v>
      </c>
      <c r="B442">
        <v>153542339.29857349</v>
      </c>
    </row>
    <row r="443" spans="1:2" x14ac:dyDescent="0.25">
      <c r="A443">
        <f ca="1">25460.3155755315*((RANDBETWEEN(1620,2416)))</f>
        <v>42544187.326713197</v>
      </c>
      <c r="B443">
        <v>165257919.62178379</v>
      </c>
    </row>
    <row r="444" spans="1:2" x14ac:dyDescent="0.25">
      <c r="A444">
        <f ca="1">27283.2933669055*((RANDBETWEEN(1620,2416)))</f>
        <v>53557104.879235409</v>
      </c>
      <c r="B444">
        <v>144561016.63153696</v>
      </c>
    </row>
    <row r="445" spans="1:2" x14ac:dyDescent="0.25">
      <c r="A445">
        <f ca="1">28518.8028583094*((RANDBETWEEN(1620,2416)))</f>
        <v>58606139.873825863</v>
      </c>
      <c r="B445">
        <v>163136656.21231335</v>
      </c>
    </row>
    <row r="446" spans="1:2" x14ac:dyDescent="0.25">
      <c r="A446">
        <f ca="1">27905.6483538569*((RANDBETWEEN(1620,2416)))</f>
        <v>63150482.224778265</v>
      </c>
      <c r="B446">
        <v>181704035.78604332</v>
      </c>
    </row>
    <row r="447" spans="1:2" x14ac:dyDescent="0.25">
      <c r="A447">
        <f ca="1">26751.3009707233*((RANDBETWEEN(1620,2416)))</f>
        <v>59762406.368595771</v>
      </c>
      <c r="B447">
        <v>201596639.76093578</v>
      </c>
    </row>
    <row r="448" spans="1:2" x14ac:dyDescent="0.25">
      <c r="A448">
        <f ca="1">27733.6526878922*((RANDBETWEEN(1620,2416)))</f>
        <v>51196322.86184895</v>
      </c>
      <c r="B448">
        <v>167331757.76105335</v>
      </c>
    </row>
    <row r="449" spans="1:2" x14ac:dyDescent="0.25">
      <c r="A449">
        <f ca="1">27390.0522337343*((RANDBETWEEN(1620,2416)))</f>
        <v>53164091.385678351</v>
      </c>
      <c r="B449">
        <v>203609870.4077197</v>
      </c>
    </row>
    <row r="450" spans="1:2" x14ac:dyDescent="0.25">
      <c r="A450">
        <f ca="1">26609.9796695827*((RANDBETWEEN(1620,2416)))</f>
        <v>64236490.922372624</v>
      </c>
      <c r="B450">
        <v>143475609.61746916</v>
      </c>
    </row>
    <row r="451" spans="1:2" x14ac:dyDescent="0.25">
      <c r="A451">
        <f ca="1">29065.2582622391*((RANDBETWEEN(1620,2416)))</f>
        <v>55659969.572187833</v>
      </c>
      <c r="B451">
        <v>201336071.48304138</v>
      </c>
    </row>
    <row r="452" spans="1:2" x14ac:dyDescent="0.25">
      <c r="A452">
        <f ca="1">28696.0008512943*((RANDBETWEEN(1620,2416)))</f>
        <v>52886729.568935394</v>
      </c>
      <c r="B452">
        <v>173334874.24157923</v>
      </c>
    </row>
    <row r="453" spans="1:2" x14ac:dyDescent="0.25">
      <c r="A453">
        <f ca="1">25936.9400211544*((RANDBETWEEN(1620,2416)))</f>
        <v>48917068.879897177</v>
      </c>
      <c r="B453">
        <v>143709666.85779259</v>
      </c>
    </row>
    <row r="454" spans="1:2" x14ac:dyDescent="0.25">
      <c r="A454">
        <f ca="1">31305.7246054583*((RANDBETWEEN(1620,2416)))</f>
        <v>64364569.788822368</v>
      </c>
      <c r="B454">
        <v>173755181.20278633</v>
      </c>
    </row>
    <row r="455" spans="1:2" x14ac:dyDescent="0.25">
      <c r="A455">
        <f ca="1">25992.9891718883*((RANDBETWEEN(1620,2416)))</f>
        <v>54247368.401730806</v>
      </c>
      <c r="B455">
        <v>162665730.62754363</v>
      </c>
    </row>
    <row r="456" spans="1:2" x14ac:dyDescent="0.25">
      <c r="A456">
        <f ca="1">30259.9725526109*((RANDBETWEEN(1620,2416)))</f>
        <v>55345489.7987253</v>
      </c>
      <c r="B456">
        <v>190602228.12789419</v>
      </c>
    </row>
    <row r="457" spans="1:2" x14ac:dyDescent="0.25">
      <c r="A457">
        <f ca="1">26007.1052689706*((RANDBETWEEN(1620,2416)))</f>
        <v>42443595.798960038</v>
      </c>
      <c r="B457">
        <v>149141463.54326528</v>
      </c>
    </row>
    <row r="458" spans="1:2" x14ac:dyDescent="0.25">
      <c r="A458">
        <f ca="1">27361.9732448387*((RANDBETWEEN(1620,2416)))</f>
        <v>57405419.867671557</v>
      </c>
      <c r="B458">
        <v>198989522.15840557</v>
      </c>
    </row>
    <row r="459" spans="1:2" x14ac:dyDescent="0.25">
      <c r="A459">
        <f ca="1">26674.2009185518*((RANDBETWEEN(1620,2416)))</f>
        <v>51161117.36178235</v>
      </c>
      <c r="B459">
        <v>148459054.01485911</v>
      </c>
    </row>
    <row r="460" spans="1:2" x14ac:dyDescent="0.25">
      <c r="A460">
        <f ca="1">33261.849976456*((RANDBETWEEN(1620,2416)))</f>
        <v>70548383.800063133</v>
      </c>
      <c r="B460">
        <v>168945057.96333146</v>
      </c>
    </row>
    <row r="461" spans="1:2" x14ac:dyDescent="0.25">
      <c r="A461">
        <f ca="1">26639.938545774*((RANDBETWEEN(1620,2416)))</f>
        <v>61538258.04073783</v>
      </c>
      <c r="B461">
        <v>176575332.06420904</v>
      </c>
    </row>
    <row r="462" spans="1:2" x14ac:dyDescent="0.25">
      <c r="A462">
        <f ca="1">26407.3306587459*((RANDBETWEEN(1620,2416)))</f>
        <v>59046791.352955803</v>
      </c>
      <c r="B462">
        <v>161828277.15030256</v>
      </c>
    </row>
    <row r="463" spans="1:2" x14ac:dyDescent="0.25">
      <c r="A463">
        <f ca="1">25010.5614495592*((RANDBETWEEN(1620,2416)))</f>
        <v>59275030.635455206</v>
      </c>
      <c r="B463">
        <v>152111445.07915884</v>
      </c>
    </row>
    <row r="464" spans="1:2" x14ac:dyDescent="0.25">
      <c r="A464">
        <f ca="1">27442.7478908369*((RANDBETWEEN(1620,2416)))</f>
        <v>65011869.75339257</v>
      </c>
      <c r="B464">
        <v>203040026.24195689</v>
      </c>
    </row>
    <row r="465" spans="1:2" x14ac:dyDescent="0.25">
      <c r="A465">
        <f ca="1">26194.318077736*((RANDBETWEEN(1620,2416)))</f>
        <v>45289975.956405535</v>
      </c>
      <c r="B465">
        <v>156542407.78788224</v>
      </c>
    </row>
    <row r="466" spans="1:2" x14ac:dyDescent="0.25">
      <c r="A466">
        <f ca="1">32472.173665313*((RANDBETWEEN(1620,2416)))</f>
        <v>55397528.273023941</v>
      </c>
      <c r="B466">
        <v>158274228.76171297</v>
      </c>
    </row>
    <row r="467" spans="1:2" x14ac:dyDescent="0.25">
      <c r="A467">
        <f ca="1">28579.3561166501*((RANDBETWEEN(1620,2416)))</f>
        <v>46755826.606839627</v>
      </c>
      <c r="B467">
        <v>169448135.85657108</v>
      </c>
    </row>
    <row r="468" spans="1:2" x14ac:dyDescent="0.25">
      <c r="A468">
        <f ca="1">31809.5768045329*((RANDBETWEEN(1620,2416)))</f>
        <v>54553424.219773859</v>
      </c>
      <c r="B468">
        <v>169548307.00149477</v>
      </c>
    </row>
    <row r="469" spans="1:2" x14ac:dyDescent="0.25">
      <c r="A469">
        <f ca="1">27185.9688389607*((RANDBETWEEN(1620,2416)))</f>
        <v>65056023.431632854</v>
      </c>
      <c r="B469">
        <v>203486128.6294052</v>
      </c>
    </row>
    <row r="470" spans="1:2" x14ac:dyDescent="0.25">
      <c r="A470">
        <f ca="1">31458.9752751542*((RANDBETWEEN(1620,2416)))</f>
        <v>63012327.476133861</v>
      </c>
      <c r="B470">
        <v>160356658.87971815</v>
      </c>
    </row>
    <row r="471" spans="1:2" x14ac:dyDescent="0.25">
      <c r="A471">
        <f ca="1">27197.7885524566*((RANDBETWEEN(1620,2416)))</f>
        <v>62201342.419468164</v>
      </c>
      <c r="B471">
        <v>173465486.79873633</v>
      </c>
    </row>
    <row r="472" spans="1:2" x14ac:dyDescent="0.25">
      <c r="A472">
        <f ca="1">27181.4910950277*((RANDBETWEEN(1620,2416)))</f>
        <v>62544611.009658843</v>
      </c>
      <c r="B472">
        <v>178704308.24382299</v>
      </c>
    </row>
    <row r="473" spans="1:2" x14ac:dyDescent="0.25">
      <c r="A473">
        <f ca="1">28054.2924126998*((RANDBETWEEN(1620,2416)))</f>
        <v>48730305.920859523</v>
      </c>
      <c r="B473">
        <v>142979805.22479111</v>
      </c>
    </row>
    <row r="474" spans="1:2" x14ac:dyDescent="0.25">
      <c r="A474">
        <f ca="1">31477.0309570991*((RANDBETWEEN(1620,2416)))</f>
        <v>65566655.483637355</v>
      </c>
      <c r="B474">
        <v>202771695.52005625</v>
      </c>
    </row>
    <row r="475" spans="1:2" x14ac:dyDescent="0.25">
      <c r="A475">
        <f ca="1">30178.7774854085*((RANDBETWEEN(1620,2416)))</f>
        <v>48919798.303847171</v>
      </c>
      <c r="B475">
        <v>193138868.47879636</v>
      </c>
    </row>
    <row r="476" spans="1:2" x14ac:dyDescent="0.25">
      <c r="A476">
        <f ca="1">26830.2117200237*((RANDBETWEEN(1620,2416)))</f>
        <v>53070158.782206967</v>
      </c>
      <c r="B476">
        <v>160226889.58488369</v>
      </c>
    </row>
    <row r="477" spans="1:2" x14ac:dyDescent="0.25">
      <c r="A477">
        <f ca="1">27160.9320645029*((RANDBETWEEN(1620,2416)))</f>
        <v>57907107.161520101</v>
      </c>
      <c r="B477">
        <v>151767285.95760661</v>
      </c>
    </row>
    <row r="478" spans="1:2" x14ac:dyDescent="0.25">
      <c r="A478">
        <f ca="1">28267.0410023475*((RANDBETWEEN(1620,2416)))</f>
        <v>53452974.535439089</v>
      </c>
      <c r="B478">
        <v>159995614.43983468</v>
      </c>
    </row>
    <row r="479" spans="1:2" x14ac:dyDescent="0.25">
      <c r="A479">
        <f ca="1">30860.2555269346*((RANDBETWEEN(1620,2416)))</f>
        <v>55023835.604524404</v>
      </c>
      <c r="B479">
        <v>202037594.04413411</v>
      </c>
    </row>
    <row r="480" spans="1:2" x14ac:dyDescent="0.25">
      <c r="A480">
        <f ca="1">26213.3563201638*((RANDBETWEEN(1620,2416)))</f>
        <v>60264506.180056617</v>
      </c>
      <c r="B480">
        <v>144458839.17972106</v>
      </c>
    </row>
    <row r="481" spans="1:2" x14ac:dyDescent="0.25">
      <c r="A481">
        <f ca="1">25695.2611716739*((RANDBETWEEN(1620,2416)))</f>
        <v>45326440.706832811</v>
      </c>
      <c r="B481">
        <v>187073577.12453324</v>
      </c>
    </row>
    <row r="482" spans="1:2" x14ac:dyDescent="0.25">
      <c r="A482">
        <f ca="1">26945.9947068671*((RANDBETWEEN(1620,2416)))</f>
        <v>45673461.028139681</v>
      </c>
      <c r="B482">
        <v>150131669.76223806</v>
      </c>
    </row>
    <row r="483" spans="1:2" x14ac:dyDescent="0.25">
      <c r="A483">
        <f ca="1">30235.3458893731*((RANDBETWEEN(1620,2416)))</f>
        <v>60440456.432856791</v>
      </c>
      <c r="B483">
        <v>196111677.05769017</v>
      </c>
    </row>
    <row r="484" spans="1:2" x14ac:dyDescent="0.25">
      <c r="A484">
        <f ca="1">25603.6545955563*((RANDBETWEEN(1620,2416)))</f>
        <v>57070546.093495041</v>
      </c>
      <c r="B484">
        <v>149164921.0020144</v>
      </c>
    </row>
    <row r="485" spans="1:2" x14ac:dyDescent="0.25">
      <c r="A485">
        <f ca="1">28233.270357782*((RANDBETWEEN(1620,2416)))</f>
        <v>64936521.822898678</v>
      </c>
      <c r="B485">
        <v>145273019.43311369</v>
      </c>
    </row>
    <row r="486" spans="1:2" x14ac:dyDescent="0.25">
      <c r="A486">
        <f ca="1">28158.2360067377*((RANDBETWEEN(1620,2416)))</f>
        <v>64482360.455429375</v>
      </c>
      <c r="B486">
        <v>166275372.69655085</v>
      </c>
    </row>
    <row r="487" spans="1:2" x14ac:dyDescent="0.25">
      <c r="A487">
        <f ca="1">31594.6627958787*((RANDBETWEEN(1620,2416)))</f>
        <v>74468620.209886178</v>
      </c>
      <c r="B487">
        <v>182708846.59962842</v>
      </c>
    </row>
    <row r="488" spans="1:2" x14ac:dyDescent="0.25">
      <c r="A488">
        <f ca="1">27281.9761159708*((RANDBETWEEN(1620,2416)))</f>
        <v>50362527.910082072</v>
      </c>
      <c r="B488">
        <v>151480120.43968076</v>
      </c>
    </row>
    <row r="489" spans="1:2" x14ac:dyDescent="0.25">
      <c r="A489">
        <f ca="1">26251.586269303*((RANDBETWEEN(1620,2416)))</f>
        <v>47882893.35520862</v>
      </c>
      <c r="B489">
        <v>170359145.93864542</v>
      </c>
    </row>
    <row r="490" spans="1:2" x14ac:dyDescent="0.25">
      <c r="A490">
        <f ca="1">26266.8873653731*((RANDBETWEEN(1620,2416)))</f>
        <v>48856410.49959404</v>
      </c>
      <c r="B490">
        <v>180307640.01066113</v>
      </c>
    </row>
    <row r="491" spans="1:2" x14ac:dyDescent="0.25">
      <c r="A491">
        <f ca="1">26141.976513486*((RANDBETWEEN(1620,2416)))</f>
        <v>56518953.222156823</v>
      </c>
      <c r="B491">
        <v>165823863.46794254</v>
      </c>
    </row>
    <row r="492" spans="1:2" x14ac:dyDescent="0.25">
      <c r="A492">
        <f ca="1">26885.9669517357*((RANDBETWEEN(1620,2416)))</f>
        <v>47749477.30628252</v>
      </c>
      <c r="B492">
        <v>179468492.78420255</v>
      </c>
    </row>
    <row r="493" spans="1:2" x14ac:dyDescent="0.25">
      <c r="A493">
        <f ca="1">28678.5080479464*((RANDBETWEEN(1620,2416)))</f>
        <v>56640053.39469406</v>
      </c>
      <c r="B493">
        <v>175870143.74915797</v>
      </c>
    </row>
    <row r="494" spans="1:2" x14ac:dyDescent="0.25">
      <c r="A494">
        <f ca="1">26752.4439397174*((RANDBETWEEN(1620,2416)))</f>
        <v>56634923.820381835</v>
      </c>
      <c r="B494">
        <v>199735285.45649111</v>
      </c>
    </row>
    <row r="495" spans="1:2" x14ac:dyDescent="0.25">
      <c r="A495">
        <f ca="1">27252.3074724698*((RANDBETWEEN(1620,2416)))</f>
        <v>47310005.772207528</v>
      </c>
      <c r="B495">
        <v>180472229.11073455</v>
      </c>
    </row>
    <row r="496" spans="1:2" x14ac:dyDescent="0.25">
      <c r="A496">
        <f ca="1">33171.8157291509*((RANDBETWEEN(1620,2416)))</f>
        <v>78650375.093816712</v>
      </c>
      <c r="B496">
        <v>160387749.22970086</v>
      </c>
    </row>
    <row r="497" spans="1:2" x14ac:dyDescent="0.25">
      <c r="A497">
        <f ca="1">26863.7796691242*((RANDBETWEEN(1620,2416)))</f>
        <v>59879364.88247779</v>
      </c>
      <c r="B497">
        <v>166376962.55941135</v>
      </c>
    </row>
    <row r="498" spans="1:2" x14ac:dyDescent="0.25">
      <c r="A498">
        <f ca="1">31111.7987769724*((RANDBETWEEN(1620,2416)))</f>
        <v>70281553.437180653</v>
      </c>
      <c r="B498">
        <v>201949114.98572999</v>
      </c>
    </row>
    <row r="499" spans="1:2" x14ac:dyDescent="0.25">
      <c r="A499">
        <f ca="1">26420.7546622559*((RANDBETWEEN(1620,2416)))</f>
        <v>43250775.382112853</v>
      </c>
      <c r="B499">
        <v>147925530.47789252</v>
      </c>
    </row>
    <row r="500" spans="1:2" x14ac:dyDescent="0.25">
      <c r="A500">
        <f ca="1">30820.378541627*((RANDBETWEEN(1620,2416)))</f>
        <v>69068468.311786219</v>
      </c>
      <c r="B500">
        <v>156556862.67490134</v>
      </c>
    </row>
    <row r="501" spans="1:2" x14ac:dyDescent="0.25">
      <c r="A501">
        <f ca="1">25933.4417921972*((RANDBETWEEN(1620,2416)))</f>
        <v>48754870.569330797</v>
      </c>
      <c r="B501">
        <v>166264985.35477835</v>
      </c>
    </row>
    <row r="502" spans="1:2" x14ac:dyDescent="0.25">
      <c r="A502">
        <f ca="1">28910.2516257544*((RANDBETWEEN(1620,2416)))</f>
        <v>56259349.663718045</v>
      </c>
      <c r="B502">
        <v>172376724.67419517</v>
      </c>
    </row>
    <row r="503" spans="1:2" x14ac:dyDescent="0.25">
      <c r="A503">
        <f ca="1">28402.3701247127*((RANDBETWEEN(1620,2416)))</f>
        <v>54532550.639448412</v>
      </c>
      <c r="B503">
        <v>147565342.7478905</v>
      </c>
    </row>
    <row r="504" spans="1:2" x14ac:dyDescent="0.25">
      <c r="A504">
        <f ca="1">27478.9151802392*((RANDBETWEEN(1620,2416)))</f>
        <v>52539685.824617416</v>
      </c>
      <c r="B504">
        <v>150515467.18829274</v>
      </c>
    </row>
    <row r="505" spans="1:2" x14ac:dyDescent="0.25">
      <c r="A505">
        <f ca="1">25351.4209806715*((RANDBETWEEN(1620,2416)))</f>
        <v>41956601.723011307</v>
      </c>
      <c r="B505">
        <v>152960355.4399913</v>
      </c>
    </row>
    <row r="506" spans="1:2" x14ac:dyDescent="0.25">
      <c r="A506">
        <f ca="1">31303.9799435744*((RANDBETWEEN(1620,2416)))</f>
        <v>51432439.047292814</v>
      </c>
      <c r="B506">
        <v>154572837.01617652</v>
      </c>
    </row>
    <row r="507" spans="1:2" x14ac:dyDescent="0.25">
      <c r="A507">
        <f ca="1">29176.4195010092*((RANDBETWEEN(1620,2416)))</f>
        <v>67747646.081343293</v>
      </c>
      <c r="B507">
        <v>198138503.09428334</v>
      </c>
    </row>
    <row r="508" spans="1:2" x14ac:dyDescent="0.25">
      <c r="A508">
        <f ca="1">27084.2675571418*((RANDBETWEEN(1620,2416)))</f>
        <v>44391114.52615542</v>
      </c>
      <c r="B508">
        <v>199478234.96110547</v>
      </c>
    </row>
    <row r="509" spans="1:2" x14ac:dyDescent="0.25">
      <c r="A509">
        <f ca="1">26005.2195157266*((RANDBETWEEN(1620,2416)))</f>
        <v>59395921.373919584</v>
      </c>
      <c r="B509">
        <v>147972617.46656182</v>
      </c>
    </row>
    <row r="510" spans="1:2" x14ac:dyDescent="0.25">
      <c r="A510">
        <f ca="1">31428.8403383292*((RANDBETWEEN(1620,2416)))</f>
        <v>66031993.55082956</v>
      </c>
      <c r="B510">
        <v>194585691.23290136</v>
      </c>
    </row>
    <row r="511" spans="1:2" x14ac:dyDescent="0.25">
      <c r="A511">
        <f ca="1">26625.7669920867*((RANDBETWEEN(1620,2416)))</f>
        <v>53091779.382220797</v>
      </c>
      <c r="B511">
        <v>147483767.29363564</v>
      </c>
    </row>
    <row r="512" spans="1:2" x14ac:dyDescent="0.25">
      <c r="A512">
        <f ca="1">27334.9046701982*((RANDBETWEEN(1620,2416)))</f>
        <v>56309903.620608322</v>
      </c>
      <c r="B512">
        <v>153889252.65520081</v>
      </c>
    </row>
    <row r="513" spans="1:2" x14ac:dyDescent="0.25">
      <c r="A513">
        <f ca="1">29790.4211268564*((RANDBETWEEN(1620,2416)))</f>
        <v>51269314.759319834</v>
      </c>
      <c r="B513">
        <v>168325553.59624645</v>
      </c>
    </row>
    <row r="514" spans="1:2" x14ac:dyDescent="0.25">
      <c r="A514">
        <f ca="1">24701.4728472925*((RANDBETWEEN(1620,2416)))</f>
        <v>59530549.56197504</v>
      </c>
      <c r="B514">
        <v>150416272.21498302</v>
      </c>
    </row>
    <row r="515" spans="1:2" x14ac:dyDescent="0.25">
      <c r="A515">
        <f ca="1">28058.4670129259*((RANDBETWEEN(1620,2416)))</f>
        <v>59568125.468441665</v>
      </c>
      <c r="B515">
        <v>196225958.85302383</v>
      </c>
    </row>
    <row r="516" spans="1:2" x14ac:dyDescent="0.25">
      <c r="A516">
        <f ca="1">27188.7329260278*((RANDBETWEEN(1620,2416)))</f>
        <v>59325815.244592689</v>
      </c>
      <c r="B516">
        <v>147431073.33787268</v>
      </c>
    </row>
    <row r="517" spans="1:2" x14ac:dyDescent="0.25">
      <c r="A517">
        <f ca="1">28025.4718778976*((RANDBETWEEN(1620,2416)))</f>
        <v>52659861.658569537</v>
      </c>
      <c r="B517">
        <v>144376061.61799255</v>
      </c>
    </row>
    <row r="518" spans="1:2" x14ac:dyDescent="0.25">
      <c r="A518">
        <f ca="1">31521.4178172732*((RANDBETWEEN(1620,2416)))</f>
        <v>61592850.414951749</v>
      </c>
      <c r="B518">
        <v>194135050.1917026</v>
      </c>
    </row>
    <row r="519" spans="1:2" x14ac:dyDescent="0.25">
      <c r="A519">
        <f ca="1">26800.3733910013*((RANDBETWEEN(1620,2416)))</f>
        <v>54994366.198334664</v>
      </c>
      <c r="B519">
        <v>151045364.25057763</v>
      </c>
    </row>
    <row r="520" spans="1:2" x14ac:dyDescent="0.25">
      <c r="A520">
        <f ca="1">30607.3440608179*((RANDBETWEEN(1620,2416)))</f>
        <v>68407413.975928038</v>
      </c>
      <c r="B520">
        <v>180979315.79387161</v>
      </c>
    </row>
    <row r="521" spans="1:2" x14ac:dyDescent="0.25">
      <c r="A521">
        <f ca="1">29121.0036753586*((RANDBETWEEN(1620,2416)))</f>
        <v>49010649.1856286</v>
      </c>
      <c r="B521">
        <v>166171477.92733577</v>
      </c>
    </row>
    <row r="522" spans="1:2" x14ac:dyDescent="0.25">
      <c r="A522">
        <f ca="1">27002.1869453602*((RANDBETWEEN(1620,2416)))</f>
        <v>62618071.526290417</v>
      </c>
      <c r="B522">
        <v>161146918.50271967</v>
      </c>
    </row>
    <row r="523" spans="1:2" x14ac:dyDescent="0.25">
      <c r="A523">
        <f ca="1">32212.9550470895*((RANDBETWEEN(1620,2416)))</f>
        <v>72028167.485292017</v>
      </c>
      <c r="B523">
        <v>198460162.43160382</v>
      </c>
    </row>
    <row r="524" spans="1:2" x14ac:dyDescent="0.25">
      <c r="A524">
        <f ca="1">27038.8030211871*((RANDBETWEEN(1620,2416)))</f>
        <v>54618382.102797985</v>
      </c>
      <c r="B524">
        <v>143167753.40357649</v>
      </c>
    </row>
    <row r="525" spans="1:2" x14ac:dyDescent="0.25">
      <c r="A525">
        <f ca="1">28346.4142976672*((RANDBETWEEN(1620,2416)))</f>
        <v>54850311.665985987</v>
      </c>
      <c r="B525">
        <v>152727828.1619685</v>
      </c>
    </row>
    <row r="526" spans="1:2" x14ac:dyDescent="0.25">
      <c r="A526">
        <f ca="1">31809.5172142898*((RANDBETWEEN(1620,2416)))</f>
        <v>65527605.46143689</v>
      </c>
      <c r="B526">
        <v>177625916.34848261</v>
      </c>
    </row>
    <row r="527" spans="1:2" x14ac:dyDescent="0.25">
      <c r="A527">
        <f ca="1">29194.7714172259*((RANDBETWEEN(1620,2416)))</f>
        <v>67206363.80245401</v>
      </c>
      <c r="B527">
        <v>167865625.29698119</v>
      </c>
    </row>
    <row r="528" spans="1:2" x14ac:dyDescent="0.25">
      <c r="A528">
        <f ca="1">28313.2571062406*((RANDBETWEEN(1620,2416)))</f>
        <v>60335550.893398695</v>
      </c>
      <c r="B528">
        <v>202052941.4591862</v>
      </c>
    </row>
    <row r="529" spans="1:2" x14ac:dyDescent="0.25">
      <c r="A529">
        <f ca="1">29082.9812318953*((RANDBETWEEN(1620,2416)))</f>
        <v>50604387.343497843</v>
      </c>
      <c r="B529">
        <v>157137266.9662213</v>
      </c>
    </row>
    <row r="530" spans="1:2" x14ac:dyDescent="0.25">
      <c r="A530">
        <f ca="1">26369.405128009*((RANDBETWEEN(1620,2416)))</f>
        <v>58803773.435459979</v>
      </c>
      <c r="B530">
        <v>183611824.05135947</v>
      </c>
    </row>
    <row r="531" spans="1:2" x14ac:dyDescent="0.25">
      <c r="A531">
        <f ca="1">27495.1135071254*((RANDBETWEEN(1620,2416)))</f>
        <v>62771344.136767261</v>
      </c>
      <c r="B531">
        <v>144140876.67475823</v>
      </c>
    </row>
    <row r="532" spans="1:2" x14ac:dyDescent="0.25">
      <c r="A532">
        <f ca="1">27284.8244620542*((RANDBETWEEN(1620,2416)))</f>
        <v>44283270.101914026</v>
      </c>
      <c r="B532">
        <v>150817063.34661365</v>
      </c>
    </row>
    <row r="533" spans="1:2" x14ac:dyDescent="0.25">
      <c r="A533">
        <f ca="1">30829.4430165599*((RANDBETWEEN(1620,2416)))</f>
        <v>70352788.963789687</v>
      </c>
      <c r="B533">
        <v>197519654.32998937</v>
      </c>
    </row>
    <row r="534" spans="1:2" x14ac:dyDescent="0.25">
      <c r="A534">
        <f ca="1">30193.2201474939*((RANDBETWEEN(1620,2416)))</f>
        <v>71105033.447348118</v>
      </c>
      <c r="B534">
        <v>192807633.91880572</v>
      </c>
    </row>
    <row r="535" spans="1:2" x14ac:dyDescent="0.25">
      <c r="A535">
        <f ca="1">31675.6360820078*((RANDBETWEEN(1620,2416)))</f>
        <v>54640472.241463497</v>
      </c>
      <c r="B535">
        <v>164300639.29632175</v>
      </c>
    </row>
    <row r="536" spans="1:2" x14ac:dyDescent="0.25">
      <c r="A536">
        <f ca="1">28469.7623607369*((RANDBETWEEN(1620,2416)))</f>
        <v>48626354.112138569</v>
      </c>
      <c r="B536">
        <v>179345177.0407882</v>
      </c>
    </row>
    <row r="537" spans="1:2" x14ac:dyDescent="0.25">
      <c r="A537">
        <f ca="1">27032.185039998*((RANDBETWEEN(1620,2416)))</f>
        <v>63066087.698315293</v>
      </c>
      <c r="B537">
        <v>143843603.21824521</v>
      </c>
    </row>
    <row r="538" spans="1:2" x14ac:dyDescent="0.25">
      <c r="A538">
        <f ca="1">26785.022180888*((RANDBETWEEN(1620,2416)))</f>
        <v>56141406.491141208</v>
      </c>
      <c r="B538">
        <v>166866975.92137936</v>
      </c>
    </row>
    <row r="539" spans="1:2" x14ac:dyDescent="0.25">
      <c r="A539">
        <f ca="1">27342.9114801174*((RANDBETWEEN(1620,2416)))</f>
        <v>52607761.687745921</v>
      </c>
      <c r="B539">
        <v>200902417.62203264</v>
      </c>
    </row>
    <row r="540" spans="1:2" x14ac:dyDescent="0.25">
      <c r="A540">
        <f ca="1">27413.8510880827*((RANDBETWEEN(1620,2416)))</f>
        <v>57130465.667564251</v>
      </c>
      <c r="B540">
        <v>154052989.408012</v>
      </c>
    </row>
    <row r="541" spans="1:2" x14ac:dyDescent="0.25">
      <c r="A541">
        <f ca="1">28155.4133156941*((RANDBETWEEN(1620,2416)))</f>
        <v>51355473.887826011</v>
      </c>
      <c r="B541">
        <v>165251998.99686977</v>
      </c>
    </row>
    <row r="542" spans="1:2" x14ac:dyDescent="0.25">
      <c r="A542">
        <f ca="1">29419.6654007108*((RANDBETWEEN(1620,2416)))</f>
        <v>63811254.254141741</v>
      </c>
      <c r="B542">
        <v>177970190.21534243</v>
      </c>
    </row>
    <row r="543" spans="1:2" x14ac:dyDescent="0.25">
      <c r="A543">
        <f ca="1">26173.2564945629*((RANDBETWEEN(1620,2416)))</f>
        <v>58261668.956897035</v>
      </c>
      <c r="B543">
        <v>164439486.48540112</v>
      </c>
    </row>
    <row r="544" spans="1:2" x14ac:dyDescent="0.25">
      <c r="A544">
        <f ca="1">28585.9987443896*((RANDBETWEEN(1620,2416)))</f>
        <v>66319517.086983919</v>
      </c>
      <c r="B544">
        <v>160532055.98543</v>
      </c>
    </row>
    <row r="545" spans="1:2" x14ac:dyDescent="0.25">
      <c r="A545">
        <f ca="1">30158.179939246*((RANDBETWEEN(1620,2416)))</f>
        <v>58567185.442015655</v>
      </c>
      <c r="B545">
        <v>195549544.53895506</v>
      </c>
    </row>
    <row r="546" spans="1:2" x14ac:dyDescent="0.25">
      <c r="A546">
        <f ca="1">28118.3442120546*((RANDBETWEEN(1620,2416)))</f>
        <v>51569043.284908213</v>
      </c>
      <c r="B546">
        <v>156333278.19438511</v>
      </c>
    </row>
    <row r="547" spans="1:2" x14ac:dyDescent="0.25">
      <c r="A547">
        <f ca="1">28076.5746836156*((RANDBETWEEN(1620,2416)))</f>
        <v>52250505.48620864</v>
      </c>
      <c r="B547">
        <v>174049470.3863261</v>
      </c>
    </row>
    <row r="548" spans="1:2" x14ac:dyDescent="0.25">
      <c r="A548">
        <f ca="1">28118.1298750554*((RANDBETWEEN(1620,2416)))</f>
        <v>62506602.712248109</v>
      </c>
      <c r="B548">
        <v>201301529.21353471</v>
      </c>
    </row>
    <row r="549" spans="1:2" x14ac:dyDescent="0.25">
      <c r="A549">
        <f ca="1">31428.0624347306*((RANDBETWEEN(1620,2416)))</f>
        <v>62070423.308593027</v>
      </c>
      <c r="B549">
        <v>190331554.7782304</v>
      </c>
    </row>
    <row r="550" spans="1:2" x14ac:dyDescent="0.25">
      <c r="A550">
        <f ca="1">28702.957507107*((RANDBETWEEN(1620,2416)))</f>
        <v>54363401.518460721</v>
      </c>
      <c r="B550">
        <v>156323395.66561446</v>
      </c>
    </row>
    <row r="551" spans="1:2" x14ac:dyDescent="0.25">
      <c r="A551">
        <f ca="1">25895.1977284253*((RANDBETWEEN(1620,2416)))</f>
        <v>55104980.766089112</v>
      </c>
      <c r="B551">
        <v>148663952.28175709</v>
      </c>
    </row>
    <row r="552" spans="1:2" x14ac:dyDescent="0.25">
      <c r="A552">
        <f ca="1">28574.7810762197*((RANDBETWEEN(1620,2416)))</f>
        <v>52006101.558719844</v>
      </c>
      <c r="B552">
        <v>178135364.07170603</v>
      </c>
    </row>
    <row r="553" spans="1:2" x14ac:dyDescent="0.25">
      <c r="A553">
        <f ca="1">27862.1974714554*((RANDBETWEEN(1620,2416)))</f>
        <v>63609396.827332705</v>
      </c>
      <c r="B553">
        <v>180794763.91418564</v>
      </c>
    </row>
    <row r="554" spans="1:2" x14ac:dyDescent="0.25">
      <c r="A554">
        <f ca="1">31476.1258405871*((RANDBETWEEN(1620,2416)))</f>
        <v>58104928.301723801</v>
      </c>
      <c r="B554">
        <v>159705824.7338683</v>
      </c>
    </row>
    <row r="555" spans="1:2" x14ac:dyDescent="0.25">
      <c r="A555">
        <f ca="1">25244.1360000465*((RANDBETWEEN(1620,2416)))</f>
        <v>60914100.1681123</v>
      </c>
      <c r="B555">
        <v>155781395.78230321</v>
      </c>
    </row>
    <row r="556" spans="1:2" x14ac:dyDescent="0.25">
      <c r="A556">
        <f ca="1">29210.1178931884*((RANDBETWEEN(1620,2416)))</f>
        <v>67300111.625906289</v>
      </c>
      <c r="B556">
        <v>181115394.52329975</v>
      </c>
    </row>
    <row r="557" spans="1:2" x14ac:dyDescent="0.25">
      <c r="A557">
        <f ca="1">28600.285299711*((RANDBETWEEN(1620,2416)))</f>
        <v>65609054.477537096</v>
      </c>
      <c r="B557">
        <v>182553070.25207824</v>
      </c>
    </row>
    <row r="558" spans="1:2" x14ac:dyDescent="0.25">
      <c r="A558">
        <f ca="1">28226.5318983973*((RANDBETWEEN(1620,2416)))</f>
        <v>53094106.500885315</v>
      </c>
      <c r="B558">
        <v>184873035.13364694</v>
      </c>
    </row>
    <row r="559" spans="1:2" x14ac:dyDescent="0.25">
      <c r="A559">
        <f ca="1">29837.6134034344*((RANDBETWEEN(1620,2416)))</f>
        <v>65404048.580328181</v>
      </c>
      <c r="B559">
        <v>163303413.08933121</v>
      </c>
    </row>
    <row r="560" spans="1:2" x14ac:dyDescent="0.25">
      <c r="A560">
        <f ca="1">31200.1455869761*((RANDBETWEEN(1620,2416)))</f>
        <v>64989903.257671237</v>
      </c>
      <c r="B560">
        <v>179432272.73088568</v>
      </c>
    </row>
    <row r="561" spans="1:2" x14ac:dyDescent="0.25">
      <c r="A561">
        <f ca="1">25785.5475273584*((RANDBETWEEN(1620,2416)))</f>
        <v>54949001.780800849</v>
      </c>
      <c r="B561">
        <v>169154189.81981289</v>
      </c>
    </row>
    <row r="562" spans="1:2" x14ac:dyDescent="0.25">
      <c r="A562">
        <f ca="1">25667.2801911994*((RANDBETWEEN(1620,2416)))</f>
        <v>51745236.865457915</v>
      </c>
      <c r="B562">
        <v>150683372.35630146</v>
      </c>
    </row>
    <row r="563" spans="1:2" x14ac:dyDescent="0.25">
      <c r="A563">
        <f ca="1">33508.1567007447*((RANDBETWEEN(1620,2416)))</f>
        <v>54819344.362418354</v>
      </c>
      <c r="B563">
        <v>199843100.16954905</v>
      </c>
    </row>
    <row r="564" spans="1:2" x14ac:dyDescent="0.25">
      <c r="A564">
        <f ca="1">29181.2825809137*((RANDBETWEEN(1620,2416)))</f>
        <v>62447944.723155215</v>
      </c>
      <c r="B564">
        <v>167587116.02882883</v>
      </c>
    </row>
    <row r="565" spans="1:2" x14ac:dyDescent="0.25">
      <c r="A565">
        <f ca="1">34023.2747855997*((RANDBETWEEN(1620,2416)))</f>
        <v>77300880.312882617</v>
      </c>
      <c r="B565">
        <v>179462781.54926285</v>
      </c>
    </row>
    <row r="566" spans="1:2" x14ac:dyDescent="0.25">
      <c r="A566">
        <f ca="1">27932.7655005075*((RANDBETWEEN(1620,2416)))</f>
        <v>60865496.025605887</v>
      </c>
      <c r="B566">
        <v>170449952.28909829</v>
      </c>
    </row>
    <row r="567" spans="1:2" x14ac:dyDescent="0.25">
      <c r="A567">
        <f ca="1">26797.4487977511*((RANDBETWEEN(1620,2416)))</f>
        <v>61607334.786029764</v>
      </c>
      <c r="B567">
        <v>174471248.42012703</v>
      </c>
    </row>
    <row r="568" spans="1:2" x14ac:dyDescent="0.25">
      <c r="A568">
        <f ca="1">26680.1067493523*((RANDBETWEEN(1620,2416)))</f>
        <v>44529098.16466897</v>
      </c>
      <c r="B568">
        <v>169354199.67635792</v>
      </c>
    </row>
    <row r="569" spans="1:2" x14ac:dyDescent="0.25">
      <c r="A569">
        <f ca="1">28760.7772370818*((RANDBETWEEN(1620,2416)))</f>
        <v>66178548.422525108</v>
      </c>
      <c r="B569">
        <v>180566564.61084038</v>
      </c>
    </row>
    <row r="570" spans="1:2" x14ac:dyDescent="0.25">
      <c r="A570">
        <f ca="1">26631.2522475272*((RANDBETWEEN(1620,2416)))</f>
        <v>63169330.331134573</v>
      </c>
      <c r="B570">
        <v>184350067.99919105</v>
      </c>
    </row>
    <row r="571" spans="1:2" x14ac:dyDescent="0.25">
      <c r="A571">
        <f ca="1">29675.9869988197*((RANDBETWEEN(1620,2416)))</f>
        <v>61043505.256572105</v>
      </c>
      <c r="B571">
        <v>144274215.24420145</v>
      </c>
    </row>
    <row r="572" spans="1:2" x14ac:dyDescent="0.25">
      <c r="A572">
        <f ca="1">26823.1539513406*((RANDBETWEEN(1620,2416)))</f>
        <v>44633728.175030693</v>
      </c>
      <c r="B572">
        <v>145175399.00056672</v>
      </c>
    </row>
    <row r="573" spans="1:2" x14ac:dyDescent="0.25">
      <c r="A573">
        <f ca="1">27798.9860321692*((RANDBETWEEN(1620,2416)))</f>
        <v>52873671.433185734</v>
      </c>
      <c r="B573">
        <v>145328967.73164815</v>
      </c>
    </row>
    <row r="574" spans="1:2" x14ac:dyDescent="0.25">
      <c r="A574">
        <f ca="1">26910.2624863438*((RANDBETWEEN(1620,2416)))</f>
        <v>54089627.597550951</v>
      </c>
      <c r="B574">
        <v>164080629.40425959</v>
      </c>
    </row>
    <row r="575" spans="1:2" x14ac:dyDescent="0.25">
      <c r="A575">
        <f ca="1">27043.7920416338*((RANDBETWEEN(1620,2416)))</f>
        <v>46001490.262819104</v>
      </c>
      <c r="B575">
        <v>144639260.82786402</v>
      </c>
    </row>
    <row r="576" spans="1:2" x14ac:dyDescent="0.25">
      <c r="A576">
        <f ca="1">29012.3752106503*((RANDBETWEEN(1620,2416)))</f>
        <v>55384624.277131476</v>
      </c>
      <c r="B576">
        <v>164401335.81613427</v>
      </c>
    </row>
    <row r="577" spans="1:2" x14ac:dyDescent="0.25">
      <c r="A577">
        <f ca="1">27671.0765163212*((RANDBETWEEN(1620,2416)))</f>
        <v>65801819.955811888</v>
      </c>
      <c r="B577">
        <v>157898501.81252232</v>
      </c>
    </row>
    <row r="578" spans="1:2" x14ac:dyDescent="0.25">
      <c r="A578">
        <f ca="1">26635.4381252355*((RANDBETWEEN(1620,2416)))</f>
        <v>58491422.123017125</v>
      </c>
      <c r="B578">
        <v>172762631.10599789</v>
      </c>
    </row>
    <row r="579" spans="1:2" x14ac:dyDescent="0.25">
      <c r="A579">
        <f ca="1">25088.8891685103*((RANDBETWEEN(1620,2416)))</f>
        <v>46063200.513384849</v>
      </c>
      <c r="B579">
        <v>146861203.32435864</v>
      </c>
    </row>
    <row r="580" spans="1:2" x14ac:dyDescent="0.25">
      <c r="A580">
        <f ca="1">26780.393296194*((RANDBETWEEN(1620,2416)))</f>
        <v>63255288.965610214</v>
      </c>
      <c r="B580">
        <v>145070093.76721752</v>
      </c>
    </row>
    <row r="581" spans="1:2" x14ac:dyDescent="0.25">
      <c r="A581">
        <f ca="1">26421.9449670043*((RANDBETWEEN(1620,2416)))</f>
        <v>55855991.660247095</v>
      </c>
      <c r="B581">
        <v>196797787.04935589</v>
      </c>
    </row>
    <row r="582" spans="1:2" x14ac:dyDescent="0.25">
      <c r="A582">
        <f ca="1">27758.6862248834*((RANDBETWEEN(1620,2416)))</f>
        <v>61457731.301891916</v>
      </c>
      <c r="B582">
        <v>170438749.32792813</v>
      </c>
    </row>
    <row r="583" spans="1:2" x14ac:dyDescent="0.25">
      <c r="A583">
        <f ca="1">30643.1939816143*((RANDBETWEEN(1620,2416)))</f>
        <v>58589786.892846577</v>
      </c>
      <c r="B583">
        <v>154347466.26891312</v>
      </c>
    </row>
    <row r="584" spans="1:2" x14ac:dyDescent="0.25">
      <c r="A584">
        <f ca="1">25663.3275344411*((RANDBETWEEN(1620,2416)))</f>
        <v>56715953.851114891</v>
      </c>
      <c r="B584">
        <v>161614086.35953239</v>
      </c>
    </row>
    <row r="585" spans="1:2" x14ac:dyDescent="0.25">
      <c r="A585">
        <f ca="1">27578.3442528784*((RANDBETWEEN(1620,2416)))</f>
        <v>45890364.836789712</v>
      </c>
      <c r="B585">
        <v>177620791.51197228</v>
      </c>
    </row>
    <row r="586" spans="1:2" x14ac:dyDescent="0.25">
      <c r="A586">
        <f ca="1">27703.255160717*((RANDBETWEEN(1620,2416)))</f>
        <v>62193807.83580973</v>
      </c>
      <c r="B586">
        <v>158831300.01878187</v>
      </c>
    </row>
    <row r="587" spans="1:2" x14ac:dyDescent="0.25">
      <c r="A587">
        <f ca="1">29188.4340511142*((RANDBETWEEN(1620,2416)))</f>
        <v>58873071.481097326</v>
      </c>
      <c r="B587">
        <v>171789371.02252203</v>
      </c>
    </row>
    <row r="588" spans="1:2" x14ac:dyDescent="0.25">
      <c r="A588">
        <f ca="1">27780.9859508791*((RANDBETWEEN(1620,2416)))</f>
        <v>55145257.112494953</v>
      </c>
      <c r="B588">
        <v>192435175.48307043</v>
      </c>
    </row>
    <row r="589" spans="1:2" x14ac:dyDescent="0.25">
      <c r="A589">
        <f ca="1">26931.8659022828*((RANDBETWEEN(1620,2416)))</f>
        <v>49015995.942154765</v>
      </c>
      <c r="B589">
        <v>148675078.84629351</v>
      </c>
    </row>
    <row r="590" spans="1:2" x14ac:dyDescent="0.25">
      <c r="A590">
        <f ca="1">27350.3210469994*((RANDBETWEEN(1620,2416)))</f>
        <v>62851037.766004555</v>
      </c>
      <c r="B590">
        <v>186319764.16324562</v>
      </c>
    </row>
    <row r="591" spans="1:2" x14ac:dyDescent="0.25">
      <c r="A591">
        <f ca="1">27852.5151751209*((RANDBETWEEN(1620,2416)))</f>
        <v>66595363.783713996</v>
      </c>
      <c r="B591">
        <v>167732537.83654222</v>
      </c>
    </row>
    <row r="592" spans="1:2" x14ac:dyDescent="0.25">
      <c r="A592">
        <f ca="1">27920.066275215*((RANDBETWEEN(1620,2416)))</f>
        <v>51931323.271899901</v>
      </c>
      <c r="B592">
        <v>186112537.43948275</v>
      </c>
    </row>
    <row r="593" spans="1:2" x14ac:dyDescent="0.25">
      <c r="A593">
        <f ca="1">27672.8317706194*((RANDBETWEEN(1620,2416)))</f>
        <v>63370784.754718475</v>
      </c>
      <c r="B593">
        <v>150314798.90552396</v>
      </c>
    </row>
    <row r="594" spans="1:2" x14ac:dyDescent="0.25">
      <c r="A594">
        <f ca="1">26390.4649176988*((RANDBETWEEN(1620,2416)))</f>
        <v>61278659.538896561</v>
      </c>
      <c r="B594">
        <v>185413605.45105827</v>
      </c>
    </row>
    <row r="595" spans="1:2" x14ac:dyDescent="0.25">
      <c r="A595">
        <f ca="1">33241.0587167688*((RANDBETWEEN(1620,2416)))</f>
        <v>75523685.40449886</v>
      </c>
      <c r="B595">
        <v>191881260.4105587</v>
      </c>
    </row>
    <row r="596" spans="1:2" x14ac:dyDescent="0.25">
      <c r="A596">
        <f ca="1">27842.0137876792*((RANDBETWEEN(1620,2416)))</f>
        <v>51034411.27281604</v>
      </c>
      <c r="B596">
        <v>188641005.42171043</v>
      </c>
    </row>
    <row r="597" spans="1:2" x14ac:dyDescent="0.25">
      <c r="A597">
        <f ca="1">30843.875083446*((RANDBETWEEN(1620,2416)))</f>
        <v>71187663.692593351</v>
      </c>
      <c r="B597">
        <v>158911330.09132287</v>
      </c>
    </row>
    <row r="598" spans="1:2" x14ac:dyDescent="0.25">
      <c r="A598">
        <f ca="1">28422.9081137221*((RANDBETWEEN(1620,2416)))</f>
        <v>63667314.174737491</v>
      </c>
      <c r="B598">
        <v>153876828.99813309</v>
      </c>
    </row>
    <row r="599" spans="1:2" x14ac:dyDescent="0.25">
      <c r="A599">
        <f ca="1">27547.4051492398*((RANDBETWEEN(1620,2416)))</f>
        <v>57298602.710418709</v>
      </c>
      <c r="B599">
        <v>200251592.12571231</v>
      </c>
    </row>
    <row r="600" spans="1:2" x14ac:dyDescent="0.25">
      <c r="A600">
        <f ca="1">28933.4370868837*((RANDBETWEEN(1620,2416)))</f>
        <v>50083779.597395711</v>
      </c>
      <c r="B600">
        <v>192782572.72720838</v>
      </c>
    </row>
    <row r="601" spans="1:2" x14ac:dyDescent="0.25">
      <c r="A601">
        <f ca="1">27614.0722361734*((RANDBETWEEN(1620,2416)))</f>
        <v>50257611.469835587</v>
      </c>
      <c r="B601">
        <v>148520780.28555745</v>
      </c>
    </row>
    <row r="602" spans="1:2" x14ac:dyDescent="0.25">
      <c r="A602">
        <f ca="1">27453.2544415972*((RANDBETWEEN(1620,2416)))</f>
        <v>63636643.79562223</v>
      </c>
      <c r="B602">
        <v>197328106.40995669</v>
      </c>
    </row>
    <row r="603" spans="1:2" x14ac:dyDescent="0.25">
      <c r="A603">
        <f ca="1">29014.1568835787*((RANDBETWEEN(1620,2416)))</f>
        <v>53066892.940065406</v>
      </c>
      <c r="B603">
        <v>194381862.13331226</v>
      </c>
    </row>
    <row r="604" spans="1:2" x14ac:dyDescent="0.25">
      <c r="A604">
        <f ca="1">33878.7483177845*((RANDBETWEEN(1620,2416)))</f>
        <v>73042581.37314339</v>
      </c>
      <c r="B604">
        <v>194218829.38154864</v>
      </c>
    </row>
    <row r="605" spans="1:2" x14ac:dyDescent="0.25">
      <c r="A605">
        <f ca="1">31446.7759613656*((RANDBETWEEN(1620,2416)))</f>
        <v>62830658.370808519</v>
      </c>
      <c r="B605">
        <v>166478951.81364191</v>
      </c>
    </row>
    <row r="606" spans="1:2" x14ac:dyDescent="0.25">
      <c r="A606">
        <f ca="1">28787.607286861*((RANDBETWEEN(1620,2416)))</f>
        <v>47873790.918049768</v>
      </c>
      <c r="B606">
        <v>181593798.51185507</v>
      </c>
    </row>
    <row r="607" spans="1:2" x14ac:dyDescent="0.25">
      <c r="A607">
        <f ca="1">28136.7749359713*((RANDBETWEEN(1620,2416)))</f>
        <v>64545761.703118064</v>
      </c>
      <c r="B607">
        <v>202989488.2575542</v>
      </c>
    </row>
    <row r="608" spans="1:2" x14ac:dyDescent="0.25">
      <c r="A608">
        <f ca="1">29930.8734853018*((RANDBETWEEN(1620,2416)))</f>
        <v>65758129.04720816</v>
      </c>
      <c r="B608">
        <v>188971853.69368008</v>
      </c>
    </row>
    <row r="609" spans="1:2" x14ac:dyDescent="0.25">
      <c r="A609">
        <f ca="1">27216.0477608491*((RANDBETWEEN(1620,2416)))</f>
        <v>61100027.22310622</v>
      </c>
      <c r="B609">
        <v>145327700.98411518</v>
      </c>
    </row>
    <row r="610" spans="1:2" x14ac:dyDescent="0.25">
      <c r="A610">
        <f ca="1">29877.8347295895*((RANDBETWEEN(1620,2416)))</f>
        <v>55871550.944332361</v>
      </c>
      <c r="B610">
        <v>171530200.55221468</v>
      </c>
    </row>
    <row r="611" spans="1:2" x14ac:dyDescent="0.25">
      <c r="A611">
        <f ca="1">26763.4736516311*((RANDBETWEEN(1620,2416)))</f>
        <v>47371348.363387138</v>
      </c>
      <c r="B611">
        <v>159588007.55168468</v>
      </c>
    </row>
    <row r="612" spans="1:2" x14ac:dyDescent="0.25">
      <c r="A612">
        <f ca="1">29307.195903357*((RANDBETWEEN(1620,2416)))</f>
        <v>55742286.608185031</v>
      </c>
      <c r="B612">
        <v>154370871.6127359</v>
      </c>
    </row>
    <row r="613" spans="1:2" x14ac:dyDescent="0.25">
      <c r="A613">
        <f ca="1">28787.8333299947*((RANDBETWEEN(1620,2416)))</f>
        <v>68457467.658727422</v>
      </c>
      <c r="B613">
        <v>163833167.98009995</v>
      </c>
    </row>
    <row r="614" spans="1:2" x14ac:dyDescent="0.25">
      <c r="A614">
        <f ca="1">30911.8575770255*((RANDBETWEEN(1620,2416)))</f>
        <v>74497576.760631576</v>
      </c>
      <c r="B614">
        <v>185135820.83344561</v>
      </c>
    </row>
    <row r="615" spans="1:2" x14ac:dyDescent="0.25">
      <c r="A615">
        <f ca="1">32900.9701132317*((RANDBETWEEN(1620,2416)))</f>
        <v>70111967.311296672</v>
      </c>
      <c r="B615">
        <v>196887465.32205898</v>
      </c>
    </row>
    <row r="616" spans="1:2" x14ac:dyDescent="0.25">
      <c r="A616">
        <f ca="1">27767.8251008047*((RANDBETWEEN(1620,2416)))</f>
        <v>63671622.956145138</v>
      </c>
      <c r="B616">
        <v>171500880.40475866</v>
      </c>
    </row>
    <row r="617" spans="1:2" x14ac:dyDescent="0.25">
      <c r="A617">
        <f ca="1">27110.5172377408*((RANDBETWEEN(1620,2416)))</f>
        <v>59426253.785127766</v>
      </c>
      <c r="B617">
        <v>158441512.94693473</v>
      </c>
    </row>
    <row r="618" spans="1:2" x14ac:dyDescent="0.25">
      <c r="A618">
        <f ca="1">28951.4485391238*((RANDBETWEEN(1620,2416)))</f>
        <v>65980351.220663145</v>
      </c>
      <c r="B618">
        <v>178642304.82944328</v>
      </c>
    </row>
    <row r="619" spans="1:2" x14ac:dyDescent="0.25">
      <c r="A619">
        <f ca="1">26254.6369202549*((RANDBETWEEN(1620,2416)))</f>
        <v>57707691.950720251</v>
      </c>
      <c r="B619">
        <v>144736409.99325144</v>
      </c>
    </row>
    <row r="620" spans="1:2" x14ac:dyDescent="0.25">
      <c r="A620">
        <f ca="1">25378.1456068422*((RANDBETWEEN(1620,2416)))</f>
        <v>45680662.092315912</v>
      </c>
      <c r="B620">
        <v>147600905.47936976</v>
      </c>
    </row>
    <row r="621" spans="1:2" x14ac:dyDescent="0.25">
      <c r="A621">
        <f ca="1">26143.8782016176*((RANDBETWEEN(1620,2416)))</f>
        <v>52575339.063452974</v>
      </c>
      <c r="B621">
        <v>203574499.04952979</v>
      </c>
    </row>
    <row r="622" spans="1:2" x14ac:dyDescent="0.25">
      <c r="A622">
        <f ca="1">27675.6689834776*((RANDBETWEEN(1620,2416)))</f>
        <v>59779445.004311658</v>
      </c>
      <c r="B622">
        <v>171099225.64609954</v>
      </c>
    </row>
    <row r="623" spans="1:2" x14ac:dyDescent="0.25">
      <c r="A623">
        <f ca="1">25504.2286619413*((RANDBETWEEN(1620,2416)))</f>
        <v>58379179.407183632</v>
      </c>
      <c r="B623">
        <v>144978196.01957032</v>
      </c>
    </row>
    <row r="624" spans="1:2" x14ac:dyDescent="0.25">
      <c r="A624">
        <f ca="1">26332.5451697761*((RANDBETWEEN(1620,2416)))</f>
        <v>62118474.055501796</v>
      </c>
      <c r="B624">
        <v>174925004.6787377</v>
      </c>
    </row>
    <row r="625" spans="1:2" x14ac:dyDescent="0.25">
      <c r="A625">
        <f ca="1">27198.2277733106*((RANDBETWEEN(1620,2416)))</f>
        <v>61440796.539908648</v>
      </c>
      <c r="B625">
        <v>157636914.22419453</v>
      </c>
    </row>
    <row r="626" spans="1:2" x14ac:dyDescent="0.25">
      <c r="A626">
        <f ca="1">28019.7766506636*((RANDBETWEEN(1620,2416)))</f>
        <v>49034609.138661474</v>
      </c>
      <c r="B626">
        <v>172060275.15952712</v>
      </c>
    </row>
    <row r="627" spans="1:2" x14ac:dyDescent="0.25">
      <c r="A627">
        <f ca="1">26322.6376189183*((RANDBETWEEN(1620,2416)))</f>
        <v>58199351.775428332</v>
      </c>
      <c r="B627">
        <v>155068919.70464998</v>
      </c>
    </row>
    <row r="628" spans="1:2" x14ac:dyDescent="0.25">
      <c r="A628">
        <f ca="1">25965.8947014007*((RANDBETWEEN(1620,2416)))</f>
        <v>48244632.355202504</v>
      </c>
      <c r="B628">
        <v>148550060.19388098</v>
      </c>
    </row>
    <row r="629" spans="1:2" x14ac:dyDescent="0.25">
      <c r="A629">
        <f ca="1">27410.9630984999*((RANDBETWEEN(1620,2416)))</f>
        <v>63949776.908800289</v>
      </c>
      <c r="B629">
        <v>149966675.12200192</v>
      </c>
    </row>
    <row r="630" spans="1:2" x14ac:dyDescent="0.25">
      <c r="A630">
        <f ca="1">28697.3411162384*((RANDBETWEEN(1620,2416)))</f>
        <v>65573424.450604811</v>
      </c>
      <c r="B630">
        <v>178638190.47150695</v>
      </c>
    </row>
    <row r="631" spans="1:2" x14ac:dyDescent="0.25">
      <c r="A631">
        <f ca="1">30751.059082756*((RANDBETWEEN(1620,2416)))</f>
        <v>67344819.391235679</v>
      </c>
      <c r="B631">
        <v>202949228.86021006</v>
      </c>
    </row>
    <row r="632" spans="1:2" x14ac:dyDescent="0.25">
      <c r="A632">
        <f ca="1">29134.3412514513*((RANDBETWEEN(1620,2416)))</f>
        <v>48770887.254929535</v>
      </c>
      <c r="B632">
        <v>176890193.46847427</v>
      </c>
    </row>
    <row r="633" spans="1:2" x14ac:dyDescent="0.25">
      <c r="A633">
        <f ca="1">25669.3698744514*((RANDBETWEEN(1620,2416)))</f>
        <v>48361092.843466379</v>
      </c>
      <c r="B633">
        <v>183704774.63706371</v>
      </c>
    </row>
    <row r="634" spans="1:2" x14ac:dyDescent="0.25">
      <c r="A634">
        <f ca="1">27671.7392677086*((RANDBETWEEN(1620,2416)))</f>
        <v>55869241.581503704</v>
      </c>
      <c r="B634">
        <v>165483730.65343735</v>
      </c>
    </row>
    <row r="635" spans="1:2" x14ac:dyDescent="0.25">
      <c r="A635">
        <f ca="1">28266.9280790341*((RANDBETWEEN(1620,2416)))</f>
        <v>56759991.582700565</v>
      </c>
      <c r="B635">
        <v>150662818.17496255</v>
      </c>
    </row>
    <row r="636" spans="1:2" x14ac:dyDescent="0.25">
      <c r="A636">
        <f ca="1">28229.4348632588*((RANDBETWEEN(1620,2416)))</f>
        <v>61511938.567040846</v>
      </c>
      <c r="B636">
        <v>147946195.04835117</v>
      </c>
    </row>
    <row r="637" spans="1:2" x14ac:dyDescent="0.25">
      <c r="A637">
        <f ca="1">26785.1892869182*((RANDBETWEEN(1620,2416)))</f>
        <v>54829282.470321581</v>
      </c>
      <c r="B637">
        <v>147371945.32447457</v>
      </c>
    </row>
    <row r="638" spans="1:2" x14ac:dyDescent="0.25">
      <c r="A638">
        <f ca="1">26842.2349924478*((RANDBETWEEN(1620,2416)))</f>
        <v>64126099.396957912</v>
      </c>
      <c r="B638">
        <v>152650247.61402422</v>
      </c>
    </row>
    <row r="639" spans="1:2" x14ac:dyDescent="0.25">
      <c r="A639">
        <f ca="1">31063.8505881509*((RANDBETWEEN(1620,2416)))</f>
        <v>67563875.02922824</v>
      </c>
      <c r="B639">
        <v>194991517.53023019</v>
      </c>
    </row>
    <row r="640" spans="1:2" x14ac:dyDescent="0.25">
      <c r="A640">
        <f ca="1">25492.7206429792*((RANDBETWEEN(1620,2416)))</f>
        <v>49302921.723521732</v>
      </c>
      <c r="B640">
        <v>168035868.96700096</v>
      </c>
    </row>
    <row r="641" spans="1:2" x14ac:dyDescent="0.25">
      <c r="A641">
        <f ca="1">26388.2703607345*((RANDBETWEEN(1620,2416)))</f>
        <v>43223986.850883044</v>
      </c>
      <c r="B641">
        <v>156746506.25638402</v>
      </c>
    </row>
    <row r="642" spans="1:2" x14ac:dyDescent="0.25">
      <c r="A642">
        <f ca="1">25371.9259760178*((RANDBETWEEN(1620,2416)))</f>
        <v>53534763.809397556</v>
      </c>
      <c r="B642">
        <v>184943708.89849156</v>
      </c>
    </row>
    <row r="643" spans="1:2" x14ac:dyDescent="0.25">
      <c r="A643">
        <f ca="1">25926.531884901*((RANDBETWEEN(1620,2416)))</f>
        <v>50790075.962521091</v>
      </c>
      <c r="B643">
        <v>157377993.36083135</v>
      </c>
    </row>
    <row r="644" spans="1:2" x14ac:dyDescent="0.25">
      <c r="A644">
        <f ca="1">25799.6238465998*((RANDBETWEEN(1620,2416)))</f>
        <v>51470249.57396666</v>
      </c>
      <c r="B644">
        <v>150300555.42657849</v>
      </c>
    </row>
    <row r="645" spans="1:2" x14ac:dyDescent="0.25">
      <c r="A645">
        <f ca="1">27511.3701606534*((RANDBETWEEN(1620,2416)))</f>
        <v>51473773.570582546</v>
      </c>
      <c r="B645">
        <v>160709044.29460409</v>
      </c>
    </row>
    <row r="646" spans="1:2" x14ac:dyDescent="0.25">
      <c r="A646">
        <f ca="1">32430.4643275249*((RANDBETWEEN(1620,2416)))</f>
        <v>74557637.488979682</v>
      </c>
      <c r="B646">
        <v>174745251.46892276</v>
      </c>
    </row>
    <row r="647" spans="1:2" x14ac:dyDescent="0.25">
      <c r="A647">
        <f ca="1">27466.3476473954*((RANDBETWEEN(1620,2416)))</f>
        <v>52790320.178293899</v>
      </c>
      <c r="B647">
        <v>148804873.68151829</v>
      </c>
    </row>
    <row r="648" spans="1:2" x14ac:dyDescent="0.25">
      <c r="A648">
        <f ca="1">29541.2167669074*((RANDBETWEEN(1620,2416)))</f>
        <v>51431258.391185701</v>
      </c>
      <c r="B648">
        <v>187997182.10124326</v>
      </c>
    </row>
    <row r="649" spans="1:2" x14ac:dyDescent="0.25">
      <c r="A649">
        <f ca="1">26835.1398616727*((RANDBETWEEN(1620,2416)))</f>
        <v>59225153.674711563</v>
      </c>
      <c r="B649">
        <v>146413453.66099453</v>
      </c>
    </row>
    <row r="650" spans="1:2" x14ac:dyDescent="0.25">
      <c r="A650">
        <f ca="1">29625.9128958137*((RANDBETWEEN(1620,2416)))</f>
        <v>56792875.021274813</v>
      </c>
      <c r="B650">
        <v>193907730.3407014</v>
      </c>
    </row>
    <row r="651" spans="1:2" x14ac:dyDescent="0.25">
      <c r="A651">
        <f ca="1">27919.1419931858*((RANDBETWEEN(1620,2416)))</f>
        <v>66754668.505707324</v>
      </c>
      <c r="B651">
        <v>203368437.85742623</v>
      </c>
    </row>
    <row r="652" spans="1:2" x14ac:dyDescent="0.25">
      <c r="A652">
        <f ca="1">26565.5228471841*((RANDBETWEEN(1620,2416)))</f>
        <v>57434660.395611934</v>
      </c>
      <c r="B652">
        <v>154885904.40041825</v>
      </c>
    </row>
    <row r="653" spans="1:2" x14ac:dyDescent="0.25">
      <c r="A653">
        <f ca="1">29617.2117149381*((RANDBETWEEN(1620,2416)))</f>
        <v>51297010.690272801</v>
      </c>
      <c r="B653">
        <v>149903608.50134766</v>
      </c>
    </row>
    <row r="654" spans="1:2" x14ac:dyDescent="0.25">
      <c r="A654">
        <f ca="1">27017.702119214*((RANDBETWEEN(1620,2416)))</f>
        <v>59547015.470747747</v>
      </c>
      <c r="B654">
        <v>166918456.36405104</v>
      </c>
    </row>
    <row r="655" spans="1:2" x14ac:dyDescent="0.25">
      <c r="A655">
        <f ca="1">25411.3343849153*((RANDBETWEEN(1620,2416)))</f>
        <v>57531261.0474483</v>
      </c>
      <c r="B655">
        <v>147293392.31801164</v>
      </c>
    </row>
    <row r="656" spans="1:2" x14ac:dyDescent="0.25">
      <c r="A656">
        <f ca="1">31508.1060151013*((RANDBETWEEN(1620,2416)))</f>
        <v>66576628.009909056</v>
      </c>
      <c r="B656">
        <v>176761720.22185037</v>
      </c>
    </row>
    <row r="657" spans="1:2" x14ac:dyDescent="0.25">
      <c r="A657">
        <f ca="1">29665.7121238417*((RANDBETWEEN(1620,2416)))</f>
        <v>62386992.596438989</v>
      </c>
      <c r="B657">
        <v>191825705.76349151</v>
      </c>
    </row>
    <row r="658" spans="1:2" x14ac:dyDescent="0.25">
      <c r="A658">
        <f ca="1">28564.3172823964*((RANDBETWEEN(1620,2416)))</f>
        <v>54386460.105682746</v>
      </c>
      <c r="B658">
        <v>143478567.34717041</v>
      </c>
    </row>
    <row r="659" spans="1:2" x14ac:dyDescent="0.25">
      <c r="A659">
        <f ca="1">26554.7382033938*((RANDBETWEEN(1620,2416)))</f>
        <v>61394554.726246566</v>
      </c>
      <c r="B659">
        <v>157229594.38677448</v>
      </c>
    </row>
    <row r="660" spans="1:2" x14ac:dyDescent="0.25">
      <c r="A660">
        <f ca="1">29635.0968377211*((RANDBETWEEN(1620,2416)))</f>
        <v>62115162.971863389</v>
      </c>
      <c r="B660">
        <v>178960163.40475968</v>
      </c>
    </row>
    <row r="661" spans="1:2" x14ac:dyDescent="0.25">
      <c r="A661">
        <f ca="1">26715.7092998289*((RANDBETWEEN(1620,2416)))</f>
        <v>63049073.94759614</v>
      </c>
      <c r="B661">
        <v>163643944.41260082</v>
      </c>
    </row>
    <row r="662" spans="1:2" x14ac:dyDescent="0.25">
      <c r="A662">
        <f ca="1">27212.7401490136*((RANDBETWEEN(1620,2416)))</f>
        <v>59269348.044551551</v>
      </c>
      <c r="B662">
        <v>146456434.03297514</v>
      </c>
    </row>
    <row r="663" spans="1:2" x14ac:dyDescent="0.25">
      <c r="A663">
        <f ca="1">29679.9028514432*((RANDBETWEEN(1620,2416)))</f>
        <v>53839343.772518009</v>
      </c>
      <c r="B663">
        <v>181628844.68114254</v>
      </c>
    </row>
    <row r="664" spans="1:2" x14ac:dyDescent="0.25">
      <c r="A664">
        <f ca="1">27058.226367582*((RANDBETWEEN(1620,2416)))</f>
        <v>63478599.058347397</v>
      </c>
      <c r="B664">
        <v>171769343.00017524</v>
      </c>
    </row>
    <row r="665" spans="1:2" x14ac:dyDescent="0.25">
      <c r="A665">
        <f ca="1">26663.4356023782*((RANDBETWEEN(1620,2416)))</f>
        <v>57059752.189089432</v>
      </c>
      <c r="B665">
        <v>154150305.45588264</v>
      </c>
    </row>
    <row r="666" spans="1:2" x14ac:dyDescent="0.25">
      <c r="A666">
        <f ca="1">27382.1025203535*((RANDBETWEEN(1620,2416)))</f>
        <v>57009537.447375983</v>
      </c>
      <c r="B666">
        <v>151234169.47270596</v>
      </c>
    </row>
    <row r="667" spans="1:2" x14ac:dyDescent="0.25">
      <c r="A667">
        <f ca="1">26670.328284041*((RANDBETWEEN(1620,2416)))</f>
        <v>46112997.603106879</v>
      </c>
      <c r="B667">
        <v>150446619.11466685</v>
      </c>
    </row>
    <row r="668" spans="1:2" x14ac:dyDescent="0.25">
      <c r="A668">
        <f ca="1">26030.7841330691*((RANDBETWEEN(1620,2416)))</f>
        <v>56512832.35289292</v>
      </c>
      <c r="B668">
        <v>144509777.01545328</v>
      </c>
    </row>
    <row r="669" spans="1:2" x14ac:dyDescent="0.25">
      <c r="A669">
        <f ca="1">26279.9617171019*((RANDBETWEEN(1620,2416)))</f>
        <v>45332933.962000743</v>
      </c>
      <c r="B669">
        <v>167377469.33940676</v>
      </c>
    </row>
    <row r="670" spans="1:2" x14ac:dyDescent="0.25">
      <c r="A670">
        <f ca="1">27826.3341613883*((RANDBETWEEN(1620,2416)))</f>
        <v>65586669.618392281</v>
      </c>
      <c r="B670">
        <v>171559741.12157515</v>
      </c>
    </row>
    <row r="671" spans="1:2" x14ac:dyDescent="0.25">
      <c r="A671">
        <f ca="1">26655.7715421475*((RANDBETWEEN(1620,2416)))</f>
        <v>63334113.184142433</v>
      </c>
      <c r="B671">
        <v>176803157.82826602</v>
      </c>
    </row>
    <row r="672" spans="1:2" x14ac:dyDescent="0.25">
      <c r="A672">
        <f ca="1">27098.4974090559*((RANDBETWEEN(1620,2416)))</f>
        <v>49021181.812982194</v>
      </c>
      <c r="B672">
        <v>168265649.47172955</v>
      </c>
    </row>
    <row r="673" spans="1:2" x14ac:dyDescent="0.25">
      <c r="A673">
        <f ca="1">27516.196674825*((RANDBETWEEN(1620,2416)))</f>
        <v>46860082.937227026</v>
      </c>
      <c r="B673">
        <v>148825327.06692371</v>
      </c>
    </row>
    <row r="674" spans="1:2" x14ac:dyDescent="0.25">
      <c r="A674">
        <f ca="1">27403.9390139583*((RANDBETWEEN(1620,2416)))</f>
        <v>45106883.61697533</v>
      </c>
      <c r="B674">
        <v>188452394.00205868</v>
      </c>
    </row>
    <row r="675" spans="1:2" x14ac:dyDescent="0.25">
      <c r="A675">
        <f ca="1">26154.068578565*((RANDBETWEEN(1620,2416)))</f>
        <v>49065032.653388023</v>
      </c>
      <c r="B675">
        <v>185953226.40395057</v>
      </c>
    </row>
    <row r="676" spans="1:2" x14ac:dyDescent="0.25">
      <c r="A676">
        <f ca="1">29657.7803912594*((RANDBETWEEN(1620,2416)))</f>
        <v>57684382.860999621</v>
      </c>
      <c r="B676">
        <v>152841741.51239741</v>
      </c>
    </row>
    <row r="677" spans="1:2" x14ac:dyDescent="0.25">
      <c r="A677">
        <f ca="1">27054.0189333657*((RANDBETWEEN(1620,2416)))</f>
        <v>44368591.050719716</v>
      </c>
      <c r="B677">
        <v>193679776.58270335</v>
      </c>
    </row>
    <row r="678" spans="1:2" x14ac:dyDescent="0.25">
      <c r="A678">
        <f ca="1">32027.1877106396*((RANDBETWEEN(1620,2416)))</f>
        <v>63509913.230198301</v>
      </c>
      <c r="B678">
        <v>199212174.66802603</v>
      </c>
    </row>
    <row r="679" spans="1:2" x14ac:dyDescent="0.25">
      <c r="A679">
        <f ca="1">26453.6162860616*((RANDBETWEEN(1620,2416)))</f>
        <v>50658675.187807888</v>
      </c>
      <c r="B679">
        <v>178004320.05807662</v>
      </c>
    </row>
    <row r="680" spans="1:2" x14ac:dyDescent="0.25">
      <c r="A680">
        <f ca="1">26651.6271667556*((RANDBETWEEN(1620,2416)))</f>
        <v>60099419.261033826</v>
      </c>
      <c r="B680">
        <v>155711097.87578148</v>
      </c>
    </row>
    <row r="681" spans="1:2" x14ac:dyDescent="0.25">
      <c r="A681">
        <f ca="1">30061.9862181267*((RANDBETWEEN(1620,2416)))</f>
        <v>70675729.598815888</v>
      </c>
      <c r="B681">
        <v>198484701.20906448</v>
      </c>
    </row>
    <row r="682" spans="1:2" x14ac:dyDescent="0.25">
      <c r="A682">
        <f ca="1">26105.1811978213*((RANDBETWEEN(1620,2416)))</f>
        <v>62156436.432012603</v>
      </c>
      <c r="B682">
        <v>156037548.40734595</v>
      </c>
    </row>
    <row r="683" spans="1:2" x14ac:dyDescent="0.25">
      <c r="A683">
        <f ca="1">32588.2513890633*((RANDBETWEEN(1620,2416)))</f>
        <v>56051792.389188841</v>
      </c>
      <c r="B683">
        <v>201650378.95538226</v>
      </c>
    </row>
    <row r="684" spans="1:2" x14ac:dyDescent="0.25">
      <c r="A684">
        <f ca="1">27930.3076548759*((RANDBETWEEN(1620,2416)))</f>
        <v>58206761.152761295</v>
      </c>
      <c r="B684">
        <v>145876760.29308084</v>
      </c>
    </row>
    <row r="685" spans="1:2" x14ac:dyDescent="0.25">
      <c r="A685">
        <f ca="1">27533.4029424838*((RANDBETWEEN(1620,2416)))</f>
        <v>58921482.296915278</v>
      </c>
      <c r="B685">
        <v>184118709.99871868</v>
      </c>
    </row>
    <row r="686" spans="1:2" x14ac:dyDescent="0.25">
      <c r="A686">
        <f ca="1">28125.0487589784*((RANDBETWEEN(1620,2416)))</f>
        <v>59906353.856624037</v>
      </c>
      <c r="B686">
        <v>161490048.3654063</v>
      </c>
    </row>
    <row r="687" spans="1:2" x14ac:dyDescent="0.25">
      <c r="A687">
        <f ca="1">32753.7013761002*((RANDBETWEEN(1620,2416)))</f>
        <v>57908544.032945067</v>
      </c>
      <c r="B687">
        <v>199141598.16534603</v>
      </c>
    </row>
    <row r="688" spans="1:2" x14ac:dyDescent="0.25">
      <c r="A688">
        <f ca="1">28206.6515267321*((RANDBETWEEN(1620,2416)))</f>
        <v>55002970.477127641</v>
      </c>
      <c r="B688">
        <v>153968171.65491179</v>
      </c>
    </row>
    <row r="689" spans="1:2" x14ac:dyDescent="0.25">
      <c r="A689">
        <f ca="1">25550.8952313076*((RANDBETWEEN(1620,2416)))</f>
        <v>54576712.21407301</v>
      </c>
      <c r="B689">
        <v>162765636.71116519</v>
      </c>
    </row>
    <row r="690" spans="1:2" x14ac:dyDescent="0.25">
      <c r="A690">
        <f ca="1">27797.5207779295*((RANDBETWEEN(1620,2416)))</f>
        <v>62516624.229563341</v>
      </c>
      <c r="B690">
        <v>144932544.03876382</v>
      </c>
    </row>
    <row r="691" spans="1:2" x14ac:dyDescent="0.25">
      <c r="A691">
        <f ca="1">27765.2993712547*((RANDBETWEEN(1620,2416)))</f>
        <v>50505079.556312233</v>
      </c>
      <c r="B691">
        <v>148248100.40451053</v>
      </c>
    </row>
    <row r="692" spans="1:2" x14ac:dyDescent="0.25">
      <c r="A692">
        <f ca="1">29380.5691921753*((RANDBETWEEN(1620,2416)))</f>
        <v>63814596.285404719</v>
      </c>
      <c r="B692">
        <v>161825302.03990865</v>
      </c>
    </row>
    <row r="693" spans="1:2" x14ac:dyDescent="0.25">
      <c r="A693">
        <f ca="1">28465.9468429816*((RANDBETWEEN(1620,2416)))</f>
        <v>63393663.619320035</v>
      </c>
      <c r="B693">
        <v>151394316.08274108</v>
      </c>
    </row>
    <row r="694" spans="1:2" x14ac:dyDescent="0.25">
      <c r="A694">
        <f ca="1">26838.6065339131*((RANDBETWEEN(1620,2416)))</f>
        <v>56387912.327751502</v>
      </c>
      <c r="B694">
        <v>151468660.48057055</v>
      </c>
    </row>
    <row r="695" spans="1:2" x14ac:dyDescent="0.25">
      <c r="A695">
        <f ca="1">30414.3633513042*((RANDBETWEEN(1620,2416)))</f>
        <v>55567041.842832699</v>
      </c>
      <c r="B695">
        <v>163666298.54860047</v>
      </c>
    </row>
    <row r="696" spans="1:2" x14ac:dyDescent="0.25">
      <c r="A696">
        <f ca="1">29549.585993468*((RANDBETWEEN(1620,2416)))</f>
        <v>54814482.017883092</v>
      </c>
      <c r="B696">
        <v>167388760.87808907</v>
      </c>
    </row>
    <row r="697" spans="1:2" x14ac:dyDescent="0.25">
      <c r="A697">
        <f ca="1">32757.5230096166*((RANDBETWEEN(1620,2416)))</f>
        <v>72001035.575137198</v>
      </c>
      <c r="B697">
        <v>175123171.17688939</v>
      </c>
    </row>
    <row r="698" spans="1:2" x14ac:dyDescent="0.25">
      <c r="A698">
        <f ca="1">30804.9935564176*((RANDBETWEEN(1620,2416)))</f>
        <v>60131347.422127061</v>
      </c>
      <c r="B698">
        <v>203156953.39534181</v>
      </c>
    </row>
    <row r="699" spans="1:2" x14ac:dyDescent="0.25">
      <c r="A699">
        <f ca="1">26168.4476563534*((RANDBETWEEN(1620,2416)))</f>
        <v>46082636.322838306</v>
      </c>
      <c r="B699">
        <v>170918427.89516652</v>
      </c>
    </row>
    <row r="700" spans="1:2" x14ac:dyDescent="0.25">
      <c r="A700">
        <f ca="1">26135.4464158446*((RANDBETWEEN(1620,2416)))</f>
        <v>51434558.546382114</v>
      </c>
      <c r="B700">
        <v>146099497.18693337</v>
      </c>
    </row>
    <row r="701" spans="1:2" x14ac:dyDescent="0.25">
      <c r="A701">
        <f ca="1">28651.4413113804*((RANDBETWEEN(1620,2416)))</f>
        <v>69221882.208295122</v>
      </c>
      <c r="B701">
        <v>188084275.57565004</v>
      </c>
    </row>
    <row r="702" spans="1:2" x14ac:dyDescent="0.25">
      <c r="A702">
        <f ca="1">27335.8023166935*((RANDBETWEEN(1620,2416)))</f>
        <v>56011058.946904883</v>
      </c>
      <c r="B702">
        <v>145543325.69684881</v>
      </c>
    </row>
    <row r="703" spans="1:2" x14ac:dyDescent="0.25">
      <c r="A703">
        <f ca="1">25190.8155974212*((RANDBETWEEN(1620,2416)))</f>
        <v>44663316.054227717</v>
      </c>
      <c r="B703">
        <v>173265899.5971306</v>
      </c>
    </row>
    <row r="704" spans="1:2" x14ac:dyDescent="0.25">
      <c r="A704">
        <f ca="1">27664.3291772781*((RANDBETWEEN(1620,2416)))</f>
        <v>47223009.905613743</v>
      </c>
      <c r="B704">
        <v>152330280.78448334</v>
      </c>
    </row>
    <row r="705" spans="1:2" x14ac:dyDescent="0.25">
      <c r="A705">
        <f ca="1">26172.6086266508*((RANDBETWEEN(1620,2416)))</f>
        <v>47006005.093464762</v>
      </c>
      <c r="B705">
        <v>190338227.76663443</v>
      </c>
    </row>
    <row r="706" spans="1:2" x14ac:dyDescent="0.25">
      <c r="A706">
        <f ca="1">30086.7915047462*((RANDBETWEEN(1620,2416)))</f>
        <v>67755454.468688518</v>
      </c>
      <c r="B706">
        <v>184153740.33570778</v>
      </c>
    </row>
    <row r="707" spans="1:2" x14ac:dyDescent="0.25">
      <c r="A707">
        <f ca="1">26854.6708617197*((RANDBETWEEN(1620,2416)))</f>
        <v>56824483.543398909</v>
      </c>
      <c r="B707">
        <v>149673436.85968423</v>
      </c>
    </row>
    <row r="708" spans="1:2" x14ac:dyDescent="0.25">
      <c r="A708">
        <f ca="1">26695.5715022645*((RANDBETWEEN(1620,2416)))</f>
        <v>58730257.304981835</v>
      </c>
      <c r="B708">
        <v>156244572.18981066</v>
      </c>
    </row>
    <row r="709" spans="1:2" x14ac:dyDescent="0.25">
      <c r="A709">
        <f ca="1">27829.8719977508*((RANDBETWEEN(1620,2416)))</f>
        <v>66930842.154590704</v>
      </c>
      <c r="B709">
        <v>176640174.55473891</v>
      </c>
    </row>
    <row r="710" spans="1:2" x14ac:dyDescent="0.25">
      <c r="A710">
        <f ca="1">29010.008467708*((RANDBETWEEN(1620,2416)))</f>
        <v>50767514.818489008</v>
      </c>
      <c r="B710">
        <v>157277286.92269185</v>
      </c>
    </row>
    <row r="711" spans="1:2" x14ac:dyDescent="0.25">
      <c r="A711">
        <f ca="1">24797.6799160554*((RANDBETWEEN(1620,2416)))</f>
        <v>44809407.608312085</v>
      </c>
      <c r="B711">
        <v>146561057.70189431</v>
      </c>
    </row>
    <row r="712" spans="1:2" x14ac:dyDescent="0.25">
      <c r="A712">
        <f ca="1">33544.990352913*((RANDBETWEEN(1620,2416)))</f>
        <v>71316649.49029313</v>
      </c>
      <c r="B712">
        <v>192518150.12876981</v>
      </c>
    </row>
    <row r="713" spans="1:2" x14ac:dyDescent="0.25">
      <c r="A713">
        <f ca="1">26620.7320031513*((RANDBETWEEN(1620,2416)))</f>
        <v>51803944.478132427</v>
      </c>
      <c r="B713">
        <v>186832884.41541958</v>
      </c>
    </row>
    <row r="714" spans="1:2" x14ac:dyDescent="0.25">
      <c r="A714">
        <f ca="1">26182.8580568972*((RANDBETWEEN(1620,2416)))</f>
        <v>45924733.031797722</v>
      </c>
      <c r="B714">
        <v>149039514.35801533</v>
      </c>
    </row>
    <row r="715" spans="1:2" x14ac:dyDescent="0.25">
      <c r="A715">
        <f ca="1">27532.6055950982*((RANDBETWEEN(1620,2416)))</f>
        <v>54624689.500674814</v>
      </c>
      <c r="B715">
        <v>160601781.96583968</v>
      </c>
    </row>
    <row r="716" spans="1:2" x14ac:dyDescent="0.25">
      <c r="A716">
        <f ca="1">28439.2783992675*((RANDBETWEEN(1620,2416)))</f>
        <v>61969187.632003888</v>
      </c>
      <c r="B716">
        <v>181622709.79379407</v>
      </c>
    </row>
    <row r="717" spans="1:2" x14ac:dyDescent="0.25">
      <c r="A717">
        <f ca="1">28982.4448024997*((RANDBETWEEN(1620,2416)))</f>
        <v>49646927.946682036</v>
      </c>
      <c r="B717">
        <v>158384980.0879721</v>
      </c>
    </row>
    <row r="718" spans="1:2" x14ac:dyDescent="0.25">
      <c r="A718">
        <f ca="1">28845.6230571743*((RANDBETWEEN(1620,2416)))</f>
        <v>52614416.456285886</v>
      </c>
      <c r="B718">
        <v>159269028.56085393</v>
      </c>
    </row>
    <row r="719" spans="1:2" x14ac:dyDescent="0.25">
      <c r="A719">
        <f ca="1">26131.0203826641*((RANDBETWEEN(1620,2416)))</f>
        <v>47610719.137213945</v>
      </c>
      <c r="B719">
        <v>174445325.91609737</v>
      </c>
    </row>
    <row r="720" spans="1:2" x14ac:dyDescent="0.25">
      <c r="A720">
        <f ca="1">25249.8820656052*((RANDBETWEEN(1620,2416)))</f>
        <v>52216756.11167147</v>
      </c>
      <c r="B720">
        <v>149458872.42512494</v>
      </c>
    </row>
    <row r="721" spans="1:2" x14ac:dyDescent="0.25">
      <c r="A721">
        <f ca="1">29729.614523247*((RANDBETWEEN(1620,2416)))</f>
        <v>70726752.950804621</v>
      </c>
      <c r="B721">
        <v>166109613.28389749</v>
      </c>
    </row>
    <row r="722" spans="1:2" x14ac:dyDescent="0.25">
      <c r="A722">
        <f ca="1">29349.3578361408*((RANDBETWEEN(1620,2416)))</f>
        <v>48690584.650157578</v>
      </c>
      <c r="B722">
        <v>201016014.19667262</v>
      </c>
    </row>
    <row r="723" spans="1:2" x14ac:dyDescent="0.25">
      <c r="A723">
        <f ca="1">33613.4450584384*((RANDBETWEEN(1620,2416)))</f>
        <v>60470587.660130739</v>
      </c>
      <c r="B723">
        <v>159559854.68135953</v>
      </c>
    </row>
    <row r="724" spans="1:2" x14ac:dyDescent="0.25">
      <c r="A724">
        <f ca="1">26859.5400681654*((RANDBETWEEN(1620,2416)))</f>
        <v>63549671.801279299</v>
      </c>
      <c r="B724">
        <v>202841470.50515842</v>
      </c>
    </row>
    <row r="725" spans="1:2" x14ac:dyDescent="0.25">
      <c r="A725">
        <f ca="1">26478.5841974548*((RANDBETWEEN(1620,2416)))</f>
        <v>44589935.788513966</v>
      </c>
      <c r="B725">
        <v>143247035.56478727</v>
      </c>
    </row>
    <row r="726" spans="1:2" x14ac:dyDescent="0.25">
      <c r="A726">
        <f ca="1">28878.4454104467*((RANDBETWEEN(1620,2416)))</f>
        <v>50046345.896304116</v>
      </c>
      <c r="B726">
        <v>183193363.67613482</v>
      </c>
    </row>
    <row r="727" spans="1:2" x14ac:dyDescent="0.25">
      <c r="A727">
        <f ca="1">28454.3069216403*((RANDBETWEEN(1620,2416)))</f>
        <v>49795037.112870522</v>
      </c>
      <c r="B727">
        <v>172718367.71450669</v>
      </c>
    </row>
    <row r="728" spans="1:2" x14ac:dyDescent="0.25">
      <c r="A728">
        <f ca="1">26840.028496968*((RANDBETWEEN(1620,2416)))</f>
        <v>51828095.027645282</v>
      </c>
      <c r="B728">
        <v>163996485.08581942</v>
      </c>
    </row>
    <row r="729" spans="1:2" x14ac:dyDescent="0.25">
      <c r="A729">
        <f ca="1">27996.9606258929*((RANDBETWEEN(1620,2416)))</f>
        <v>62573206.998870522</v>
      </c>
      <c r="B729">
        <v>166303730.63185909</v>
      </c>
    </row>
    <row r="730" spans="1:2" x14ac:dyDescent="0.25">
      <c r="A730">
        <f ca="1">27765.2041679011*((RANDBETWEEN(1620,2416)))</f>
        <v>56529955.685846627</v>
      </c>
      <c r="B730">
        <v>176747912.51756677</v>
      </c>
    </row>
    <row r="731" spans="1:2" x14ac:dyDescent="0.25">
      <c r="A731">
        <f ca="1">28751.8010075644*((RANDBETWEEN(1620,2416)))</f>
        <v>49309338.727972977</v>
      </c>
      <c r="B731">
        <v>183241356.33780068</v>
      </c>
    </row>
    <row r="732" spans="1:2" x14ac:dyDescent="0.25">
      <c r="A732">
        <f ca="1">32241.3140807749*((RANDBETWEEN(1620,2416)))</f>
        <v>61419703.32387612</v>
      </c>
      <c r="B732">
        <v>202418707.91368479</v>
      </c>
    </row>
    <row r="733" spans="1:2" x14ac:dyDescent="0.25">
      <c r="A733">
        <f ca="1">26410.5085706961*((RANDBETWEEN(1620,2416)))</f>
        <v>54220774.095638998</v>
      </c>
      <c r="B733">
        <v>165026901.50825331</v>
      </c>
    </row>
    <row r="734" spans="1:2" x14ac:dyDescent="0.25">
      <c r="A734">
        <f ca="1">26191.2313004345*((RANDBETWEEN(1620,2416)))</f>
        <v>62413704.188935339</v>
      </c>
      <c r="B734">
        <v>161929072.33584747</v>
      </c>
    </row>
    <row r="735" spans="1:2" x14ac:dyDescent="0.25">
      <c r="A735">
        <f ca="1">26486.3887060001*((RANDBETWEEN(1620,2416)))</f>
        <v>60177075.14003218</v>
      </c>
      <c r="B735">
        <v>200386241.56335753</v>
      </c>
    </row>
    <row r="736" spans="1:2" x14ac:dyDescent="0.25">
      <c r="A736">
        <f ca="1">24794.4129368045*((RANDBETWEEN(1620,2416)))</f>
        <v>43737344.420523167</v>
      </c>
      <c r="B736">
        <v>161836755.90988255</v>
      </c>
    </row>
    <row r="737" spans="1:2" x14ac:dyDescent="0.25">
      <c r="A737">
        <f ca="1">27091.7246809122*((RANDBETWEEN(1620,2416)))</f>
        <v>59493427.399283245</v>
      </c>
      <c r="B737">
        <v>147515338.26710203</v>
      </c>
    </row>
    <row r="738" spans="1:2" x14ac:dyDescent="0.25">
      <c r="A738">
        <f ca="1">32005.0026656476*((RANDBETWEEN(1620,2416)))</f>
        <v>60137400.008751824</v>
      </c>
      <c r="B738">
        <v>187359072.25784335</v>
      </c>
    </row>
    <row r="739" spans="1:2" x14ac:dyDescent="0.25">
      <c r="A739">
        <f ca="1">31388.3404022614*((RANDBETWEEN(1620,2416)))</f>
        <v>66888553.397218995</v>
      </c>
      <c r="B739">
        <v>150309566.25003499</v>
      </c>
    </row>
    <row r="740" spans="1:2" x14ac:dyDescent="0.25">
      <c r="A740">
        <f ca="1">26512.6998589994*((RANDBETWEEN(1620,2416)))</f>
        <v>58221888.890362769</v>
      </c>
      <c r="B740">
        <v>145894224.4691397</v>
      </c>
    </row>
    <row r="741" spans="1:2" x14ac:dyDescent="0.25">
      <c r="A741">
        <f ca="1">25457.9242389754*((RANDBETWEEN(1620,2416)))</f>
        <v>44449535.721251123</v>
      </c>
      <c r="B741">
        <v>143195715.71145004</v>
      </c>
    </row>
    <row r="742" spans="1:2" x14ac:dyDescent="0.25">
      <c r="A742">
        <f ca="1">26024.5496908701*((RANDBETWEEN(1620,2416)))</f>
        <v>53350326.866283752</v>
      </c>
      <c r="B742">
        <v>147743929.5290097</v>
      </c>
    </row>
    <row r="743" spans="1:2" x14ac:dyDescent="0.25">
      <c r="A743">
        <f ca="1">26970.9370355498*((RANDBETWEEN(1620,2416)))</f>
        <v>47603703.867745407</v>
      </c>
      <c r="B743">
        <v>169970417.02793473</v>
      </c>
    </row>
    <row r="744" spans="1:2" x14ac:dyDescent="0.25">
      <c r="A744">
        <f ca="1">26642.5607782264*((RANDBETWEEN(1620,2416)))</f>
        <v>54404109.109138221</v>
      </c>
      <c r="B744">
        <v>181267361.41980651</v>
      </c>
    </row>
    <row r="745" spans="1:2" x14ac:dyDescent="0.25">
      <c r="A745">
        <f ca="1">25870.3398091594*((RANDBETWEEN(1620,2416)))</f>
        <v>44445243.79213582</v>
      </c>
      <c r="B745">
        <v>193498345.51906317</v>
      </c>
    </row>
    <row r="746" spans="1:2" x14ac:dyDescent="0.25">
      <c r="A746">
        <f ca="1">31710.3930450118*((RANDBETWEEN(1620,2416)))</f>
        <v>53305170.708664797</v>
      </c>
      <c r="B746">
        <v>178166250.92205101</v>
      </c>
    </row>
    <row r="747" spans="1:2" x14ac:dyDescent="0.25">
      <c r="A747">
        <f ca="1">27750.6654447505*((RANDBETWEEN(1620,2416)))</f>
        <v>54557808.264379621</v>
      </c>
      <c r="B747">
        <v>193247147.00883332</v>
      </c>
    </row>
    <row r="748" spans="1:2" x14ac:dyDescent="0.25">
      <c r="A748">
        <f ca="1">27828.2855768771*((RANDBETWEEN(1620,2416)))</f>
        <v>57159298.574905515</v>
      </c>
      <c r="B748">
        <v>167293094.76015824</v>
      </c>
    </row>
    <row r="749" spans="1:2" x14ac:dyDescent="0.25">
      <c r="A749">
        <f ca="1">27350.4894926957*((RANDBETWEEN(1620,2416)))</f>
        <v>58256542.619441926</v>
      </c>
      <c r="B749">
        <v>173734245.51133895</v>
      </c>
    </row>
    <row r="750" spans="1:2" x14ac:dyDescent="0.25">
      <c r="A750">
        <f ca="1">28019.064886009*((RANDBETWEEN(1620,2416)))</f>
        <v>46119380.802370764</v>
      </c>
      <c r="B750">
        <v>191307607.64635664</v>
      </c>
    </row>
    <row r="751" spans="1:2" x14ac:dyDescent="0.25">
      <c r="A751">
        <f ca="1">32234.8066361413*((RANDBETWEEN(1620,2416)))</f>
        <v>57861477.911873616</v>
      </c>
      <c r="B751">
        <v>184016592.95140326</v>
      </c>
    </row>
    <row r="752" spans="1:2" x14ac:dyDescent="0.25">
      <c r="A752">
        <f ca="1">27705.6922411276*((RANDBETWEEN(1620,2416)))</f>
        <v>59622649.702906691</v>
      </c>
      <c r="B752">
        <v>187193302.87860811</v>
      </c>
    </row>
    <row r="753" spans="1:2" x14ac:dyDescent="0.25">
      <c r="A753">
        <f ca="1">27092.4632076213*((RANDBETWEEN(1620,2416)))</f>
        <v>57408929.536949605</v>
      </c>
      <c r="B753">
        <v>174254838.17910999</v>
      </c>
    </row>
    <row r="754" spans="1:2" x14ac:dyDescent="0.25">
      <c r="A754">
        <f ca="1">29292.5651226476*((RANDBETWEEN(1620,2416)))</f>
        <v>59170981.547748238</v>
      </c>
      <c r="B754">
        <v>163390667.51205525</v>
      </c>
    </row>
    <row r="755" spans="1:2" x14ac:dyDescent="0.25">
      <c r="A755">
        <f ca="1">27792.6133721965*((RANDBETWEEN(1620,2416)))</f>
        <v>48859414.308321536</v>
      </c>
      <c r="B755">
        <v>171532827.91116834</v>
      </c>
    </row>
    <row r="756" spans="1:2" x14ac:dyDescent="0.25">
      <c r="A756">
        <f ca="1">26291.1482922506*((RANDBETWEEN(1620,2416)))</f>
        <v>50426422.424536839</v>
      </c>
      <c r="B756">
        <v>176878694.36736393</v>
      </c>
    </row>
    <row r="757" spans="1:2" x14ac:dyDescent="0.25">
      <c r="A757">
        <f ca="1">25473.5645710172*((RANDBETWEEN(1620,2416)))</f>
        <v>42337064.317030564</v>
      </c>
      <c r="B757">
        <v>143173932.54824519</v>
      </c>
    </row>
    <row r="758" spans="1:2" x14ac:dyDescent="0.25">
      <c r="A758">
        <f ca="1">28167.1682980328*((RANDBETWEEN(1620,2416)))</f>
        <v>54982312.517759971</v>
      </c>
      <c r="B758">
        <v>154157601.75136364</v>
      </c>
    </row>
    <row r="759" spans="1:2" x14ac:dyDescent="0.25">
      <c r="A759">
        <f ca="1">27633.5451893696*((RANDBETWEEN(1620,2416)))</f>
        <v>63833489.387443863</v>
      </c>
      <c r="B759">
        <v>176695522.25313875</v>
      </c>
    </row>
    <row r="760" spans="1:2" x14ac:dyDescent="0.25">
      <c r="A760">
        <f ca="1">27490.5976294262*((RANDBETWEEN(1620,2416)))</f>
        <v>48575886.011196166</v>
      </c>
      <c r="B760">
        <v>177533610.80540016</v>
      </c>
    </row>
    <row r="761" spans="1:2" x14ac:dyDescent="0.25">
      <c r="A761">
        <f ca="1">33592.638592381*((RANDBETWEEN(1620,2416)))</f>
        <v>55528631.593205757</v>
      </c>
      <c r="B761">
        <v>173147240.12667745</v>
      </c>
    </row>
    <row r="762" spans="1:2" x14ac:dyDescent="0.25">
      <c r="A762">
        <f ca="1">26705.644162558*((RANDBETWEEN(1620,2416)))</f>
        <v>45426300.72051122</v>
      </c>
      <c r="B762">
        <v>199170469.93543988</v>
      </c>
    </row>
    <row r="763" spans="1:2" x14ac:dyDescent="0.25">
      <c r="A763">
        <f ca="1">28127.3198113658*((RANDBETWEEN(1620,2416)))</f>
        <v>60558119.553870626</v>
      </c>
      <c r="B763">
        <v>154926791.25106442</v>
      </c>
    </row>
    <row r="764" spans="1:2" x14ac:dyDescent="0.25">
      <c r="A764">
        <f ca="1">26733.8561242968*((RANDBETWEEN(1620,2416)))</f>
        <v>57798596.940729693</v>
      </c>
      <c r="B764">
        <v>154107182.08232814</v>
      </c>
    </row>
    <row r="765" spans="1:2" x14ac:dyDescent="0.25">
      <c r="A765">
        <f ca="1">25344.0557566246*((RANDBETWEEN(1620,2416)))</f>
        <v>45391203.860114634</v>
      </c>
      <c r="B765">
        <v>147067407.13428307</v>
      </c>
    </row>
    <row r="766" spans="1:2" x14ac:dyDescent="0.25">
      <c r="A766">
        <f ca="1">27394.1699319471*((RANDBETWEEN(1620,2416)))</f>
        <v>62732649.14415881</v>
      </c>
      <c r="B766">
        <v>163966629.41599989</v>
      </c>
    </row>
    <row r="767" spans="1:2" x14ac:dyDescent="0.25">
      <c r="A767">
        <f ca="1">27284.7773995059*((RANDBETWEEN(1620,2416)))</f>
        <v>58143860.63834697</v>
      </c>
      <c r="B767">
        <v>151990438.54090384</v>
      </c>
    </row>
    <row r="768" spans="1:2" x14ac:dyDescent="0.25">
      <c r="A768">
        <f ca="1">29759.4318475876*((RANDBETWEEN(1620,2416)))</f>
        <v>64518448.245569997</v>
      </c>
      <c r="B768">
        <v>178736404.25300324</v>
      </c>
    </row>
    <row r="769" spans="1:2" x14ac:dyDescent="0.25">
      <c r="A769">
        <f ca="1">27132.207744188*((RANDBETWEEN(1620,2416)))</f>
        <v>55376836.005887806</v>
      </c>
      <c r="B769">
        <v>145591792.13551828</v>
      </c>
    </row>
    <row r="770" spans="1:2" x14ac:dyDescent="0.25">
      <c r="A770">
        <f ca="1">28210.7282614491*((RANDBETWEEN(1620,2416)))</f>
        <v>63643402.95782923</v>
      </c>
      <c r="B770">
        <v>170458461.11063439</v>
      </c>
    </row>
    <row r="771" spans="1:2" x14ac:dyDescent="0.25">
      <c r="A771">
        <f ca="1">26329.8551781735*((RANDBETWEEN(1620,2416)))</f>
        <v>48367943.962304667</v>
      </c>
      <c r="B771">
        <v>143838078.26428655</v>
      </c>
    </row>
    <row r="772" spans="1:2" x14ac:dyDescent="0.25">
      <c r="A772">
        <f ca="1">25784.9469783061*((RANDBETWEEN(1620,2416)))</f>
        <v>59898431.830605</v>
      </c>
      <c r="B772">
        <v>147634148.00320202</v>
      </c>
    </row>
    <row r="773" spans="1:2" x14ac:dyDescent="0.25">
      <c r="A773">
        <f ca="1">28127.5068483432*((RANDBETWEEN(1620,2416)))</f>
        <v>65565218.463487938</v>
      </c>
      <c r="B773">
        <v>143155180.27548078</v>
      </c>
    </row>
    <row r="774" spans="1:2" x14ac:dyDescent="0.25">
      <c r="A774">
        <f ca="1">30884.3258724621*((RANDBETWEEN(1620,2416)))</f>
        <v>66895449.839753017</v>
      </c>
      <c r="B774">
        <v>194354118.91625881</v>
      </c>
    </row>
    <row r="775" spans="1:2" x14ac:dyDescent="0.25">
      <c r="A775">
        <f ca="1">28950.5360700543*((RANDBETWEEN(1620,2416)))</f>
        <v>49331713.463372529</v>
      </c>
      <c r="B775">
        <v>169085009.24907213</v>
      </c>
    </row>
    <row r="776" spans="1:2" x14ac:dyDescent="0.25">
      <c r="A776">
        <f ca="1">26219.4052493087*((RANDBETWEEN(1620,2416)))</f>
        <v>58967442.405695282</v>
      </c>
      <c r="B776">
        <v>144669423.76705095</v>
      </c>
    </row>
    <row r="777" spans="1:2" x14ac:dyDescent="0.25">
      <c r="A777">
        <f ca="1">31184.3172011174*((RANDBETWEEN(1620,2416)))</f>
        <v>62711661.891447172</v>
      </c>
      <c r="B777">
        <v>198585025.15622681</v>
      </c>
    </row>
    <row r="778" spans="1:2" x14ac:dyDescent="0.25">
      <c r="A778">
        <f ca="1">27404.5502690868*((RANDBETWEEN(1620,2416)))</f>
        <v>60975124.348718092</v>
      </c>
      <c r="B778">
        <v>143282033.22356862</v>
      </c>
    </row>
    <row r="779" spans="1:2" x14ac:dyDescent="0.25">
      <c r="A779">
        <f ca="1">26824.9378347144*((RANDBETWEEN(1620,2416)))</f>
        <v>44314797.302948214</v>
      </c>
      <c r="B779">
        <v>152141517.28240597</v>
      </c>
    </row>
    <row r="780" spans="1:2" x14ac:dyDescent="0.25">
      <c r="A780">
        <f ca="1">27635.3175699798*((RANDBETWEEN(1620,2416)))</f>
        <v>52672915.288381435</v>
      </c>
      <c r="B780">
        <v>200859619.99574241</v>
      </c>
    </row>
    <row r="781" spans="1:2" x14ac:dyDescent="0.25">
      <c r="A781">
        <f ca="1">26880.2415364119*((RANDBETWEEN(1620,2416)))</f>
        <v>49459644.426997982</v>
      </c>
      <c r="B781">
        <v>172773199.63654906</v>
      </c>
    </row>
    <row r="782" spans="1:2" x14ac:dyDescent="0.25">
      <c r="A782">
        <f ca="1">29846.4944885437*((RANDBETWEEN(1620,2416)))</f>
        <v>57902199.307774849</v>
      </c>
      <c r="B782">
        <v>195505691.64496803</v>
      </c>
    </row>
    <row r="783" spans="1:2" x14ac:dyDescent="0.25">
      <c r="A783">
        <f ca="1">28075.8496392433*((RANDBETWEEN(1620,2416)))</f>
        <v>60475380.122930147</v>
      </c>
      <c r="B783">
        <v>164035706.25844416</v>
      </c>
    </row>
    <row r="784" spans="1:2" x14ac:dyDescent="0.25">
      <c r="A784">
        <f ca="1">26671.2125216019*((RANDBETWEEN(1620,2416)))</f>
        <v>47234717.375756964</v>
      </c>
      <c r="B784">
        <v>143193389.81953984</v>
      </c>
    </row>
    <row r="785" spans="1:2" x14ac:dyDescent="0.25">
      <c r="A785">
        <f ca="1">32434.8423825219*((RANDBETWEEN(1620,2416)))</f>
        <v>55917668.267467722</v>
      </c>
      <c r="B785">
        <v>157066686.9173736</v>
      </c>
    </row>
    <row r="786" spans="1:2" x14ac:dyDescent="0.25">
      <c r="A786">
        <f ca="1">26422.9445137764*((RANDBETWEEN(1620,2416)))</f>
        <v>55646721.146013021</v>
      </c>
      <c r="B786">
        <v>170509341.61076102</v>
      </c>
    </row>
    <row r="787" spans="1:2" x14ac:dyDescent="0.25">
      <c r="A787">
        <f ca="1">25145.3977144225*((RANDBETWEEN(1620,2416)))</f>
        <v>43275229.466521077</v>
      </c>
      <c r="B787">
        <v>154849639.49424446</v>
      </c>
    </row>
    <row r="788" spans="1:2" x14ac:dyDescent="0.25">
      <c r="A788">
        <f ca="1">25467.3929733456*((RANDBETWEEN(1620,2416)))</f>
        <v>55849992.790547013</v>
      </c>
      <c r="B788">
        <v>144460872.03805116</v>
      </c>
    </row>
    <row r="789" spans="1:2" x14ac:dyDescent="0.25">
      <c r="A789">
        <f ca="1">26804.1571211984*((RANDBETWEEN(1620,2416)))</f>
        <v>50016557.188156195</v>
      </c>
      <c r="B789">
        <v>156327819.88199529</v>
      </c>
    </row>
    <row r="790" spans="1:2" x14ac:dyDescent="0.25">
      <c r="A790">
        <f ca="1">32015.2188674298*((RANDBETWEEN(1620,2416)))</f>
        <v>58908002.716070913</v>
      </c>
      <c r="B790">
        <v>188869565.74001521</v>
      </c>
    </row>
    <row r="791" spans="1:2" x14ac:dyDescent="0.25">
      <c r="A791">
        <f ca="1">26797.864687325*((RANDBETWEEN(1620,2416)))</f>
        <v>59196483.09430103</v>
      </c>
      <c r="B791">
        <v>156304720.96289596</v>
      </c>
    </row>
    <row r="792" spans="1:2" x14ac:dyDescent="0.25">
      <c r="A792">
        <f ca="1">27720.4108996378*((RANDBETWEEN(1620,2416)))</f>
        <v>56411036.180763006</v>
      </c>
      <c r="B792">
        <v>202025443.88401562</v>
      </c>
    </row>
    <row r="793" spans="1:2" x14ac:dyDescent="0.25">
      <c r="A793">
        <f ca="1">25836.1449665508*((RANDBETWEEN(1620,2416)))</f>
        <v>42448786.180043019</v>
      </c>
      <c r="B793">
        <v>174315237.57922918</v>
      </c>
    </row>
    <row r="794" spans="1:2" x14ac:dyDescent="0.25">
      <c r="A794">
        <f ca="1">30928.0169485974*((RANDBETWEEN(1620,2416)))</f>
        <v>64670483.4395172</v>
      </c>
      <c r="B794">
        <v>198649255.33249655</v>
      </c>
    </row>
    <row r="795" spans="1:2" x14ac:dyDescent="0.25">
      <c r="A795">
        <f ca="1">29214.4880270408*((RANDBETWEEN(1620,2416)))</f>
        <v>63687583.898948945</v>
      </c>
      <c r="B795">
        <v>169489181.90419725</v>
      </c>
    </row>
    <row r="796" spans="1:2" x14ac:dyDescent="0.25">
      <c r="A796">
        <f ca="1">27258.9694083104*((RANDBETWEEN(1620,2416)))</f>
        <v>52664328.89685566</v>
      </c>
      <c r="B796">
        <v>158734971.24808821</v>
      </c>
    </row>
    <row r="797" spans="1:2" x14ac:dyDescent="0.25">
      <c r="A797">
        <f ca="1">26426.2597689665*((RANDBETWEEN(1620,2416)))</f>
        <v>52614683.200012349</v>
      </c>
      <c r="B797">
        <v>182204754.61373407</v>
      </c>
    </row>
    <row r="798" spans="1:2" x14ac:dyDescent="0.25">
      <c r="A798">
        <f ca="1">25638.3084184201*((RANDBETWEEN(1620,2416)))</f>
        <v>46995019.330963992</v>
      </c>
      <c r="B798">
        <v>181114257.83464888</v>
      </c>
    </row>
    <row r="799" spans="1:2" x14ac:dyDescent="0.25">
      <c r="A799">
        <f ca="1">28474.4722815535*((RANDBETWEEN(1620,2416)))</f>
        <v>50456764.882912822</v>
      </c>
      <c r="B799">
        <v>174556691.13103712</v>
      </c>
    </row>
    <row r="800" spans="1:2" x14ac:dyDescent="0.25">
      <c r="A800">
        <f ca="1">28167.3367997232*((RANDBETWEEN(1620,2416)))</f>
        <v>64531368.608165957</v>
      </c>
      <c r="B800">
        <v>186757207.71719015</v>
      </c>
    </row>
    <row r="801" spans="1:2" x14ac:dyDescent="0.25">
      <c r="A801">
        <f ca="1">28921.3554047097*((RANDBETWEEN(1620,2416)))</f>
        <v>55384395.600019023</v>
      </c>
      <c r="B801">
        <v>183784263.12801278</v>
      </c>
    </row>
    <row r="802" spans="1:2" x14ac:dyDescent="0.25">
      <c r="A802">
        <f ca="1">31361.3659416683*((RANDBETWEEN(1620,2416)))</f>
        <v>62785454.615219854</v>
      </c>
      <c r="B802">
        <v>149401463.03454345</v>
      </c>
    </row>
    <row r="803" spans="1:2" x14ac:dyDescent="0.25">
      <c r="A803">
        <f ca="1">26844.4577517574*((RANDBETWEEN(1620,2416)))</f>
        <v>56507583.567449369</v>
      </c>
      <c r="B803">
        <v>172675116.75065824</v>
      </c>
    </row>
    <row r="804" spans="1:2" x14ac:dyDescent="0.25">
      <c r="A804">
        <f ca="1">26470.9167957596*((RANDBETWEEN(1620,2416)))</f>
        <v>53683019.261800662</v>
      </c>
      <c r="B804">
        <v>144504820.49720049</v>
      </c>
    </row>
    <row r="805" spans="1:2" x14ac:dyDescent="0.25">
      <c r="A805">
        <f ca="1">27056.2613728656*((RANDBETWEEN(1620,2416)))</f>
        <v>56277023.655560426</v>
      </c>
      <c r="B805">
        <v>187660167.40158939</v>
      </c>
    </row>
    <row r="806" spans="1:2" x14ac:dyDescent="0.25">
      <c r="A806">
        <f ca="1">25220.1739095012*((RANDBETWEEN(1620,2416)))</f>
        <v>48397513.732332848</v>
      </c>
      <c r="B806">
        <v>149416966.04931819</v>
      </c>
    </row>
    <row r="807" spans="1:2" x14ac:dyDescent="0.25">
      <c r="A807">
        <f ca="1">26557.3600904369*((RANDBETWEEN(1620,2416)))</f>
        <v>47936034.963238619</v>
      </c>
      <c r="B807">
        <v>179681083.49906978</v>
      </c>
    </row>
    <row r="808" spans="1:2" x14ac:dyDescent="0.25">
      <c r="A808">
        <f ca="1">30698.3576263686*((RANDBETWEEN(1620,2416)))</f>
        <v>60230177.662935257</v>
      </c>
      <c r="B808">
        <v>166562087.06533372</v>
      </c>
    </row>
    <row r="809" spans="1:2" x14ac:dyDescent="0.25">
      <c r="A809">
        <f ca="1">28703.4634502565*((RANDBETWEEN(1620,2416)))</f>
        <v>62745771.102260798</v>
      </c>
      <c r="B809">
        <v>173099535.91389441</v>
      </c>
    </row>
    <row r="810" spans="1:2" x14ac:dyDescent="0.25">
      <c r="A810">
        <f ca="1">29848.653951423*((RANDBETWEEN(1620,2416)))</f>
        <v>65428249.461519115</v>
      </c>
      <c r="B810">
        <v>156301376.37291628</v>
      </c>
    </row>
    <row r="811" spans="1:2" x14ac:dyDescent="0.25">
      <c r="A811">
        <f ca="1">29082.0302299799*((RANDBETWEEN(1620,2416)))</f>
        <v>69971364.733331636</v>
      </c>
      <c r="B811">
        <v>149375160.71933198</v>
      </c>
    </row>
    <row r="812" spans="1:2" x14ac:dyDescent="0.25">
      <c r="A812">
        <f ca="1">26707.2633908712*((RANDBETWEEN(1620,2416)))</f>
        <v>63937188.557745755</v>
      </c>
      <c r="B812">
        <v>159392450.49963078</v>
      </c>
    </row>
    <row r="813" spans="1:2" x14ac:dyDescent="0.25">
      <c r="A813">
        <f ca="1">27371.7295350685*((RANDBETWEEN(1620,2416)))</f>
        <v>63228695.226008311</v>
      </c>
      <c r="B813">
        <v>150442683.75253028</v>
      </c>
    </row>
    <row r="814" spans="1:2" x14ac:dyDescent="0.25">
      <c r="A814">
        <f ca="1">30710.8253873484*((RANDBETWEEN(1620,2416)))</f>
        <v>55248774.871839799</v>
      </c>
      <c r="B814">
        <v>170239684.53315642</v>
      </c>
    </row>
    <row r="815" spans="1:2" x14ac:dyDescent="0.25">
      <c r="A815">
        <f ca="1">27193.9646522955*((RANDBETWEEN(1620,2416)))</f>
        <v>57297683.522386588</v>
      </c>
      <c r="B815">
        <v>145961998.41751856</v>
      </c>
    </row>
    <row r="816" spans="1:2" x14ac:dyDescent="0.25">
      <c r="A816">
        <f ca="1">29906.2363425086*((RANDBETWEEN(1620,2416)))</f>
        <v>48956508.892686509</v>
      </c>
      <c r="B816">
        <v>183506826.10867891</v>
      </c>
    </row>
    <row r="817" spans="1:2" x14ac:dyDescent="0.25">
      <c r="A817">
        <f ca="1">29327.6723802431*((RANDBETWEEN(1620,2416)))</f>
        <v>51030149.94162301</v>
      </c>
      <c r="B817">
        <v>171739044.26881203</v>
      </c>
    </row>
    <row r="818" spans="1:2" x14ac:dyDescent="0.25">
      <c r="A818">
        <f ca="1">31541.1094560861*((RANDBETWEEN(1620,2416)))</f>
        <v>62262150.066313885</v>
      </c>
      <c r="B818">
        <v>197960036.96633583</v>
      </c>
    </row>
    <row r="819" spans="1:2" x14ac:dyDescent="0.25">
      <c r="A819">
        <f ca="1">28714.0673494277*((RANDBETWEEN(1620,2416)))</f>
        <v>63486802.909584627</v>
      </c>
      <c r="B819">
        <v>155162573.74895033</v>
      </c>
    </row>
    <row r="820" spans="1:2" x14ac:dyDescent="0.25">
      <c r="A820">
        <f ca="1">30350.5278100466*((RANDBETWEEN(1620,2416)))</f>
        <v>71778998.270760298</v>
      </c>
      <c r="B820">
        <v>183232719.38976151</v>
      </c>
    </row>
    <row r="821" spans="1:2" x14ac:dyDescent="0.25">
      <c r="A821">
        <f ca="1">27651.7212829331*((RANDBETWEEN(1620,2416)))</f>
        <v>51293942.979840927</v>
      </c>
      <c r="B821">
        <v>143712633.08292437</v>
      </c>
    </row>
    <row r="822" spans="1:2" x14ac:dyDescent="0.25">
      <c r="A822">
        <f ca="1">30015.862379285*((RANDBETWEEN(1620,2416)))</f>
        <v>54718917.11743664</v>
      </c>
      <c r="B822">
        <v>194160201.37237912</v>
      </c>
    </row>
    <row r="823" spans="1:2" x14ac:dyDescent="0.25">
      <c r="A823">
        <f ca="1">29864.2972470578*((RANDBETWEEN(1620,2416)))</f>
        <v>69225441.018679917</v>
      </c>
      <c r="B823">
        <v>193821546.46754494</v>
      </c>
    </row>
    <row r="824" spans="1:2" x14ac:dyDescent="0.25">
      <c r="A824">
        <f ca="1">27055.2177950577*((RANDBETWEEN(1620,2416)))</f>
        <v>47833625.061662041</v>
      </c>
      <c r="B824">
        <v>149449719.45959759</v>
      </c>
    </row>
    <row r="825" spans="1:2" x14ac:dyDescent="0.25">
      <c r="A825">
        <f ca="1">26507.6287233128*((RANDBETWEEN(1620,2416)))</f>
        <v>54420161.768961169</v>
      </c>
      <c r="B825">
        <v>177223764.63670209</v>
      </c>
    </row>
    <row r="826" spans="1:2" x14ac:dyDescent="0.25">
      <c r="A826">
        <f ca="1">27734.6227020845*((RANDBETWEEN(1620,2416)))</f>
        <v>48424651.237839587</v>
      </c>
      <c r="B826">
        <v>149512093.39549744</v>
      </c>
    </row>
    <row r="827" spans="1:2" x14ac:dyDescent="0.25">
      <c r="A827">
        <f ca="1">29686.249944332*((RANDBETWEEN(1620,2416)))</f>
        <v>69079903.62046057</v>
      </c>
      <c r="B827">
        <v>151108392.36669502</v>
      </c>
    </row>
    <row r="828" spans="1:2" x14ac:dyDescent="0.25">
      <c r="A828">
        <f ca="1">33723.609012753*((RANDBETWEEN(1620,2416)))</f>
        <v>72708101.031495452</v>
      </c>
      <c r="B828">
        <v>154032567.35207784</v>
      </c>
    </row>
    <row r="829" spans="1:2" x14ac:dyDescent="0.25">
      <c r="A829">
        <f ca="1">26385.1889390617*((RANDBETWEEN(1620,2416)))</f>
        <v>45619991.675637648</v>
      </c>
      <c r="B829">
        <v>155609454.5953871</v>
      </c>
    </row>
    <row r="830" spans="1:2" x14ac:dyDescent="0.25">
      <c r="A830">
        <f ca="1">28561.9745706976*((RANDBETWEEN(1620,2416)))</f>
        <v>64235880.809498869</v>
      </c>
      <c r="B830">
        <v>179442819.73727265</v>
      </c>
    </row>
    <row r="831" spans="1:2" x14ac:dyDescent="0.25">
      <c r="A831">
        <f ca="1">28655.2842964753*((RANDBETWEEN(1620,2416)))</f>
        <v>68801337.595837176</v>
      </c>
      <c r="B831">
        <v>143463122.5844059</v>
      </c>
    </row>
    <row r="832" spans="1:2" x14ac:dyDescent="0.25">
      <c r="A832">
        <f ca="1">31748.3531372254*((RANDBETWEEN(1620,2416)))</f>
        <v>64163421.690332435</v>
      </c>
      <c r="B832">
        <v>175912778.39610046</v>
      </c>
    </row>
    <row r="833" spans="1:2" x14ac:dyDescent="0.25">
      <c r="A833">
        <f ca="1">30153.896350392*((RANDBETWEEN(1620,2416)))</f>
        <v>55332399.802969366</v>
      </c>
      <c r="B833">
        <v>172537871.69308424</v>
      </c>
    </row>
    <row r="834" spans="1:2" x14ac:dyDescent="0.25">
      <c r="A834">
        <f ca="1">26133.4282664459*((RANDBETWEEN(1620,2416)))</f>
        <v>48216175.151592739</v>
      </c>
      <c r="B834">
        <v>151012410.05021483</v>
      </c>
    </row>
    <row r="835" spans="1:2" x14ac:dyDescent="0.25">
      <c r="A835">
        <f ca="1">27787.4639824166*((RANDBETWEEN(1620,2416)))</f>
        <v>50267522.344191611</v>
      </c>
      <c r="B835">
        <v>152323984.63950062</v>
      </c>
    </row>
    <row r="836" spans="1:2" x14ac:dyDescent="0.25">
      <c r="A836">
        <f ca="1">26480.4793363773*((RANDBETWEEN(1620,2416)))</f>
        <v>51981180.937308691</v>
      </c>
      <c r="B836">
        <v>174422059.2418322</v>
      </c>
    </row>
    <row r="837" spans="1:2" x14ac:dyDescent="0.25">
      <c r="A837">
        <f ca="1">30078.6310296047*((RANDBETWEEN(1620,2416)))</f>
        <v>72158635.840021655</v>
      </c>
      <c r="B837">
        <v>161508914.97796428</v>
      </c>
    </row>
    <row r="838" spans="1:2" x14ac:dyDescent="0.25">
      <c r="A838">
        <f ca="1">26844.9238227888*((RANDBETWEEN(1620,2416)))</f>
        <v>64481507.022338629</v>
      </c>
      <c r="B838">
        <v>194271886.0327203</v>
      </c>
    </row>
    <row r="839" spans="1:2" x14ac:dyDescent="0.25">
      <c r="A839">
        <f ca="1">29804.8344027001*((RANDBETWEEN(1620,2416)))</f>
        <v>54691871.128954694</v>
      </c>
      <c r="B839">
        <v>166641223.00419217</v>
      </c>
    </row>
    <row r="840" spans="1:2" x14ac:dyDescent="0.25">
      <c r="A840">
        <f ca="1">25748.2415880808*((RANDBETWEEN(1620,2416)))</f>
        <v>56826369.184894226</v>
      </c>
      <c r="B840">
        <v>145127469.53797823</v>
      </c>
    </row>
    <row r="841" spans="1:2" x14ac:dyDescent="0.25">
      <c r="A841">
        <f ca="1">28825.8390655985*((RANDBETWEEN(1620,2416)))</f>
        <v>58401149.946902663</v>
      </c>
      <c r="B841">
        <v>150460157.15606785</v>
      </c>
    </row>
    <row r="842" spans="1:2" x14ac:dyDescent="0.25">
      <c r="A842">
        <f ca="1">29090.34051821*((RANDBETWEEN(1620,2416)))</f>
        <v>50879005.566349261</v>
      </c>
      <c r="B842">
        <v>168272470.36560646</v>
      </c>
    </row>
    <row r="843" spans="1:2" x14ac:dyDescent="0.25">
      <c r="A843">
        <f ca="1">28328.8668246142*((RANDBETWEEN(1620,2416)))</f>
        <v>60000539.93453294</v>
      </c>
      <c r="B843">
        <v>170110020.38514426</v>
      </c>
    </row>
    <row r="844" spans="1:2" x14ac:dyDescent="0.25">
      <c r="A844">
        <f ca="1">31819.7400161138*((RANDBETWEEN(1620,2416)))</f>
        <v>58866519.029810466</v>
      </c>
      <c r="B844">
        <v>195825436.60380277</v>
      </c>
    </row>
    <row r="845" spans="1:2" x14ac:dyDescent="0.25">
      <c r="A845">
        <f ca="1">29955.7331444353*((RANDBETWEEN(1620,2416)))</f>
        <v>48767933.559140638</v>
      </c>
      <c r="B845">
        <v>189721357.9012531</v>
      </c>
    </row>
    <row r="846" spans="1:2" x14ac:dyDescent="0.25">
      <c r="A846">
        <f ca="1">26407.5520750925*((RANDBETWEEN(1620,2416)))</f>
        <v>46635736.964613378</v>
      </c>
      <c r="B846">
        <v>144597011.86909387</v>
      </c>
    </row>
    <row r="847" spans="1:2" x14ac:dyDescent="0.25">
      <c r="A847">
        <f ca="1">28723.8728675028*((RANDBETWEEN(1620,2416)))</f>
        <v>58567976.776838183</v>
      </c>
      <c r="B847">
        <v>195252089.83735093</v>
      </c>
    </row>
    <row r="848" spans="1:2" x14ac:dyDescent="0.25">
      <c r="A848">
        <f ca="1">29147.9939919278*((RANDBETWEEN(1620,2416)))</f>
        <v>60482087.533250093</v>
      </c>
      <c r="B848">
        <v>167223997.69651476</v>
      </c>
    </row>
    <row r="849" spans="1:2" x14ac:dyDescent="0.25">
      <c r="A849">
        <f ca="1">27573.4565480356*((RANDBETWEEN(1620,2416)))</f>
        <v>63887698.821798511</v>
      </c>
      <c r="B849">
        <v>143161219.55062422</v>
      </c>
    </row>
    <row r="850" spans="1:2" x14ac:dyDescent="0.25">
      <c r="A850">
        <f ca="1">27913.9556528243*((RANDBETWEEN(1620,2416)))</f>
        <v>60238316.29879491</v>
      </c>
      <c r="B850">
        <v>190095081.44493139</v>
      </c>
    </row>
    <row r="851" spans="1:2" x14ac:dyDescent="0.25">
      <c r="A851">
        <f ca="1">29142.0867423116*((RANDBETWEEN(1620,2416)))</f>
        <v>66560526.119439617</v>
      </c>
      <c r="B851">
        <v>157647336.21771163</v>
      </c>
    </row>
    <row r="852" spans="1:2" x14ac:dyDescent="0.25">
      <c r="A852">
        <f ca="1">26908.4335157639*((RANDBETWEEN(1620,2416)))</f>
        <v>56938245.319356419</v>
      </c>
      <c r="B852">
        <v>143545681.23057643</v>
      </c>
    </row>
    <row r="853" spans="1:2" x14ac:dyDescent="0.25">
      <c r="A853">
        <f ca="1">27667.1981795106*((RANDBETWEEN(1620,2416)))</f>
        <v>46121219.365244113</v>
      </c>
      <c r="B853">
        <v>169986592.71798807</v>
      </c>
    </row>
    <row r="854" spans="1:2" x14ac:dyDescent="0.25">
      <c r="A854">
        <f ca="1">28463.0576967635*((RANDBETWEEN(1620,2416)))</f>
        <v>48131030.565227106</v>
      </c>
      <c r="B854">
        <v>177867189.55809534</v>
      </c>
    </row>
    <row r="855" spans="1:2" x14ac:dyDescent="0.25">
      <c r="A855">
        <f ca="1">31218.7494332823*((RANDBETWEEN(1620,2416)))</f>
        <v>63623811.345029391</v>
      </c>
      <c r="B855">
        <v>165912245.30315253</v>
      </c>
    </row>
    <row r="856" spans="1:2" x14ac:dyDescent="0.25">
      <c r="A856">
        <f ca="1">28196.4095050358*((RANDBETWEEN(1620,2416)))</f>
        <v>63695689.071875967</v>
      </c>
      <c r="B856">
        <v>175801696.96338668</v>
      </c>
    </row>
    <row r="857" spans="1:2" x14ac:dyDescent="0.25">
      <c r="A857">
        <f ca="1">26997.1184663478*((RANDBETWEEN(1620,2416)))</f>
        <v>45355159.023464307</v>
      </c>
      <c r="B857">
        <v>150187427.78093329</v>
      </c>
    </row>
    <row r="858" spans="1:2" x14ac:dyDescent="0.25">
      <c r="A858">
        <f ca="1">32592.6305056409*((RANDBETWEEN(1620,2416)))</f>
        <v>61600071.655661225</v>
      </c>
      <c r="B858">
        <v>203392274.69841018</v>
      </c>
    </row>
    <row r="859" spans="1:2" x14ac:dyDescent="0.25">
      <c r="A859">
        <f ca="1">29081.8757224997*((RANDBETWEEN(1620,2416)))</f>
        <v>49235615.598192044</v>
      </c>
      <c r="B859">
        <v>187175734.31639093</v>
      </c>
    </row>
    <row r="860" spans="1:2" x14ac:dyDescent="0.25">
      <c r="A860">
        <f ca="1">26252.6186208692*((RANDBETWEEN(1620,2416)))</f>
        <v>47884776.364465393</v>
      </c>
      <c r="B860">
        <v>145561613.23128152</v>
      </c>
    </row>
    <row r="861" spans="1:2" x14ac:dyDescent="0.25">
      <c r="A861">
        <f ca="1">26501.8840116725*((RANDBETWEEN(1620,2416)))</f>
        <v>62835966.991675414</v>
      </c>
      <c r="B861">
        <v>153339351.06768948</v>
      </c>
    </row>
    <row r="862" spans="1:2" x14ac:dyDescent="0.25">
      <c r="A862">
        <f ca="1">30616.7006704425*((RANDBETWEEN(1620,2416)))</f>
        <v>64631855.115304098</v>
      </c>
      <c r="B862">
        <v>155161203.43882152</v>
      </c>
    </row>
    <row r="863" spans="1:2" x14ac:dyDescent="0.25">
      <c r="A863">
        <f ca="1">26877.9057969307*((RANDBETWEEN(1620,2416)))</f>
        <v>45558050.325797603</v>
      </c>
      <c r="B863">
        <v>175130222.70080686</v>
      </c>
    </row>
    <row r="864" spans="1:2" x14ac:dyDescent="0.25">
      <c r="A864">
        <f ca="1">27169.5906670865*((RANDBETWEEN(1620,2416)))</f>
        <v>46269812.906048268</v>
      </c>
      <c r="B864">
        <v>190892622.98843378</v>
      </c>
    </row>
    <row r="865" spans="1:2" x14ac:dyDescent="0.25">
      <c r="A865">
        <f ca="1">27632.8618465454*((RANDBETWEEN(1620,2416)))</f>
        <v>65738578.332931623</v>
      </c>
      <c r="B865">
        <v>196904825.03770384</v>
      </c>
    </row>
    <row r="866" spans="1:2" x14ac:dyDescent="0.25">
      <c r="A866">
        <f ca="1">31004.9491240284*((RANDBETWEEN(1620,2416)))</f>
        <v>54134641.170553647</v>
      </c>
      <c r="B866">
        <v>160321156.15229419</v>
      </c>
    </row>
    <row r="867" spans="1:2" x14ac:dyDescent="0.25">
      <c r="A867">
        <f ca="1">28548.3896530076*((RANDBETWEEN(1620,2416)))</f>
        <v>49588552.827274129</v>
      </c>
      <c r="B867">
        <v>174414315.32603157</v>
      </c>
    </row>
    <row r="868" spans="1:2" x14ac:dyDescent="0.25">
      <c r="A868">
        <f ca="1">26162.8162543315*((RANDBETWEEN(1620,2416)))</f>
        <v>57793661.105818175</v>
      </c>
      <c r="B868">
        <v>201625577.56676066</v>
      </c>
    </row>
    <row r="869" spans="1:2" x14ac:dyDescent="0.25">
      <c r="A869">
        <f ca="1">32555.243197042*((RANDBETWEEN(1620,2416)))</f>
        <v>72467971.356615528</v>
      </c>
      <c r="B869">
        <v>169704039.61227736</v>
      </c>
    </row>
    <row r="870" spans="1:2" x14ac:dyDescent="0.25">
      <c r="A870">
        <f ca="1">27750.2959314174*((RANDBETWEEN(1620,2416)))</f>
        <v>64380686.560888439</v>
      </c>
      <c r="B870">
        <v>182963527.69659328</v>
      </c>
    </row>
    <row r="871" spans="1:2" x14ac:dyDescent="0.25">
      <c r="A871">
        <f ca="1">30601.3908656021*((RANDBETWEEN(1620,2416)))</f>
        <v>55816936.938858233</v>
      </c>
      <c r="B871">
        <v>181106386.3664546</v>
      </c>
    </row>
    <row r="872" spans="1:2" x14ac:dyDescent="0.25">
      <c r="A872">
        <f ca="1">28723.082440193*((RANDBETWEEN(1620,2416)))</f>
        <v>67355628.322252661</v>
      </c>
      <c r="B872">
        <v>164336356.22241956</v>
      </c>
    </row>
    <row r="873" spans="1:2" x14ac:dyDescent="0.25">
      <c r="A873">
        <f ca="1">29414.1941491337*((RANDBETWEEN(1620,2416)))</f>
        <v>51768981.702475272</v>
      </c>
      <c r="B873">
        <v>185356666.43321288</v>
      </c>
    </row>
    <row r="874" spans="1:2" x14ac:dyDescent="0.25">
      <c r="A874">
        <f ca="1">27144.6152642257*((RANDBETWEEN(1620,2416)))</f>
        <v>62731205.87562561</v>
      </c>
      <c r="B874">
        <v>145032035.29204768</v>
      </c>
    </row>
    <row r="875" spans="1:2" x14ac:dyDescent="0.25">
      <c r="A875">
        <f ca="1">25190.8395766217*((RANDBETWEEN(1620,2416)))</f>
        <v>53606106.619051032</v>
      </c>
      <c r="B875">
        <v>144037150.70931417</v>
      </c>
    </row>
    <row r="876" spans="1:2" x14ac:dyDescent="0.25">
      <c r="A876">
        <f ca="1">30093.4141151966*((RANDBETWEEN(1620,2416)))</f>
        <v>49985160.845341519</v>
      </c>
      <c r="B876">
        <v>155802570.49894035</v>
      </c>
    </row>
    <row r="877" spans="1:2" x14ac:dyDescent="0.25">
      <c r="A877">
        <f ca="1">30072.3526740386*((RANDBETWEEN(1620,2416)))</f>
        <v>59092173.004485853</v>
      </c>
      <c r="B877">
        <v>174286530.83186066</v>
      </c>
    </row>
    <row r="878" spans="1:2" x14ac:dyDescent="0.25">
      <c r="A878">
        <f ca="1">29873.311420922*((RANDBETWEEN(1620,2416)))</f>
        <v>56609925.142647207</v>
      </c>
      <c r="B878">
        <v>165872834.68686956</v>
      </c>
    </row>
    <row r="879" spans="1:2" x14ac:dyDescent="0.25">
      <c r="A879">
        <f ca="1">26550.8515276759*((RANDBETWEEN(1620,2416)))</f>
        <v>59022542.946023464</v>
      </c>
      <c r="B879">
        <v>173849916.4093233</v>
      </c>
    </row>
    <row r="880" spans="1:2" x14ac:dyDescent="0.25">
      <c r="A880">
        <f ca="1">27555.7476893901*((RANDBETWEEN(1620,2416)))</f>
        <v>51556803.926848799</v>
      </c>
      <c r="B880">
        <v>147024981.78808957</v>
      </c>
    </row>
    <row r="881" spans="1:2" x14ac:dyDescent="0.25">
      <c r="A881">
        <f ca="1">27346.3963028135*((RANDBETWEEN(1620,2416)))</f>
        <v>48676585.419007964</v>
      </c>
      <c r="B881">
        <v>180802074.39032027</v>
      </c>
    </row>
    <row r="882" spans="1:2" x14ac:dyDescent="0.25">
      <c r="A882">
        <f ca="1">26635.619199536*((RANDBETWEEN(1620,2416)))</f>
        <v>52765161.634280846</v>
      </c>
      <c r="B882">
        <v>144004991.65466493</v>
      </c>
    </row>
    <row r="883" spans="1:2" x14ac:dyDescent="0.25">
      <c r="A883">
        <f ca="1">27432.7100461082*((RANDBETWEEN(1620,2416)))</f>
        <v>63726185.437109455</v>
      </c>
      <c r="B883">
        <v>182145656.82371902</v>
      </c>
    </row>
    <row r="884" spans="1:2" x14ac:dyDescent="0.25">
      <c r="A884">
        <f ca="1">29450.3148861486*((RANDBETWEEN(1620,2416)))</f>
        <v>60108092.682629369</v>
      </c>
      <c r="B884">
        <v>165400346.19135529</v>
      </c>
    </row>
    <row r="885" spans="1:2" x14ac:dyDescent="0.25">
      <c r="A885">
        <f ca="1">27157.6265051172*((RANDBETWEEN(1620,2416)))</f>
        <v>50214451.407961756</v>
      </c>
      <c r="B885">
        <v>158940671.78608048</v>
      </c>
    </row>
    <row r="886" spans="1:2" x14ac:dyDescent="0.25">
      <c r="A886">
        <f ca="1">27472.9868172315*((RANDBETWEEN(1620,2416)))</f>
        <v>51456904.308674581</v>
      </c>
      <c r="B886">
        <v>170833149.07252744</v>
      </c>
    </row>
    <row r="887" spans="1:2" x14ac:dyDescent="0.25">
      <c r="A887">
        <f ca="1">26799.1356704891*((RANDBETWEEN(1620,2416)))</f>
        <v>55795800.465958215</v>
      </c>
      <c r="B887">
        <v>160531316.00617072</v>
      </c>
    </row>
    <row r="888" spans="1:2" x14ac:dyDescent="0.25">
      <c r="A888">
        <f ca="1">26279.8819674884*((RANDBETWEEN(1620,2416)))</f>
        <v>62546119.082622483</v>
      </c>
      <c r="B888">
        <v>184135497.06404465</v>
      </c>
    </row>
    <row r="889" spans="1:2" x14ac:dyDescent="0.25">
      <c r="A889">
        <f ca="1">25681.7480229972*((RANDBETWEEN(1620,2416)))</f>
        <v>45379648.756636135</v>
      </c>
      <c r="B889">
        <v>202326077.88069087</v>
      </c>
    </row>
    <row r="890" spans="1:2" x14ac:dyDescent="0.25">
      <c r="A890">
        <f ca="1">26960.0451883951*((RANDBETWEEN(1620,2416)))</f>
        <v>61981143.888120331</v>
      </c>
      <c r="B890">
        <v>144521915.13305759</v>
      </c>
    </row>
    <row r="891" spans="1:2" x14ac:dyDescent="0.25">
      <c r="A891">
        <f ca="1">29186.8373502944*((RANDBETWEEN(1620,2416)))</f>
        <v>70281904.339508802</v>
      </c>
      <c r="B891">
        <v>188611926.92326495</v>
      </c>
    </row>
    <row r="892" spans="1:2" x14ac:dyDescent="0.25">
      <c r="A892">
        <f ca="1">25781.5103737077*((RANDBETWEEN(1620,2416)))</f>
        <v>59400599.901022598</v>
      </c>
      <c r="B892">
        <v>168000904.45571154</v>
      </c>
    </row>
    <row r="893" spans="1:2" x14ac:dyDescent="0.25">
      <c r="A893">
        <f ca="1">27941.4526428128*((RANDBETWEEN(1620,2416)))</f>
        <v>60912366.761331901</v>
      </c>
      <c r="B893">
        <v>161795524.86510417</v>
      </c>
    </row>
    <row r="894" spans="1:2" x14ac:dyDescent="0.25">
      <c r="A894">
        <f ca="1">29519.4665121891*((RANDBETWEEN(1620,2416)))</f>
        <v>51777144.262379751</v>
      </c>
      <c r="B894">
        <v>178778073.86283138</v>
      </c>
    </row>
    <row r="895" spans="1:2" x14ac:dyDescent="0.25">
      <c r="A895">
        <f ca="1">26662.517133015*((RANDBETWEEN(1620,2416)))</f>
        <v>56284573.667794727</v>
      </c>
      <c r="B895">
        <v>145719487.66314337</v>
      </c>
    </row>
    <row r="896" spans="1:2" x14ac:dyDescent="0.25">
      <c r="A896">
        <f ca="1">26473.9800143215*((RANDBETWEEN(1620,2416)))</f>
        <v>52153740.628213279</v>
      </c>
      <c r="B896">
        <v>164353926.3220824</v>
      </c>
    </row>
    <row r="897" spans="1:2" x14ac:dyDescent="0.25">
      <c r="A897">
        <f ca="1">26798.386229913*((RANDBETWEEN(1620,2416)))</f>
        <v>61100320.604201689</v>
      </c>
      <c r="B897">
        <v>145505002.75839913</v>
      </c>
    </row>
    <row r="898" spans="1:2" x14ac:dyDescent="0.25">
      <c r="A898">
        <f ca="1">27798.9956602587*((RANDBETWEEN(1620,2416)))</f>
        <v>55653589.311837949</v>
      </c>
      <c r="B898">
        <v>166709588.78507769</v>
      </c>
    </row>
    <row r="899" spans="1:2" x14ac:dyDescent="0.25">
      <c r="A899">
        <f ca="1">25585.587036876*((RANDBETWEEN(1620,2416)))</f>
        <v>55981264.436684601</v>
      </c>
      <c r="B899">
        <v>151525127.64986652</v>
      </c>
    </row>
    <row r="900" spans="1:2" x14ac:dyDescent="0.25">
      <c r="A900">
        <f ca="1">28706.7580496771*((RANDBETWEEN(1620,2416)))</f>
        <v>46878135.895122729</v>
      </c>
      <c r="B900">
        <v>190159054.19965294</v>
      </c>
    </row>
    <row r="901" spans="1:2" x14ac:dyDescent="0.25">
      <c r="A901">
        <f ca="1">25407.445270017*((RANDBETWEEN(1620,2416)))</f>
        <v>52999930.833255522</v>
      </c>
      <c r="B901">
        <v>144607150.16084734</v>
      </c>
    </row>
    <row r="902" spans="1:2" x14ac:dyDescent="0.25">
      <c r="A902">
        <f ca="1">27851.6458052177*((RANDBETWEEN(1620,2416)))</f>
        <v>50383627.26163885</v>
      </c>
      <c r="B902">
        <v>154015548.09082186</v>
      </c>
    </row>
    <row r="903" spans="1:2" x14ac:dyDescent="0.25">
      <c r="A903">
        <f ca="1">26440.5230843997*((RANDBETWEEN(1620,2416)))</f>
        <v>50871566.414384961</v>
      </c>
      <c r="B903">
        <v>182134050.97626853</v>
      </c>
    </row>
    <row r="904" spans="1:2" x14ac:dyDescent="0.25">
      <c r="A904">
        <f ca="1">30288.4064205224*((RANDBETWEEN(1620,2416)))</f>
        <v>65362381.055487432</v>
      </c>
      <c r="B904">
        <v>193958339.10447255</v>
      </c>
    </row>
    <row r="905" spans="1:2" x14ac:dyDescent="0.25">
      <c r="A905">
        <f ca="1">27374.5454526905*((RANDBETWEEN(1620,2416)))</f>
        <v>65890530.904625952</v>
      </c>
      <c r="B905">
        <v>180454451.11368704</v>
      </c>
    </row>
    <row r="906" spans="1:2" x14ac:dyDescent="0.25">
      <c r="A906">
        <f ca="1">27728.4198665253*((RANDBETWEEN(1620,2416)))</f>
        <v>53266294.563595079</v>
      </c>
      <c r="B906">
        <v>159950587.84669498</v>
      </c>
    </row>
    <row r="907" spans="1:2" x14ac:dyDescent="0.25">
      <c r="A907">
        <f ca="1">26423.1964653678*((RANDBETWEEN(1620,2416)))</f>
        <v>47588176.834127419</v>
      </c>
      <c r="B907">
        <v>158135611.37574449</v>
      </c>
    </row>
    <row r="908" spans="1:2" x14ac:dyDescent="0.25">
      <c r="A908">
        <f ca="1">27296.9222524793*((RANDBETWEEN(1620,2416)))</f>
        <v>48042583.164363578</v>
      </c>
      <c r="B908">
        <v>144036374.99012128</v>
      </c>
    </row>
    <row r="909" spans="1:2" x14ac:dyDescent="0.25">
      <c r="A909">
        <f ca="1">26867.270873265*((RANDBETWEEN(1620,2416)))</f>
        <v>48065547.59227109</v>
      </c>
      <c r="B909">
        <v>157444772.78633329</v>
      </c>
    </row>
    <row r="910" spans="1:2" x14ac:dyDescent="0.25">
      <c r="A910">
        <f ca="1">27898.7094728295*((RANDBETWEEN(1620,2416)))</f>
        <v>64083335.659089297</v>
      </c>
      <c r="B910">
        <v>150362124.15669999</v>
      </c>
    </row>
    <row r="911" spans="1:2" x14ac:dyDescent="0.25">
      <c r="A911">
        <f ca="1">30005.1177087793*((RANDBETWEEN(1620,2416)))</f>
        <v>67751555.786423743</v>
      </c>
      <c r="B911">
        <v>164004385.48457226</v>
      </c>
    </row>
    <row r="912" spans="1:2" x14ac:dyDescent="0.25">
      <c r="A912">
        <f ca="1">25617.0315273215*((RANDBETWEEN(1620,2416)))</f>
        <v>44548017.826012053</v>
      </c>
      <c r="B912">
        <v>154204350.02079242</v>
      </c>
    </row>
    <row r="913" spans="1:2" x14ac:dyDescent="0.25">
      <c r="A913">
        <f ca="1">26682.9209780057*((RANDBETWEEN(1620,2416)))</f>
        <v>58408914.02085451</v>
      </c>
      <c r="B913">
        <v>159457633.25263539</v>
      </c>
    </row>
    <row r="914" spans="1:2" x14ac:dyDescent="0.25">
      <c r="A914">
        <f ca="1">26734.2579596414*((RANDBETWEEN(1620,2416)))</f>
        <v>44539273.760762617</v>
      </c>
      <c r="B914">
        <v>165714110.64821279</v>
      </c>
    </row>
    <row r="915" spans="1:2" x14ac:dyDescent="0.25">
      <c r="A915">
        <f ca="1">29532.8628810428*((RANDBETWEEN(1620,2416)))</f>
        <v>68279978.980971038</v>
      </c>
      <c r="B915">
        <v>146189853.31455365</v>
      </c>
    </row>
    <row r="916" spans="1:2" x14ac:dyDescent="0.25">
      <c r="A916">
        <f ca="1">30747.8126682658*((RANDBETWEEN(1620,2416)))</f>
        <v>66661257.864800192</v>
      </c>
      <c r="B916">
        <v>154498839.74967176</v>
      </c>
    </row>
    <row r="917" spans="1:2" x14ac:dyDescent="0.25">
      <c r="A917">
        <f ca="1">24798.0517892646*((RANDBETWEEN(1620,2416)))</f>
        <v>57481884.047515333</v>
      </c>
      <c r="B917">
        <v>154878412.11925519</v>
      </c>
    </row>
    <row r="918" spans="1:2" x14ac:dyDescent="0.25">
      <c r="A918">
        <f ca="1">28475.8226132211*((RANDBETWEEN(1620,2416)))</f>
        <v>64298407.46065335</v>
      </c>
      <c r="B918">
        <v>178962397.51877117</v>
      </c>
    </row>
    <row r="919" spans="1:2" x14ac:dyDescent="0.25">
      <c r="A919">
        <f ca="1">26990.3838218696*((RANDBETWEEN(1620,2416)))</f>
        <v>57300584.853829153</v>
      </c>
      <c r="B919">
        <v>152583619.96882254</v>
      </c>
    </row>
    <row r="920" spans="1:2" x14ac:dyDescent="0.25">
      <c r="A920">
        <f ca="1">26641.4009213212*((RANDBETWEEN(1620,2416)))</f>
        <v>62527367.962340876</v>
      </c>
      <c r="B920">
        <v>176977968.64046097</v>
      </c>
    </row>
    <row r="921" spans="1:2" x14ac:dyDescent="0.25">
      <c r="A921">
        <f ca="1">28597.6026445266*((RANDBETWEEN(1620,2416)))</f>
        <v>57423986.110209428</v>
      </c>
      <c r="B921">
        <v>148607219.79899219</v>
      </c>
    </row>
    <row r="922" spans="1:2" x14ac:dyDescent="0.25">
      <c r="A922">
        <f ca="1">30508.0248678533*((RANDBETWEEN(1620,2416)))</f>
        <v>52626342.897046983</v>
      </c>
      <c r="B922">
        <v>162758239.94833893</v>
      </c>
    </row>
    <row r="923" spans="1:2" x14ac:dyDescent="0.25">
      <c r="A923">
        <f ca="1">28079.2257204786*((RANDBETWEEN(1620,2416)))</f>
        <v>65621150.50875856</v>
      </c>
      <c r="B923">
        <v>189999987.41288584</v>
      </c>
    </row>
    <row r="924" spans="1:2" x14ac:dyDescent="0.25">
      <c r="A924">
        <f ca="1">27397.5338430953*((RANDBETWEEN(1620,2416)))</f>
        <v>44438799.893500552</v>
      </c>
      <c r="B924">
        <v>143850781.8636345</v>
      </c>
    </row>
    <row r="925" spans="1:2" x14ac:dyDescent="0.25">
      <c r="A925">
        <f ca="1">25358.0854928377*((RANDBETWEEN(1620,2416)))</f>
        <v>51502271.635953374</v>
      </c>
      <c r="B925">
        <v>146807206.10617605</v>
      </c>
    </row>
    <row r="926" spans="1:2" x14ac:dyDescent="0.25">
      <c r="A926">
        <f ca="1">27898.9157844261*((RANDBETWEEN(1620,2416)))</f>
        <v>64669686.788299687</v>
      </c>
      <c r="B926">
        <v>191654136.80268043</v>
      </c>
    </row>
    <row r="927" spans="1:2" x14ac:dyDescent="0.25">
      <c r="A927">
        <f ca="1">27617.6964242716*((RANDBETWEEN(1620,2416)))</f>
        <v>62719788.579520866</v>
      </c>
      <c r="B927">
        <v>162543060.24859121</v>
      </c>
    </row>
    <row r="928" spans="1:2" x14ac:dyDescent="0.25">
      <c r="A928">
        <f ca="1">27845.9827276977*((RANDBETWEEN(1620,2416)))</f>
        <v>49593695.238029674</v>
      </c>
      <c r="B928">
        <v>166052928.43848109</v>
      </c>
    </row>
    <row r="929" spans="1:2" x14ac:dyDescent="0.25">
      <c r="A929">
        <f ca="1">30658.0150945132*((RANDBETWEEN(1620,2416)))</f>
        <v>66374602.679621018</v>
      </c>
      <c r="B929">
        <v>163223133.03957751</v>
      </c>
    </row>
    <row r="930" spans="1:2" x14ac:dyDescent="0.25">
      <c r="A930">
        <f ca="1">27997.3256216127*((RANDBETWEEN(1620,2416)))</f>
        <v>64309856.952844277</v>
      </c>
      <c r="B930">
        <v>154818716.6844393</v>
      </c>
    </row>
    <row r="931" spans="1:2" x14ac:dyDescent="0.25">
      <c r="A931">
        <f ca="1">26837.8967194323*((RANDBETWEEN(1620,2416)))</f>
        <v>64625655.300393015</v>
      </c>
      <c r="B931">
        <v>189904422.99156988</v>
      </c>
    </row>
    <row r="932" spans="1:2" x14ac:dyDescent="0.25">
      <c r="A932">
        <f ca="1">27327.3603968599*((RANDBETWEEN(1620,2416)))</f>
        <v>52905769.728320673</v>
      </c>
      <c r="B932">
        <v>162286768.099733</v>
      </c>
    </row>
    <row r="933" spans="1:2" x14ac:dyDescent="0.25">
      <c r="A933">
        <f ca="1">31227.4971656679*((RANDBETWEEN(1620,2416)))</f>
        <v>61892899.382353716</v>
      </c>
      <c r="B933">
        <v>189673277.6371094</v>
      </c>
    </row>
    <row r="934" spans="1:2" x14ac:dyDescent="0.25">
      <c r="A934">
        <f ca="1">26314.8691975128*((RANDBETWEEN(1620,2416)))</f>
        <v>57471674.327367999</v>
      </c>
      <c r="B934">
        <v>167373819.45206025</v>
      </c>
    </row>
    <row r="935" spans="1:2" x14ac:dyDescent="0.25">
      <c r="A935">
        <f ca="1">29412.5280909165*((RANDBETWEEN(1620,2416)))</f>
        <v>67972352.418108061</v>
      </c>
      <c r="B935">
        <v>191424357.10547978</v>
      </c>
    </row>
    <row r="936" spans="1:2" x14ac:dyDescent="0.25">
      <c r="A936">
        <f ca="1">27253.3503757252*((RANDBETWEEN(1620,2416)))</f>
        <v>62628199.163416557</v>
      </c>
      <c r="B936">
        <v>162754878.90943921</v>
      </c>
    </row>
    <row r="937" spans="1:2" x14ac:dyDescent="0.25">
      <c r="A937">
        <f ca="1">26107.030779622*((RANDBETWEEN(1620,2416)))</f>
        <v>62891837.148109339</v>
      </c>
      <c r="B937">
        <v>178121146.20265809</v>
      </c>
    </row>
    <row r="938" spans="1:2" x14ac:dyDescent="0.25">
      <c r="A938">
        <f ca="1">25276.9581226752*((RANDBETWEEN(1620,2416)))</f>
        <v>42970828.808547884</v>
      </c>
      <c r="B938">
        <v>160222844.28389862</v>
      </c>
    </row>
    <row r="939" spans="1:2" x14ac:dyDescent="0.25">
      <c r="A939">
        <f ca="1">27114.0308689053*((RANDBETWEEN(1620,2416)))</f>
        <v>53902693.367383778</v>
      </c>
      <c r="B939">
        <v>163680008.52181712</v>
      </c>
    </row>
    <row r="940" spans="1:2" x14ac:dyDescent="0.25">
      <c r="A940">
        <f ca="1">25575.0789059389*((RANDBETWEEN(1620,2416)))</f>
        <v>58873831.641471311</v>
      </c>
      <c r="B940">
        <v>143191587.74057776</v>
      </c>
    </row>
    <row r="941" spans="1:2" x14ac:dyDescent="0.25">
      <c r="A941">
        <f ca="1">26183.2403472003*((RANDBETWEEN(1620,2416)))</f>
        <v>59174123.184672788</v>
      </c>
      <c r="B941">
        <v>152728839.47523421</v>
      </c>
    </row>
    <row r="942" spans="1:2" x14ac:dyDescent="0.25">
      <c r="A942">
        <f ca="1">26461.3159242245*((RANDBETWEEN(1620,2416)))</f>
        <v>46757145.238104761</v>
      </c>
      <c r="B942">
        <v>144182499.29643396</v>
      </c>
    </row>
    <row r="943" spans="1:2" x14ac:dyDescent="0.25">
      <c r="A943">
        <f ca="1">28232.9712990641*((RANDBETWEEN(1620,2416)))</f>
        <v>66883909.007482909</v>
      </c>
      <c r="B943">
        <v>183583578.70114195</v>
      </c>
    </row>
    <row r="944" spans="1:2" x14ac:dyDescent="0.25">
      <c r="A944">
        <f ca="1">26357.7175768677*((RANDBETWEEN(1620,2416)))</f>
        <v>45651566.84313491</v>
      </c>
      <c r="B944">
        <v>150197337.26365826</v>
      </c>
    </row>
    <row r="945" spans="1:2" x14ac:dyDescent="0.25">
      <c r="A945">
        <f ca="1">26115.2462113218*((RANDBETWEEN(1620,2416)))</f>
        <v>50689692.896175586</v>
      </c>
      <c r="B945">
        <v>167387946.19893423</v>
      </c>
    </row>
    <row r="946" spans="1:2" x14ac:dyDescent="0.25">
      <c r="A946">
        <f ca="1">26508.0273121739*((RANDBETWEEN(1620,2416)))</f>
        <v>61631163.500804327</v>
      </c>
      <c r="B946">
        <v>150007173.36961997</v>
      </c>
    </row>
    <row r="947" spans="1:2" x14ac:dyDescent="0.25">
      <c r="A947">
        <f ca="1">26417.117197748*((RANDBETWEEN(1620,2416)))</f>
        <v>52279474.934343204</v>
      </c>
      <c r="B947">
        <v>168247502.06438783</v>
      </c>
    </row>
    <row r="948" spans="1:2" x14ac:dyDescent="0.25">
      <c r="A948">
        <f ca="1">27152.385289053*((RANDBETWEEN(1620,2416)))</f>
        <v>46131902.606101044</v>
      </c>
      <c r="B948">
        <v>180562472.91383013</v>
      </c>
    </row>
    <row r="949" spans="1:2" x14ac:dyDescent="0.25">
      <c r="A949">
        <f ca="1">26442.085004708*((RANDBETWEEN(1620,2416)))</f>
        <v>55581262.679896131</v>
      </c>
      <c r="B949">
        <v>143724519.50132501</v>
      </c>
    </row>
    <row r="950" spans="1:2" x14ac:dyDescent="0.25">
      <c r="A950">
        <f ca="1">28063.400406829*((RANDBETWEEN(1620,2416)))</f>
        <v>49812535.722121418</v>
      </c>
      <c r="B950">
        <v>150630224.2278291</v>
      </c>
    </row>
    <row r="951" spans="1:2" x14ac:dyDescent="0.25">
      <c r="A951">
        <f ca="1">30276.7236989976*((RANDBETWEEN(1620,2416)))</f>
        <v>60825937.911286175</v>
      </c>
      <c r="B951">
        <v>151503280.41468358</v>
      </c>
    </row>
    <row r="952" spans="1:2" x14ac:dyDescent="0.25">
      <c r="A952">
        <f ca="1">31224.9525421591*((RANDBETWEEN(1620,2416)))</f>
        <v>56267364.480970711</v>
      </c>
      <c r="B952">
        <v>163565910.89819092</v>
      </c>
    </row>
    <row r="953" spans="1:2" x14ac:dyDescent="0.25">
      <c r="A953">
        <f ca="1">30414.1253124795*((RANDBETWEEN(1620,2416)))</f>
        <v>59033817.231522664</v>
      </c>
      <c r="B953">
        <v>148469594.54399431</v>
      </c>
    </row>
    <row r="954" spans="1:2" x14ac:dyDescent="0.25">
      <c r="A954">
        <f ca="1">27454.475090052*((RANDBETWEEN(1620,2416)))</f>
        <v>54826586.754833832</v>
      </c>
      <c r="B954">
        <v>169407532.4876613</v>
      </c>
    </row>
    <row r="955" spans="1:2" x14ac:dyDescent="0.25">
      <c r="A955">
        <f ca="1">25192.6279650805*((RANDBETWEEN(1620,2416)))</f>
        <v>45775005.012551315</v>
      </c>
      <c r="B955">
        <v>187524576.78102776</v>
      </c>
    </row>
    <row r="956" spans="1:2" x14ac:dyDescent="0.25">
      <c r="A956">
        <f ca="1">26205.9626201723*((RANDBETWEEN(1620,2416)))</f>
        <v>45755610.734820776</v>
      </c>
      <c r="B956">
        <v>163289915.70538628</v>
      </c>
    </row>
    <row r="957" spans="1:2" x14ac:dyDescent="0.25">
      <c r="A957">
        <f ca="1">26243.4674443637*((RANDBETWEEN(1620,2416)))</f>
        <v>60412462.056925297</v>
      </c>
      <c r="B957">
        <v>183976089.96727678</v>
      </c>
    </row>
    <row r="958" spans="1:2" x14ac:dyDescent="0.25">
      <c r="A958">
        <f ca="1">31292.6630472974*((RANDBETWEEN(1620,2416)))</f>
        <v>67529566.856067717</v>
      </c>
      <c r="B958">
        <v>158859404.9519389</v>
      </c>
    </row>
    <row r="959" spans="1:2" x14ac:dyDescent="0.25">
      <c r="A959">
        <f ca="1">26715.4825700705*((RANDBETWEEN(1620,2416)))</f>
        <v>59335086.788126618</v>
      </c>
      <c r="B959">
        <v>200954671.76072696</v>
      </c>
    </row>
    <row r="960" spans="1:2" x14ac:dyDescent="0.25">
      <c r="A960">
        <f ca="1">26230.2162512683*((RANDBETWEEN(1620,2416)))</f>
        <v>53955554.828858823</v>
      </c>
      <c r="B960">
        <v>147666647.50660053</v>
      </c>
    </row>
    <row r="961" spans="1:2" x14ac:dyDescent="0.25">
      <c r="A961">
        <f ca="1">30282.9398546145*((RANDBETWEEN(1620,2416)))</f>
        <v>67106994.717825659</v>
      </c>
      <c r="B961">
        <v>181700346.02369142</v>
      </c>
    </row>
    <row r="962" spans="1:2" x14ac:dyDescent="0.25">
      <c r="A962">
        <f ca="1">27470.5038781402*((RANDBETWEEN(1620,2416)))</f>
        <v>61643810.702546716</v>
      </c>
      <c r="B962">
        <v>193318921.188905</v>
      </c>
    </row>
    <row r="963" spans="1:2" x14ac:dyDescent="0.25">
      <c r="A963">
        <f ca="1">27782.2281619849*((RANDBETWEEN(1620,2416)))</f>
        <v>49007850.477741383</v>
      </c>
      <c r="B963">
        <v>148308973.36003202</v>
      </c>
    </row>
    <row r="964" spans="1:2" x14ac:dyDescent="0.25">
      <c r="A964">
        <f ca="1">25658.2802057778*((RANDBETWEEN(1620,2416)))</f>
        <v>44414483.036201313</v>
      </c>
      <c r="B964">
        <v>147646881.12168086</v>
      </c>
    </row>
    <row r="965" spans="1:2" x14ac:dyDescent="0.25">
      <c r="A965">
        <f ca="1">27780.1305936386*((RANDBETWEEN(1620,2416)))</f>
        <v>53698992.437503383</v>
      </c>
      <c r="B965">
        <v>197369856.35433859</v>
      </c>
    </row>
    <row r="966" spans="1:2" x14ac:dyDescent="0.25">
      <c r="A966">
        <f ca="1">28863.0189406844*((RANDBETWEEN(1620,2416)))</f>
        <v>65951998.279463962</v>
      </c>
      <c r="B966">
        <v>160808464.00638741</v>
      </c>
    </row>
    <row r="967" spans="1:2" x14ac:dyDescent="0.25">
      <c r="A967">
        <f ca="1">26108.6179460118*((RANDBETWEEN(1620,2416)))</f>
        <v>56472940.617223538</v>
      </c>
      <c r="B967">
        <v>162810951.44722736</v>
      </c>
    </row>
    <row r="968" spans="1:2" x14ac:dyDescent="0.25">
      <c r="A968">
        <f ca="1">30246.7725231003*((RANDBETWEEN(1620,2416)))</f>
        <v>60493545.046200588</v>
      </c>
      <c r="B968">
        <v>200421635.04166976</v>
      </c>
    </row>
    <row r="969" spans="1:2" x14ac:dyDescent="0.25">
      <c r="A969">
        <f ca="1">26121.0510921644*((RANDBETWEEN(1620,2416)))</f>
        <v>50152418.096955687</v>
      </c>
      <c r="B969">
        <v>160593077.16884232</v>
      </c>
    </row>
    <row r="970" spans="1:2" x14ac:dyDescent="0.25">
      <c r="A970">
        <f ca="1">30158.6542682941*((RANDBETWEEN(1620,2416)))</f>
        <v>59533183.525612615</v>
      </c>
      <c r="B970">
        <v>179312175.83209518</v>
      </c>
    </row>
    <row r="971" spans="1:2" x14ac:dyDescent="0.25">
      <c r="A971">
        <f ca="1">28090.0271471789*((RANDBETWEEN(1620,2416)))</f>
        <v>58399166.438984849</v>
      </c>
      <c r="B971">
        <v>153156148.7068601</v>
      </c>
    </row>
    <row r="972" spans="1:2" x14ac:dyDescent="0.25">
      <c r="A972">
        <f ca="1">31290.1426690412*((RANDBETWEEN(1620,2416)))</f>
        <v>72718291.562851787</v>
      </c>
      <c r="B972">
        <v>159486701.7268824</v>
      </c>
    </row>
    <row r="973" spans="1:2" x14ac:dyDescent="0.25">
      <c r="A973">
        <f ca="1">30872.1003921961*((RANDBETWEEN(1620,2416)))</f>
        <v>51710768.156928428</v>
      </c>
      <c r="B973">
        <v>149921640.56201628</v>
      </c>
    </row>
    <row r="974" spans="1:2" x14ac:dyDescent="0.25">
      <c r="A974">
        <f ca="1">27017.218345387*((RANDBETWEEN(1620,2416)))</f>
        <v>58708415.464525871</v>
      </c>
      <c r="B974">
        <v>163015711.6207372</v>
      </c>
    </row>
    <row r="975" spans="1:2" x14ac:dyDescent="0.25">
      <c r="A975">
        <f ca="1">27152.8380747963*((RANDBETWEEN(1620,2416)))</f>
        <v>48657885.830034897</v>
      </c>
      <c r="B975">
        <v>164339110.93870017</v>
      </c>
    </row>
    <row r="976" spans="1:2" x14ac:dyDescent="0.25">
      <c r="A976">
        <f ca="1">28260.4311285219*((RANDBETWEEN(1620,2416)))</f>
        <v>56012174.496730447</v>
      </c>
      <c r="B976">
        <v>187750017.33292234</v>
      </c>
    </row>
    <row r="977" spans="1:2" x14ac:dyDescent="0.25">
      <c r="A977">
        <f ca="1">26974.661925633*((RANDBETWEEN(1620,2416)))</f>
        <v>44076597.58648435</v>
      </c>
      <c r="B977">
        <v>181073569.2223447</v>
      </c>
    </row>
    <row r="978" spans="1:2" x14ac:dyDescent="0.25">
      <c r="A978">
        <f ca="1">28813.7252441379*((RANDBETWEEN(1620,2416)))</f>
        <v>66329195.512005374</v>
      </c>
      <c r="B978">
        <v>170863057.74984723</v>
      </c>
    </row>
    <row r="979" spans="1:2" x14ac:dyDescent="0.25">
      <c r="A979">
        <f ca="1">26353.8509369268*((RANDBETWEEN(1620,2416)))</f>
        <v>50125024.482034728</v>
      </c>
      <c r="B979">
        <v>195779239.95421356</v>
      </c>
    </row>
    <row r="980" spans="1:2" x14ac:dyDescent="0.25">
      <c r="A980">
        <f ca="1">33461.0265008953*((RANDBETWEEN(1620,2416)))</f>
        <v>71372369.52640973</v>
      </c>
      <c r="B980">
        <v>179085667.10329574</v>
      </c>
    </row>
    <row r="981" spans="1:2" x14ac:dyDescent="0.25">
      <c r="A981">
        <f ca="1">27682.8066117947*((RANDBETWEEN(1620,2416)))</f>
        <v>55587075.676483795</v>
      </c>
      <c r="B981">
        <v>197148837.19019306</v>
      </c>
    </row>
    <row r="982" spans="1:2" x14ac:dyDescent="0.25">
      <c r="A982">
        <f ca="1">28316.2893676813*((RANDBETWEEN(1620,2416)))</f>
        <v>65042516.67756401</v>
      </c>
      <c r="B982">
        <v>144502479.02664486</v>
      </c>
    </row>
    <row r="983" spans="1:2" x14ac:dyDescent="0.25">
      <c r="A983">
        <f ca="1">27169.1701568613*((RANDBETWEEN(1620,2416)))</f>
        <v>49284874.664546311</v>
      </c>
      <c r="B983">
        <v>153028871.00997126</v>
      </c>
    </row>
    <row r="984" spans="1:2" x14ac:dyDescent="0.25">
      <c r="A984">
        <f ca="1">27528.0073664934*((RANDBETWEEN(1620,2416)))</f>
        <v>49220077.171290264</v>
      </c>
      <c r="B984">
        <v>158947518.80581516</v>
      </c>
    </row>
    <row r="985" spans="1:2" x14ac:dyDescent="0.25">
      <c r="A985">
        <f ca="1">26126.699643307*((RANDBETWEEN(1620,2416)))</f>
        <v>61711264.557491079</v>
      </c>
      <c r="B985">
        <v>175231090.44673941</v>
      </c>
    </row>
    <row r="986" spans="1:2" x14ac:dyDescent="0.25">
      <c r="A986">
        <f ca="1">28434.856105069*((RANDBETWEEN(1620,2416)))</f>
        <v>66196345.012600735</v>
      </c>
      <c r="B986">
        <v>185541997.26942447</v>
      </c>
    </row>
    <row r="987" spans="1:2" x14ac:dyDescent="0.25">
      <c r="A987">
        <f ca="1">30236.8337977379*((RANDBETWEEN(1620,2416)))</f>
        <v>62499535.459924199</v>
      </c>
      <c r="B987">
        <v>161771655.4245199</v>
      </c>
    </row>
    <row r="988" spans="1:2" x14ac:dyDescent="0.25">
      <c r="A988">
        <f ca="1">30784.5191903044*((RANDBETWEEN(1620,2416)))</f>
        <v>72589896.250737771</v>
      </c>
      <c r="B988">
        <v>150575201.26260665</v>
      </c>
    </row>
    <row r="989" spans="1:2" x14ac:dyDescent="0.25">
      <c r="A989">
        <f ca="1">25646.2222692793*((RANDBETWEEN(1620,2416)))</f>
        <v>42188035.632964402</v>
      </c>
      <c r="B989">
        <v>174949128.03707868</v>
      </c>
    </row>
    <row r="990" spans="1:2" x14ac:dyDescent="0.25">
      <c r="A990">
        <f ca="1">27832.2647627379*((RANDBETWEEN(1620,2416)))</f>
        <v>48678631.070028655</v>
      </c>
      <c r="B990">
        <v>175289944.75952363</v>
      </c>
    </row>
    <row r="991" spans="1:2" x14ac:dyDescent="0.25">
      <c r="A991">
        <f ca="1">30517.9823934829*((RANDBETWEEN(1620,2416)))</f>
        <v>55390138.04417149</v>
      </c>
      <c r="B991">
        <v>195742067.94621506</v>
      </c>
    </row>
    <row r="992" spans="1:2" x14ac:dyDescent="0.25">
      <c r="A992">
        <f ca="1">27135.3674319027*((RANDBETWEEN(1620,2416)))</f>
        <v>57988280.201975971</v>
      </c>
      <c r="B992">
        <v>148917287.26542813</v>
      </c>
    </row>
    <row r="993" spans="1:2" x14ac:dyDescent="0.25">
      <c r="A993">
        <f ca="1">26253.5809084804*((RANDBETWEEN(1620,2416)))</f>
        <v>60199461.023145653</v>
      </c>
      <c r="B993">
        <v>194712108.57921553</v>
      </c>
    </row>
    <row r="994" spans="1:2" x14ac:dyDescent="0.25">
      <c r="A994">
        <f ca="1">29428.8396435455*((RANDBETWEEN(1620,2416)))</f>
        <v>61241415.298218258</v>
      </c>
      <c r="B994">
        <v>198042625.25430465</v>
      </c>
    </row>
    <row r="995" spans="1:2" x14ac:dyDescent="0.25">
      <c r="A995">
        <f ca="1">27603.3010431773*((RANDBETWEEN(1620,2416)))</f>
        <v>48719826.341207899</v>
      </c>
      <c r="B995">
        <v>152315589.04835048</v>
      </c>
    </row>
    <row r="996" spans="1:2" x14ac:dyDescent="0.25">
      <c r="A996">
        <f ca="1">28326.0437764258*((RANDBETWEEN(1620,2416)))</f>
        <v>60532755.550222002</v>
      </c>
      <c r="B996">
        <v>163479458.88366026</v>
      </c>
    </row>
    <row r="997" spans="1:2" x14ac:dyDescent="0.25">
      <c r="A997">
        <f ca="1">28465.2640491183*((RANDBETWEEN(1620,2416)))</f>
        <v>61257248.233702518</v>
      </c>
      <c r="B997">
        <v>189242233.65822217</v>
      </c>
    </row>
    <row r="998" spans="1:2" x14ac:dyDescent="0.25">
      <c r="A998">
        <f ca="1">31366.0684924751*((RANDBETWEEN(1620,2416)))</f>
        <v>55831601.916605644</v>
      </c>
      <c r="B998">
        <v>144053894.92401403</v>
      </c>
    </row>
    <row r="999" spans="1:2" x14ac:dyDescent="0.25">
      <c r="A999">
        <f ca="1">28432.0816333169*((RANDBETWEEN(1620,2416)))</f>
        <v>66701663.511761561</v>
      </c>
      <c r="B999">
        <v>168622267.85492259</v>
      </c>
    </row>
    <row r="1000" spans="1:2" x14ac:dyDescent="0.25">
      <c r="A1000">
        <f ca="1">25809.731232372*((RANDBETWEEN(1620,2416)))</f>
        <v>59491430.490617506</v>
      </c>
      <c r="B1000">
        <v>149495082.09577861</v>
      </c>
    </row>
    <row r="1001" spans="1:2" x14ac:dyDescent="0.25">
      <c r="A1001">
        <f ca="1">31016.6892450852*((RANDBETWEEN(1620,2416)))</f>
        <v>72144819.184068128</v>
      </c>
      <c r="B1001">
        <v>195941283.85699129</v>
      </c>
    </row>
    <row r="1002" spans="1:2" x14ac:dyDescent="0.25">
      <c r="A1002">
        <f ca="1">26788.4868211308*((RANDBETWEEN(1620,2416)))</f>
        <v>50764182.526042849</v>
      </c>
      <c r="B1002">
        <v>190339222.27528608</v>
      </c>
    </row>
    <row r="1003" spans="1:2" x14ac:dyDescent="0.25">
      <c r="A1003">
        <f ca="1">27085.5723404248*((RANDBETWEEN(1620,2416)))</f>
        <v>52166812.327658303</v>
      </c>
      <c r="B1003">
        <v>167586431.11698335</v>
      </c>
    </row>
    <row r="1004" spans="1:2" x14ac:dyDescent="0.25">
      <c r="A1004">
        <f ca="1">27937.927266053*((RANDBETWEEN(1620,2416)))</f>
        <v>64760115.402710959</v>
      </c>
      <c r="B1004">
        <v>143620696.8274467</v>
      </c>
    </row>
    <row r="1005" spans="1:2" x14ac:dyDescent="0.25">
      <c r="A1005">
        <f ca="1">26653.7165889147*((RANDBETWEEN(1620,2416)))</f>
        <v>43472211.756519914</v>
      </c>
      <c r="B1005">
        <v>165019713.36299706</v>
      </c>
    </row>
    <row r="1006" spans="1:2" x14ac:dyDescent="0.25">
      <c r="A1006">
        <f ca="1">26312.0932974815*((RANDBETWEEN(1620,2416)))</f>
        <v>44651622.325826041</v>
      </c>
      <c r="B1006">
        <v>146307452.43548805</v>
      </c>
    </row>
    <row r="1007" spans="1:2" x14ac:dyDescent="0.25">
      <c r="A1007">
        <f ca="1">28097.8252586216*((RANDBETWEEN(1620,2416)))</f>
        <v>65973693.707243606</v>
      </c>
      <c r="B1007">
        <v>153924718.87498084</v>
      </c>
    </row>
    <row r="1008" spans="1:2" x14ac:dyDescent="0.25">
      <c r="A1008">
        <f ca="1">28037.831383241*((RANDBETWEEN(1620,2416)))</f>
        <v>47608237.688743152</v>
      </c>
      <c r="B1008">
        <v>173921749.00444365</v>
      </c>
    </row>
    <row r="1009" spans="1:2" x14ac:dyDescent="0.25">
      <c r="A1009">
        <f ca="1">26864.1637402221*((RANDBETWEEN(1620,2416)))</f>
        <v>51095639.433902465</v>
      </c>
      <c r="B1009">
        <v>194762452.47270855</v>
      </c>
    </row>
    <row r="1010" spans="1:2" x14ac:dyDescent="0.25">
      <c r="A1010">
        <f ca="1">26998.0506789098*((RANDBETWEEN(1620,2416)))</f>
        <v>53321150.090846889</v>
      </c>
      <c r="B1010">
        <v>148002213.68819869</v>
      </c>
    </row>
    <row r="1011" spans="1:2" x14ac:dyDescent="0.25">
      <c r="A1011">
        <f ca="1">29348.3304230669*((RANDBETWEEN(1620,2416)))</f>
        <v>56319446.081865437</v>
      </c>
      <c r="B1011">
        <v>181713530.53955698</v>
      </c>
    </row>
    <row r="1012" spans="1:2" x14ac:dyDescent="0.25">
      <c r="A1012">
        <f ca="1">26666.1529741772*((RANDBETWEEN(1620,2416)))</f>
        <v>56532244.305255704</v>
      </c>
      <c r="B1012">
        <v>176729703.0938639</v>
      </c>
    </row>
    <row r="1013" spans="1:2" x14ac:dyDescent="0.25">
      <c r="A1013">
        <f ca="1">27172.1442447546*((RANDBETWEEN(1620,2416)))</f>
        <v>61028635.973718919</v>
      </c>
      <c r="B1013">
        <v>146014801.38919014</v>
      </c>
    </row>
    <row r="1014" spans="1:2" x14ac:dyDescent="0.25">
      <c r="A1014">
        <f ca="1">26649.9744379404*((RANDBETWEEN(1620,2416)))</f>
        <v>59056343.354475968</v>
      </c>
      <c r="B1014">
        <v>161570981.82866526</v>
      </c>
    </row>
    <row r="1015" spans="1:2" x14ac:dyDescent="0.25">
      <c r="A1015">
        <f ca="1">27077.8876152932*((RANDBETWEEN(1620,2416)))</f>
        <v>57594666.957728684</v>
      </c>
      <c r="B1015">
        <v>187101019.64639211</v>
      </c>
    </row>
    <row r="1016" spans="1:2" x14ac:dyDescent="0.25">
      <c r="A1016">
        <f ca="1">27899.2408023749*((RANDBETWEEN(1620,2416)))</f>
        <v>60680848.745165445</v>
      </c>
      <c r="B1016">
        <v>157275235.90433463</v>
      </c>
    </row>
    <row r="1017" spans="1:2" x14ac:dyDescent="0.25">
      <c r="A1017">
        <f ca="1">27004.2879940486*((RANDBETWEEN(1620,2416)))</f>
        <v>47257503.989585094</v>
      </c>
      <c r="B1017">
        <v>190319550.94144562</v>
      </c>
    </row>
    <row r="1018" spans="1:2" x14ac:dyDescent="0.25">
      <c r="A1018">
        <f ca="1">30907.2366514046*((RANDBETWEEN(1620,2416)))</f>
        <v>63483464.081985131</v>
      </c>
      <c r="B1018">
        <v>154906427.38554582</v>
      </c>
    </row>
    <row r="1019" spans="1:2" x14ac:dyDescent="0.25">
      <c r="A1019">
        <f ca="1">31210.7625888702*((RANDBETWEEN(1620,2416)))</f>
        <v>61329148.48712986</v>
      </c>
      <c r="B1019">
        <v>198692090.71868303</v>
      </c>
    </row>
    <row r="1020" spans="1:2" x14ac:dyDescent="0.25">
      <c r="A1020">
        <f ca="1">25667.3523961423*((RANDBETWEEN(1620,2416)))</f>
        <v>49820331.000912189</v>
      </c>
      <c r="B1020">
        <v>144877047.14055264</v>
      </c>
    </row>
    <row r="1021" spans="1:2" x14ac:dyDescent="0.25">
      <c r="A1021">
        <f ca="1">26377.3204195148*((RANDBETWEEN(1620,2416)))</f>
        <v>48033100.483936414</v>
      </c>
      <c r="B1021">
        <v>147531711.14226446</v>
      </c>
    </row>
    <row r="1022" spans="1:2" x14ac:dyDescent="0.25">
      <c r="A1022">
        <f ca="1">30572.804318802*((RANDBETWEEN(1620,2416)))</f>
        <v>51056583.212399304</v>
      </c>
      <c r="B1022">
        <v>167644464.17862016</v>
      </c>
    </row>
    <row r="1023" spans="1:2" x14ac:dyDescent="0.25">
      <c r="A1023">
        <f ca="1">30336.6756336798*((RANDBETWEEN(1620,2416)))</f>
        <v>72808021.520831436</v>
      </c>
      <c r="B1023">
        <v>161571226.89695078</v>
      </c>
    </row>
    <row r="1024" spans="1:2" x14ac:dyDescent="0.25">
      <c r="A1024">
        <f ca="1">27889.7713473741*((RANDBETWEEN(1620,2416)))</f>
        <v>64090694.556265585</v>
      </c>
      <c r="B1024">
        <v>192914837.72403818</v>
      </c>
    </row>
    <row r="1025" spans="1:2" x14ac:dyDescent="0.25">
      <c r="A1025">
        <f ca="1">25806.3731362962*((RANDBETWEEN(1620,2416)))</f>
        <v>53186935.03390646</v>
      </c>
      <c r="B1025">
        <v>167335288.87280464</v>
      </c>
    </row>
    <row r="1026" spans="1:2" x14ac:dyDescent="0.25">
      <c r="A1026">
        <f ca="1">29931.9467819175*((RANDBETWEEN(1620,2416)))</f>
        <v>59594506.0427977</v>
      </c>
      <c r="B1026">
        <v>180146901.42238623</v>
      </c>
    </row>
    <row r="1027" spans="1:2" x14ac:dyDescent="0.25">
      <c r="A1027">
        <f ca="1">31518.8201581844*((RANDBETWEEN(1620,2416)))</f>
        <v>57017545.666155659</v>
      </c>
      <c r="B1027">
        <v>146124198.00144717</v>
      </c>
    </row>
    <row r="1028" spans="1:2" x14ac:dyDescent="0.25">
      <c r="A1028">
        <f ca="1">27520.3652713917*((RANDBETWEEN(1620,2416)))</f>
        <v>61067690.53721825</v>
      </c>
      <c r="B1028">
        <v>188818702.50718528</v>
      </c>
    </row>
    <row r="1029" spans="1:2" x14ac:dyDescent="0.25">
      <c r="A1029">
        <f ca="1">26783.5464933401*((RANDBETWEEN(1620,2416)))</f>
        <v>52870720.777853362</v>
      </c>
      <c r="B1029">
        <v>149702601.52372986</v>
      </c>
    </row>
    <row r="1030" spans="1:2" x14ac:dyDescent="0.25">
      <c r="A1030">
        <f ca="1">28457.427627531*((RANDBETWEEN(1620,2416)))</f>
        <v>54552888.761976875</v>
      </c>
      <c r="B1030">
        <v>190137376.92976156</v>
      </c>
    </row>
    <row r="1031" spans="1:2" x14ac:dyDescent="0.25">
      <c r="A1031">
        <f ca="1">27260.0905134554*((RANDBETWEEN(1620,2416)))</f>
        <v>46478454.325441398</v>
      </c>
      <c r="B1031">
        <v>155117191.74923187</v>
      </c>
    </row>
    <row r="1032" spans="1:2" x14ac:dyDescent="0.25">
      <c r="A1032">
        <f ca="1">26435.763255582*((RANDBETWEEN(1620,2416)))</f>
        <v>53453113.302786849</v>
      </c>
      <c r="B1032">
        <v>159862108.95569479</v>
      </c>
    </row>
    <row r="1033" spans="1:2" x14ac:dyDescent="0.25">
      <c r="A1033">
        <f ca="1">26782.4698350331*((RANDBETWEEN(1620,2416)))</f>
        <v>59617777.852783769</v>
      </c>
      <c r="B1033">
        <v>152034418.80462572</v>
      </c>
    </row>
    <row r="1034" spans="1:2" x14ac:dyDescent="0.25">
      <c r="A1034">
        <f ca="1">28456.2475228714*((RANDBETWEEN(1620,2416)))</f>
        <v>58733694.887206569</v>
      </c>
      <c r="B1034">
        <v>146925228.60064292</v>
      </c>
    </row>
    <row r="1035" spans="1:2" x14ac:dyDescent="0.25">
      <c r="A1035">
        <f ca="1">27932.9618973454*((RANDBETWEEN(1620,2416)))</f>
        <v>66536315.239476703</v>
      </c>
      <c r="B1035">
        <v>152388151.25579864</v>
      </c>
    </row>
    <row r="1036" spans="1:2" x14ac:dyDescent="0.25">
      <c r="A1036">
        <f ca="1">27358.5883521875*((RANDBETWEEN(1620,2416)))</f>
        <v>62569091.561452761</v>
      </c>
      <c r="B1036">
        <v>152363453.01644316</v>
      </c>
    </row>
    <row r="1037" spans="1:2" x14ac:dyDescent="0.25">
      <c r="A1037">
        <f ca="1">31610.7123634599*((RANDBETWEEN(1620,2416)))</f>
        <v>51968011.12552809</v>
      </c>
      <c r="B1037">
        <v>184755478.71251959</v>
      </c>
    </row>
    <row r="1038" spans="1:2" x14ac:dyDescent="0.25">
      <c r="A1038">
        <f ca="1">31693.2431311507*((RANDBETWEEN(1620,2416)))</f>
        <v>57142917.365464769</v>
      </c>
      <c r="B1038">
        <v>161736153.03526476</v>
      </c>
    </row>
    <row r="1039" spans="1:2" x14ac:dyDescent="0.25">
      <c r="A1039">
        <f ca="1">28896.0716089293*((RANDBETWEEN(1620,2416)))</f>
        <v>53602212.834563784</v>
      </c>
      <c r="B1039">
        <v>161555668.37699848</v>
      </c>
    </row>
    <row r="1040" spans="1:2" x14ac:dyDescent="0.25">
      <c r="A1040">
        <f ca="1">28598.074177027*((RANDBETWEEN(1620,2416)))</f>
        <v>47501401.208041877</v>
      </c>
      <c r="B1040">
        <v>203250574.91048953</v>
      </c>
    </row>
    <row r="1041" spans="1:2" x14ac:dyDescent="0.25">
      <c r="A1041">
        <f ca="1">28123.2701471867*((RANDBETWEEN(1620,2416)))</f>
        <v>57343347.830113649</v>
      </c>
      <c r="B1041">
        <v>172418941.1524238</v>
      </c>
    </row>
    <row r="1042" spans="1:2" x14ac:dyDescent="0.25">
      <c r="A1042">
        <f ca="1">30600.8528975928*((RANDBETWEEN(1620,2416)))</f>
        <v>64965610.70158951</v>
      </c>
      <c r="B1042">
        <v>183653275.98847944</v>
      </c>
    </row>
    <row r="1043" spans="1:2" x14ac:dyDescent="0.25">
      <c r="A1043">
        <f ca="1">27269.5147955848*((RANDBETWEEN(1620,2416)))</f>
        <v>59965663.035491064</v>
      </c>
      <c r="B1043">
        <v>165153933.72296715</v>
      </c>
    </row>
    <row r="1044" spans="1:2" x14ac:dyDescent="0.25">
      <c r="A1044">
        <f ca="1">31751.402091312*((RANDBETWEEN(1620,2416)))</f>
        <v>67439978.041946694</v>
      </c>
      <c r="B1044">
        <v>165313083.59971452</v>
      </c>
    </row>
    <row r="1045" spans="1:2" x14ac:dyDescent="0.25">
      <c r="A1045">
        <f ca="1">27709.3491382453*((RANDBETWEEN(1620,2416)))</f>
        <v>56028303.957531936</v>
      </c>
      <c r="B1045">
        <v>170403180.88703173</v>
      </c>
    </row>
    <row r="1046" spans="1:2" x14ac:dyDescent="0.25">
      <c r="A1046">
        <f ca="1">27306.7662308405*((RANDBETWEEN(1620,2416)))</f>
        <v>46831104.085891426</v>
      </c>
      <c r="B1046">
        <v>161281755.09740666</v>
      </c>
    </row>
    <row r="1047" spans="1:2" x14ac:dyDescent="0.25">
      <c r="A1047">
        <f ca="1">31238.1898421594*((RANDBETWEEN(1620,2416)))</f>
        <v>53917115.667567194</v>
      </c>
      <c r="B1047">
        <v>143560189.04796872</v>
      </c>
    </row>
    <row r="1048" spans="1:2" x14ac:dyDescent="0.25">
      <c r="A1048">
        <f ca="1">30054.1930114823*((RANDBETWEEN(1620,2416)))</f>
        <v>69635565.207604557</v>
      </c>
      <c r="B1048">
        <v>184333050.95454356</v>
      </c>
    </row>
    <row r="1049" spans="1:2" x14ac:dyDescent="0.25">
      <c r="A1049">
        <f ca="1">26475.3600686148*((RANDBETWEEN(1620,2416)))</f>
        <v>49138268.287349097</v>
      </c>
      <c r="B1049">
        <v>156700427.67940849</v>
      </c>
    </row>
    <row r="1050" spans="1:2" x14ac:dyDescent="0.25">
      <c r="A1050">
        <f ca="1">26921.8543734758*((RANDBETWEEN(1620,2416)))</f>
        <v>57262784.252383113</v>
      </c>
      <c r="B1050">
        <v>164963522.59525418</v>
      </c>
    </row>
    <row r="1051" spans="1:2" x14ac:dyDescent="0.25">
      <c r="A1051">
        <f ca="1">24367.8411511434*((RANDBETWEEN(1620,2416)))</f>
        <v>42863032.584861159</v>
      </c>
      <c r="B1051">
        <v>163581119.6073322</v>
      </c>
    </row>
    <row r="1052" spans="1:2" x14ac:dyDescent="0.25">
      <c r="A1052">
        <f ca="1">26347.1849387317*((RANDBETWEEN(1620,2416)))</f>
        <v>53274007.946115412</v>
      </c>
      <c r="B1052">
        <v>145837442.72231126</v>
      </c>
    </row>
    <row r="1053" spans="1:2" x14ac:dyDescent="0.25">
      <c r="A1053">
        <f ca="1">26374.9606646759*((RANDBETWEEN(1620,2416)))</f>
        <v>56890790.153705947</v>
      </c>
      <c r="B1053">
        <v>145555768.37185273</v>
      </c>
    </row>
    <row r="1054" spans="1:2" x14ac:dyDescent="0.25">
      <c r="A1054">
        <f ca="1">29626.1091843312*((RANDBETWEEN(1620,2416)))</f>
        <v>56289607.450229332</v>
      </c>
      <c r="B1054">
        <v>158160647.92457753</v>
      </c>
    </row>
    <row r="1055" spans="1:2" x14ac:dyDescent="0.25">
      <c r="A1055">
        <f ca="1">27401.6842013746*((RANDBETWEEN(1620,2416)))</f>
        <v>66038058.925312795</v>
      </c>
      <c r="B1055">
        <v>183412456.92887738</v>
      </c>
    </row>
    <row r="1056" spans="1:2" x14ac:dyDescent="0.25">
      <c r="A1056">
        <f ca="1">27239.9887168983*((RANDBETWEEN(1620,2416)))</f>
        <v>58729415.673632823</v>
      </c>
      <c r="B1056">
        <v>166596788.07921836</v>
      </c>
    </row>
    <row r="1057" spans="1:2" x14ac:dyDescent="0.25">
      <c r="A1057">
        <f ca="1">28176.5965214479*((RANDBETWEEN(1620,2416)))</f>
        <v>64017227.296729662</v>
      </c>
      <c r="B1057">
        <v>147012313.57274622</v>
      </c>
    </row>
    <row r="1058" spans="1:2" x14ac:dyDescent="0.25">
      <c r="A1058">
        <f ca="1">28537.3975199564*((RANDBETWEEN(1620,2416)))</f>
        <v>54820340.635836311</v>
      </c>
      <c r="B1058">
        <v>191408147.20358303</v>
      </c>
    </row>
    <row r="1059" spans="1:2" x14ac:dyDescent="0.25">
      <c r="A1059">
        <f ca="1">31545.7150956051*((RANDBETWEEN(1620,2416)))</f>
        <v>59936858.681649655</v>
      </c>
      <c r="B1059">
        <v>158955482.21435139</v>
      </c>
    </row>
    <row r="1060" spans="1:2" x14ac:dyDescent="0.25">
      <c r="A1060">
        <f ca="1">32356.1252077376*((RANDBETWEEN(1620,2416)))</f>
        <v>59502914.257029504</v>
      </c>
      <c r="B1060">
        <v>178209373.43810576</v>
      </c>
    </row>
    <row r="1061" spans="1:2" x14ac:dyDescent="0.25">
      <c r="A1061">
        <f ca="1">28059.6525564045*((RANDBETWEEN(1620,2416)))</f>
        <v>65968243.160106979</v>
      </c>
      <c r="B1061">
        <v>149371675.17711413</v>
      </c>
    </row>
    <row r="1062" spans="1:2" x14ac:dyDescent="0.25">
      <c r="A1062">
        <f ca="1">27143.9958047163*((RANDBETWEEN(1620,2416)))</f>
        <v>51275008.075109147</v>
      </c>
      <c r="B1062">
        <v>160734693.33524817</v>
      </c>
    </row>
    <row r="1063" spans="1:2" x14ac:dyDescent="0.25">
      <c r="A1063">
        <f ca="1">26438.6895229283*((RANDBETWEEN(1620,2416)))</f>
        <v>50127755.335472092</v>
      </c>
      <c r="B1063">
        <v>146858997.87035885</v>
      </c>
    </row>
    <row r="1064" spans="1:2" x14ac:dyDescent="0.25">
      <c r="A1064">
        <f ca="1">34483.0771299278*((RANDBETWEEN(1620,2416)))</f>
        <v>67035101.940579742</v>
      </c>
      <c r="B1064">
        <v>181324487.46011132</v>
      </c>
    </row>
    <row r="1065" spans="1:2" x14ac:dyDescent="0.25">
      <c r="A1065">
        <f ca="1">29704.7725186051*((RANDBETWEEN(1620,2416)))</f>
        <v>62112679.33640334</v>
      </c>
      <c r="B1065">
        <v>190823777.60422456</v>
      </c>
    </row>
    <row r="1066" spans="1:2" x14ac:dyDescent="0.25">
      <c r="A1066">
        <f ca="1">32152.6994713662*((RANDBETWEEN(1620,2416)))</f>
        <v>66909767.599913053</v>
      </c>
      <c r="B1066">
        <v>167684753.1477612</v>
      </c>
    </row>
    <row r="1067" spans="1:2" x14ac:dyDescent="0.25">
      <c r="A1067">
        <f ca="1">29025.7287644124*((RANDBETWEEN(1620,2416)))</f>
        <v>64930555.245990589</v>
      </c>
      <c r="B1067">
        <v>158800436.33009481</v>
      </c>
    </row>
    <row r="1068" spans="1:2" x14ac:dyDescent="0.25">
      <c r="A1068">
        <f ca="1">28340.3965868314*((RANDBETWEEN(1620,2416)))</f>
        <v>49113907.28497874</v>
      </c>
      <c r="B1068">
        <v>151986278.79465476</v>
      </c>
    </row>
    <row r="1069" spans="1:2" x14ac:dyDescent="0.25">
      <c r="A1069">
        <f ca="1">28823.672897486*((RANDBETWEEN(1620,2416)))</f>
        <v>66035034.608140476</v>
      </c>
      <c r="B1069">
        <v>146603733.81333259</v>
      </c>
    </row>
    <row r="1070" spans="1:2" x14ac:dyDescent="0.25">
      <c r="A1070">
        <f ca="1">27426.7111130471*((RANDBETWEEN(1620,2416)))</f>
        <v>52083324.403676435</v>
      </c>
      <c r="B1070">
        <v>167015181.57443818</v>
      </c>
    </row>
    <row r="1071" spans="1:2" x14ac:dyDescent="0.25">
      <c r="A1071">
        <f ca="1">31947.804575349*((RANDBETWEEN(1620,2416)))</f>
        <v>73799428.569056302</v>
      </c>
      <c r="B1071">
        <v>176163682.45575199</v>
      </c>
    </row>
    <row r="1072" spans="1:2" x14ac:dyDescent="0.25">
      <c r="A1072">
        <f ca="1">28289.8482660865*((RANDBETWEEN(1620,2416)))</f>
        <v>59493550.903579883</v>
      </c>
      <c r="B1072">
        <v>152968935.68470171</v>
      </c>
    </row>
    <row r="1073" spans="1:2" x14ac:dyDescent="0.25">
      <c r="A1073">
        <f ca="1">27914.2763406996*((RANDBETWEEN(1620,2416)))</f>
        <v>65905606.440391771</v>
      </c>
      <c r="B1073">
        <v>168804078.64890093</v>
      </c>
    </row>
    <row r="1074" spans="1:2" x14ac:dyDescent="0.25">
      <c r="A1074">
        <f ca="1">32911.9909073553*((RANDBETWEEN(1620,2416)))</f>
        <v>73393739.723402306</v>
      </c>
      <c r="B1074">
        <v>203236013.19884479</v>
      </c>
    </row>
    <row r="1075" spans="1:2" x14ac:dyDescent="0.25">
      <c r="A1075">
        <f ca="1">29304.8061672104*((RANDBETWEEN(1620,2416)))</f>
        <v>66287471.550229855</v>
      </c>
      <c r="B1075">
        <v>180435972.5724774</v>
      </c>
    </row>
    <row r="1076" spans="1:2" x14ac:dyDescent="0.25">
      <c r="A1076">
        <f ca="1">31247.9783973381*((RANDBETWEEN(1620,2416)))</f>
        <v>64745811.239284441</v>
      </c>
      <c r="B1076">
        <v>180956513.88753557</v>
      </c>
    </row>
    <row r="1077" spans="1:2" x14ac:dyDescent="0.25">
      <c r="A1077">
        <f ca="1">26911.1230018626*((RANDBETWEEN(1620,2416)))</f>
        <v>55975135.843874283</v>
      </c>
      <c r="B1077">
        <v>169861563.84869814</v>
      </c>
    </row>
    <row r="1078" spans="1:2" x14ac:dyDescent="0.25">
      <c r="A1078">
        <f ca="1">25396.6639078813*((RANDBETWEEN(1620,2416)))</f>
        <v>49345717.973013364</v>
      </c>
      <c r="B1078">
        <v>167208638.64254671</v>
      </c>
    </row>
    <row r="1079" spans="1:2" x14ac:dyDescent="0.25">
      <c r="A1079">
        <f ca="1">29764.6877403043*((RANDBETWEEN(1620,2416)))</f>
        <v>48337852.890254162</v>
      </c>
      <c r="B1079">
        <v>173834564.25548914</v>
      </c>
    </row>
    <row r="1080" spans="1:2" x14ac:dyDescent="0.25">
      <c r="A1080">
        <f ca="1">26428.1525457368*((RANDBETWEEN(1620,2416)))</f>
        <v>54811988.379858121</v>
      </c>
      <c r="B1080">
        <v>149647796.01278076</v>
      </c>
    </row>
    <row r="1081" spans="1:2" x14ac:dyDescent="0.25">
      <c r="A1081">
        <f ca="1">26592.1772399589*((RANDBETWEEN(1620,2416)))</f>
        <v>45632176.143769398</v>
      </c>
      <c r="B1081">
        <v>143760052.38412124</v>
      </c>
    </row>
    <row r="1082" spans="1:2" x14ac:dyDescent="0.25">
      <c r="A1082">
        <f ca="1">26827.3149538462*((RANDBETWEEN(1620,2416)))</f>
        <v>45043061.807507731</v>
      </c>
      <c r="B1082">
        <v>146443307.8076947</v>
      </c>
    </row>
    <row r="1083" spans="1:2" x14ac:dyDescent="0.25">
      <c r="A1083">
        <f ca="1">27189.1384542708*((RANDBETWEEN(1620,2416)))</f>
        <v>64954851.767253026</v>
      </c>
      <c r="B1083">
        <v>147518084.44523746</v>
      </c>
    </row>
    <row r="1084" spans="1:2" x14ac:dyDescent="0.25">
      <c r="A1084">
        <f ca="1">29795.6014879213*((RANDBETWEEN(1620,2416)))</f>
        <v>51308025.762200549</v>
      </c>
      <c r="B1084">
        <v>199603120.5870319</v>
      </c>
    </row>
    <row r="1085" spans="1:2" x14ac:dyDescent="0.25">
      <c r="A1085">
        <f ca="1">27943.2959611913*((RANDBETWEEN(1620,2416)))</f>
        <v>63151848.872292325</v>
      </c>
      <c r="B1085">
        <v>172271138.5505484</v>
      </c>
    </row>
    <row r="1086" spans="1:2" x14ac:dyDescent="0.25">
      <c r="A1086">
        <f ca="1">33432.4584839772*((RANDBETWEEN(1620,2416)))</f>
        <v>68703702.184573099</v>
      </c>
      <c r="B1086">
        <v>167295827.74808842</v>
      </c>
    </row>
    <row r="1087" spans="1:2" x14ac:dyDescent="0.25">
      <c r="A1087">
        <f ca="1">30422.581029509*((RANDBETWEEN(1620,2416)))</f>
        <v>52083458.722519428</v>
      </c>
      <c r="B1087">
        <v>170566958.5434081</v>
      </c>
    </row>
    <row r="1088" spans="1:2" x14ac:dyDescent="0.25">
      <c r="A1088">
        <f ca="1">27920.2009510253*((RANDBETWEEN(1620,2416)))</f>
        <v>58074017.978132643</v>
      </c>
      <c r="B1088">
        <v>146994694.77327374</v>
      </c>
    </row>
    <row r="1089" spans="1:2" x14ac:dyDescent="0.25">
      <c r="A1089">
        <f ca="1">33514.4259063589*((RANDBETWEEN(1620,2416)))</f>
        <v>69911092.440664724</v>
      </c>
      <c r="B1089">
        <v>188971044.2187013</v>
      </c>
    </row>
    <row r="1090" spans="1:2" x14ac:dyDescent="0.25">
      <c r="A1090">
        <f ca="1">26798.5061720061*((RANDBETWEEN(1620,2416)))</f>
        <v>56893228.60316886</v>
      </c>
      <c r="B1090">
        <v>187082391.22511292</v>
      </c>
    </row>
    <row r="1091" spans="1:2" x14ac:dyDescent="0.25">
      <c r="A1091">
        <f ca="1">30520.6007256502*((RANDBETWEEN(1620,2416)))</f>
        <v>54814998.903267696</v>
      </c>
      <c r="B1091">
        <v>201405621.46333796</v>
      </c>
    </row>
    <row r="1092" spans="1:2" x14ac:dyDescent="0.25">
      <c r="A1092">
        <f ca="1">27195.9774451503*((RANDBETWEEN(1620,2416)))</f>
        <v>52352256.581914283</v>
      </c>
      <c r="B1092">
        <v>172355101.80099723</v>
      </c>
    </row>
    <row r="1093" spans="1:2" x14ac:dyDescent="0.25">
      <c r="A1093">
        <f ca="1">29677.3788012141*((RANDBETWEEN(1620,2416)))</f>
        <v>48166385.794370532</v>
      </c>
      <c r="B1093">
        <v>152793317.49393985</v>
      </c>
    </row>
    <row r="1094" spans="1:2" x14ac:dyDescent="0.25">
      <c r="A1094">
        <f ca="1">28184.6791656696*((RANDBETWEEN(1620,2416)))</f>
        <v>56876682.556321211</v>
      </c>
      <c r="B1094">
        <v>188023747.24424773</v>
      </c>
    </row>
    <row r="1095" spans="1:2" x14ac:dyDescent="0.25">
      <c r="A1095">
        <f ca="1">29788.4151310169*((RANDBETWEEN(1620,2416)))</f>
        <v>62853555.926445603</v>
      </c>
      <c r="B1095">
        <v>172170989.29797977</v>
      </c>
    </row>
    <row r="1096" spans="1:2" x14ac:dyDescent="0.25">
      <c r="A1096">
        <f ca="1">33298.9311615886*((RANDBETWEEN(1620,2416)))</f>
        <v>54710143.898490086</v>
      </c>
      <c r="B1096">
        <v>173128709.6513283</v>
      </c>
    </row>
    <row r="1097" spans="1:2" x14ac:dyDescent="0.25">
      <c r="A1097">
        <f ca="1">28081.1270121349*((RANDBETWEEN(1620,2416)))</f>
        <v>60205936.314017199</v>
      </c>
      <c r="B1097">
        <v>193547534.71745852</v>
      </c>
    </row>
    <row r="1098" spans="1:2" x14ac:dyDescent="0.25">
      <c r="A1098">
        <f ca="1">26406.9480908613*((RANDBETWEEN(1620,2416)))</f>
        <v>58570610.865530454</v>
      </c>
      <c r="B1098">
        <v>147359547.59664947</v>
      </c>
    </row>
    <row r="1099" spans="1:2" x14ac:dyDescent="0.25">
      <c r="A1099">
        <f ca="1">27586.6917681317*((RANDBETWEEN(1620,2416)))</f>
        <v>46897376.005823962</v>
      </c>
      <c r="B1099">
        <v>170530768.88734719</v>
      </c>
    </row>
    <row r="1100" spans="1:2" x14ac:dyDescent="0.25">
      <c r="A1100">
        <f ca="1">29462.3175667788*((RANDBETWEEN(1620,2416)))</f>
        <v>47994115.316282608</v>
      </c>
      <c r="B1100">
        <v>166254806.13485014</v>
      </c>
    </row>
    <row r="1101" spans="1:2" x14ac:dyDescent="0.25">
      <c r="A1101">
        <f ca="1">25952.1963885086*((RANDBETWEEN(1620,2416)))</f>
        <v>62077653.761312492</v>
      </c>
      <c r="B1101">
        <v>166379749.49063307</v>
      </c>
    </row>
    <row r="1102" spans="1:2" x14ac:dyDescent="0.25">
      <c r="A1102">
        <f ca="1">32947.1030198672*((RANDBETWEEN(1620,2416)))</f>
        <v>56010075.133774184</v>
      </c>
      <c r="B1102">
        <v>193963177.74751717</v>
      </c>
    </row>
    <row r="1103" spans="1:2" x14ac:dyDescent="0.25">
      <c r="A1103">
        <f ca="1">27101.9442091219*((RANDBETWEEN(1620,2416)))</f>
        <v>59326155.873767793</v>
      </c>
      <c r="B1103">
        <v>151831021.93386322</v>
      </c>
    </row>
    <row r="1104" spans="1:2" x14ac:dyDescent="0.25">
      <c r="A1104">
        <f ca="1">31232.9290653336*((RANDBETWEEN(1620,2416)))</f>
        <v>58811605.430023186</v>
      </c>
      <c r="B1104">
        <v>193302676.04417992</v>
      </c>
    </row>
    <row r="1105" spans="1:2" x14ac:dyDescent="0.25">
      <c r="A1105">
        <f ca="1">30069.0889994787*((RANDBETWEEN(1620,2416)))</f>
        <v>51448211.278108008</v>
      </c>
      <c r="B1105">
        <v>170685467.30068353</v>
      </c>
    </row>
    <row r="1106" spans="1:2" x14ac:dyDescent="0.25">
      <c r="A1106">
        <f ca="1">25729.0189675553*((RANDBETWEEN(1620,2416)))</f>
        <v>43379125.979298234</v>
      </c>
      <c r="B1106">
        <v>158185195.14344829</v>
      </c>
    </row>
    <row r="1107" spans="1:2" x14ac:dyDescent="0.25">
      <c r="A1107">
        <f ca="1">29189.8228263979*((RANDBETWEEN(1620,2416)))</f>
        <v>52366542.150557905</v>
      </c>
      <c r="B1107">
        <v>145751254.50765666</v>
      </c>
    </row>
    <row r="1108" spans="1:2" x14ac:dyDescent="0.25">
      <c r="A1108">
        <f ca="1">27550.2618687373*((RANDBETWEEN(1620,2416)))</f>
        <v>55623978.712980546</v>
      </c>
      <c r="B1108">
        <v>181317712.11264956</v>
      </c>
    </row>
    <row r="1109" spans="1:2" x14ac:dyDescent="0.25">
      <c r="A1109">
        <f ca="1">30324.2168767857*((RANDBETWEEN(1620,2416)))</f>
        <v>67501706.767725006</v>
      </c>
      <c r="B1109">
        <v>160602337.48859641</v>
      </c>
    </row>
    <row r="1110" spans="1:2" x14ac:dyDescent="0.25">
      <c r="A1110">
        <f ca="1">27294.188286796*((RANDBETWEEN(1620,2416)))</f>
        <v>50876366.966587804</v>
      </c>
      <c r="B1110">
        <v>169147314.58683294</v>
      </c>
    </row>
    <row r="1111" spans="1:2" x14ac:dyDescent="0.25">
      <c r="A1111">
        <f ca="1">26485.1791471631*((RANDBETWEEN(1620,2416)))</f>
        <v>56069124.254544355</v>
      </c>
      <c r="B1111">
        <v>154663435.69148448</v>
      </c>
    </row>
    <row r="1112" spans="1:2" x14ac:dyDescent="0.25">
      <c r="A1112">
        <f ca="1">28433.5679761173*((RANDBETWEEN(1620,2416)))</f>
        <v>53597275.634981066</v>
      </c>
      <c r="B1112">
        <v>174107901.94393173</v>
      </c>
    </row>
    <row r="1113" spans="1:2" x14ac:dyDescent="0.25">
      <c r="A1113">
        <f ca="1">27970.613536184*((RANDBETWEEN(1620,2416)))</f>
        <v>49619868.413190499</v>
      </c>
      <c r="B1113">
        <v>157687548.91498619</v>
      </c>
    </row>
    <row r="1114" spans="1:2" x14ac:dyDescent="0.25">
      <c r="A1114">
        <f ca="1">27991.1290437452*((RANDBETWEEN(1620,2416)))</f>
        <v>49040458.084641531</v>
      </c>
      <c r="B1114">
        <v>170170918.88950533</v>
      </c>
    </row>
    <row r="1115" spans="1:2" x14ac:dyDescent="0.25">
      <c r="A1115">
        <f ca="1">30085.823261074*((RANDBETWEEN(1620,2416)))</f>
        <v>55839287.972553343</v>
      </c>
      <c r="B1115">
        <v>194384835.51727578</v>
      </c>
    </row>
    <row r="1116" spans="1:2" x14ac:dyDescent="0.25">
      <c r="A1116">
        <f ca="1">27915.0962222011*((RANDBETWEEN(1620,2416)))</f>
        <v>60743249.379509568</v>
      </c>
      <c r="B1116">
        <v>152224777.78921571</v>
      </c>
    </row>
    <row r="1117" spans="1:2" x14ac:dyDescent="0.25">
      <c r="A1117">
        <f ca="1">26200.8283251889*((RANDBETWEEN(1620,2416)))</f>
        <v>51327422.689045064</v>
      </c>
      <c r="B1117">
        <v>152058950.75958389</v>
      </c>
    </row>
    <row r="1118" spans="1:2" x14ac:dyDescent="0.25">
      <c r="A1118">
        <f ca="1">30058.0075689424*((RANDBETWEEN(1620,2416)))</f>
        <v>71447883.991376147</v>
      </c>
      <c r="B1118">
        <v>202811994.87225139</v>
      </c>
    </row>
    <row r="1119" spans="1:2" x14ac:dyDescent="0.25">
      <c r="A1119">
        <f ca="1">27006.4531272932*((RANDBETWEEN(1620,2416)))</f>
        <v>63843255.192921117</v>
      </c>
      <c r="B1119">
        <v>163428474.5008277</v>
      </c>
    </row>
    <row r="1120" spans="1:2" x14ac:dyDescent="0.25">
      <c r="A1120">
        <f ca="1">28183.3893426504*((RANDBETWEEN(1620,2416)))</f>
        <v>52900221.796154834</v>
      </c>
      <c r="B1120">
        <v>166080121.55444214</v>
      </c>
    </row>
    <row r="1121" spans="1:2" x14ac:dyDescent="0.25">
      <c r="A1121">
        <f ca="1">29627.7019194061*((RANDBETWEEN(1620,2416)))</f>
        <v>48648686.551664837</v>
      </c>
      <c r="B1121">
        <v>201176289.90569592</v>
      </c>
    </row>
    <row r="1122" spans="1:2" x14ac:dyDescent="0.25">
      <c r="A1122">
        <f ca="1">27653.0386582709*((RANDBETWEEN(1620,2416)))</f>
        <v>47729144.724175528</v>
      </c>
      <c r="B1122">
        <v>165362429.03665829</v>
      </c>
    </row>
    <row r="1123" spans="1:2" x14ac:dyDescent="0.25">
      <c r="A1123">
        <f ca="1">30005.8136199637*((RANDBETWEEN(1620,2416)))</f>
        <v>62502109.770384483</v>
      </c>
      <c r="B1123">
        <v>175268804.05830035</v>
      </c>
    </row>
    <row r="1124" spans="1:2" x14ac:dyDescent="0.25">
      <c r="A1124">
        <f ca="1">26615.5497567523*((RANDBETWEEN(1620,2416)))</f>
        <v>62599773.027881511</v>
      </c>
      <c r="B1124">
        <v>153287219.5816887</v>
      </c>
    </row>
    <row r="1125" spans="1:2" x14ac:dyDescent="0.25">
      <c r="A1125">
        <f ca="1">31932.5753260893*((RANDBETWEEN(1620,2416)))</f>
        <v>65461779.418483071</v>
      </c>
      <c r="B1125">
        <v>150650961.82707971</v>
      </c>
    </row>
    <row r="1126" spans="1:2" x14ac:dyDescent="0.25">
      <c r="A1126">
        <f ca="1">25971.8409112888*((RANDBETWEEN(1620,2416)))</f>
        <v>57060134.482101433</v>
      </c>
      <c r="B1126">
        <v>149244121.15409905</v>
      </c>
    </row>
    <row r="1127" spans="1:2" x14ac:dyDescent="0.25">
      <c r="A1127">
        <f ca="1">27340.5141581771*((RANDBETWEEN(1620,2416)))</f>
        <v>59875726.006407924</v>
      </c>
      <c r="B1127">
        <v>187573104.70829237</v>
      </c>
    </row>
    <row r="1128" spans="1:2" x14ac:dyDescent="0.25">
      <c r="A1128">
        <f ca="1">28999.3922183959*((RANDBETWEEN(1620,2416)))</f>
        <v>65538626.413574688</v>
      </c>
      <c r="B1128">
        <v>142905100.92075926</v>
      </c>
    </row>
    <row r="1129" spans="1:2" x14ac:dyDescent="0.25">
      <c r="A1129">
        <f ca="1">25734.8830593112*((RANDBETWEEN(1620,2416)))</f>
        <v>57285849.690026686</v>
      </c>
      <c r="B1129">
        <v>155850249.05089229</v>
      </c>
    </row>
    <row r="1130" spans="1:2" x14ac:dyDescent="0.25">
      <c r="A1130">
        <f ca="1">29329.0781642235*((RANDBETWEEN(1620,2416)))</f>
        <v>56370488.231637649</v>
      </c>
      <c r="B1130">
        <v>170731804.18190861</v>
      </c>
    </row>
    <row r="1131" spans="1:2" x14ac:dyDescent="0.25">
      <c r="A1131">
        <f ca="1">30561.9924373141*((RANDBETWEEN(1620,2416)))</f>
        <v>69895276.704137385</v>
      </c>
      <c r="B1131">
        <v>176320737.12969592</v>
      </c>
    </row>
    <row r="1132" spans="1:2" x14ac:dyDescent="0.25">
      <c r="A1132">
        <f ca="1">28116.6880846616*((RANDBETWEEN(1620,2416)))</f>
        <v>55642925.719545275</v>
      </c>
      <c r="B1132">
        <v>160818479.50481731</v>
      </c>
    </row>
    <row r="1133" spans="1:2" x14ac:dyDescent="0.25">
      <c r="A1133">
        <f ca="1">25686.604296381*((RANDBETWEEN(1620,2416)))</f>
        <v>55431692.071590163</v>
      </c>
      <c r="B1133">
        <v>157214541.43271971</v>
      </c>
    </row>
    <row r="1134" spans="1:2" x14ac:dyDescent="0.25">
      <c r="A1134">
        <f ca="1">27282.3445372832*((RANDBETWEEN(1620,2416)))</f>
        <v>56092500.368654221</v>
      </c>
      <c r="B1134">
        <v>149977384.17349929</v>
      </c>
    </row>
    <row r="1135" spans="1:2" x14ac:dyDescent="0.25">
      <c r="A1135">
        <f ca="1">30271.6516353336*((RANDBETWEEN(1620,2416)))</f>
        <v>62389874.020422518</v>
      </c>
      <c r="B1135">
        <v>159538984.20118028</v>
      </c>
    </row>
    <row r="1136" spans="1:2" x14ac:dyDescent="0.25">
      <c r="A1136">
        <f ca="1">28028.442928856*((RANDBETWEEN(1620,2416)))</f>
        <v>60681578.940973133</v>
      </c>
      <c r="B1136">
        <v>149635557.8687219</v>
      </c>
    </row>
    <row r="1137" spans="1:2" x14ac:dyDescent="0.25">
      <c r="A1137">
        <f ca="1">31645.6512741847*((RANDBETWEEN(1620,2416)))</f>
        <v>75158421.776188642</v>
      </c>
      <c r="B1137">
        <v>167599700.15150902</v>
      </c>
    </row>
    <row r="1138" spans="1:2" x14ac:dyDescent="0.25">
      <c r="A1138">
        <f ca="1">27302.6442528254*((RANDBETWEEN(1620,2416)))</f>
        <v>50892128.88726645</v>
      </c>
      <c r="B1138">
        <v>153506601.06773394</v>
      </c>
    </row>
    <row r="1139" spans="1:2" x14ac:dyDescent="0.25">
      <c r="A1139">
        <f ca="1">27697.6105013734*((RANDBETWEEN(1620,2416)))</f>
        <v>48166144.661888339</v>
      </c>
      <c r="B1139">
        <v>158501159.63466448</v>
      </c>
    </row>
    <row r="1140" spans="1:2" x14ac:dyDescent="0.25">
      <c r="A1140">
        <f ca="1">30393.3912850658*((RANDBETWEEN(1620,2416)))</f>
        <v>73278466.388293609</v>
      </c>
      <c r="B1140">
        <v>184211944.79716</v>
      </c>
    </row>
    <row r="1141" spans="1:2" x14ac:dyDescent="0.25">
      <c r="A1141">
        <f ca="1">26488.9780980874*((RANDBETWEEN(1620,2416)))</f>
        <v>43680324.88374614</v>
      </c>
      <c r="B1141">
        <v>170798814.6892322</v>
      </c>
    </row>
    <row r="1142" spans="1:2" x14ac:dyDescent="0.25">
      <c r="A1142">
        <f ca="1">26978.6033550934*((RANDBETWEEN(1620,2416)))</f>
        <v>56277366.598724842</v>
      </c>
      <c r="B1142">
        <v>202528231.05026323</v>
      </c>
    </row>
    <row r="1143" spans="1:2" x14ac:dyDescent="0.25">
      <c r="A1143">
        <f ca="1">28429.5548784562*((RANDBETWEEN(1620,2416)))</f>
        <v>68117213.488780975</v>
      </c>
      <c r="B1143">
        <v>163504969.66096494</v>
      </c>
    </row>
    <row r="1144" spans="1:2" x14ac:dyDescent="0.25">
      <c r="A1144">
        <f ca="1">27287.7133899102*((RANDBETWEEN(1620,2416)))</f>
        <v>57467924.399150789</v>
      </c>
      <c r="B1144">
        <v>164775119.07064065</v>
      </c>
    </row>
    <row r="1145" spans="1:2" x14ac:dyDescent="0.25">
      <c r="A1145">
        <f ca="1">27620.4021301739*((RANDBETWEEN(1620,2416)))</f>
        <v>51014882.734431133</v>
      </c>
      <c r="B1145">
        <v>162666651.09802169</v>
      </c>
    </row>
    <row r="1146" spans="1:2" x14ac:dyDescent="0.25">
      <c r="A1146">
        <f ca="1">31484.2398729162*((RANDBETWEEN(1620,2416)))</f>
        <v>74176869.140590608</v>
      </c>
      <c r="B1146">
        <v>185617576.27551508</v>
      </c>
    </row>
    <row r="1147" spans="1:2" x14ac:dyDescent="0.25">
      <c r="A1147">
        <f ca="1">25998.0085459481*((RANDBETWEEN(1620,2416)))</f>
        <v>61537286.228259176</v>
      </c>
      <c r="B1147">
        <v>156124725.83139598</v>
      </c>
    </row>
    <row r="1148" spans="1:2" x14ac:dyDescent="0.25">
      <c r="A1148">
        <f ca="1">27270.5406824034*((RANDBETWEEN(1620,2416)))</f>
        <v>51923109.459296085</v>
      </c>
      <c r="B1148">
        <v>189402070.09023827</v>
      </c>
    </row>
    <row r="1149" spans="1:2" x14ac:dyDescent="0.25">
      <c r="A1149">
        <f ca="1">28294.3392318661*((RANDBETWEEN(1620,2416)))</f>
        <v>57182859.587601446</v>
      </c>
      <c r="B1149">
        <v>151620229.54763639</v>
      </c>
    </row>
    <row r="1150" spans="1:2" x14ac:dyDescent="0.25">
      <c r="A1150">
        <f ca="1">26231.3090499317*((RANDBETWEEN(1620,2416)))</f>
        <v>45091620.256832577</v>
      </c>
      <c r="B1150">
        <v>146555665.1047985</v>
      </c>
    </row>
    <row r="1151" spans="1:2" x14ac:dyDescent="0.25">
      <c r="A1151">
        <f ca="1">27909.984478185*((RANDBETWEEN(1620,2416)))</f>
        <v>58694697.357623033</v>
      </c>
      <c r="B1151">
        <v>142930655.25142646</v>
      </c>
    </row>
    <row r="1152" spans="1:2" x14ac:dyDescent="0.25">
      <c r="A1152">
        <f ca="1">26319.6438618577*((RANDBETWEEN(1620,2416)))</f>
        <v>59719271.922555082</v>
      </c>
      <c r="B1152">
        <v>184507848.03477782</v>
      </c>
    </row>
    <row r="1153" spans="1:2" x14ac:dyDescent="0.25">
      <c r="A1153">
        <f ca="1">31164.9968668844*((RANDBETWEEN(1620,2416)))</f>
        <v>54008939.570310585</v>
      </c>
      <c r="B1153">
        <v>155722656.66784883</v>
      </c>
    </row>
    <row r="1154" spans="1:2" x14ac:dyDescent="0.25">
      <c r="A1154">
        <f ca="1">27101.9196419394*((RANDBETWEEN(1620,2416)))</f>
        <v>46479792.185926117</v>
      </c>
      <c r="B1154">
        <v>168933049.88476151</v>
      </c>
    </row>
    <row r="1155" spans="1:2" x14ac:dyDescent="0.25">
      <c r="A1155">
        <f ca="1">27811.8211172319*((RANDBETWEEN(1620,2416)))</f>
        <v>48781934.239624798</v>
      </c>
      <c r="B1155">
        <v>174998246.45742255</v>
      </c>
    </row>
    <row r="1156" spans="1:2" x14ac:dyDescent="0.25">
      <c r="A1156">
        <f ca="1">27174.6457147779*((RANDBETWEEN(1620,2416)))</f>
        <v>61115778.212535538</v>
      </c>
      <c r="B1156">
        <v>144004566.05604962</v>
      </c>
    </row>
    <row r="1157" spans="1:2" x14ac:dyDescent="0.25">
      <c r="A1157">
        <f ca="1">27947.0019488811*((RANDBETWEEN(1620,2416)))</f>
        <v>61175987.266100764</v>
      </c>
      <c r="B1157">
        <v>172774005.57546228</v>
      </c>
    </row>
    <row r="1158" spans="1:2" x14ac:dyDescent="0.25">
      <c r="A1158">
        <f ca="1">29738.1737463561*((RANDBETWEEN(1620,2416)))</f>
        <v>70538948.126356587</v>
      </c>
      <c r="B1158">
        <v>162723909.75145918</v>
      </c>
    </row>
    <row r="1159" spans="1:2" x14ac:dyDescent="0.25">
      <c r="A1159">
        <f ca="1">27295.4551969164*((RANDBETWEEN(1620,2416)))</f>
        <v>60404842.35077592</v>
      </c>
      <c r="B1159">
        <v>144486664.65463823</v>
      </c>
    </row>
    <row r="1160" spans="1:2" x14ac:dyDescent="0.25">
      <c r="A1160">
        <f ca="1">28913.982690617*((RANDBETWEEN(1620,2416)))</f>
        <v>66184106.378822364</v>
      </c>
      <c r="B1160">
        <v>164264852.60344595</v>
      </c>
    </row>
    <row r="1161" spans="1:2" x14ac:dyDescent="0.25">
      <c r="A1161">
        <f ca="1">27421.4563955228*((RANDBETWEEN(1620,2416)))</f>
        <v>60546575.721314289</v>
      </c>
      <c r="B1161">
        <v>194785714.35466081</v>
      </c>
    </row>
    <row r="1162" spans="1:2" x14ac:dyDescent="0.25">
      <c r="A1162">
        <f ca="1">27865.8428587714*((RANDBETWEEN(1620,2416)))</f>
        <v>58044550.67482084</v>
      </c>
      <c r="B1162">
        <v>163416108.91343746</v>
      </c>
    </row>
    <row r="1163" spans="1:2" x14ac:dyDescent="0.25">
      <c r="A1163">
        <f ca="1">31811.4764934679*((RANDBETWEEN(1620,2416)))</f>
        <v>63368461.174988061</v>
      </c>
      <c r="B1163">
        <v>190899100.10016581</v>
      </c>
    </row>
    <row r="1164" spans="1:2" x14ac:dyDescent="0.25">
      <c r="A1164">
        <f ca="1">27180.4298865174*((RANDBETWEEN(1620,2416)))</f>
        <v>48272443.478454947</v>
      </c>
      <c r="B1164">
        <v>160856600.17055842</v>
      </c>
    </row>
    <row r="1165" spans="1:2" x14ac:dyDescent="0.25">
      <c r="A1165">
        <f ca="1">27393.1464814926*((RANDBETWEEN(1620,2416)))</f>
        <v>56703813.216689736</v>
      </c>
      <c r="B1165">
        <v>149590018.50877601</v>
      </c>
    </row>
    <row r="1166" spans="1:2" x14ac:dyDescent="0.25">
      <c r="A1166">
        <f ca="1">25915.6941959589*((RANDBETWEEN(1620,2416)))</f>
        <v>42760895.423332162</v>
      </c>
      <c r="B1166">
        <v>149822925.59785709</v>
      </c>
    </row>
    <row r="1167" spans="1:2" x14ac:dyDescent="0.25">
      <c r="A1167">
        <f ca="1">32580.3015670072*((RANDBETWEEN(1620,2416)))</f>
        <v>73012455.811663076</v>
      </c>
      <c r="B1167">
        <v>144899640.79358461</v>
      </c>
    </row>
    <row r="1168" spans="1:2" x14ac:dyDescent="0.25">
      <c r="A1168">
        <f ca="1">30462.9920066089*((RANDBETWEEN(1620,2416)))</f>
        <v>67384138.318618894</v>
      </c>
      <c r="B1168">
        <v>149394096.41884536</v>
      </c>
    </row>
    <row r="1169" spans="1:2" x14ac:dyDescent="0.25">
      <c r="A1169">
        <f ca="1">31999.7600725569*((RANDBETWEEN(1620,2416)))</f>
        <v>73599448.16688098</v>
      </c>
      <c r="B1169">
        <v>161630764.93355581</v>
      </c>
    </row>
    <row r="1170" spans="1:2" x14ac:dyDescent="0.25">
      <c r="A1170">
        <f ca="1">26744.7223852747*((RANDBETWEEN(1620,2416)))</f>
        <v>52259187.540826783</v>
      </c>
      <c r="B1170">
        <v>190499249.17277461</v>
      </c>
    </row>
    <row r="1171" spans="1:2" x14ac:dyDescent="0.25">
      <c r="A1171">
        <f ca="1">25540.0881075417*((RANDBETWEEN(1620,2416)))</f>
        <v>51922999.12263228</v>
      </c>
      <c r="B1171">
        <v>150376555.82226115</v>
      </c>
    </row>
    <row r="1172" spans="1:2" x14ac:dyDescent="0.25">
      <c r="A1172">
        <f ca="1">27117.701521012*((RANDBETWEEN(1620,2416)))</f>
        <v>49869453.097140998</v>
      </c>
      <c r="B1172">
        <v>147705371.99764156</v>
      </c>
    </row>
    <row r="1173" spans="1:2" x14ac:dyDescent="0.25">
      <c r="A1173">
        <f ca="1">28679.6673506648*((RANDBETWEEN(1620,2416)))</f>
        <v>51824158.902651303</v>
      </c>
      <c r="B1173">
        <v>159388816.70042223</v>
      </c>
    </row>
    <row r="1174" spans="1:2" x14ac:dyDescent="0.25">
      <c r="A1174">
        <f ca="1">26042.8704301888*((RANDBETWEEN(1620,2416)))</f>
        <v>56721371.796951242</v>
      </c>
      <c r="B1174">
        <v>188278022.97598782</v>
      </c>
    </row>
    <row r="1175" spans="1:2" x14ac:dyDescent="0.25">
      <c r="A1175">
        <f ca="1">26998.0206138773*((RANDBETWEEN(1620,2416)))</f>
        <v>55129958.093537368</v>
      </c>
      <c r="B1175">
        <v>167855483.4887186</v>
      </c>
    </row>
    <row r="1176" spans="1:2" x14ac:dyDescent="0.25">
      <c r="A1176">
        <f ca="1">27048.5857695654*((RANDBETWEEN(1620,2416)))</f>
        <v>51581653.062561207</v>
      </c>
      <c r="B1176">
        <v>187318002.24377957</v>
      </c>
    </row>
    <row r="1177" spans="1:2" x14ac:dyDescent="0.25">
      <c r="A1177">
        <f ca="1">28359.1806755661*((RANDBETWEEN(1620,2416)))</f>
        <v>49628566.182240613</v>
      </c>
      <c r="B1177">
        <v>197386926.1212863</v>
      </c>
    </row>
    <row r="1178" spans="1:2" x14ac:dyDescent="0.25">
      <c r="A1178">
        <f ca="1">32800.7942007406*((RANDBETWEEN(1620,2416)))</f>
        <v>53957306.460218363</v>
      </c>
      <c r="B1178">
        <v>177799887.69132701</v>
      </c>
    </row>
    <row r="1179" spans="1:2" x14ac:dyDescent="0.25">
      <c r="A1179">
        <f ca="1">25853.1194597197*((RANDBETWEEN(1620,2416)))</f>
        <v>51602826.441600449</v>
      </c>
      <c r="B1179">
        <v>194204679.37072936</v>
      </c>
    </row>
    <row r="1180" spans="1:2" x14ac:dyDescent="0.25">
      <c r="A1180">
        <f ca="1">31882.6701197721*((RANDBETWEEN(1620,2416)))</f>
        <v>73617085.306553796</v>
      </c>
      <c r="B1180">
        <v>169669772.78413016</v>
      </c>
    </row>
    <row r="1181" spans="1:2" x14ac:dyDescent="0.25">
      <c r="A1181">
        <f ca="1">31449.7786969642*((RANDBETWEEN(1620,2416)))</f>
        <v>58559487.933747284</v>
      </c>
      <c r="B1181">
        <v>194496851.6979337</v>
      </c>
    </row>
    <row r="1182" spans="1:2" x14ac:dyDescent="0.25">
      <c r="A1182">
        <f ca="1">28975.8691655279*((RANDBETWEEN(1620,2416)))</f>
        <v>52011685.152122535</v>
      </c>
      <c r="B1182">
        <v>152466236.86931059</v>
      </c>
    </row>
    <row r="1183" spans="1:2" x14ac:dyDescent="0.25">
      <c r="A1183">
        <f ca="1">24677.2722444777*((RANDBETWEEN(1620,2416)))</f>
        <v>57522721.601877406</v>
      </c>
      <c r="B1183">
        <v>144361031.40142483</v>
      </c>
    </row>
    <row r="1184" spans="1:2" x14ac:dyDescent="0.25">
      <c r="A1184">
        <f ca="1">27859.1558339214*((RANDBETWEEN(1620,2416)))</f>
        <v>50480790.371065609</v>
      </c>
      <c r="B1184">
        <v>175899681.17225385</v>
      </c>
    </row>
    <row r="1185" spans="1:2" x14ac:dyDescent="0.25">
      <c r="A1185">
        <f ca="1">27892.487416892*((RANDBETWEEN(1620,2416)))</f>
        <v>64543215.88268812</v>
      </c>
      <c r="B1185">
        <v>194512765.8708109</v>
      </c>
    </row>
    <row r="1186" spans="1:2" x14ac:dyDescent="0.25">
      <c r="A1186">
        <f ca="1">28312.2248006359*((RANDBETWEEN(1620,2416)))</f>
        <v>65967483.785481676</v>
      </c>
      <c r="B1186">
        <v>191444774.66280615</v>
      </c>
    </row>
    <row r="1187" spans="1:2" x14ac:dyDescent="0.25">
      <c r="A1187">
        <f ca="1">26868.4770756225*((RANDBETWEEN(1620,2416)))</f>
        <v>64511213.458569631</v>
      </c>
      <c r="B1187">
        <v>186937991.00173211</v>
      </c>
    </row>
    <row r="1188" spans="1:2" x14ac:dyDescent="0.25">
      <c r="A1188">
        <f ca="1">26371.1791198659*((RANDBETWEEN(1620,2416)))</f>
        <v>56170611.525314383</v>
      </c>
      <c r="B1188">
        <v>144920586.74241138</v>
      </c>
    </row>
    <row r="1189" spans="1:2" x14ac:dyDescent="0.25">
      <c r="A1189">
        <f ca="1">28943.5746799651*((RANDBETWEEN(1620,2416)))</f>
        <v>62691782.756804362</v>
      </c>
      <c r="B1189">
        <v>186828043.34549445</v>
      </c>
    </row>
    <row r="1190" spans="1:2" x14ac:dyDescent="0.25">
      <c r="A1190">
        <f ca="1">26951.6218922738*((RANDBETWEEN(1620,2416)))</f>
        <v>53525921.078055702</v>
      </c>
      <c r="B1190">
        <v>153531990.89267203</v>
      </c>
    </row>
    <row r="1191" spans="1:2" x14ac:dyDescent="0.25">
      <c r="A1191">
        <f ca="1">28956.4505175939*((RANDBETWEEN(1620,2416)))</f>
        <v>50731701.306824535</v>
      </c>
      <c r="B1191">
        <v>194960293.17721507</v>
      </c>
    </row>
    <row r="1192" spans="1:2" x14ac:dyDescent="0.25">
      <c r="A1192">
        <f ca="1">33257.5874639498*((RANDBETWEEN(1620,2416)))</f>
        <v>69275554.687407523</v>
      </c>
      <c r="B1192">
        <v>185537846.63067472</v>
      </c>
    </row>
    <row r="1193" spans="1:2" x14ac:dyDescent="0.25">
      <c r="A1193">
        <f ca="1">25811.8852107518*((RANDBETWEEN(1620,2416)))</f>
        <v>51727017.962346591</v>
      </c>
      <c r="B1193">
        <v>145375355.09873509</v>
      </c>
    </row>
    <row r="1194" spans="1:2" x14ac:dyDescent="0.25">
      <c r="A1194">
        <f ca="1">25693.2798490529*((RANDBETWEEN(1620,2416)))</f>
        <v>55780110.552293822</v>
      </c>
      <c r="B1194">
        <v>144498465.53096947</v>
      </c>
    </row>
    <row r="1195" spans="1:2" x14ac:dyDescent="0.25">
      <c r="A1195">
        <f ca="1">27969.2868674685*((RANDBETWEEN(1620,2416)))</f>
        <v>58819410.282286294</v>
      </c>
      <c r="B1195">
        <v>156629863.0500643</v>
      </c>
    </row>
    <row r="1196" spans="1:2" x14ac:dyDescent="0.25">
      <c r="A1196">
        <f ca="1">26559.5149547364*((RANDBETWEEN(1620,2416)))</f>
        <v>50914590.168229759</v>
      </c>
      <c r="B1196">
        <v>159159790.52205727</v>
      </c>
    </row>
    <row r="1197" spans="1:2" x14ac:dyDescent="0.25">
      <c r="A1197">
        <f ca="1">27216.3813571075*((RANDBETWEEN(1620,2416)))</f>
        <v>44580432.662942074</v>
      </c>
      <c r="B1197">
        <v>160905731.21015725</v>
      </c>
    </row>
    <row r="1198" spans="1:2" x14ac:dyDescent="0.25">
      <c r="A1198">
        <f ca="1">28551.9175877596*((RANDBETWEEN(1620,2416)))</f>
        <v>52021593.844897918</v>
      </c>
      <c r="B1198">
        <v>183616787.05210793</v>
      </c>
    </row>
    <row r="1199" spans="1:2" x14ac:dyDescent="0.25">
      <c r="A1199">
        <f ca="1">29744.5884716135*((RANDBETWEEN(1620,2416)))</f>
        <v>67430982.065147802</v>
      </c>
      <c r="B1199">
        <v>190773506.79176319</v>
      </c>
    </row>
    <row r="1200" spans="1:2" x14ac:dyDescent="0.25">
      <c r="A1200">
        <f ca="1">28500.5440092416*((RANDBETWEEN(1620,2416)))</f>
        <v>56231573.330233745</v>
      </c>
      <c r="B1200">
        <v>152615949.74815622</v>
      </c>
    </row>
    <row r="1201" spans="1:2" x14ac:dyDescent="0.25">
      <c r="A1201">
        <f ca="1">29476.221655725*((RANDBETWEEN(1620,2416)))</f>
        <v>57301774.898729339</v>
      </c>
      <c r="B1201">
        <v>180978500.81135115</v>
      </c>
    </row>
    <row r="1202" spans="1:2" x14ac:dyDescent="0.25">
      <c r="A1202">
        <f ca="1">26458.9735269315*((RANDBETWEEN(1620,2416)))</f>
        <v>56463449.506471753</v>
      </c>
      <c r="B1202">
        <v>151532451.90550506</v>
      </c>
    </row>
    <row r="1203" spans="1:2" x14ac:dyDescent="0.25">
      <c r="A1203">
        <f ca="1">26341.6823167137*((RANDBETWEEN(1620,2416)))</f>
        <v>54896065.948031403</v>
      </c>
      <c r="B1203">
        <v>166856949.45701703</v>
      </c>
    </row>
    <row r="1204" spans="1:2" x14ac:dyDescent="0.25">
      <c r="A1204">
        <f ca="1">27760.4030692007*((RANDBETWEEN(1620,2416)))</f>
        <v>65847676.080144137</v>
      </c>
      <c r="B1204">
        <v>152164266.59488201</v>
      </c>
    </row>
    <row r="1205" spans="1:2" x14ac:dyDescent="0.25">
      <c r="A1205">
        <f ca="1">29832.3907337124*((RANDBETWEEN(1620,2416)))</f>
        <v>52862996.380138412</v>
      </c>
      <c r="B1205">
        <v>183916772.65967605</v>
      </c>
    </row>
    <row r="1206" spans="1:2" x14ac:dyDescent="0.25">
      <c r="A1206">
        <f ca="1">30880.8852115547*((RANDBETWEEN(1620,2416)))</f>
        <v>67505615.07245858</v>
      </c>
      <c r="B1206">
        <v>152679095.40275645</v>
      </c>
    </row>
    <row r="1207" spans="1:2" x14ac:dyDescent="0.25">
      <c r="A1207">
        <f ca="1">32496.3749438773*((RANDBETWEEN(1620,2416)))</f>
        <v>76593955.74271889</v>
      </c>
      <c r="B1207">
        <v>170999836.90994686</v>
      </c>
    </row>
    <row r="1208" spans="1:2" x14ac:dyDescent="0.25">
      <c r="A1208">
        <f ca="1">26118.4822577762*((RANDBETWEEN(1620,2416)))</f>
        <v>53203348.359090209</v>
      </c>
      <c r="B1208">
        <v>175083130.90225083</v>
      </c>
    </row>
    <row r="1209" spans="1:2" x14ac:dyDescent="0.25">
      <c r="A1209">
        <f ca="1">26415.0253582234*((RANDBETWEEN(1620,2416)))</f>
        <v>44535732.753964618</v>
      </c>
      <c r="B1209">
        <v>201542285.57232881</v>
      </c>
    </row>
    <row r="1210" spans="1:2" x14ac:dyDescent="0.25">
      <c r="A1210">
        <f ca="1">27402.4653312322*((RANDBETWEEN(1620,2416)))</f>
        <v>57353359.938269012</v>
      </c>
      <c r="B1210">
        <v>144736022.3031522</v>
      </c>
    </row>
    <row r="1211" spans="1:2" x14ac:dyDescent="0.25">
      <c r="A1211">
        <f ca="1">28261.6562360515*((RANDBETWEEN(1620,2416)))</f>
        <v>67121433.560622379</v>
      </c>
      <c r="B1211">
        <v>162048423.00367573</v>
      </c>
    </row>
    <row r="1212" spans="1:2" x14ac:dyDescent="0.25">
      <c r="A1212">
        <f ca="1">27545.3095698085*((RANDBETWEEN(1620,2416)))</f>
        <v>58093057.882726111</v>
      </c>
      <c r="B1212">
        <v>164312664.0812549</v>
      </c>
    </row>
    <row r="1213" spans="1:2" x14ac:dyDescent="0.25">
      <c r="A1213">
        <f ca="1">30972.1326409882*((RANDBETWEEN(1620,2416)))</f>
        <v>54510953.448139302</v>
      </c>
      <c r="B1213">
        <v>196130155.40762013</v>
      </c>
    </row>
    <row r="1214" spans="1:2" x14ac:dyDescent="0.25">
      <c r="A1214">
        <f ca="1">29118.0914994144*((RANDBETWEEN(1620,2416)))</f>
        <v>65632178.239680156</v>
      </c>
      <c r="B1214">
        <v>198666878.66721749</v>
      </c>
    </row>
    <row r="1215" spans="1:2" x14ac:dyDescent="0.25">
      <c r="A1215">
        <f ca="1">28072.6655313658*((RANDBETWEEN(1620,2416)))</f>
        <v>55331223.762321994</v>
      </c>
      <c r="B1215">
        <v>179537815.46466979</v>
      </c>
    </row>
    <row r="1216" spans="1:2" x14ac:dyDescent="0.25">
      <c r="A1216">
        <f ca="1">30048.8317602848*((RANDBETWEEN(1620,2416)))</f>
        <v>57423317.49390433</v>
      </c>
      <c r="B1216">
        <v>187474502.97827551</v>
      </c>
    </row>
    <row r="1217" spans="1:2" x14ac:dyDescent="0.25">
      <c r="A1217">
        <f ca="1">29810.4422991132*((RANDBETWEEN(1620,2416)))</f>
        <v>60992164.943985522</v>
      </c>
      <c r="B1217">
        <v>159804294.40282178</v>
      </c>
    </row>
    <row r="1218" spans="1:2" x14ac:dyDescent="0.25">
      <c r="A1218">
        <f ca="1">27559.8100298981*((RANDBETWEEN(1620,2416)))</f>
        <v>63194644.398556426</v>
      </c>
      <c r="B1218">
        <v>154070609.99728858</v>
      </c>
    </row>
    <row r="1219" spans="1:2" x14ac:dyDescent="0.25">
      <c r="A1219">
        <f ca="1">27531.4805857074*((RANDBETWEEN(1620,2416)))</f>
        <v>48180091.024987996</v>
      </c>
      <c r="B1219">
        <v>197823060.31872377</v>
      </c>
    </row>
    <row r="1220" spans="1:2" x14ac:dyDescent="0.25">
      <c r="A1220">
        <f ca="1">31802.8908211861*((RANDBETWEEN(1620,2416)))</f>
        <v>52697390.09070529</v>
      </c>
      <c r="B1220">
        <v>186446838.61150706</v>
      </c>
    </row>
    <row r="1221" spans="1:2" x14ac:dyDescent="0.25">
      <c r="A1221">
        <f ca="1">31117.9141980907*((RANDBETWEEN(1620,2416)))</f>
        <v>68677236.63518618</v>
      </c>
      <c r="B1221">
        <v>187668345.83106303</v>
      </c>
    </row>
    <row r="1222" spans="1:2" x14ac:dyDescent="0.25">
      <c r="A1222">
        <f ca="1">26373.8593424471*((RANDBETWEEN(1620,2416)))</f>
        <v>60791745.78434065</v>
      </c>
      <c r="B1222">
        <v>146810644.08096606</v>
      </c>
    </row>
    <row r="1223" spans="1:2" x14ac:dyDescent="0.25">
      <c r="A1223">
        <f ca="1">30476.7515496678*((RANDBETWEEN(1620,2416)))</f>
        <v>68054586.210408151</v>
      </c>
      <c r="B1223">
        <v>175929041.02093515</v>
      </c>
    </row>
    <row r="1224" spans="1:2" x14ac:dyDescent="0.25">
      <c r="A1224">
        <f ca="1">32262.6529754037*((RANDBETWEEN(1620,2416)))</f>
        <v>56653218.624808915</v>
      </c>
      <c r="B1224">
        <v>149932558.22027019</v>
      </c>
    </row>
    <row r="1225" spans="1:2" x14ac:dyDescent="0.25">
      <c r="A1225">
        <f ca="1">28808.1146823258*((RANDBETWEEN(1620,2416)))</f>
        <v>55743701.910300396</v>
      </c>
      <c r="B1225">
        <v>166558690.97321022</v>
      </c>
    </row>
    <row r="1226" spans="1:2" x14ac:dyDescent="0.25">
      <c r="A1226">
        <f ca="1">28581.2785533433*((RANDBETWEEN(1620,2416)))</f>
        <v>56962488.156813242</v>
      </c>
      <c r="B1226">
        <v>171754141.65419713</v>
      </c>
    </row>
    <row r="1227" spans="1:2" x14ac:dyDescent="0.25">
      <c r="A1227">
        <f ca="1">29143.0890060299*((RANDBETWEEN(1620,2416)))</f>
        <v>57149597.540824622</v>
      </c>
      <c r="B1227">
        <v>148834954.2100507</v>
      </c>
    </row>
    <row r="1228" spans="1:2" x14ac:dyDescent="0.25">
      <c r="A1228">
        <f ca="1">26269.9912715111*((RANDBETWEEN(1620,2416)))</f>
        <v>53485702.228796549</v>
      </c>
      <c r="B1228">
        <v>197637871.06011993</v>
      </c>
    </row>
    <row r="1229" spans="1:2" x14ac:dyDescent="0.25">
      <c r="A1229">
        <f ca="1">25606.6032635432*((RANDBETWEEN(1620,2416)))</f>
        <v>53184914.978379235</v>
      </c>
      <c r="B1229">
        <v>147836546.66611326</v>
      </c>
    </row>
    <row r="1230" spans="1:2" x14ac:dyDescent="0.25">
      <c r="A1230">
        <f ca="1">28923.4651543494*((RANDBETWEEN(1620,2416)))</f>
        <v>69734474.487136513</v>
      </c>
      <c r="B1230">
        <v>186369416.22387633</v>
      </c>
    </row>
    <row r="1231" spans="1:2" x14ac:dyDescent="0.25">
      <c r="A1231">
        <f ca="1">28429.4501127663*((RANDBETWEEN(1620,2416)))</f>
        <v>61151747.192560263</v>
      </c>
      <c r="B1231">
        <v>149512106.83779246</v>
      </c>
    </row>
    <row r="1232" spans="1:2" x14ac:dyDescent="0.25">
      <c r="A1232">
        <f ca="1">26565.0159535055*((RANDBETWEEN(1620,2416)))</f>
        <v>59930675.991108462</v>
      </c>
      <c r="B1232">
        <v>155057000.93951464</v>
      </c>
    </row>
    <row r="1233" spans="1:2" x14ac:dyDescent="0.25">
      <c r="A1233">
        <f ca="1">26370.0664118848*((RANDBETWEEN(1620,2416)))</f>
        <v>47571599.807040244</v>
      </c>
      <c r="B1233">
        <v>146687977.94542843</v>
      </c>
    </row>
    <row r="1234" spans="1:2" x14ac:dyDescent="0.25">
      <c r="A1234">
        <f ca="1">27842.3383224429*((RANDBETWEEN(1620,2416)))</f>
        <v>63369162.021880083</v>
      </c>
      <c r="B1234">
        <v>182079435.72224045</v>
      </c>
    </row>
    <row r="1235" spans="1:2" x14ac:dyDescent="0.25">
      <c r="A1235">
        <f ca="1">26325.2157563518*((RANDBETWEEN(1620,2416)))</f>
        <v>44068411.176132977</v>
      </c>
      <c r="B1235">
        <v>159754592.83087283</v>
      </c>
    </row>
    <row r="1236" spans="1:2" x14ac:dyDescent="0.25">
      <c r="A1236">
        <f ca="1">26037.0841395809*((RANDBETWEEN(1620,2416)))</f>
        <v>58557402.22991734</v>
      </c>
      <c r="B1236">
        <v>173141261.90592432</v>
      </c>
    </row>
    <row r="1237" spans="1:2" x14ac:dyDescent="0.25">
      <c r="A1237">
        <f ca="1">27457.5707526664*((RANDBETWEEN(1620,2416)))</f>
        <v>65953084.947904803</v>
      </c>
      <c r="B1237">
        <v>184913014.88118774</v>
      </c>
    </row>
    <row r="1238" spans="1:2" x14ac:dyDescent="0.25">
      <c r="A1238">
        <f ca="1">26813.778826597*((RANDBETWEEN(1620,2416)))</f>
        <v>59312078.764432527</v>
      </c>
      <c r="B1238">
        <v>194949702.55893439</v>
      </c>
    </row>
    <row r="1239" spans="1:2" x14ac:dyDescent="0.25">
      <c r="A1239">
        <f ca="1">31737.2066243853*((RANDBETWEEN(1620,2416)))</f>
        <v>62966617.942780361</v>
      </c>
      <c r="B1239">
        <v>176428523.76211166</v>
      </c>
    </row>
    <row r="1240" spans="1:2" x14ac:dyDescent="0.25">
      <c r="A1240">
        <f ca="1">27319.7158159927*((RANDBETWEEN(1620,2416)))</f>
        <v>60704408.543135799</v>
      </c>
      <c r="B1240">
        <v>203337803.01926062</v>
      </c>
    </row>
    <row r="1241" spans="1:2" x14ac:dyDescent="0.25">
      <c r="A1241">
        <f ca="1">30349.5732484919*((RANDBETWEEN(1620,2416)))</f>
        <v>73081772.382368609</v>
      </c>
      <c r="B1241">
        <v>162559196.31339142</v>
      </c>
    </row>
    <row r="1242" spans="1:2" x14ac:dyDescent="0.25">
      <c r="A1242">
        <f ca="1">25804.4319554418*((RANDBETWEEN(1620,2416)))</f>
        <v>42783748.182122476</v>
      </c>
      <c r="B1242">
        <v>173234174.0944908</v>
      </c>
    </row>
    <row r="1243" spans="1:2" x14ac:dyDescent="0.25">
      <c r="A1243">
        <f ca="1">27456.5832149816*((RANDBETWEEN(1620,2416)))</f>
        <v>61173267.402978934</v>
      </c>
      <c r="B1243">
        <v>182117439.05246812</v>
      </c>
    </row>
    <row r="1244" spans="1:2" x14ac:dyDescent="0.25">
      <c r="A1244">
        <f ca="1">26544.3662709757*((RANDBETWEEN(1620,2416)))</f>
        <v>43108050.824064612</v>
      </c>
      <c r="B1244">
        <v>158828768.45689702</v>
      </c>
    </row>
    <row r="1245" spans="1:2" x14ac:dyDescent="0.25">
      <c r="A1245">
        <f ca="1">26171.3666110232*((RANDBETWEEN(1620,2416)))</f>
        <v>53729815.652430564</v>
      </c>
      <c r="B1245">
        <v>152318228.50711724</v>
      </c>
    </row>
    <row r="1246" spans="1:2" x14ac:dyDescent="0.25">
      <c r="A1246">
        <f ca="1">29585.926807608*((RANDBETWEEN(1620,2416)))</f>
        <v>50976551.889508501</v>
      </c>
      <c r="B1246">
        <v>157000954.01272252</v>
      </c>
    </row>
    <row r="1247" spans="1:2" x14ac:dyDescent="0.25">
      <c r="A1247">
        <f ca="1">27608.2315736901*((RANDBETWEEN(1620,2416)))</f>
        <v>63802623.166797876</v>
      </c>
      <c r="B1247">
        <v>174234220.48530641</v>
      </c>
    </row>
    <row r="1248" spans="1:2" x14ac:dyDescent="0.25">
      <c r="A1248">
        <f ca="1">26147.3582131859*((RANDBETWEEN(1620,2416)))</f>
        <v>54203473.575934462</v>
      </c>
      <c r="B1248">
        <v>147097147.99571896</v>
      </c>
    </row>
    <row r="1249" spans="1:2" x14ac:dyDescent="0.25">
      <c r="A1249">
        <f ca="1">27964.9665867876*((RANDBETWEEN(1620,2416)))</f>
        <v>60851767.292849831</v>
      </c>
      <c r="B1249">
        <v>178336025.77070051</v>
      </c>
    </row>
    <row r="1250" spans="1:2" x14ac:dyDescent="0.25">
      <c r="A1250">
        <f ca="1">30677.726234054*((RANDBETWEEN(1620,2416)))</f>
        <v>52182812.324125834</v>
      </c>
      <c r="B1250">
        <v>165026879.64102477</v>
      </c>
    </row>
    <row r="1251" spans="1:2" x14ac:dyDescent="0.25">
      <c r="A1251">
        <f ca="1">27084.2914895711*((RANDBETWEEN(1620,2416)))</f>
        <v>50728877.959966652</v>
      </c>
      <c r="B1251">
        <v>196501611.58721286</v>
      </c>
    </row>
    <row r="1252" spans="1:2" x14ac:dyDescent="0.25">
      <c r="A1252">
        <f ca="1">24826.8178500073*((RANDBETWEEN(1620,2416)))</f>
        <v>46450976.197363667</v>
      </c>
      <c r="B1252">
        <v>145477038.24396694</v>
      </c>
    </row>
    <row r="1253" spans="1:2" x14ac:dyDescent="0.25">
      <c r="A1253">
        <f ca="1">28540.08234957*((RANDBETWEEN(1620,2416)))</f>
        <v>62274459.686761677</v>
      </c>
      <c r="B1253">
        <v>182453798.25801563</v>
      </c>
    </row>
    <row r="1254" spans="1:2" x14ac:dyDescent="0.25">
      <c r="A1254">
        <f ca="1">26331.171057395*((RANDBETWEEN(1620,2416)))</f>
        <v>57770589.299924597</v>
      </c>
      <c r="B1254">
        <v>173144152.60318586</v>
      </c>
    </row>
    <row r="1255" spans="1:2" x14ac:dyDescent="0.25">
      <c r="A1255">
        <f ca="1">25512.0107297467*((RANDBETWEEN(1620,2416)))</f>
        <v>41661113.521676406</v>
      </c>
      <c r="B1255">
        <v>150402644.75090873</v>
      </c>
    </row>
    <row r="1256" spans="1:2" x14ac:dyDescent="0.25">
      <c r="A1256">
        <f ca="1">29755.1339990219*((RANDBETWEEN(1620,2416)))</f>
        <v>71293301.06165652</v>
      </c>
      <c r="B1256">
        <v>153731036.04541966</v>
      </c>
    </row>
    <row r="1257" spans="1:2" x14ac:dyDescent="0.25">
      <c r="A1257">
        <f ca="1">27002.5641070099*((RANDBETWEEN(1620,2416)))</f>
        <v>61511841.035768628</v>
      </c>
      <c r="B1257">
        <v>146391023.67976928</v>
      </c>
    </row>
    <row r="1258" spans="1:2" x14ac:dyDescent="0.25">
      <c r="A1258">
        <f ca="1">25807.1772792655*((RANDBETWEEN(1620,2416)))</f>
        <v>46349690.393561013</v>
      </c>
      <c r="B1258">
        <v>182694892.73064178</v>
      </c>
    </row>
    <row r="1259" spans="1:2" x14ac:dyDescent="0.25">
      <c r="A1259">
        <f ca="1">26158.7331291223*((RANDBETWEEN(1620,2416)))</f>
        <v>62022356.249149084</v>
      </c>
      <c r="B1259">
        <v>180841141.42643878</v>
      </c>
    </row>
    <row r="1260" spans="1:2" x14ac:dyDescent="0.25">
      <c r="A1260">
        <f ca="1">26721.3543077341*((RANDBETWEEN(1620,2416)))</f>
        <v>54538284.142085381</v>
      </c>
      <c r="B1260">
        <v>199606152.43753111</v>
      </c>
    </row>
    <row r="1261" spans="1:2" x14ac:dyDescent="0.25">
      <c r="A1261">
        <f ca="1">25174.2264906629*((RANDBETWEEN(1620,2416)))</f>
        <v>44457683.982510664</v>
      </c>
      <c r="B1261">
        <v>158406913.65230748</v>
      </c>
    </row>
    <row r="1262" spans="1:2" x14ac:dyDescent="0.25">
      <c r="A1262">
        <f ca="1">25710.6991416697*((RANDBETWEEN(1620,2416)))</f>
        <v>55946481.332273342</v>
      </c>
      <c r="B1262">
        <v>148153998.75676966</v>
      </c>
    </row>
    <row r="1263" spans="1:2" x14ac:dyDescent="0.25">
      <c r="A1263">
        <f ca="1">26596.1107374853*((RANDBETWEEN(1620,2416)))</f>
        <v>61383823.582116045</v>
      </c>
      <c r="B1263">
        <v>178692445.65005696</v>
      </c>
    </row>
    <row r="1264" spans="1:2" x14ac:dyDescent="0.25">
      <c r="A1264">
        <f ca="1">30328.4810007854*((RANDBETWEEN(1620,2416)))</f>
        <v>60929918.330577798</v>
      </c>
      <c r="B1264">
        <v>164955983.32829943</v>
      </c>
    </row>
    <row r="1265" spans="1:2" x14ac:dyDescent="0.25">
      <c r="A1265">
        <f ca="1">28899.6729739116*((RANDBETWEEN(1620,2416)))</f>
        <v>69156917.42657055</v>
      </c>
      <c r="B1265">
        <v>162074198.5274981</v>
      </c>
    </row>
    <row r="1266" spans="1:2" x14ac:dyDescent="0.25">
      <c r="A1266">
        <f ca="1">26374.206897198*((RANDBETWEEN(1620,2416)))</f>
        <v>56941912.691050492</v>
      </c>
      <c r="B1266">
        <v>157252673.44956452</v>
      </c>
    </row>
    <row r="1267" spans="1:2" x14ac:dyDescent="0.25">
      <c r="A1267">
        <f ca="1">25433.9184158501*((RANDBETWEEN(1620,2416)))</f>
        <v>53258625.162790067</v>
      </c>
      <c r="B1267">
        <v>155915977.83160514</v>
      </c>
    </row>
    <row r="1268" spans="1:2" x14ac:dyDescent="0.25">
      <c r="A1268">
        <f ca="1">32554.9918416531*((RANDBETWEEN(1620,2416)))</f>
        <v>67746938.02248016</v>
      </c>
      <c r="B1268">
        <v>172027134.04652044</v>
      </c>
    </row>
    <row r="1269" spans="1:2" x14ac:dyDescent="0.25">
      <c r="A1269">
        <f ca="1">25845.0020067857*((RANDBETWEEN(1620,2416)))</f>
        <v>60528994.699892022</v>
      </c>
      <c r="B1269">
        <v>158928334.18031105</v>
      </c>
    </row>
    <row r="1270" spans="1:2" x14ac:dyDescent="0.25">
      <c r="A1270">
        <f ca="1">29009.8019376108*((RANDBETWEEN(1620,2416)))</f>
        <v>67621848.316570714</v>
      </c>
      <c r="B1270">
        <v>173348637.7124818</v>
      </c>
    </row>
    <row r="1271" spans="1:2" x14ac:dyDescent="0.25">
      <c r="A1271">
        <f ca="1">27219.7405391886*((RANDBETWEEN(1620,2416)))</f>
        <v>65409036.515670225</v>
      </c>
      <c r="B1271">
        <v>150958591.34461185</v>
      </c>
    </row>
    <row r="1272" spans="1:2" x14ac:dyDescent="0.25">
      <c r="A1272">
        <f ca="1">27319.9980536208*((RANDBETWEEN(1620,2416)))</f>
        <v>54558036.113080725</v>
      </c>
      <c r="B1272">
        <v>156675659.23429635</v>
      </c>
    </row>
    <row r="1273" spans="1:2" x14ac:dyDescent="0.25">
      <c r="A1273">
        <f ca="1">26805.3635567045*((RANDBETWEEN(1620,2416)))</f>
        <v>62268859.542224504</v>
      </c>
      <c r="B1273">
        <v>147099354.31707501</v>
      </c>
    </row>
    <row r="1274" spans="1:2" x14ac:dyDescent="0.25">
      <c r="A1274">
        <f ca="1">29406.5354982131*((RANDBETWEEN(1620,2416)))</f>
        <v>52931763.896783642</v>
      </c>
      <c r="B1274">
        <v>189791405.84024549</v>
      </c>
    </row>
    <row r="1275" spans="1:2" x14ac:dyDescent="0.25">
      <c r="A1275">
        <f ca="1">26952.2412443855*((RANDBETWEEN(1620,2416)))</f>
        <v>50185073.197045885</v>
      </c>
      <c r="B1275">
        <v>196690315.48347849</v>
      </c>
    </row>
    <row r="1276" spans="1:2" x14ac:dyDescent="0.25">
      <c r="A1276">
        <f ca="1">27482.4552430361*((RANDBETWEEN(1620,2416)))</f>
        <v>47462200.204723313</v>
      </c>
      <c r="B1276">
        <v>154306168.30745348</v>
      </c>
    </row>
    <row r="1277" spans="1:2" x14ac:dyDescent="0.25">
      <c r="A1277">
        <f ca="1">26420.7980963273*((RANDBETWEEN(1620,2416)))</f>
        <v>59605320.50531444</v>
      </c>
      <c r="B1277">
        <v>160773878.95646179</v>
      </c>
    </row>
    <row r="1278" spans="1:2" x14ac:dyDescent="0.25">
      <c r="A1278">
        <f ca="1">29894.3075822499*((RANDBETWEEN(1620,2416)))</f>
        <v>50312119.660926513</v>
      </c>
      <c r="B1278">
        <v>163934032.3096357</v>
      </c>
    </row>
    <row r="1279" spans="1:2" x14ac:dyDescent="0.25">
      <c r="A1279">
        <f ca="1">26594.6563907924*((RANDBETWEEN(1620,2416)))</f>
        <v>44599238.767358832</v>
      </c>
      <c r="B1279">
        <v>192555700.04074961</v>
      </c>
    </row>
    <row r="1280" spans="1:2" x14ac:dyDescent="0.25">
      <c r="A1280">
        <f ca="1">26002.0266756079*((RANDBETWEEN(1620,2416)))</f>
        <v>55150298.578964323</v>
      </c>
      <c r="B1280">
        <v>144309169.6478889</v>
      </c>
    </row>
    <row r="1281" spans="1:2" x14ac:dyDescent="0.25">
      <c r="A1281">
        <f ca="1">25504.6377576552*((RANDBETWEEN(1620,2416)))</f>
        <v>51136798.704098761</v>
      </c>
      <c r="B1281">
        <v>145694385.81493327</v>
      </c>
    </row>
    <row r="1282" spans="1:2" x14ac:dyDescent="0.25">
      <c r="A1282">
        <f ca="1">27329.9905858862*((RANDBETWEEN(1620,2416)))</f>
        <v>59880009.37367674</v>
      </c>
      <c r="B1282">
        <v>159097017.83746618</v>
      </c>
    </row>
    <row r="1283" spans="1:2" x14ac:dyDescent="0.25">
      <c r="A1283">
        <f ca="1">29614.2300766935*((RANDBETWEEN(1620,2416)))</f>
        <v>63315223.903970644</v>
      </c>
      <c r="B1283">
        <v>181280757.2730391</v>
      </c>
    </row>
    <row r="1284" spans="1:2" x14ac:dyDescent="0.25">
      <c r="A1284">
        <f ca="1">25927.6595442921*((RANDBETWEEN(1620,2416)))</f>
        <v>42184302.078563176</v>
      </c>
      <c r="B1284">
        <v>164297857.33699644</v>
      </c>
    </row>
    <row r="1285" spans="1:2" x14ac:dyDescent="0.25">
      <c r="A1285">
        <f ca="1">30566.100071049*((RANDBETWEEN(1620,2416)))</f>
        <v>72013731.767391473</v>
      </c>
      <c r="B1285">
        <v>166765234.02331954</v>
      </c>
    </row>
    <row r="1286" spans="1:2" x14ac:dyDescent="0.25">
      <c r="A1286">
        <f ca="1">31502.2924983861*((RANDBETWEEN(1620,2416)))</f>
        <v>70533632.903886363</v>
      </c>
      <c r="B1286">
        <v>151878812.77967906</v>
      </c>
    </row>
    <row r="1287" spans="1:2" x14ac:dyDescent="0.25">
      <c r="A1287">
        <f ca="1">26699.5429661121*((RANDBETWEEN(1620,2416)))</f>
        <v>62957522.314092286</v>
      </c>
      <c r="B1287">
        <v>181223413.68773505</v>
      </c>
    </row>
    <row r="1288" spans="1:2" x14ac:dyDescent="0.25">
      <c r="A1288">
        <f ca="1">27357.4731750539*((RANDBETWEEN(1620,2416)))</f>
        <v>46671849.236641921</v>
      </c>
      <c r="B1288">
        <v>145173852.19804156</v>
      </c>
    </row>
    <row r="1289" spans="1:2" x14ac:dyDescent="0.25">
      <c r="A1289">
        <f ca="1">25393.7233240646*((RANDBETWEEN(1620,2416)))</f>
        <v>52285676.324249081</v>
      </c>
      <c r="B1289">
        <v>152707243.28847209</v>
      </c>
    </row>
    <row r="1290" spans="1:2" x14ac:dyDescent="0.25">
      <c r="A1290">
        <f ca="1">26113.4060415058*((RANDBETWEEN(1620,2416)))</f>
        <v>48153120.740536749</v>
      </c>
      <c r="B1290">
        <v>155365192.84525862</v>
      </c>
    </row>
    <row r="1291" spans="1:2" x14ac:dyDescent="0.25">
      <c r="A1291">
        <f ca="1">25879.3709508062*((RANDBETWEEN(1620,2416)))</f>
        <v>49766030.338400416</v>
      </c>
      <c r="B1291">
        <v>177997369.20980775</v>
      </c>
    </row>
    <row r="1292" spans="1:2" x14ac:dyDescent="0.25">
      <c r="A1292">
        <f ca="1">25874.2505121047*((RANDBETWEEN(1620,2416)))</f>
        <v>43934477.369553715</v>
      </c>
      <c r="B1292">
        <v>147407359.36817947</v>
      </c>
    </row>
    <row r="1293" spans="1:2" x14ac:dyDescent="0.25">
      <c r="A1293">
        <f ca="1">30481.7792789254*((RANDBETWEEN(1620,2416)))</f>
        <v>65048116.981226891</v>
      </c>
      <c r="B1293">
        <v>173941116.25246125</v>
      </c>
    </row>
    <row r="1294" spans="1:2" x14ac:dyDescent="0.25">
      <c r="A1294">
        <f ca="1">27007.5577164121*((RANDBETWEEN(1620,2416)))</f>
        <v>50180042.237093739</v>
      </c>
      <c r="B1294">
        <v>182628841.94763699</v>
      </c>
    </row>
    <row r="1295" spans="1:2" x14ac:dyDescent="0.25">
      <c r="A1295">
        <f ca="1">27553.8974558428*((RANDBETWEEN(1620,2416)))</f>
        <v>63566841.430629387</v>
      </c>
      <c r="B1295">
        <v>176121192.1077621</v>
      </c>
    </row>
    <row r="1296" spans="1:2" x14ac:dyDescent="0.25">
      <c r="A1296">
        <f ca="1">26676.583750479*((RANDBETWEEN(1620,2416)))</f>
        <v>49271650.187134698</v>
      </c>
      <c r="B1296">
        <v>149617687.06411141</v>
      </c>
    </row>
    <row r="1297" spans="1:2" x14ac:dyDescent="0.25">
      <c r="A1297">
        <f ca="1">30236.9505994998*((RANDBETWEEN(1620,2416)))</f>
        <v>64011624.419141062</v>
      </c>
      <c r="B1297">
        <v>148684841.98545608</v>
      </c>
    </row>
    <row r="1298" spans="1:2" x14ac:dyDescent="0.25">
      <c r="A1298">
        <f ca="1">27958.5239394178*((RANDBETWEEN(1620,2416)))</f>
        <v>62487301.004598707</v>
      </c>
      <c r="B1298">
        <v>152808344.57908627</v>
      </c>
    </row>
    <row r="1299" spans="1:2" x14ac:dyDescent="0.25">
      <c r="A1299">
        <f ca="1">26065.9821372639*((RANDBETWEEN(1620,2416)))</f>
        <v>54738562.48825416</v>
      </c>
      <c r="B1299">
        <v>172741944.93435693</v>
      </c>
    </row>
    <row r="1300" spans="1:2" x14ac:dyDescent="0.25">
      <c r="A1300">
        <f ca="1">26836.6474267773*((RANDBETWEEN(1620,2416)))</f>
        <v>59845723.761713274</v>
      </c>
      <c r="B1300">
        <v>146270610.27378342</v>
      </c>
    </row>
    <row r="1301" spans="1:2" x14ac:dyDescent="0.25">
      <c r="A1301">
        <f ca="1">26649.1241186212*((RANDBETWEEN(1620,2416)))</f>
        <v>51059721.811278269</v>
      </c>
      <c r="B1301">
        <v>161821958.63474959</v>
      </c>
    </row>
    <row r="1302" spans="1:2" x14ac:dyDescent="0.25">
      <c r="A1302">
        <f ca="1">26879.905209458*((RANDBETWEEN(1620,2416)))</f>
        <v>51824457.243835047</v>
      </c>
      <c r="B1302">
        <v>164623776.50123876</v>
      </c>
    </row>
    <row r="1303" spans="1:2" x14ac:dyDescent="0.25">
      <c r="A1303">
        <f ca="1">28607.1623053764*((RANDBETWEEN(1620,2416)))</f>
        <v>67713153.176825956</v>
      </c>
      <c r="B1303">
        <v>142997179.99798489</v>
      </c>
    </row>
    <row r="1304" spans="1:2" x14ac:dyDescent="0.25">
      <c r="A1304">
        <f ca="1">32643.8299701214*((RANDBETWEEN(1620,2416)))</f>
        <v>78018753.628590077</v>
      </c>
      <c r="B1304">
        <v>167228377.62944564</v>
      </c>
    </row>
    <row r="1305" spans="1:2" x14ac:dyDescent="0.25">
      <c r="A1305">
        <f ca="1">26587.4315830207*((RANDBETWEEN(1620,2416)))</f>
        <v>47857376.849437222</v>
      </c>
      <c r="B1305">
        <v>189243197.2305648</v>
      </c>
    </row>
    <row r="1306" spans="1:2" x14ac:dyDescent="0.25">
      <c r="A1306">
        <f ca="1">27485.7784980753*((RANDBETWEEN(1620,2416)))</f>
        <v>65938382.6168826</v>
      </c>
      <c r="B1306">
        <v>162865078.29963675</v>
      </c>
    </row>
    <row r="1307" spans="1:2" x14ac:dyDescent="0.25">
      <c r="A1307">
        <f ca="1">25512.2981318748*((RANDBETWEEN(1620,2416)))</f>
        <v>58372138.125729442</v>
      </c>
      <c r="B1307">
        <v>144437765.25736645</v>
      </c>
    </row>
    <row r="1308" spans="1:2" x14ac:dyDescent="0.25">
      <c r="A1308">
        <f ca="1">26597.7860259879*((RANDBETWEEN(1620,2416)))</f>
        <v>50908162.45374088</v>
      </c>
      <c r="B1308">
        <v>165284918.16529441</v>
      </c>
    </row>
    <row r="1309" spans="1:2" x14ac:dyDescent="0.25">
      <c r="A1309">
        <f ca="1">26591.4791355995*((RANDBETWEEN(1620,2416)))</f>
        <v>51294963.252571486</v>
      </c>
      <c r="B1309">
        <v>146333834.27027214</v>
      </c>
    </row>
    <row r="1310" spans="1:2" x14ac:dyDescent="0.25">
      <c r="A1310">
        <f ca="1">28132.827275212*((RANDBETWEEN(1620,2416)))</f>
        <v>52270793.077343822</v>
      </c>
      <c r="B1310">
        <v>155638504.61086604</v>
      </c>
    </row>
    <row r="1311" spans="1:2" x14ac:dyDescent="0.25">
      <c r="A1311">
        <f ca="1">25006.9302992214*((RANDBETWEEN(1620,2416)))</f>
        <v>44012197.326629721</v>
      </c>
      <c r="B1311">
        <v>143537730.00612274</v>
      </c>
    </row>
    <row r="1312" spans="1:2" x14ac:dyDescent="0.25">
      <c r="A1312">
        <f ca="1">30088.9557064029*((RANDBETWEEN(1620,2416)))</f>
        <v>68813441.700543478</v>
      </c>
      <c r="B1312">
        <v>162253424.46587503</v>
      </c>
    </row>
    <row r="1313" spans="1:2" x14ac:dyDescent="0.25">
      <c r="A1313">
        <f ca="1">26541.906943957*((RANDBETWEEN(1620,2416)))</f>
        <v>59161910.5780802</v>
      </c>
      <c r="B1313">
        <v>184020884.93686694</v>
      </c>
    </row>
    <row r="1314" spans="1:2" x14ac:dyDescent="0.25">
      <c r="A1314">
        <f ca="1">27145.0156254492*((RANDBETWEEN(1620,2416)))</f>
        <v>64876587.344823636</v>
      </c>
      <c r="B1314">
        <v>194005757.63930517</v>
      </c>
    </row>
    <row r="1315" spans="1:2" x14ac:dyDescent="0.25">
      <c r="A1315">
        <f ca="1">27730.2044565457*((RANDBETWEEN(1620,2416)))</f>
        <v>45172503.059712961</v>
      </c>
      <c r="B1315">
        <v>182885613.1558902</v>
      </c>
    </row>
    <row r="1316" spans="1:2" x14ac:dyDescent="0.25">
      <c r="A1316">
        <f ca="1">25833.7751382616*((RANDBETWEEN(1620,2416)))</f>
        <v>48076655.532304876</v>
      </c>
      <c r="B1316">
        <v>196037092.89239705</v>
      </c>
    </row>
    <row r="1317" spans="1:2" x14ac:dyDescent="0.25">
      <c r="A1317">
        <f ca="1">29264.6770605148*((RANDBETWEEN(1620,2416)))</f>
        <v>56480826.726793535</v>
      </c>
      <c r="B1317">
        <v>179508184.04703405</v>
      </c>
    </row>
    <row r="1318" spans="1:2" x14ac:dyDescent="0.25">
      <c r="A1318">
        <f ca="1">25580.57101013*((RANDBETWEEN(1620,2416)))</f>
        <v>54307552.254506022</v>
      </c>
      <c r="B1318">
        <v>146127285.1904512</v>
      </c>
    </row>
    <row r="1319" spans="1:2" x14ac:dyDescent="0.25">
      <c r="A1319">
        <f ca="1">29407.904489181*((RANDBETWEEN(1620,2416)))</f>
        <v>52051990.945850328</v>
      </c>
      <c r="B1319">
        <v>194385508.58329266</v>
      </c>
    </row>
    <row r="1320" spans="1:2" x14ac:dyDescent="0.25">
      <c r="A1320">
        <f ca="1">28709.9918171011*((RANDBETWEEN(1620,2416)))</f>
        <v>61353252.513145007</v>
      </c>
      <c r="B1320">
        <v>190751477.07624498</v>
      </c>
    </row>
    <row r="1321" spans="1:2" x14ac:dyDescent="0.25">
      <c r="A1321">
        <f ca="1">32845.9072395763*((RANDBETWEEN(1620,2416)))</f>
        <v>71209926.895401374</v>
      </c>
      <c r="B1321">
        <v>172954114.18632212</v>
      </c>
    </row>
    <row r="1322" spans="1:2" x14ac:dyDescent="0.25">
      <c r="A1322">
        <f ca="1">28914.7453472183*((RANDBETWEEN(1620,2416)))</f>
        <v>48923749.127493314</v>
      </c>
      <c r="B1322">
        <v>176122459.94764647</v>
      </c>
    </row>
    <row r="1323" spans="1:2" x14ac:dyDescent="0.25">
      <c r="A1323">
        <f ca="1">28768.9993924251*((RANDBETWEEN(1620,2416)))</f>
        <v>48418225.977451414</v>
      </c>
      <c r="B1323">
        <v>155275049.22723734</v>
      </c>
    </row>
    <row r="1324" spans="1:2" x14ac:dyDescent="0.25">
      <c r="A1324">
        <f ca="1">26119.5108139542*((RANDBETWEEN(1620,2416)))</f>
        <v>56836055.531164326</v>
      </c>
      <c r="B1324">
        <v>186850175.37769717</v>
      </c>
    </row>
    <row r="1325" spans="1:2" x14ac:dyDescent="0.25">
      <c r="A1325">
        <f ca="1">26190.6343330886*((RANDBETWEEN(1620,2416)))</f>
        <v>44288362.657252789</v>
      </c>
      <c r="B1325">
        <v>146701734.61583805</v>
      </c>
    </row>
    <row r="1326" spans="1:2" x14ac:dyDescent="0.25">
      <c r="A1326">
        <f ca="1">29307.4195827572*((RANDBETWEEN(1620,2416)))</f>
        <v>68227672.788658738</v>
      </c>
      <c r="B1326">
        <v>146863048.85483992</v>
      </c>
    </row>
    <row r="1327" spans="1:2" x14ac:dyDescent="0.25">
      <c r="A1327">
        <f ca="1">26914.2647466407*((RANDBETWEEN(1620,2416)))</f>
        <v>64594235.391937658</v>
      </c>
      <c r="B1327">
        <v>142927511.19800171</v>
      </c>
    </row>
    <row r="1328" spans="1:2" x14ac:dyDescent="0.25">
      <c r="A1328">
        <f ca="1">29029.2206314966*((RANDBETWEEN(1620,2416)))</f>
        <v>49378704.294175714</v>
      </c>
      <c r="B1328">
        <v>198640256.49634132</v>
      </c>
    </row>
    <row r="1329" spans="1:2" x14ac:dyDescent="0.25">
      <c r="A1329">
        <f ca="1">26878.0680954043*((RANDBETWEEN(1620,2416)))</f>
        <v>50880182.904600374</v>
      </c>
      <c r="B1329">
        <v>146021888.3176327</v>
      </c>
    </row>
    <row r="1330" spans="1:2" x14ac:dyDescent="0.25">
      <c r="A1330">
        <f ca="1">26797.5167009589*((RANDBETWEEN(1620,2416)))</f>
        <v>58713359.091800973</v>
      </c>
      <c r="B1330">
        <v>159880136.58825183</v>
      </c>
    </row>
    <row r="1331" spans="1:2" x14ac:dyDescent="0.25">
      <c r="A1331">
        <f ca="1">29442.6814451656*((RANDBETWEEN(1620,2416)))</f>
        <v>59591987.245015264</v>
      </c>
      <c r="B1331">
        <v>157176068.17953703</v>
      </c>
    </row>
    <row r="1332" spans="1:2" x14ac:dyDescent="0.25">
      <c r="A1332">
        <f ca="1">27162.0462108353*((RANDBETWEEN(1620,2416)))</f>
        <v>46582909.251582466</v>
      </c>
      <c r="B1332">
        <v>195249824.66421291</v>
      </c>
    </row>
    <row r="1333" spans="1:2" x14ac:dyDescent="0.25">
      <c r="A1333">
        <f ca="1">26682.4436661741*((RANDBETWEEN(1620,2416)))</f>
        <v>63103979.2705018</v>
      </c>
      <c r="B1333">
        <v>145740372.3115283</v>
      </c>
    </row>
    <row r="1334" spans="1:2" x14ac:dyDescent="0.25">
      <c r="A1334">
        <f ca="1">27365.5420861709*((RANDBETWEEN(1620,2416)))</f>
        <v>48409643.950436398</v>
      </c>
      <c r="B1334">
        <v>151854020.3466295</v>
      </c>
    </row>
    <row r="1335" spans="1:2" x14ac:dyDescent="0.25">
      <c r="A1335">
        <f ca="1">28864.5576228999*((RANDBETWEEN(1620,2416)))</f>
        <v>60182602.643746369</v>
      </c>
      <c r="B1335">
        <v>165062915.25528467</v>
      </c>
    </row>
    <row r="1336" spans="1:2" x14ac:dyDescent="0.25">
      <c r="A1336">
        <f ca="1">27773.5470708499*((RANDBETWEEN(1620,2416)))</f>
        <v>63934705.357096456</v>
      </c>
      <c r="B1336">
        <v>195363623.04757941</v>
      </c>
    </row>
    <row r="1337" spans="1:2" x14ac:dyDescent="0.25">
      <c r="A1337">
        <f ca="1">26028.5027719576*((RANDBETWEEN(1620,2416)))</f>
        <v>58876473.270168163</v>
      </c>
      <c r="B1337">
        <v>153726283.21022519</v>
      </c>
    </row>
    <row r="1338" spans="1:2" x14ac:dyDescent="0.25">
      <c r="A1338">
        <f ca="1">27415.7957258956*((RANDBETWEEN(1620,2416)))</f>
        <v>64564198.934484243</v>
      </c>
      <c r="B1338">
        <v>149985465.24373174</v>
      </c>
    </row>
    <row r="1339" spans="1:2" x14ac:dyDescent="0.25">
      <c r="A1339">
        <f ca="1">27238.7065610949*((RANDBETWEEN(1620,2416)))</f>
        <v>46741620.458838828</v>
      </c>
      <c r="B1339">
        <v>162742151.2483803</v>
      </c>
    </row>
    <row r="1340" spans="1:2" x14ac:dyDescent="0.25">
      <c r="A1340">
        <f ca="1">26720.6469744244*((RANDBETWEEN(1620,2416)))</f>
        <v>56273682.528137743</v>
      </c>
      <c r="B1340">
        <v>143685326.16775769</v>
      </c>
    </row>
    <row r="1341" spans="1:2" x14ac:dyDescent="0.25">
      <c r="A1341">
        <f ca="1">28579.4968045127*((RANDBETWEEN(1620,2416)))</f>
        <v>63932334.351694889</v>
      </c>
      <c r="B1341">
        <v>195297419.99349749</v>
      </c>
    </row>
    <row r="1342" spans="1:2" x14ac:dyDescent="0.25">
      <c r="A1342">
        <f ca="1">28823.2512604421*((RANDBETWEEN(1620,2416)))</f>
        <v>52688903.304088153</v>
      </c>
      <c r="B1342">
        <v>162883703.13037324</v>
      </c>
    </row>
    <row r="1343" spans="1:2" x14ac:dyDescent="0.25">
      <c r="A1343">
        <f ca="1">27913.1903487919*((RANDBETWEEN(1620,2416)))</f>
        <v>48624777.587595508</v>
      </c>
      <c r="B1343">
        <v>151632435.67226389</v>
      </c>
    </row>
    <row r="1344" spans="1:2" x14ac:dyDescent="0.25">
      <c r="A1344">
        <f ca="1">27404.0335064229*((RANDBETWEEN(1620,2416)))</f>
        <v>59192712.37387345</v>
      </c>
      <c r="B1344">
        <v>199395458.22300917</v>
      </c>
    </row>
    <row r="1345" spans="1:2" x14ac:dyDescent="0.25">
      <c r="A1345">
        <f ca="1">27251.0801648257*((RANDBETWEEN(1620,2416)))</f>
        <v>49624216.98014763</v>
      </c>
      <c r="B1345">
        <v>182958325.12375179</v>
      </c>
    </row>
    <row r="1346" spans="1:2" x14ac:dyDescent="0.25">
      <c r="A1346">
        <f ca="1">25148.6147293173*((RANDBETWEEN(1620,2416)))</f>
        <v>54270710.585866749</v>
      </c>
      <c r="B1346">
        <v>166803051.96434513</v>
      </c>
    </row>
    <row r="1347" spans="1:2" x14ac:dyDescent="0.25">
      <c r="A1347">
        <f ca="1">26644.6116542863*((RANDBETWEEN(1620,2416)))</f>
        <v>59763863.940564089</v>
      </c>
      <c r="B1347">
        <v>190175816.01878524</v>
      </c>
    </row>
    <row r="1348" spans="1:2" x14ac:dyDescent="0.25">
      <c r="A1348">
        <f ca="1">26149.9782339068*((RANDBETWEEN(1620,2416)))</f>
        <v>43461263.824753039</v>
      </c>
      <c r="B1348">
        <v>162934352.07266691</v>
      </c>
    </row>
    <row r="1349" spans="1:2" x14ac:dyDescent="0.25">
      <c r="A1349">
        <f ca="1">30485.423960289*((RANDBETWEEN(1620,2416)))</f>
        <v>64385215.404130332</v>
      </c>
      <c r="B1349">
        <v>159225790.11491334</v>
      </c>
    </row>
    <row r="1350" spans="1:2" x14ac:dyDescent="0.25">
      <c r="A1350">
        <f ca="1">26670.9400142985*((RANDBETWEEN(1620,2416)))</f>
        <v>54702097.969326146</v>
      </c>
      <c r="B1350">
        <v>194753442.83288115</v>
      </c>
    </row>
    <row r="1351" spans="1:2" x14ac:dyDescent="0.25">
      <c r="A1351">
        <f ca="1">27015.0171486299*((RANDBETWEEN(1620,2416)))</f>
        <v>61080953.773052283</v>
      </c>
      <c r="B1351">
        <v>178425919.94343066</v>
      </c>
    </row>
    <row r="1352" spans="1:2" x14ac:dyDescent="0.25">
      <c r="A1352">
        <f ca="1">32812.6556227671*((RANDBETWEEN(1620,2416)))</f>
        <v>70087832.410230458</v>
      </c>
      <c r="B1352">
        <v>183533481.90463984</v>
      </c>
    </row>
    <row r="1353" spans="1:2" x14ac:dyDescent="0.25">
      <c r="A1353">
        <f ca="1">31245.4787780108*((RANDBETWEEN(1620,2416)))</f>
        <v>65146823.252152584</v>
      </c>
      <c r="B1353">
        <v>180084801.03009462</v>
      </c>
    </row>
    <row r="1354" spans="1:2" x14ac:dyDescent="0.25">
      <c r="A1354">
        <f ca="1">29539.2039870121*((RANDBETWEEN(1620,2416)))</f>
        <v>63479749.368088983</v>
      </c>
      <c r="B1354">
        <v>158188551.94659525</v>
      </c>
    </row>
    <row r="1355" spans="1:2" x14ac:dyDescent="0.25">
      <c r="A1355">
        <f ca="1">28932.7051070105*((RANDBETWEEN(1620,2416)))</f>
        <v>55261466.75439015</v>
      </c>
      <c r="B1355">
        <v>178568814.11475384</v>
      </c>
    </row>
    <row r="1356" spans="1:2" x14ac:dyDescent="0.25">
      <c r="A1356">
        <f ca="1">26927.9517195195*((RANDBETWEEN(1620,2416)))</f>
        <v>61288018.11362645</v>
      </c>
      <c r="B1356">
        <v>161128776.0765155</v>
      </c>
    </row>
    <row r="1357" spans="1:2" x14ac:dyDescent="0.25">
      <c r="A1357">
        <f ca="1">27263.845381848*((RANDBETWEEN(1620,2416)))</f>
        <v>57063228.384207763</v>
      </c>
      <c r="B1357">
        <v>154333448.69052958</v>
      </c>
    </row>
    <row r="1358" spans="1:2" x14ac:dyDescent="0.25">
      <c r="A1358">
        <f ca="1">26061.7379180033*((RANDBETWEEN(1620,2416)))</f>
        <v>56006674.78578902</v>
      </c>
      <c r="B1358">
        <v>147695826.71166861</v>
      </c>
    </row>
    <row r="1359" spans="1:2" x14ac:dyDescent="0.25">
      <c r="A1359">
        <f ca="1">26493.1801295724*((RANDBETWEEN(1620,2416)))</f>
        <v>61623136.981385358</v>
      </c>
      <c r="B1359">
        <v>196031511.71938083</v>
      </c>
    </row>
    <row r="1360" spans="1:2" x14ac:dyDescent="0.25">
      <c r="A1360">
        <f ca="1">31453.0812748482*((RANDBETWEEN(1620,2416)))</f>
        <v>73285679.370396286</v>
      </c>
      <c r="B1360">
        <v>169929607.23081264</v>
      </c>
    </row>
    <row r="1361" spans="1:2" x14ac:dyDescent="0.25">
      <c r="A1361">
        <f ca="1">27549.4818669805*((RANDBETWEEN(1620,2416)))</f>
        <v>59121188.086540245</v>
      </c>
      <c r="B1361">
        <v>155462079.07433578</v>
      </c>
    </row>
    <row r="1362" spans="1:2" x14ac:dyDescent="0.25">
      <c r="A1362">
        <f ca="1">28668.7280899557*((RANDBETWEEN(1620,2416)))</f>
        <v>58914236.224858917</v>
      </c>
      <c r="B1362">
        <v>177859679.27859384</v>
      </c>
    </row>
    <row r="1363" spans="1:2" x14ac:dyDescent="0.25">
      <c r="A1363">
        <f ca="1">25297.2761232243*((RANDBETWEEN(1620,2416)))</f>
        <v>48494878.328220986</v>
      </c>
      <c r="B1363">
        <v>174666533.70785654</v>
      </c>
    </row>
    <row r="1364" spans="1:2" x14ac:dyDescent="0.25">
      <c r="A1364">
        <f ca="1">26794.1108196823*((RANDBETWEEN(1620,2416)))</f>
        <v>61599660.774449654</v>
      </c>
      <c r="B1364">
        <v>196098035.89638877</v>
      </c>
    </row>
    <row r="1365" spans="1:2" x14ac:dyDescent="0.25">
      <c r="A1365">
        <f ca="1">28100.0225085675*((RANDBETWEEN(1620,2416)))</f>
        <v>67102853.750459164</v>
      </c>
      <c r="B1365">
        <v>197898897.21759692</v>
      </c>
    </row>
    <row r="1366" spans="1:2" x14ac:dyDescent="0.25">
      <c r="A1366">
        <f ca="1">32554.093322358*((RANDBETWEEN(1620,2416)))</f>
        <v>62243426.432348564</v>
      </c>
      <c r="B1366">
        <v>162003293.09587991</v>
      </c>
    </row>
    <row r="1367" spans="1:2" x14ac:dyDescent="0.25">
      <c r="A1367">
        <f ca="1">28030.8395766973*((RANDBETWEEN(1620,2416)))</f>
        <v>58444300.51741381</v>
      </c>
      <c r="B1367">
        <v>182902661.66113335</v>
      </c>
    </row>
    <row r="1368" spans="1:2" x14ac:dyDescent="0.25">
      <c r="A1368">
        <f ca="1">26243.8548559301*((RANDBETWEEN(1620,2416)))</f>
        <v>51647906.356470376</v>
      </c>
      <c r="B1368">
        <v>158976769.22525012</v>
      </c>
    </row>
    <row r="1369" spans="1:2" x14ac:dyDescent="0.25">
      <c r="A1369">
        <f ca="1">25506.1244778402*((RANDBETWEEN(1620,2416)))</f>
        <v>57516310.697529696</v>
      </c>
      <c r="B1369">
        <v>147765645.93467355</v>
      </c>
    </row>
    <row r="1370" spans="1:2" x14ac:dyDescent="0.25">
      <c r="A1370">
        <f ca="1">26969.6769488769*((RANDBETWEEN(1620,2416)))</f>
        <v>50298447.509655401</v>
      </c>
      <c r="B1370">
        <v>143247302.95957616</v>
      </c>
    </row>
    <row r="1371" spans="1:2" x14ac:dyDescent="0.25">
      <c r="A1371">
        <f ca="1">29340.063391695*((RANDBETWEEN(1620,2416)))</f>
        <v>56303581.648662724</v>
      </c>
      <c r="B1371">
        <v>179412717.03122061</v>
      </c>
    </row>
    <row r="1372" spans="1:2" x14ac:dyDescent="0.25">
      <c r="A1372">
        <f ca="1">27150.6399076022*((RANDBETWEEN(1620,2416)))</f>
        <v>56880590.606426634</v>
      </c>
      <c r="B1372">
        <v>145806092.53118896</v>
      </c>
    </row>
    <row r="1373" spans="1:2" x14ac:dyDescent="0.25">
      <c r="A1373">
        <f ca="1">25905.6507120057*((RANDBETWEEN(1620,2416)))</f>
        <v>45101737.889601864</v>
      </c>
      <c r="B1373">
        <v>162051467.54703727</v>
      </c>
    </row>
    <row r="1374" spans="1:2" x14ac:dyDescent="0.25">
      <c r="A1374">
        <f ca="1">27855.171514252*((RANDBETWEEN(1620,2416)))</f>
        <v>46963819.173028812</v>
      </c>
      <c r="B1374">
        <v>203120794.5452154</v>
      </c>
    </row>
    <row r="1375" spans="1:2" x14ac:dyDescent="0.25">
      <c r="A1375">
        <f ca="1">29333.7652394544*((RANDBETWEEN(1620,2416)))</f>
        <v>52214102.126228817</v>
      </c>
      <c r="B1375">
        <v>160333952.31664056</v>
      </c>
    </row>
    <row r="1376" spans="1:2" x14ac:dyDescent="0.25">
      <c r="A1376">
        <f ca="1">28111.1697549408*((RANDBETWEEN(1620,2416)))</f>
        <v>49082102.392126627</v>
      </c>
      <c r="B1376">
        <v>151104363.86391765</v>
      </c>
    </row>
    <row r="1377" spans="1:2" x14ac:dyDescent="0.25">
      <c r="A1377">
        <f ca="1">27085.830214446*((RANDBETWEEN(1620,2416)))</f>
        <v>48294035.272357188</v>
      </c>
      <c r="B1377">
        <v>145822242.60331851</v>
      </c>
    </row>
    <row r="1378" spans="1:2" x14ac:dyDescent="0.25">
      <c r="A1378">
        <f ca="1">26741.3760774474*((RANDBETWEEN(1620,2416)))</f>
        <v>51049286.931847177</v>
      </c>
      <c r="B1378">
        <v>163807538.21672058</v>
      </c>
    </row>
    <row r="1379" spans="1:2" x14ac:dyDescent="0.25">
      <c r="A1379">
        <f ca="1">27153.3492197265*((RANDBETWEEN(1620,2416)))</f>
        <v>64624971.14294903</v>
      </c>
      <c r="B1379">
        <v>190022236.95128226</v>
      </c>
    </row>
    <row r="1380" spans="1:2" x14ac:dyDescent="0.25">
      <c r="A1380">
        <f ca="1">27922.050791879*((RANDBETWEEN(1620,2416)))</f>
        <v>66398636.783088334</v>
      </c>
      <c r="B1380">
        <v>159463072.0108031</v>
      </c>
    </row>
    <row r="1381" spans="1:2" x14ac:dyDescent="0.25">
      <c r="A1381">
        <f ca="1">26606.1982847029*((RANDBETWEEN(1620,2416)))</f>
        <v>51642630.870608307</v>
      </c>
      <c r="B1381">
        <v>143659723.48152488</v>
      </c>
    </row>
    <row r="1382" spans="1:2" x14ac:dyDescent="0.25">
      <c r="A1382">
        <f ca="1">30624.5539182867*((RANDBETWEEN(1620,2416)))</f>
        <v>60973486.8513088</v>
      </c>
      <c r="B1382">
        <v>177234062.07860997</v>
      </c>
    </row>
    <row r="1383" spans="1:2" x14ac:dyDescent="0.25">
      <c r="A1383">
        <f ca="1">26366.7935642402*((RANDBETWEEN(1620,2416)))</f>
        <v>47011992.92504029</v>
      </c>
      <c r="B1383">
        <v>158850424.96324748</v>
      </c>
    </row>
    <row r="1384" spans="1:2" x14ac:dyDescent="0.25">
      <c r="A1384">
        <f ca="1">26089.2231439809*((RANDBETWEEN(1620,2416)))</f>
        <v>51291412.701066382</v>
      </c>
      <c r="B1384">
        <v>155883059.45388803</v>
      </c>
    </row>
    <row r="1385" spans="1:2" x14ac:dyDescent="0.25">
      <c r="A1385">
        <f ca="1">30231.215647803*((RANDBETWEEN(1620,2416)))</f>
        <v>52995321.03059873</v>
      </c>
      <c r="B1385">
        <v>169202843.75744563</v>
      </c>
    </row>
    <row r="1386" spans="1:2" x14ac:dyDescent="0.25">
      <c r="A1386">
        <f ca="1">29079.6937446007*((RANDBETWEEN(1620,2416)))</f>
        <v>66272622.043944977</v>
      </c>
      <c r="B1386">
        <v>172826538.3896125</v>
      </c>
    </row>
    <row r="1387" spans="1:2" x14ac:dyDescent="0.25">
      <c r="A1387">
        <f ca="1">31323.3417388628*((RANDBETWEEN(1620,2416)))</f>
        <v>67439154.763771713</v>
      </c>
      <c r="B1387">
        <v>159612710.54918334</v>
      </c>
    </row>
    <row r="1388" spans="1:2" x14ac:dyDescent="0.25">
      <c r="A1388">
        <f ca="1">26672.596703935*((RANDBETWEEN(1620,2416)))</f>
        <v>47583912.519819953</v>
      </c>
      <c r="B1388">
        <v>166991122.77591836</v>
      </c>
    </row>
    <row r="1389" spans="1:2" x14ac:dyDescent="0.25">
      <c r="A1389">
        <f ca="1">25841.9419739661*((RANDBETWEEN(1620,2416)))</f>
        <v>41967313.765720949</v>
      </c>
      <c r="B1389">
        <v>149874022.38152471</v>
      </c>
    </row>
    <row r="1390" spans="1:2" x14ac:dyDescent="0.25">
      <c r="A1390">
        <f ca="1">28898.2107060698*((RANDBETWEEN(1620,2416)))</f>
        <v>53143809.488462403</v>
      </c>
      <c r="B1390">
        <v>147881778.60739416</v>
      </c>
    </row>
    <row r="1391" spans="1:2" x14ac:dyDescent="0.25">
      <c r="A1391">
        <f ca="1">26244.418016723*((RANDBETWEEN(1620,2416)))</f>
        <v>46872530.577867277</v>
      </c>
      <c r="B1391">
        <v>160276988.996131</v>
      </c>
    </row>
    <row r="1392" spans="1:2" x14ac:dyDescent="0.25">
      <c r="A1392">
        <f ca="1">26028.321269443*((RANDBETWEEN(1620,2416)))</f>
        <v>48725017.416397348</v>
      </c>
      <c r="B1392">
        <v>203063878.31480861</v>
      </c>
    </row>
    <row r="1393" spans="1:2" x14ac:dyDescent="0.25">
      <c r="A1393">
        <f ca="1">33461.6497753819*((RANDBETWEEN(1620,2416)))</f>
        <v>56985189.567475334</v>
      </c>
      <c r="B1393">
        <v>192301775.13678211</v>
      </c>
    </row>
    <row r="1394" spans="1:2" x14ac:dyDescent="0.25">
      <c r="A1394">
        <f ca="1">26479.9533821874*((RANDBETWEEN(1620,2416)))</f>
        <v>59765254.783597022</v>
      </c>
      <c r="B1394">
        <v>168022145.87176657</v>
      </c>
    </row>
    <row r="1395" spans="1:2" x14ac:dyDescent="0.25">
      <c r="A1395">
        <f ca="1">26587.5794054009*((RANDBETWEEN(1620,2416)))</f>
        <v>63757015.414151415</v>
      </c>
      <c r="B1395">
        <v>169878145.90528381</v>
      </c>
    </row>
    <row r="1396" spans="1:2" x14ac:dyDescent="0.25">
      <c r="A1396">
        <f ca="1">30978.8947048111*((RANDBETWEEN(1620,2416)))</f>
        <v>73079212.608649418</v>
      </c>
      <c r="B1396">
        <v>202407818.18499094</v>
      </c>
    </row>
    <row r="1397" spans="1:2" x14ac:dyDescent="0.25">
      <c r="A1397">
        <f ca="1">27205.1869417439*((RANDBETWEEN(1620,2416)))</f>
        <v>46112791.866255991</v>
      </c>
      <c r="B1397">
        <v>197950572.73572487</v>
      </c>
    </row>
    <row r="1398" spans="1:2" x14ac:dyDescent="0.25">
      <c r="A1398">
        <f ca="1">26658.777067351*((RANDBETWEEN(1620,2416)))</f>
        <v>54970398.312877834</v>
      </c>
      <c r="B1398">
        <v>182239704.0141497</v>
      </c>
    </row>
    <row r="1399" spans="1:2" x14ac:dyDescent="0.25">
      <c r="A1399">
        <f ca="1">27220.3213815773*((RANDBETWEEN(1620,2416)))</f>
        <v>63015043.998351462</v>
      </c>
      <c r="B1399">
        <v>165490753.55145735</v>
      </c>
    </row>
    <row r="1400" spans="1:2" x14ac:dyDescent="0.25">
      <c r="A1400">
        <f ca="1">27812.609651876*((RANDBETWEEN(1620,2416)))</f>
        <v>62633996.93602474</v>
      </c>
      <c r="B1400">
        <v>144468167.56712484</v>
      </c>
    </row>
    <row r="1401" spans="1:2" x14ac:dyDescent="0.25">
      <c r="A1401">
        <f ca="1">25824.0670371444*((RANDBETWEEN(1620,2416)))</f>
        <v>49866273.448725887</v>
      </c>
      <c r="B1401">
        <v>181597525.45674539</v>
      </c>
    </row>
    <row r="1402" spans="1:2" x14ac:dyDescent="0.25">
      <c r="A1402">
        <f ca="1">26536.008113005*((RANDBETWEEN(1620,2416)))</f>
        <v>55433720.948067382</v>
      </c>
      <c r="B1402">
        <v>160615431.08542192</v>
      </c>
    </row>
    <row r="1403" spans="1:2" x14ac:dyDescent="0.25">
      <c r="A1403">
        <f ca="1">27036.9682749018*((RANDBETWEEN(1620,2416)))</f>
        <v>50315797.959592268</v>
      </c>
      <c r="B1403">
        <v>152624397.09097704</v>
      </c>
    </row>
    <row r="1404" spans="1:2" x14ac:dyDescent="0.25">
      <c r="A1404">
        <f ca="1">28820.7478902085*((RANDBETWEEN(1620,2416)))</f>
        <v>60033617.85530439</v>
      </c>
      <c r="B1404">
        <v>167890084.86494383</v>
      </c>
    </row>
    <row r="1405" spans="1:2" x14ac:dyDescent="0.25">
      <c r="A1405">
        <f ca="1">25977.1798259661*((RANDBETWEEN(1620,2416)))</f>
        <v>52499880.428277411</v>
      </c>
      <c r="B1405">
        <v>143045883.78748474</v>
      </c>
    </row>
    <row r="1406" spans="1:2" x14ac:dyDescent="0.25">
      <c r="A1406">
        <f ca="1">26246.0577509731*((RANDBETWEEN(1620,2416)))</f>
        <v>53568203.86973615</v>
      </c>
      <c r="B1406">
        <v>144025136.5024839</v>
      </c>
    </row>
    <row r="1407" spans="1:2" x14ac:dyDescent="0.25">
      <c r="A1407">
        <f ca="1">30752.7471607561*((RANDBETWEEN(1620,2416)))</f>
        <v>62827862.449424617</v>
      </c>
      <c r="B1407">
        <v>167868575.03836948</v>
      </c>
    </row>
    <row r="1408" spans="1:2" x14ac:dyDescent="0.25">
      <c r="A1408">
        <f ca="1">26826.8438702117*((RANDBETWEEN(1620,2416)))</f>
        <v>44264292.385849327</v>
      </c>
      <c r="B1408">
        <v>178140687.64834484</v>
      </c>
    </row>
    <row r="1409" spans="1:2" x14ac:dyDescent="0.25">
      <c r="A1409">
        <f ca="1">28433.5640047248*((RANDBETWEEN(1620,2416)))</f>
        <v>53625701.712910973</v>
      </c>
      <c r="B1409">
        <v>182419063.84650409</v>
      </c>
    </row>
    <row r="1410" spans="1:2" x14ac:dyDescent="0.25">
      <c r="A1410">
        <f ca="1">26022.142369102*((RANDBETWEEN(1620,2416)))</f>
        <v>58497776.045741357</v>
      </c>
      <c r="B1410">
        <v>148569747.42862636</v>
      </c>
    </row>
    <row r="1411" spans="1:2" x14ac:dyDescent="0.25">
      <c r="A1411">
        <f ca="1">25823.1334291273*((RANDBETWEEN(1620,2416)))</f>
        <v>51646266.858254611</v>
      </c>
      <c r="B1411">
        <v>148643261.03398943</v>
      </c>
    </row>
    <row r="1412" spans="1:2" x14ac:dyDescent="0.25">
      <c r="A1412">
        <f ca="1">27745.5221680407*((RANDBETWEEN(1620,2416)))</f>
        <v>66256306.937281244</v>
      </c>
      <c r="B1412">
        <v>199097992.0012264</v>
      </c>
    </row>
    <row r="1413" spans="1:2" x14ac:dyDescent="0.25">
      <c r="A1413">
        <f ca="1">25182.6555708959*((RANDBETWEEN(1620,2416)))</f>
        <v>50289763.175079115</v>
      </c>
      <c r="B1413">
        <v>143401578.52603826</v>
      </c>
    </row>
    <row r="1414" spans="1:2" x14ac:dyDescent="0.25">
      <c r="A1414">
        <f ca="1">27372.9936641378*((RANDBETWEEN(1620,2416)))</f>
        <v>52255044.904839002</v>
      </c>
      <c r="B1414">
        <v>151119674.99351835</v>
      </c>
    </row>
    <row r="1415" spans="1:2" x14ac:dyDescent="0.25">
      <c r="A1415">
        <f ca="1">32297.0026141283*((RANDBETWEEN(1620,2416)))</f>
        <v>63592798.147218667</v>
      </c>
      <c r="B1415">
        <v>172681923.61575815</v>
      </c>
    </row>
    <row r="1416" spans="1:2" x14ac:dyDescent="0.25">
      <c r="A1416">
        <f ca="1">27655.2141335388*((RANDBETWEEN(1620,2416)))</f>
        <v>65957685.708489977</v>
      </c>
      <c r="B1416">
        <v>151559278.32357904</v>
      </c>
    </row>
    <row r="1417" spans="1:2" x14ac:dyDescent="0.25">
      <c r="A1417">
        <f ca="1">27567.3756540412*((RANDBETWEEN(1620,2416)))</f>
        <v>48270474.770226188</v>
      </c>
      <c r="B1417">
        <v>172003703.01175538</v>
      </c>
    </row>
    <row r="1418" spans="1:2" x14ac:dyDescent="0.25">
      <c r="A1418">
        <f ca="1">28612.0106913449*((RANDBETWEEN(1620,2416)))</f>
        <v>63661723.788242489</v>
      </c>
      <c r="B1418">
        <v>197805987.00767189</v>
      </c>
    </row>
    <row r="1419" spans="1:2" x14ac:dyDescent="0.25">
      <c r="A1419">
        <f ca="1">27604.9077091242*((RANDBETWEEN(1620,2416)))</f>
        <v>57280183.496432684</v>
      </c>
      <c r="B1419">
        <v>184144353.77343199</v>
      </c>
    </row>
    <row r="1420" spans="1:2" x14ac:dyDescent="0.25">
      <c r="A1420">
        <f ca="1">27463.1403199096*((RANDBETWEEN(1620,2416)))</f>
        <v>46138075.737448066</v>
      </c>
      <c r="B1420">
        <v>156156250.30015159</v>
      </c>
    </row>
    <row r="1421" spans="1:2" x14ac:dyDescent="0.25">
      <c r="A1421">
        <f ca="1">27950.606728084*((RANDBETWEEN(1620,2416)))</f>
        <v>51457066.986402728</v>
      </c>
      <c r="B1421">
        <v>155639463.1347498</v>
      </c>
    </row>
    <row r="1422" spans="1:2" x14ac:dyDescent="0.25">
      <c r="A1422">
        <f ca="1">27098.919794518*((RANDBETWEEN(1620,2416)))</f>
        <v>56636742.370542623</v>
      </c>
      <c r="B1422">
        <v>203426842.76437759</v>
      </c>
    </row>
    <row r="1423" spans="1:2" x14ac:dyDescent="0.25">
      <c r="A1423">
        <f ca="1">27228.0958094249*((RANDBETWEEN(1620,2416)))</f>
        <v>62896901.319771461</v>
      </c>
      <c r="B1423">
        <v>178694231.11089101</v>
      </c>
    </row>
    <row r="1424" spans="1:2" x14ac:dyDescent="0.25">
      <c r="A1424">
        <f ca="1">27980.3645536419*((RANDBETWEEN(1620,2416)))</f>
        <v>67124894.56418696</v>
      </c>
      <c r="B1424">
        <v>186135054.60921195</v>
      </c>
    </row>
    <row r="1425" spans="1:2" x14ac:dyDescent="0.25">
      <c r="A1425">
        <f ca="1">26959.3758514543*((RANDBETWEEN(1620,2416)))</f>
        <v>49524373.439121619</v>
      </c>
      <c r="B1425">
        <v>150724145.06200671</v>
      </c>
    </row>
    <row r="1426" spans="1:2" x14ac:dyDescent="0.25">
      <c r="A1426">
        <f ca="1">27523.4177212028*((RANDBETWEEN(1620,2416)))</f>
        <v>64239656.961287364</v>
      </c>
      <c r="B1426">
        <v>154850569.96592981</v>
      </c>
    </row>
    <row r="1427" spans="1:2" x14ac:dyDescent="0.25">
      <c r="A1427">
        <f ca="1">27142.97554584*((RANDBETWEEN(1620,2416)))</f>
        <v>60013118.931852281</v>
      </c>
      <c r="B1427">
        <v>198753652.87886727</v>
      </c>
    </row>
    <row r="1428" spans="1:2" x14ac:dyDescent="0.25">
      <c r="A1428">
        <f ca="1">26134.8333489606*((RANDBETWEEN(1620,2416)))</f>
        <v>42965666.025691159</v>
      </c>
      <c r="B1428">
        <v>153590093.32749778</v>
      </c>
    </row>
    <row r="1429" spans="1:2" x14ac:dyDescent="0.25">
      <c r="A1429">
        <f ca="1">27061.6321198026*((RANDBETWEEN(1620,2416)))</f>
        <v>52607812.840896256</v>
      </c>
      <c r="B1429">
        <v>183617562.27548984</v>
      </c>
    </row>
    <row r="1430" spans="1:2" x14ac:dyDescent="0.25">
      <c r="A1430">
        <f ca="1">26220.9870628729*((RANDBETWEEN(1620,2416)))</f>
        <v>57056867.848811537</v>
      </c>
      <c r="B1430">
        <v>152763041.1699878</v>
      </c>
    </row>
    <row r="1431" spans="1:2" x14ac:dyDescent="0.25">
      <c r="A1431">
        <f ca="1">26485.5858071875*((RANDBETWEEN(1620,2416)))</f>
        <v>49316160.772983074</v>
      </c>
      <c r="B1431">
        <v>143102891.0558601</v>
      </c>
    </row>
    <row r="1432" spans="1:2" x14ac:dyDescent="0.25">
      <c r="A1432">
        <f ca="1">27392.9938371837*((RANDBETWEEN(1620,2416)))</f>
        <v>60209800.454129823</v>
      </c>
      <c r="B1432">
        <v>161249852.42083102</v>
      </c>
    </row>
    <row r="1433" spans="1:2" x14ac:dyDescent="0.25">
      <c r="A1433">
        <f ca="1">27073.5399222661*((RANDBETWEEN(1620,2416)))</f>
        <v>49788239.917047374</v>
      </c>
      <c r="B1433">
        <v>188869383.22407281</v>
      </c>
    </row>
    <row r="1434" spans="1:2" x14ac:dyDescent="0.25">
      <c r="A1434">
        <f ca="1">27198.8859273139*((RANDBETWEEN(1620,2416)))</f>
        <v>44551775.14894022</v>
      </c>
      <c r="B1434">
        <v>150581322.39571017</v>
      </c>
    </row>
    <row r="1435" spans="1:2" x14ac:dyDescent="0.25">
      <c r="A1435">
        <f ca="1">34151.7895229121*((RANDBETWEEN(1620,2416)))</f>
        <v>77012285.374166846</v>
      </c>
      <c r="B1435">
        <v>152208055.08654481</v>
      </c>
    </row>
    <row r="1436" spans="1:2" x14ac:dyDescent="0.25">
      <c r="A1436">
        <f ca="1">26317.584063924*((RANDBETWEEN(1620,2416)))</f>
        <v>54135270.419491589</v>
      </c>
      <c r="B1436">
        <v>147526948.9076592</v>
      </c>
    </row>
    <row r="1437" spans="1:2" x14ac:dyDescent="0.25">
      <c r="A1437">
        <f ca="1">28282.4341387435*((RANDBETWEEN(1620,2416)))</f>
        <v>51474030.132513113</v>
      </c>
      <c r="B1437">
        <v>168870357.7244257</v>
      </c>
    </row>
    <row r="1438" spans="1:2" x14ac:dyDescent="0.25">
      <c r="A1438">
        <f ca="1">29486.6703968424*((RANDBETWEEN(1620,2416)))</f>
        <v>70620575.600437537</v>
      </c>
      <c r="B1438">
        <v>179409883.5854789</v>
      </c>
    </row>
    <row r="1439" spans="1:2" x14ac:dyDescent="0.25">
      <c r="A1439">
        <f ca="1">27557.391774609*((RANDBETWEEN(1620,2416)))</f>
        <v>61535655.832701914</v>
      </c>
      <c r="B1439">
        <v>151766235.34152806</v>
      </c>
    </row>
    <row r="1440" spans="1:2" x14ac:dyDescent="0.25">
      <c r="A1440">
        <f ca="1">28109.5113346054*((RANDBETWEEN(1620,2416)))</f>
        <v>51496624.764997013</v>
      </c>
      <c r="B1440">
        <v>144599328.26494241</v>
      </c>
    </row>
    <row r="1441" spans="1:2" x14ac:dyDescent="0.25">
      <c r="A1441">
        <f ca="1">26863.2638889157*((RANDBETWEEN(1620,2416)))</f>
        <v>51120791.180606656</v>
      </c>
      <c r="B1441">
        <v>169480665.36498082</v>
      </c>
    </row>
    <row r="1442" spans="1:2" x14ac:dyDescent="0.25">
      <c r="A1442">
        <f ca="1">26490.7473081175*((RANDBETWEEN(1620,2416)))</f>
        <v>60849246.56674578</v>
      </c>
      <c r="B1442">
        <v>156685012.7336089</v>
      </c>
    </row>
    <row r="1443" spans="1:2" x14ac:dyDescent="0.25">
      <c r="A1443">
        <f ca="1">32675.4541554157*((RANDBETWEEN(1620,2416)))</f>
        <v>53653095.723192587</v>
      </c>
      <c r="B1443">
        <v>183807002.88130382</v>
      </c>
    </row>
    <row r="1444" spans="1:2" x14ac:dyDescent="0.25">
      <c r="A1444">
        <f ca="1">27077.394094975*((RANDBETWEEN(1620,2416)))</f>
        <v>53315388.973005705</v>
      </c>
      <c r="B1444">
        <v>150514773.70926923</v>
      </c>
    </row>
    <row r="1445" spans="1:2" x14ac:dyDescent="0.25">
      <c r="A1445">
        <f ca="1">27321.3706136881*((RANDBETWEEN(1620,2416)))</f>
        <v>60352907.685636975</v>
      </c>
      <c r="B1445">
        <v>179728676.89712292</v>
      </c>
    </row>
    <row r="1446" spans="1:2" x14ac:dyDescent="0.25">
      <c r="A1446">
        <f ca="1">26925.4105623019*((RANDBETWEEN(1620,2416)))</f>
        <v>61766891.829920575</v>
      </c>
      <c r="B1446">
        <v>151451191.49451312</v>
      </c>
    </row>
    <row r="1447" spans="1:2" x14ac:dyDescent="0.25">
      <c r="A1447">
        <f ca="1">26264.1168157125*((RANDBETWEEN(1620,2416)))</f>
        <v>43939867.432687081</v>
      </c>
      <c r="B1447">
        <v>143225666.4401978</v>
      </c>
    </row>
    <row r="1448" spans="1:2" x14ac:dyDescent="0.25">
      <c r="A1448">
        <f ca="1">27724.1096129233*((RANDBETWEEN(1620,2416)))</f>
        <v>52093601.962682962</v>
      </c>
      <c r="B1448">
        <v>162782868.67130962</v>
      </c>
    </row>
    <row r="1449" spans="1:2" x14ac:dyDescent="0.25">
      <c r="A1449">
        <f ca="1">28148.7299418367*((RANDBETWEEN(1620,2416)))</f>
        <v>56973029.402277522</v>
      </c>
      <c r="B1449">
        <v>165224814.75058734</v>
      </c>
    </row>
    <row r="1450" spans="1:2" x14ac:dyDescent="0.25">
      <c r="A1450">
        <f ca="1">29723.8690500162*((RANDBETWEEN(1620,2416)))</f>
        <v>59863872.266732581</v>
      </c>
      <c r="B1450">
        <v>180906088.81593034</v>
      </c>
    </row>
    <row r="1451" spans="1:2" x14ac:dyDescent="0.25">
      <c r="A1451">
        <f ca="1">27564.9570020666*((RANDBETWEEN(1620,2416)))</f>
        <v>65163558.352885522</v>
      </c>
      <c r="B1451">
        <v>154797573.95366323</v>
      </c>
    </row>
    <row r="1452" spans="1:2" x14ac:dyDescent="0.25">
      <c r="A1452">
        <f ca="1">29459.6405659172*((RANDBETWEEN(1620,2416)))</f>
        <v>62483897.640310369</v>
      </c>
      <c r="B1452">
        <v>165353392.63597935</v>
      </c>
    </row>
    <row r="1453" spans="1:2" x14ac:dyDescent="0.25">
      <c r="A1453">
        <f ca="1">27565.7691793049*((RANDBETWEEN(1620,2416)))</f>
        <v>63291006.035684124</v>
      </c>
      <c r="B1453">
        <v>200606974.44124424</v>
      </c>
    </row>
    <row r="1454" spans="1:2" x14ac:dyDescent="0.25">
      <c r="A1454">
        <f ca="1">30755.931372611*((RANDBETWEEN(1620,2416)))</f>
        <v>72368706.519753739</v>
      </c>
      <c r="B1454">
        <v>182029472.61617821</v>
      </c>
    </row>
    <row r="1455" spans="1:2" x14ac:dyDescent="0.25">
      <c r="A1455">
        <f ca="1">26209.215897214*((RANDBETWEEN(1620,2416)))</f>
        <v>43848018.196039014</v>
      </c>
      <c r="B1455">
        <v>165850085.8222034</v>
      </c>
    </row>
    <row r="1456" spans="1:2" x14ac:dyDescent="0.25">
      <c r="A1456">
        <f ca="1">31701.0373886053*((RANDBETWEEN(1620,2416)))</f>
        <v>62989961.291158766</v>
      </c>
      <c r="B1456">
        <v>154881025.3066152</v>
      </c>
    </row>
    <row r="1457" spans="1:2" x14ac:dyDescent="0.25">
      <c r="A1457">
        <f ca="1">26146.7248637075*((RANDBETWEEN(1620,2416)))</f>
        <v>50332445.362636991</v>
      </c>
      <c r="B1457">
        <v>146650810.71033129</v>
      </c>
    </row>
    <row r="1458" spans="1:2" x14ac:dyDescent="0.25">
      <c r="A1458">
        <f ca="1">29352.6854920592*((RANDBETWEEN(1620,2416)))</f>
        <v>50633382.47380206</v>
      </c>
      <c r="B1458">
        <v>190238187.50865427</v>
      </c>
    </row>
    <row r="1459" spans="1:2" x14ac:dyDescent="0.25">
      <c r="A1459">
        <f ca="1">30255.4867167388*((RANDBETWEEN(1620,2416)))</f>
        <v>68044589.625945568</v>
      </c>
      <c r="B1459">
        <v>183964911.64884382</v>
      </c>
    </row>
    <row r="1460" spans="1:2" x14ac:dyDescent="0.25">
      <c r="A1460">
        <f ca="1">29457.3208915425*((RANDBETWEEN(1620,2416)))</f>
        <v>65896026.834380515</v>
      </c>
      <c r="B1460">
        <v>180478798.67371595</v>
      </c>
    </row>
    <row r="1461" spans="1:2" x14ac:dyDescent="0.25">
      <c r="A1461">
        <f ca="1">30098.6462118582*((RANDBETWEEN(1620,2416)))</f>
        <v>72507638.724366501</v>
      </c>
      <c r="B1461">
        <v>175861352.68671578</v>
      </c>
    </row>
    <row r="1462" spans="1:2" x14ac:dyDescent="0.25">
      <c r="A1462">
        <f ca="1">29764.764309858*((RANDBETWEEN(1620,2416)))</f>
        <v>68399428.384053737</v>
      </c>
      <c r="B1462">
        <v>166859566.52710611</v>
      </c>
    </row>
    <row r="1463" spans="1:2" x14ac:dyDescent="0.25">
      <c r="A1463">
        <f ca="1">28880.4486196836*((RANDBETWEEN(1620,2416)))</f>
        <v>49096762.653462067</v>
      </c>
      <c r="B1463">
        <v>200872877.47012571</v>
      </c>
    </row>
    <row r="1464" spans="1:2" x14ac:dyDescent="0.25">
      <c r="A1464">
        <f ca="1">28307.9299371641*((RANDBETWEEN(1620,2416)))</f>
        <v>63806074.07836777</v>
      </c>
      <c r="B1464">
        <v>191055327.241384</v>
      </c>
    </row>
    <row r="1465" spans="1:2" x14ac:dyDescent="0.25">
      <c r="A1465">
        <f ca="1">26922.6636146598*((RANDBETWEEN(1620,2416)))</f>
        <v>45903141.462994963</v>
      </c>
      <c r="B1465">
        <v>173847581.17673394</v>
      </c>
    </row>
    <row r="1466" spans="1:2" x14ac:dyDescent="0.25">
      <c r="A1466">
        <f ca="1">32967.4453012894*((RANDBETWEEN(1620,2416)))</f>
        <v>54396284.747127466</v>
      </c>
      <c r="B1466">
        <v>154411077.81261164</v>
      </c>
    </row>
    <row r="1467" spans="1:2" x14ac:dyDescent="0.25">
      <c r="A1467">
        <f ca="1">27593.4329401327*((RANDBETWEEN(1620,2416)))</f>
        <v>46964022.864105836</v>
      </c>
      <c r="B1467">
        <v>160070297.26722357</v>
      </c>
    </row>
    <row r="1468" spans="1:2" x14ac:dyDescent="0.25">
      <c r="A1468">
        <f ca="1">30660.5435831185*((RANDBETWEEN(1620,2416)))</f>
        <v>72604167.204824656</v>
      </c>
      <c r="B1468">
        <v>149236932.43217307</v>
      </c>
    </row>
    <row r="1469" spans="1:2" x14ac:dyDescent="0.25">
      <c r="A1469">
        <f ca="1">26624.5460336841*((RANDBETWEEN(1620,2416)))</f>
        <v>57136275.788286179</v>
      </c>
      <c r="B1469">
        <v>169252369.1503253</v>
      </c>
    </row>
    <row r="1470" spans="1:2" x14ac:dyDescent="0.25">
      <c r="A1470">
        <f ca="1">27401.3647993347*((RANDBETWEEN(1620,2416)))</f>
        <v>66037289.166396514</v>
      </c>
      <c r="B1470">
        <v>150738276.39776504</v>
      </c>
    </row>
    <row r="1471" spans="1:2" x14ac:dyDescent="0.25">
      <c r="A1471">
        <f ca="1">28016.832550008*((RANDBETWEEN(1620,2416)))</f>
        <v>57882776.048316561</v>
      </c>
      <c r="B1471">
        <v>155799152.62522894</v>
      </c>
    </row>
    <row r="1472" spans="1:2" x14ac:dyDescent="0.25">
      <c r="A1472">
        <f ca="1">26390.5433211621*((RANDBETWEEN(1620,2416)))</f>
        <v>45919545.378822051</v>
      </c>
      <c r="B1472">
        <v>170761860.60364205</v>
      </c>
    </row>
    <row r="1473" spans="1:2" x14ac:dyDescent="0.25">
      <c r="A1473">
        <f ca="1">28580.6994010566*((RANDBETWEEN(1620,2416)))</f>
        <v>66478706.806857578</v>
      </c>
      <c r="B1473">
        <v>156052851.1437242</v>
      </c>
    </row>
    <row r="1474" spans="1:2" x14ac:dyDescent="0.25">
      <c r="A1474">
        <f ca="1">26072.2165091752*((RANDBETWEEN(1620,2416)))</f>
        <v>56342059.876327612</v>
      </c>
      <c r="B1474">
        <v>168089542.93319696</v>
      </c>
    </row>
    <row r="1475" spans="1:2" x14ac:dyDescent="0.25">
      <c r="A1475">
        <f ca="1">25976.6634351802*((RANDBETWEEN(1620,2416)))</f>
        <v>54550993.213878356</v>
      </c>
      <c r="B1475">
        <v>154033256.64570922</v>
      </c>
    </row>
    <row r="1476" spans="1:2" x14ac:dyDescent="0.25">
      <c r="A1476">
        <f ca="1">26932.1168948636*((RANDBETWEEN(1620,2416)))</f>
        <v>62186257.910240166</v>
      </c>
      <c r="B1476">
        <v>143518332.62548533</v>
      </c>
    </row>
    <row r="1477" spans="1:2" x14ac:dyDescent="0.25">
      <c r="A1477">
        <f ca="1">26463.8750573484*((RANDBETWEEN(1620,2416)))</f>
        <v>63910258.263496436</v>
      </c>
      <c r="B1477">
        <v>157484984.76267797</v>
      </c>
    </row>
    <row r="1478" spans="1:2" x14ac:dyDescent="0.25">
      <c r="A1478">
        <f ca="1">30921.1539292507*((RANDBETWEEN(1620,2416)))</f>
        <v>50587007.828254171</v>
      </c>
      <c r="B1478">
        <v>177638040.31144106</v>
      </c>
    </row>
    <row r="1479" spans="1:2" x14ac:dyDescent="0.25">
      <c r="A1479">
        <f ca="1">25963.6880686816*((RANDBETWEEN(1620,2416)))</f>
        <v>46916384.340107597</v>
      </c>
      <c r="B1479">
        <v>156312292.76860088</v>
      </c>
    </row>
    <row r="1480" spans="1:2" x14ac:dyDescent="0.25">
      <c r="A1480">
        <f ca="1">29588.5918131791*((RANDBETWEEN(1620,2416)))</f>
        <v>68468001.455696389</v>
      </c>
      <c r="B1480">
        <v>164915837.91682085</v>
      </c>
    </row>
    <row r="1481" spans="1:2" x14ac:dyDescent="0.25">
      <c r="A1481">
        <f ca="1">28594.6252800975*((RANDBETWEEN(1620,2416)))</f>
        <v>49297133.982888073</v>
      </c>
      <c r="B1481">
        <v>189474612.56940833</v>
      </c>
    </row>
    <row r="1482" spans="1:2" x14ac:dyDescent="0.25">
      <c r="A1482">
        <f ca="1">31733.7572157731*((RANDBETWEEN(1620,2416)))</f>
        <v>55534075.127602898</v>
      </c>
      <c r="B1482">
        <v>153005067.9852224</v>
      </c>
    </row>
    <row r="1483" spans="1:2" x14ac:dyDescent="0.25">
      <c r="A1483">
        <f ca="1">28104.6254548852*((RANDBETWEEN(1620,2416)))</f>
        <v>66860903.957171962</v>
      </c>
      <c r="B1483">
        <v>191265847.81556821</v>
      </c>
    </row>
    <row r="1484" spans="1:2" x14ac:dyDescent="0.25">
      <c r="A1484">
        <f ca="1">25764.2836570602*((RANDBETWEEN(1620,2416)))</f>
        <v>42949060.856319368</v>
      </c>
      <c r="B1484">
        <v>158095954.40341473</v>
      </c>
    </row>
    <row r="1485" spans="1:2" x14ac:dyDescent="0.25">
      <c r="A1485">
        <f ca="1">29605.8967154148*((RANDBETWEEN(1620,2416)))</f>
        <v>65547455.327928461</v>
      </c>
      <c r="B1485">
        <v>199750749.19452098</v>
      </c>
    </row>
    <row r="1486" spans="1:2" x14ac:dyDescent="0.25">
      <c r="A1486">
        <f ca="1">28796.3569621593*((RANDBETWEEN(1620,2416)))</f>
        <v>62228927.395226143</v>
      </c>
      <c r="B1486">
        <v>147159090.72952223</v>
      </c>
    </row>
    <row r="1487" spans="1:2" x14ac:dyDescent="0.25">
      <c r="A1487">
        <f ca="1">27688.7641287211*((RANDBETWEEN(1620,2416)))</f>
        <v>46157169.802578017</v>
      </c>
      <c r="B1487">
        <v>185750815.87903816</v>
      </c>
    </row>
    <row r="1488" spans="1:2" x14ac:dyDescent="0.25">
      <c r="A1488">
        <f ca="1">28411.8950862683*((RANDBETWEEN(1620,2416)))</f>
        <v>55232724.047705635</v>
      </c>
      <c r="B1488">
        <v>164923300.02277565</v>
      </c>
    </row>
    <row r="1489" spans="1:2" x14ac:dyDescent="0.25">
      <c r="A1489">
        <f ca="1">29396.0917010206*((RANDBETWEEN(1620,2416)))</f>
        <v>51207991.743177935</v>
      </c>
      <c r="B1489">
        <v>156371656.90316343</v>
      </c>
    </row>
    <row r="1490" spans="1:2" x14ac:dyDescent="0.25">
      <c r="A1490">
        <f ca="1">31198.1391128404*((RANDBETWEEN(1620,2416)))</f>
        <v>60368399.183346137</v>
      </c>
      <c r="B1490">
        <v>196019096.91738242</v>
      </c>
    </row>
    <row r="1491" spans="1:2" x14ac:dyDescent="0.25">
      <c r="A1491">
        <f ca="1">27880.3622502441*((RANDBETWEEN(1620,2416)))</f>
        <v>54757031.459479466</v>
      </c>
      <c r="B1491">
        <v>159475976.76093313</v>
      </c>
    </row>
    <row r="1492" spans="1:2" x14ac:dyDescent="0.25">
      <c r="A1492">
        <f ca="1">25621.9372701088*((RANDBETWEEN(1620,2416)))</f>
        <v>53396117.270906679</v>
      </c>
      <c r="B1492">
        <v>198776194.51858014</v>
      </c>
    </row>
    <row r="1493" spans="1:2" x14ac:dyDescent="0.25">
      <c r="A1493">
        <f ca="1">26956.3353447041*((RANDBETWEEN(1620,2416)))</f>
        <v>49330093.680808567</v>
      </c>
      <c r="B1493">
        <v>160237465.92256266</v>
      </c>
    </row>
    <row r="1494" spans="1:2" x14ac:dyDescent="0.25">
      <c r="A1494">
        <f ca="1">27978.059948763*((RANDBETWEEN(1620,2416)))</f>
        <v>49297341.629720345</v>
      </c>
      <c r="B1494">
        <v>144525623.28450891</v>
      </c>
    </row>
    <row r="1495" spans="1:2" x14ac:dyDescent="0.25">
      <c r="A1495">
        <f ca="1">26366.9422586255*((RANDBETWEEN(1620,2416)))</f>
        <v>57638135.777355239</v>
      </c>
      <c r="B1495">
        <v>194617541.31518093</v>
      </c>
    </row>
    <row r="1496" spans="1:2" x14ac:dyDescent="0.25">
      <c r="A1496">
        <f ca="1">28002.6059773341*((RANDBETWEEN(1620,2416)))</f>
        <v>56593266.68019224</v>
      </c>
      <c r="B1496">
        <v>176249464.67664182</v>
      </c>
    </row>
    <row r="1497" spans="1:2" x14ac:dyDescent="0.25">
      <c r="A1497">
        <f ca="1">26640.1386561767*((RANDBETWEEN(1620,2416)))</f>
        <v>47898969.303805709</v>
      </c>
      <c r="B1497">
        <v>167607886.66697842</v>
      </c>
    </row>
    <row r="1498" spans="1:2" x14ac:dyDescent="0.25">
      <c r="A1498">
        <f ca="1">26363.6540872616*((RANDBETWEEN(1620,2416)))</f>
        <v>50776397.772065841</v>
      </c>
      <c r="B1498">
        <v>166049241.9870339</v>
      </c>
    </row>
    <row r="1499" spans="1:2" x14ac:dyDescent="0.25">
      <c r="A1499">
        <f ca="1">26035.1505987382*((RANDBETWEEN(1620,2416)))</f>
        <v>58318737.341173559</v>
      </c>
      <c r="B1499">
        <v>173375997.3186636</v>
      </c>
    </row>
    <row r="1500" spans="1:2" x14ac:dyDescent="0.25">
      <c r="A1500">
        <f ca="1">32563.1785691722*((RANDBETWEEN(1620,2416)))</f>
        <v>63074876.888486594</v>
      </c>
      <c r="B1500">
        <v>169860578.69001734</v>
      </c>
    </row>
    <row r="1501" spans="1:2" x14ac:dyDescent="0.25">
      <c r="A1501">
        <f ca="1">31926.4520465172*((RANDBETWEEN(1620,2416)))</f>
        <v>52774425.232892983</v>
      </c>
      <c r="B1501">
        <v>191812204.36028942</v>
      </c>
    </row>
    <row r="1502" spans="1:2" x14ac:dyDescent="0.25">
      <c r="A1502">
        <f ca="1">30473.6370226796*((RANDBETWEEN(1620,2416)))</f>
        <v>58936014.001862317</v>
      </c>
      <c r="B1502">
        <v>159504066.18022695</v>
      </c>
    </row>
    <row r="1503" spans="1:2" x14ac:dyDescent="0.25">
      <c r="A1503">
        <f ca="1">25534.6802603766*((RANDBETWEEN(1620,2416)))</f>
        <v>49486210.344609767</v>
      </c>
      <c r="B1503">
        <v>166449360.13655022</v>
      </c>
    </row>
    <row r="1504" spans="1:2" x14ac:dyDescent="0.25">
      <c r="A1504">
        <f ca="1">25365.2884642144*((RANDBETWEEN(1620,2416)))</f>
        <v>53571489.23642081</v>
      </c>
      <c r="B1504">
        <v>153197986.40365183</v>
      </c>
    </row>
    <row r="1505" spans="1:2" x14ac:dyDescent="0.25">
      <c r="A1505">
        <f ca="1">29163.2787557304*((RANDBETWEEN(1620,2416)))</f>
        <v>67367173.925737411</v>
      </c>
      <c r="B1505">
        <v>173973046.91806173</v>
      </c>
    </row>
    <row r="1506" spans="1:2" x14ac:dyDescent="0.25">
      <c r="A1506">
        <f ca="1">28448.800384683*((RANDBETWEEN(1620,2416)))</f>
        <v>64521879.272461012</v>
      </c>
      <c r="B1506">
        <v>163159053.97289708</v>
      </c>
    </row>
    <row r="1507" spans="1:2" x14ac:dyDescent="0.25">
      <c r="A1507">
        <f ca="1">28786.8851177095*((RANDBETWEEN(1620,2416)))</f>
        <v>67764327.567088097</v>
      </c>
      <c r="B1507">
        <v>179759502.91036746</v>
      </c>
    </row>
    <row r="1508" spans="1:2" x14ac:dyDescent="0.25">
      <c r="A1508">
        <f ca="1">28367.8008535101*((RANDBETWEEN(1620,2416)))</f>
        <v>49558548.091082096</v>
      </c>
      <c r="B1508">
        <v>167365428.9052085</v>
      </c>
    </row>
    <row r="1509" spans="1:2" x14ac:dyDescent="0.25">
      <c r="A1509">
        <f ca="1">25915.5628256257*((RANDBETWEEN(1620,2416)))</f>
        <v>57506633.91006346</v>
      </c>
      <c r="B1509">
        <v>201575214.02833575</v>
      </c>
    </row>
    <row r="1510" spans="1:2" x14ac:dyDescent="0.25">
      <c r="A1510">
        <f ca="1">33584.1630855201*((RANDBETWEEN(1620,2416)))</f>
        <v>63138226.60077773</v>
      </c>
      <c r="B1510">
        <v>179384977.98612902</v>
      </c>
    </row>
    <row r="1511" spans="1:2" x14ac:dyDescent="0.25">
      <c r="A1511">
        <f ca="1">29247.4745971912*((RANDBETWEEN(1620,2416)))</f>
        <v>60863994.63675487</v>
      </c>
      <c r="B1511">
        <v>193857274.7069886</v>
      </c>
    </row>
    <row r="1512" spans="1:2" x14ac:dyDescent="0.25">
      <c r="A1512">
        <f ca="1">27496.0432545938*((RANDBETWEEN(1620,2416)))</f>
        <v>65770535.464988381</v>
      </c>
      <c r="B1512">
        <v>154833093.53010046</v>
      </c>
    </row>
    <row r="1513" spans="1:2" x14ac:dyDescent="0.25">
      <c r="A1513">
        <f ca="1">28189.57197876*((RANDBETWEEN(1620,2416)))</f>
        <v>64074897.107721478</v>
      </c>
      <c r="B1513">
        <v>150342873.90701315</v>
      </c>
    </row>
    <row r="1514" spans="1:2" x14ac:dyDescent="0.25">
      <c r="A1514">
        <f ca="1">29682.8821581903*((RANDBETWEEN(1620,2416)))</f>
        <v>64946146.162120342</v>
      </c>
      <c r="B1514">
        <v>174302442.97075677</v>
      </c>
    </row>
    <row r="1515" spans="1:2" x14ac:dyDescent="0.25">
      <c r="A1515">
        <f ca="1">26486.7578954829*((RANDBETWEEN(1620,2416)))</f>
        <v>62005500.233325407</v>
      </c>
      <c r="B1515">
        <v>159519160.14217693</v>
      </c>
    </row>
    <row r="1516" spans="1:2" x14ac:dyDescent="0.25">
      <c r="A1516">
        <f ca="1">27283.3662020934*((RANDBETWEEN(1620,2416)))</f>
        <v>62533475.335198</v>
      </c>
      <c r="B1516">
        <v>158502044.50697678</v>
      </c>
    </row>
    <row r="1517" spans="1:2" x14ac:dyDescent="0.25">
      <c r="A1517">
        <f ca="1">26826.4438105768*((RANDBETWEEN(1620,2416)))</f>
        <v>63015316.511044919</v>
      </c>
      <c r="B1517">
        <v>164609402.01820135</v>
      </c>
    </row>
    <row r="1518" spans="1:2" x14ac:dyDescent="0.25">
      <c r="A1518">
        <f ca="1">30561.3854451659*((RANDBETWEEN(1620,2416)))</f>
        <v>64545646.060190335</v>
      </c>
      <c r="B1518">
        <v>177723157.06120923</v>
      </c>
    </row>
    <row r="1519" spans="1:2" x14ac:dyDescent="0.25">
      <c r="A1519">
        <f ca="1">26947.164206075*((RANDBETWEEN(1620,2416)))</f>
        <v>64700141.258785985</v>
      </c>
      <c r="B1519">
        <v>201933818.26929975</v>
      </c>
    </row>
    <row r="1520" spans="1:2" x14ac:dyDescent="0.25">
      <c r="A1520">
        <f ca="1">26792.629887894*((RANDBETWEEN(1620,2416)))</f>
        <v>58407933.155608885</v>
      </c>
      <c r="B1520">
        <v>156459757.45513433</v>
      </c>
    </row>
    <row r="1521" spans="1:2" x14ac:dyDescent="0.25">
      <c r="A1521">
        <f ca="1">28424.6604593367*((RANDBETWEEN(1620,2416)))</f>
        <v>59350691.039095059</v>
      </c>
      <c r="B1521">
        <v>165116276.44904742</v>
      </c>
    </row>
    <row r="1522" spans="1:2" x14ac:dyDescent="0.25">
      <c r="A1522">
        <f ca="1">27515.6692029068*((RANDBETWEEN(1620,2416)))</f>
        <v>51756973.770667724</v>
      </c>
      <c r="B1522">
        <v>180740961.97767407</v>
      </c>
    </row>
    <row r="1523" spans="1:2" x14ac:dyDescent="0.25">
      <c r="A1523">
        <f ca="1">26813.4551470307*((RANDBETWEEN(1620,2416)))</f>
        <v>48746861.457301751</v>
      </c>
      <c r="B1523">
        <v>190268448.69255775</v>
      </c>
    </row>
    <row r="1524" spans="1:2" x14ac:dyDescent="0.25">
      <c r="A1524">
        <f ca="1">28375.3661576909*((RANDBETWEEN(1620,2416)))</f>
        <v>66965864.132150427</v>
      </c>
      <c r="B1524">
        <v>144456069.17538366</v>
      </c>
    </row>
    <row r="1525" spans="1:2" x14ac:dyDescent="0.25">
      <c r="A1525">
        <f ca="1">26131.0900130707*((RANDBETWEEN(1620,2416)))</f>
        <v>49858119.744938806</v>
      </c>
      <c r="B1525">
        <v>144090241.5240728</v>
      </c>
    </row>
    <row r="1526" spans="1:2" x14ac:dyDescent="0.25">
      <c r="A1526">
        <f ca="1">26833.3576915965*((RANDBETWEEN(1620,2416)))</f>
        <v>47951210.194882922</v>
      </c>
      <c r="B1526">
        <v>162138266.10658082</v>
      </c>
    </row>
    <row r="1527" spans="1:2" x14ac:dyDescent="0.25">
      <c r="A1527">
        <f ca="1">27934.7516059308*((RANDBETWEEN(1620,2416)))</f>
        <v>55059395.415289536</v>
      </c>
      <c r="B1527">
        <v>193434146.17789158</v>
      </c>
    </row>
    <row r="1528" spans="1:2" x14ac:dyDescent="0.25">
      <c r="A1528">
        <f ca="1">30237.4743153026*((RANDBETWEEN(1620,2416)))</f>
        <v>62138009.717946835</v>
      </c>
      <c r="B1528">
        <v>186718776.4743576</v>
      </c>
    </row>
    <row r="1529" spans="1:2" x14ac:dyDescent="0.25">
      <c r="A1529">
        <f ca="1">27784.3268381515*((RANDBETWEEN(1620,2416)))</f>
        <v>64820834.513407372</v>
      </c>
      <c r="B1529">
        <v>169478465.59343582</v>
      </c>
    </row>
    <row r="1530" spans="1:2" x14ac:dyDescent="0.25">
      <c r="A1530">
        <f ca="1">28660.483118163*((RANDBETWEEN(1620,2416)))</f>
        <v>59413181.5039519</v>
      </c>
      <c r="B1530">
        <v>153129145.45980817</v>
      </c>
    </row>
    <row r="1531" spans="1:2" x14ac:dyDescent="0.25">
      <c r="A1531">
        <f ca="1">30036.9721556379*((RANDBETWEEN(1620,2416)))</f>
        <v>70136329.983414531</v>
      </c>
      <c r="B1531">
        <v>171762686.68172854</v>
      </c>
    </row>
    <row r="1532" spans="1:2" x14ac:dyDescent="0.25">
      <c r="A1532">
        <f ca="1">30525.5926133548*((RANDBETWEEN(1620,2416)))</f>
        <v>57266011.742653646</v>
      </c>
      <c r="B1532">
        <v>194905763.17094475</v>
      </c>
    </row>
    <row r="1533" spans="1:2" x14ac:dyDescent="0.25">
      <c r="A1533">
        <f ca="1">30977.0252599606*((RANDBETWEEN(1620,2416)))</f>
        <v>52753874.017712876</v>
      </c>
      <c r="B1533">
        <v>194971562.26834533</v>
      </c>
    </row>
    <row r="1534" spans="1:2" x14ac:dyDescent="0.25">
      <c r="A1534">
        <f ca="1">29208.2141516748*((RANDBETWEEN(1620,2416)))</f>
        <v>52370327.973952897</v>
      </c>
      <c r="B1534">
        <v>190932016.05931771</v>
      </c>
    </row>
    <row r="1535" spans="1:2" x14ac:dyDescent="0.25">
      <c r="A1535">
        <f ca="1">26282.9790201548*((RANDBETWEEN(1620,2416)))</f>
        <v>51356941.005382456</v>
      </c>
      <c r="B1535">
        <v>153614338.91342705</v>
      </c>
    </row>
    <row r="1536" spans="1:2" x14ac:dyDescent="0.25">
      <c r="A1536">
        <f ca="1">25947.3466441706*((RANDBETWEEN(1620,2416)))</f>
        <v>48729116.997752473</v>
      </c>
      <c r="B1536">
        <v>144904622.29650134</v>
      </c>
    </row>
    <row r="1537" spans="1:2" x14ac:dyDescent="0.25">
      <c r="A1537">
        <f ca="1">27344.3304566553*((RANDBETWEEN(1620,2416)))</f>
        <v>53540199.034130983</v>
      </c>
      <c r="B1537">
        <v>175125820.40859851</v>
      </c>
    </row>
    <row r="1538" spans="1:2" x14ac:dyDescent="0.25">
      <c r="A1538">
        <f ca="1">26499.1233424091*((RANDBETWEEN(1620,2416)))</f>
        <v>42955078.938045152</v>
      </c>
      <c r="B1538">
        <v>149157235.59339046</v>
      </c>
    </row>
    <row r="1539" spans="1:2" x14ac:dyDescent="0.25">
      <c r="A1539">
        <f ca="1">27466.1231786172*((RANDBETWEEN(1620,2416)))</f>
        <v>47681189.838079512</v>
      </c>
      <c r="B1539">
        <v>153762655.17179117</v>
      </c>
    </row>
    <row r="1540" spans="1:2" x14ac:dyDescent="0.25">
      <c r="A1540">
        <f ca="1">29927.4018386159*((RANDBETWEEN(1620,2416)))</f>
        <v>65900138.848632261</v>
      </c>
      <c r="B1540">
        <v>158900097.31932396</v>
      </c>
    </row>
    <row r="1541" spans="1:2" x14ac:dyDescent="0.25">
      <c r="A1541">
        <f ca="1">29448.6285626847*((RANDBETWEEN(1620,2416)))</f>
        <v>60399137.182066351</v>
      </c>
      <c r="B1541">
        <v>154963618.54538345</v>
      </c>
    </row>
    <row r="1542" spans="1:2" x14ac:dyDescent="0.25">
      <c r="A1542">
        <f ca="1">26944.1026538554*((RANDBETWEEN(1620,2416)))</f>
        <v>52190726.840517879</v>
      </c>
      <c r="B1542">
        <v>150548456.8783417</v>
      </c>
    </row>
    <row r="1543" spans="1:2" x14ac:dyDescent="0.25">
      <c r="A1543">
        <f ca="1">29782.60048671*((RANDBETWEEN(1620,2416)))</f>
        <v>49588029.810372211</v>
      </c>
      <c r="B1543">
        <v>144702217.05883121</v>
      </c>
    </row>
    <row r="1544" spans="1:2" x14ac:dyDescent="0.25">
      <c r="A1544">
        <f ca="1">28384.1185482017*((RANDBETWEEN(1620,2416)))</f>
        <v>54582659.968191795</v>
      </c>
      <c r="B1544">
        <v>154372606.69807827</v>
      </c>
    </row>
    <row r="1545" spans="1:2" x14ac:dyDescent="0.25">
      <c r="A1545">
        <f ca="1">27045.5712809085*((RANDBETWEEN(1620,2416)))</f>
        <v>48059980.166174315</v>
      </c>
      <c r="B1545">
        <v>151864478.21745443</v>
      </c>
    </row>
    <row r="1546" spans="1:2" x14ac:dyDescent="0.25">
      <c r="A1546">
        <f ca="1">27568.6659629745*((RANDBETWEEN(1620,2416)))</f>
        <v>60981889.110099629</v>
      </c>
      <c r="B1546">
        <v>143150891.11331046</v>
      </c>
    </row>
    <row r="1547" spans="1:2" x14ac:dyDescent="0.25">
      <c r="A1547">
        <f ca="1">27490.3111350571*((RANDBETWEEN(1620,2416)))</f>
        <v>46898470.796407394</v>
      </c>
      <c r="B1547">
        <v>164427503.27768025</v>
      </c>
    </row>
    <row r="1548" spans="1:2" x14ac:dyDescent="0.25">
      <c r="A1548">
        <f ca="1">25640.5773155643*((RANDBETWEEN(1620,2416)))</f>
        <v>50793983.662132852</v>
      </c>
      <c r="B1548">
        <v>153014910.12969846</v>
      </c>
    </row>
    <row r="1549" spans="1:2" x14ac:dyDescent="0.25">
      <c r="A1549">
        <f ca="1">26596.4897870983*((RANDBETWEEN(1620,2416)))</f>
        <v>47474734.269970439</v>
      </c>
      <c r="B1549">
        <v>156766217.59601581</v>
      </c>
    </row>
    <row r="1550" spans="1:2" x14ac:dyDescent="0.25">
      <c r="A1550">
        <f ca="1">26192.1178045617*((RANDBETWEEN(1620,2416)))</f>
        <v>62022934.96120207</v>
      </c>
      <c r="B1550">
        <v>153789487.98296189</v>
      </c>
    </row>
    <row r="1551" spans="1:2" x14ac:dyDescent="0.25">
      <c r="A1551">
        <f ca="1">27441.8993278841*((RANDBETWEEN(1620,2416)))</f>
        <v>53017749.501472175</v>
      </c>
      <c r="B1551">
        <v>201961295.18832254</v>
      </c>
    </row>
    <row r="1552" spans="1:2" x14ac:dyDescent="0.25">
      <c r="A1552">
        <f ca="1">29725.2572002185*((RANDBETWEEN(1620,2416)))</f>
        <v>48452169.236356162</v>
      </c>
      <c r="B1552">
        <v>201074069.23090443</v>
      </c>
    </row>
    <row r="1553" spans="1:2" x14ac:dyDescent="0.25">
      <c r="A1553">
        <f ca="1">28643.219880564*((RANDBETWEEN(1620,2416)))</f>
        <v>47805533.980661355</v>
      </c>
      <c r="B1553">
        <v>150231122.47756571</v>
      </c>
    </row>
    <row r="1554" spans="1:2" x14ac:dyDescent="0.25">
      <c r="A1554">
        <f ca="1">27079.1835374028*((RANDBETWEEN(1620,2416)))</f>
        <v>63338210.29398521</v>
      </c>
      <c r="B1554">
        <v>154230952.00200057</v>
      </c>
    </row>
    <row r="1555" spans="1:2" x14ac:dyDescent="0.25">
      <c r="A1555">
        <f ca="1">27300.6721418319*((RANDBETWEEN(1620,2416)))</f>
        <v>62382035.844085902</v>
      </c>
      <c r="B1555">
        <v>196497372.59757206</v>
      </c>
    </row>
    <row r="1556" spans="1:2" x14ac:dyDescent="0.25">
      <c r="A1556">
        <f ca="1">30287.8881967125*((RANDBETWEEN(1620,2416)))</f>
        <v>65815581.05145634</v>
      </c>
      <c r="B1556">
        <v>167982561.18650997</v>
      </c>
    </row>
    <row r="1557" spans="1:2" x14ac:dyDescent="0.25">
      <c r="A1557">
        <f ca="1">30733.1902149236*((RANDBETWEEN(1620,2416)))</f>
        <v>74220654.3690404</v>
      </c>
      <c r="B1557">
        <v>203355449.86224654</v>
      </c>
    </row>
    <row r="1558" spans="1:2" x14ac:dyDescent="0.25">
      <c r="A1558">
        <f ca="1">32659.543807268*((RANDBETWEEN(1620,2416)))</f>
        <v>65319087.614535913</v>
      </c>
      <c r="B1558">
        <v>150701164.47449949</v>
      </c>
    </row>
    <row r="1559" spans="1:2" x14ac:dyDescent="0.25">
      <c r="A1559">
        <f ca="1">25679.8702267714*((RANDBETWEEN(1620,2416)))</f>
        <v>43270581.332109809</v>
      </c>
      <c r="B1559">
        <v>160181885.51702774</v>
      </c>
    </row>
    <row r="1560" spans="1:2" x14ac:dyDescent="0.25">
      <c r="A1560">
        <f ca="1">27677.1940108936*((RANDBETWEEN(1620,2416)))</f>
        <v>52614345.814708814</v>
      </c>
      <c r="B1560">
        <v>162126244.27807719</v>
      </c>
    </row>
    <row r="1561" spans="1:2" x14ac:dyDescent="0.25">
      <c r="A1561">
        <f ca="1">26096.008605347*((RANDBETWEEN(1620,2416)))</f>
        <v>62343364.558173977</v>
      </c>
      <c r="B1561">
        <v>182428408.25140697</v>
      </c>
    </row>
    <row r="1562" spans="1:2" x14ac:dyDescent="0.25">
      <c r="A1562">
        <f ca="1">28706.413694238*((RANDBETWEEN(1620,2416)))</f>
        <v>55173727.120325446</v>
      </c>
      <c r="B1562">
        <v>189110338.56257665</v>
      </c>
    </row>
    <row r="1563" spans="1:2" x14ac:dyDescent="0.25">
      <c r="A1563">
        <f ca="1">25575.7407858673*((RANDBETWEEN(1620,2416)))</f>
        <v>43274153.409687527</v>
      </c>
      <c r="B1563">
        <v>145956687.76733685</v>
      </c>
    </row>
    <row r="1564" spans="1:2" x14ac:dyDescent="0.25">
      <c r="A1564">
        <f ca="1">27377.5260919868*((RANDBETWEEN(1620,2416)))</f>
        <v>49799719.961323962</v>
      </c>
      <c r="B1564">
        <v>148573476.5842506</v>
      </c>
    </row>
    <row r="1565" spans="1:2" x14ac:dyDescent="0.25">
      <c r="A1565">
        <f ca="1">26169.6679556488*((RANDBETWEEN(1620,2416)))</f>
        <v>44357587.184824787</v>
      </c>
      <c r="B1565">
        <v>147563032.15133888</v>
      </c>
    </row>
    <row r="1566" spans="1:2" x14ac:dyDescent="0.25">
      <c r="A1566">
        <f ca="1">29612.3013033492*((RANDBETWEEN(1620,2416)))</f>
        <v>67101474.753389254</v>
      </c>
      <c r="B1566">
        <v>158121353.20371673</v>
      </c>
    </row>
    <row r="1567" spans="1:2" x14ac:dyDescent="0.25">
      <c r="A1567">
        <f ca="1">30305.8225128965*((RANDBETWEEN(1620,2416)))</f>
        <v>67551678.381246209</v>
      </c>
      <c r="B1567">
        <v>193896622.60021842</v>
      </c>
    </row>
    <row r="1568" spans="1:2" x14ac:dyDescent="0.25">
      <c r="A1568">
        <f ca="1">27603.8916960751*((RANDBETWEEN(1620,2416)))</f>
        <v>59872841.088786975</v>
      </c>
      <c r="B1568">
        <v>169399717.17079672</v>
      </c>
    </row>
    <row r="1569" spans="1:2" x14ac:dyDescent="0.25">
      <c r="A1569">
        <f ca="1">27449.6077981125*((RANDBETWEEN(1620,2416)))</f>
        <v>50122983.839353338</v>
      </c>
      <c r="B1569">
        <v>148056076.75588983</v>
      </c>
    </row>
    <row r="1570" spans="1:2" x14ac:dyDescent="0.25">
      <c r="A1570">
        <f ca="1">30033.0568496761*((RANDBETWEEN(1620,2416)))</f>
        <v>63309683.839117303</v>
      </c>
      <c r="B1570">
        <v>177352445.26842922</v>
      </c>
    </row>
    <row r="1571" spans="1:2" x14ac:dyDescent="0.25">
      <c r="A1571">
        <f ca="1">25429.4123920758*((RANDBETWEEN(1620,2416)))</f>
        <v>54851242.529707506</v>
      </c>
      <c r="B1571">
        <v>155184322.35842955</v>
      </c>
    </row>
    <row r="1572" spans="1:2" x14ac:dyDescent="0.25">
      <c r="A1572">
        <f ca="1">28190.1028631675*((RANDBETWEEN(1620,2416)))</f>
        <v>65570179.259727679</v>
      </c>
      <c r="B1572">
        <v>190718410.64742923</v>
      </c>
    </row>
    <row r="1573" spans="1:2" x14ac:dyDescent="0.25">
      <c r="A1573">
        <f ca="1">29057.9703544092*((RANDBETWEEN(1620,2416)))</f>
        <v>57389491.449958093</v>
      </c>
      <c r="B1573">
        <v>192560807.13531974</v>
      </c>
    </row>
    <row r="1574" spans="1:2" x14ac:dyDescent="0.25">
      <c r="A1574">
        <f ca="1">27656.0024505292*((RANDBETWEEN(1620,2416)))</f>
        <v>56971365.048090249</v>
      </c>
      <c r="B1574">
        <v>183979361.97741696</v>
      </c>
    </row>
    <row r="1575" spans="1:2" x14ac:dyDescent="0.25">
      <c r="A1575">
        <f ca="1">30819.2260716287*((RANDBETWEEN(1620,2416)))</f>
        <v>68449501.105087325</v>
      </c>
      <c r="B1575">
        <v>196394794.57666308</v>
      </c>
    </row>
    <row r="1576" spans="1:2" x14ac:dyDescent="0.25">
      <c r="A1576">
        <f ca="1">31865.5655018129*((RANDBETWEEN(1620,2416)))</f>
        <v>76827878.424871013</v>
      </c>
      <c r="B1576">
        <v>147847965.9920657</v>
      </c>
    </row>
    <row r="1577" spans="1:2" x14ac:dyDescent="0.25">
      <c r="A1577">
        <f ca="1">28115.3939436092*((RANDBETWEEN(1620,2416)))</f>
        <v>67729984.01015459</v>
      </c>
      <c r="B1577">
        <v>167922385.66773137</v>
      </c>
    </row>
    <row r="1578" spans="1:2" x14ac:dyDescent="0.25">
      <c r="A1578">
        <f ca="1">27489.5021028796*((RANDBETWEEN(1620,2416)))</f>
        <v>64105518.903915264</v>
      </c>
      <c r="B1578">
        <v>144458171.72760591</v>
      </c>
    </row>
    <row r="1579" spans="1:2" x14ac:dyDescent="0.25">
      <c r="A1579">
        <f ca="1">28420.8824572343*((RANDBETWEEN(1620,2416)))</f>
        <v>56017559.323208787</v>
      </c>
      <c r="B1579">
        <v>158199204.67131543</v>
      </c>
    </row>
    <row r="1580" spans="1:2" x14ac:dyDescent="0.25">
      <c r="A1580">
        <f ca="1">27721.1302429408*((RANDBETWEEN(1620,2416)))</f>
        <v>59406382.110622168</v>
      </c>
      <c r="B1580">
        <v>182120141.8452518</v>
      </c>
    </row>
    <row r="1581" spans="1:2" x14ac:dyDescent="0.25">
      <c r="A1581">
        <f ca="1">31733.4720301735*((RANDBETWEEN(1620,2416)))</f>
        <v>57818386.038976073</v>
      </c>
      <c r="B1581">
        <v>159941965.44822791</v>
      </c>
    </row>
    <row r="1582" spans="1:2" x14ac:dyDescent="0.25">
      <c r="A1582">
        <f ca="1">30281.0854948105*((RANDBETWEEN(1620,2416)))</f>
        <v>61288917.041496381</v>
      </c>
      <c r="B1582">
        <v>197189430.49108192</v>
      </c>
    </row>
    <row r="1583" spans="1:2" x14ac:dyDescent="0.25">
      <c r="A1583">
        <f ca="1">27208.6957875968*((RANDBETWEEN(1620,2416)))</f>
        <v>52948122.002663329</v>
      </c>
      <c r="B1583">
        <v>169690204.6256876</v>
      </c>
    </row>
    <row r="1584" spans="1:2" x14ac:dyDescent="0.25">
      <c r="A1584">
        <f ca="1">27899.4443412352*((RANDBETWEEN(1620,2416)))</f>
        <v>56831168.123096041</v>
      </c>
      <c r="B1584">
        <v>160216992.67205769</v>
      </c>
    </row>
    <row r="1585" spans="1:2" x14ac:dyDescent="0.25">
      <c r="A1585">
        <f ca="1">26165.8031637218*((RANDBETWEEN(1620,2416)))</f>
        <v>61620466.450564913</v>
      </c>
      <c r="B1585">
        <v>193503924.9964332</v>
      </c>
    </row>
    <row r="1586" spans="1:2" x14ac:dyDescent="0.25">
      <c r="A1586">
        <f ca="1">27878.6367264039*((RANDBETWEEN(1620,2416)))</f>
        <v>63646927.646380089</v>
      </c>
      <c r="B1586">
        <v>153637725.26530749</v>
      </c>
    </row>
    <row r="1587" spans="1:2" x14ac:dyDescent="0.25">
      <c r="A1587">
        <f ca="1">30148.8874388265*((RANDBETWEEN(1620,2416)))</f>
        <v>69010803.347473934</v>
      </c>
      <c r="B1587">
        <v>159555978.00266463</v>
      </c>
    </row>
    <row r="1588" spans="1:2" x14ac:dyDescent="0.25">
      <c r="A1588">
        <f ca="1">32888.049670181*((RANDBETWEEN(1620,2416)))</f>
        <v>63177943.416417792</v>
      </c>
      <c r="B1588">
        <v>157376288.79914424</v>
      </c>
    </row>
    <row r="1589" spans="1:2" x14ac:dyDescent="0.25">
      <c r="A1589">
        <f ca="1">27403.6293736932*((RANDBETWEEN(1620,2416)))</f>
        <v>61575955.202688575</v>
      </c>
      <c r="B1589">
        <v>155232274.96858281</v>
      </c>
    </row>
    <row r="1590" spans="1:2" x14ac:dyDescent="0.25">
      <c r="A1590">
        <f ca="1">28296.8259151511*((RANDBETWEEN(1620,2416)))</f>
        <v>49151586.614617541</v>
      </c>
      <c r="B1590">
        <v>170901015.35868421</v>
      </c>
    </row>
    <row r="1591" spans="1:2" x14ac:dyDescent="0.25">
      <c r="A1591">
        <f ca="1">26039.1726293741*((RANDBETWEEN(1620,2416)))</f>
        <v>50932621.66305583</v>
      </c>
      <c r="B1591">
        <v>157991568.24087536</v>
      </c>
    </row>
    <row r="1592" spans="1:2" x14ac:dyDescent="0.25">
      <c r="A1592">
        <f ca="1">27912.4992967385*((RANDBETWEEN(1620,2416)))</f>
        <v>64310398.379685611</v>
      </c>
      <c r="B1592">
        <v>191414605.454328</v>
      </c>
    </row>
    <row r="1593" spans="1:2" x14ac:dyDescent="0.25">
      <c r="A1593">
        <f ca="1">28275.0497944385*((RANDBETWEEN(1620,2416)))</f>
        <v>55956323.543193892</v>
      </c>
      <c r="B1593">
        <v>162889157.28483126</v>
      </c>
    </row>
    <row r="1594" spans="1:2" x14ac:dyDescent="0.25">
      <c r="A1594">
        <f ca="1">25955.4935977817*((RANDBETWEEN(1620,2416)))</f>
        <v>54480581.06174387</v>
      </c>
      <c r="B1594">
        <v>167908079.79395914</v>
      </c>
    </row>
    <row r="1595" spans="1:2" x14ac:dyDescent="0.25">
      <c r="A1595">
        <f ca="1">31676.8674307167*((RANDBETWEEN(1620,2416)))</f>
        <v>59425803.300024554</v>
      </c>
      <c r="B1595">
        <v>179932813.53224295</v>
      </c>
    </row>
    <row r="1596" spans="1:2" x14ac:dyDescent="0.25">
      <c r="A1596">
        <f ca="1">26694.2168284432*((RANDBETWEEN(1620,2416)))</f>
        <v>62624632.679527774</v>
      </c>
      <c r="B1596">
        <v>161216153.14795056</v>
      </c>
    </row>
    <row r="1597" spans="1:2" x14ac:dyDescent="0.25">
      <c r="A1597">
        <f ca="1">26302.3934240643*((RANDBETWEEN(1620,2416)))</f>
        <v>44635161.640637107</v>
      </c>
      <c r="B1597">
        <v>152005091.18102121</v>
      </c>
    </row>
    <row r="1598" spans="1:2" x14ac:dyDescent="0.25">
      <c r="A1598">
        <f ca="1">27481.1238560804*((RANDBETWEEN(1620,2416)))</f>
        <v>45343854.362532742</v>
      </c>
      <c r="B1598">
        <v>144879275.04519069</v>
      </c>
    </row>
    <row r="1599" spans="1:2" x14ac:dyDescent="0.25">
      <c r="A1599">
        <f ca="1">27881.462251483*((RANDBETWEEN(1620,2416)))</f>
        <v>47956115.072550707</v>
      </c>
      <c r="B1599">
        <v>145659813.38615525</v>
      </c>
    </row>
    <row r="1600" spans="1:2" x14ac:dyDescent="0.25">
      <c r="A1600">
        <f ca="1">27039.404515695*((RANDBETWEEN(1620,2416)))</f>
        <v>65327201.309919111</v>
      </c>
      <c r="B1600">
        <v>163251479.52497897</v>
      </c>
    </row>
    <row r="1601" spans="1:2" x14ac:dyDescent="0.25">
      <c r="A1601">
        <f ca="1">28634.4326470069*((RANDBETWEEN(1620,2416)))</f>
        <v>52687356.0704927</v>
      </c>
      <c r="B1601">
        <v>144686555.89542082</v>
      </c>
    </row>
    <row r="1602" spans="1:2" x14ac:dyDescent="0.25">
      <c r="A1602">
        <f ca="1">29500.3637964289*((RANDBETWEEN(1620,2416)))</f>
        <v>68942350.192254215</v>
      </c>
      <c r="B1602">
        <v>189385998.55341524</v>
      </c>
    </row>
    <row r="1603" spans="1:2" x14ac:dyDescent="0.25">
      <c r="A1603">
        <f ca="1">26660.8255047006*((RANDBETWEEN(1620,2416)))</f>
        <v>49162562.230667822</v>
      </c>
      <c r="B1603">
        <v>192020656.63760257</v>
      </c>
    </row>
    <row r="1604" spans="1:2" x14ac:dyDescent="0.25">
      <c r="A1604">
        <f ca="1">28269.3276620663*((RANDBETWEEN(1620,2416)))</f>
        <v>65924072.107938632</v>
      </c>
      <c r="B1604">
        <v>160566634.19540754</v>
      </c>
    </row>
    <row r="1605" spans="1:2" x14ac:dyDescent="0.25">
      <c r="A1605">
        <f ca="1">27241.4818009795*((RANDBETWEEN(1620,2416)))</f>
        <v>63717825.932491086</v>
      </c>
      <c r="B1605">
        <v>160284386.31714827</v>
      </c>
    </row>
    <row r="1606" spans="1:2" x14ac:dyDescent="0.25">
      <c r="A1606">
        <f ca="1">27815.787251626*((RANDBETWEEN(1620,2416)))</f>
        <v>57189258.589343086</v>
      </c>
      <c r="B1606">
        <v>151030319.61368537</v>
      </c>
    </row>
    <row r="1607" spans="1:2" x14ac:dyDescent="0.25">
      <c r="A1607">
        <f ca="1">26594.0228114291*((RANDBETWEEN(1620,2416)))</f>
        <v>57602653.409555346</v>
      </c>
      <c r="B1607">
        <v>169140101.32853973</v>
      </c>
    </row>
    <row r="1608" spans="1:2" x14ac:dyDescent="0.25">
      <c r="A1608">
        <f ca="1">27601.6646884885*((RANDBETWEEN(1620,2416)))</f>
        <v>65553953.635160252</v>
      </c>
      <c r="B1608">
        <v>159736028.28199089</v>
      </c>
    </row>
    <row r="1609" spans="1:2" x14ac:dyDescent="0.25">
      <c r="A1609">
        <f ca="1">30625.7364578746*((RANDBETWEEN(1620,2416)))</f>
        <v>72950504.242657274</v>
      </c>
      <c r="B1609">
        <v>170680342.38411248</v>
      </c>
    </row>
    <row r="1610" spans="1:2" x14ac:dyDescent="0.25">
      <c r="A1610">
        <f ca="1">27699.0843296673*((RANDBETWEEN(1620,2416)))</f>
        <v>63984884.801531531</v>
      </c>
      <c r="B1610">
        <v>157691482.47687989</v>
      </c>
    </row>
    <row r="1611" spans="1:2" x14ac:dyDescent="0.25">
      <c r="A1611">
        <f ca="1">29035.3316451259*((RANDBETWEEN(1620,2416)))</f>
        <v>48401897.852424927</v>
      </c>
      <c r="B1611">
        <v>202507094.06608644</v>
      </c>
    </row>
    <row r="1612" spans="1:2" x14ac:dyDescent="0.25">
      <c r="A1612">
        <f ca="1">32243.9698747282*((RANDBETWEEN(1620,2416)))</f>
        <v>58135877.684134908</v>
      </c>
      <c r="B1612">
        <v>149368474.23923945</v>
      </c>
    </row>
    <row r="1613" spans="1:2" x14ac:dyDescent="0.25">
      <c r="A1613">
        <f ca="1">27078.5459031166*((RANDBETWEEN(1620,2416)))</f>
        <v>61305827.924655899</v>
      </c>
      <c r="B1613">
        <v>174623566.67287537</v>
      </c>
    </row>
    <row r="1614" spans="1:2" x14ac:dyDescent="0.25">
      <c r="A1614">
        <f ca="1">26975.4269089031*((RANDBETWEEN(1620,2416)))</f>
        <v>58428774.684684202</v>
      </c>
      <c r="B1614">
        <v>156652990.29362723</v>
      </c>
    </row>
    <row r="1615" spans="1:2" x14ac:dyDescent="0.25">
      <c r="A1615">
        <f ca="1">30115.1020097884*((RANDBETWEEN(1620,2416)))</f>
        <v>65169080.749182142</v>
      </c>
      <c r="B1615">
        <v>165301436.22831708</v>
      </c>
    </row>
    <row r="1616" spans="1:2" x14ac:dyDescent="0.25">
      <c r="A1616">
        <f ca="1">28604.5022540089*((RANDBETWEEN(1620,2416)))</f>
        <v>65990586.699998587</v>
      </c>
      <c r="B1616">
        <v>186185257.30003577</v>
      </c>
    </row>
    <row r="1617" spans="1:2" x14ac:dyDescent="0.25">
      <c r="A1617">
        <f ca="1">26664.6706512286*((RANDBETWEEN(1620,2416)))</f>
        <v>50902856.273195319</v>
      </c>
      <c r="B1617">
        <v>166208243.81868419</v>
      </c>
    </row>
    <row r="1618" spans="1:2" x14ac:dyDescent="0.25">
      <c r="A1618">
        <f ca="1">28834.1171991225*((RANDBETWEEN(1620,2416)))</f>
        <v>58129580.273430891</v>
      </c>
      <c r="B1618">
        <v>200521725.81498587</v>
      </c>
    </row>
    <row r="1619" spans="1:2" x14ac:dyDescent="0.25">
      <c r="A1619">
        <f ca="1">27249.8864150904*((RANDBETWEEN(1620,2416)))</f>
        <v>54772271.694331773</v>
      </c>
      <c r="B1619">
        <v>202695219.59254003</v>
      </c>
    </row>
    <row r="1620" spans="1:2" x14ac:dyDescent="0.25">
      <c r="A1620">
        <f ca="1">26830.5454765797*((RANDBETWEEN(1620,2416)))</f>
        <v>44431383.309215955</v>
      </c>
      <c r="B1620">
        <v>182693687.67652822</v>
      </c>
    </row>
    <row r="1621" spans="1:2" x14ac:dyDescent="0.25">
      <c r="A1621">
        <f ca="1">27700.1441587574*((RANDBETWEEN(1620,2416)))</f>
        <v>55206387.308403552</v>
      </c>
      <c r="B1621">
        <v>160715897.58238709</v>
      </c>
    </row>
    <row r="1622" spans="1:2" x14ac:dyDescent="0.25">
      <c r="A1622">
        <f ca="1">27089.3419537137*((RANDBETWEEN(1620,2416)))</f>
        <v>43993091.33283101</v>
      </c>
      <c r="B1622">
        <v>161531459.27052486</v>
      </c>
    </row>
    <row r="1623" spans="1:2" x14ac:dyDescent="0.25">
      <c r="A1623">
        <f ca="1">29700.9184525467*((RANDBETWEEN(1620,2416)))</f>
        <v>55540717.506262317</v>
      </c>
      <c r="B1623">
        <v>160197603.44069523</v>
      </c>
    </row>
    <row r="1624" spans="1:2" x14ac:dyDescent="0.25">
      <c r="A1624">
        <f ca="1">26907.0998549431*((RANDBETWEEN(1620,2416)))</f>
        <v>56074396.097701453</v>
      </c>
      <c r="B1624">
        <v>150251909.45458201</v>
      </c>
    </row>
    <row r="1625" spans="1:2" x14ac:dyDescent="0.25">
      <c r="A1625">
        <f ca="1">29137.4075632388*((RANDBETWEEN(1620,2416)))</f>
        <v>53146631.395347618</v>
      </c>
      <c r="B1625">
        <v>164269543.70236599</v>
      </c>
    </row>
    <row r="1626" spans="1:2" x14ac:dyDescent="0.25">
      <c r="A1626">
        <f ca="1">27121.7210833197*((RANDBETWEEN(1620,2416)))</f>
        <v>51504148.337224036</v>
      </c>
      <c r="B1626">
        <v>160912940.11481705</v>
      </c>
    </row>
    <row r="1627" spans="1:2" x14ac:dyDescent="0.25">
      <c r="A1627">
        <f ca="1">26915.0143504361*((RANDBETWEEN(1620,2416)))</f>
        <v>47020530.070211947</v>
      </c>
      <c r="B1627">
        <v>155438865.24401671</v>
      </c>
    </row>
    <row r="1628" spans="1:2" x14ac:dyDescent="0.25">
      <c r="A1628">
        <f ca="1">26165.438592303*((RANDBETWEEN(1620,2416)))</f>
        <v>44481245.606915109</v>
      </c>
      <c r="B1628">
        <v>173176081.67837188</v>
      </c>
    </row>
    <row r="1629" spans="1:2" x14ac:dyDescent="0.25">
      <c r="A1629">
        <f ca="1">30080.6859328293*((RANDBETWEEN(1620,2416)))</f>
        <v>64643394.069650166</v>
      </c>
      <c r="B1629">
        <v>201209188.71181813</v>
      </c>
    </row>
    <row r="1630" spans="1:2" x14ac:dyDescent="0.25">
      <c r="A1630">
        <f ca="1">30829.8734228148*((RANDBETWEEN(1620,2416)))</f>
        <v>52009996.464288525</v>
      </c>
      <c r="B1630">
        <v>187036073.70876038</v>
      </c>
    </row>
    <row r="1631" spans="1:2" x14ac:dyDescent="0.25">
      <c r="A1631">
        <f ca="1">27747.5392901124*((RANDBETWEEN(1620,2416)))</f>
        <v>66871569.689170875</v>
      </c>
      <c r="B1631">
        <v>158183231.29862076</v>
      </c>
    </row>
    <row r="1632" spans="1:2" x14ac:dyDescent="0.25">
      <c r="A1632">
        <f ca="1">27043.2328046304*((RANDBETWEEN(1620,2416)))</f>
        <v>45135155.550928198</v>
      </c>
      <c r="B1632">
        <v>181792699.06627023</v>
      </c>
    </row>
    <row r="1633" spans="1:2" x14ac:dyDescent="0.25">
      <c r="A1633">
        <f ca="1">24948.3866948098*((RANDBETWEEN(1620,2416)))</f>
        <v>58154689.385601625</v>
      </c>
      <c r="B1633">
        <v>171339020.51567137</v>
      </c>
    </row>
    <row r="1634" spans="1:2" x14ac:dyDescent="0.25">
      <c r="A1634">
        <f ca="1">27616.3068834913*((RANDBETWEEN(1620,2416)))</f>
        <v>54569822.401778713</v>
      </c>
      <c r="B1634">
        <v>152166832.31750354</v>
      </c>
    </row>
    <row r="1635" spans="1:2" x14ac:dyDescent="0.25">
      <c r="A1635">
        <f ca="1">26648.6545657093*((RANDBETWEEN(1620,2416)))</f>
        <v>63317203.248125315</v>
      </c>
      <c r="B1635">
        <v>149097631.55330455</v>
      </c>
    </row>
    <row r="1636" spans="1:2" x14ac:dyDescent="0.25">
      <c r="A1636">
        <f ca="1">26707.9181050443*((RANDBETWEEN(1620,2416)))</f>
        <v>47166183.373508148</v>
      </c>
      <c r="B1636">
        <v>202731025.26660883</v>
      </c>
    </row>
    <row r="1637" spans="1:2" x14ac:dyDescent="0.25">
      <c r="A1637">
        <f ca="1">27025.1813283602*((RANDBETWEEN(1620,2416)))</f>
        <v>61779564.516631521</v>
      </c>
      <c r="B1637">
        <v>146701445.80843556</v>
      </c>
    </row>
    <row r="1638" spans="1:2" x14ac:dyDescent="0.25">
      <c r="A1638">
        <f ca="1">29003.7669644413*((RANDBETWEEN(1620,2416)))</f>
        <v>54672100.727971829</v>
      </c>
      <c r="B1638">
        <v>171587331.69029057</v>
      </c>
    </row>
    <row r="1639" spans="1:2" x14ac:dyDescent="0.25">
      <c r="A1639">
        <f ca="1">26691.1223156073*((RANDBETWEEN(1620,2416)))</f>
        <v>60455392.044850625</v>
      </c>
      <c r="B1639">
        <v>177870081.87434262</v>
      </c>
    </row>
    <row r="1640" spans="1:2" x14ac:dyDescent="0.25">
      <c r="A1640">
        <f ca="1">27806.1414676294*((RANDBETWEEN(1620,2416)))</f>
        <v>56835753.159834579</v>
      </c>
      <c r="B1640">
        <v>147783174.9479754</v>
      </c>
    </row>
    <row r="1641" spans="1:2" x14ac:dyDescent="0.25">
      <c r="A1641">
        <f ca="1">27401.2407154718*((RANDBETWEEN(1620,2416)))</f>
        <v>45047639.736235723</v>
      </c>
      <c r="B1641">
        <v>198251938.31127983</v>
      </c>
    </row>
    <row r="1642" spans="1:2" x14ac:dyDescent="0.25">
      <c r="A1642">
        <f ca="1">26095.7785240669*((RANDBETWEEN(1620,2416)))</f>
        <v>46841922.450700045</v>
      </c>
      <c r="B1642">
        <v>172753332.64523131</v>
      </c>
    </row>
    <row r="1643" spans="1:2" x14ac:dyDescent="0.25">
      <c r="A1643">
        <f ca="1">28453.72874206*((RANDBETWEEN(1620,2416)))</f>
        <v>49594849.197410539</v>
      </c>
      <c r="B1643">
        <v>156164768.62465066</v>
      </c>
    </row>
    <row r="1644" spans="1:2" x14ac:dyDescent="0.25">
      <c r="A1644">
        <f ca="1">27745.5307122874*((RANDBETWEEN(1620,2416)))</f>
        <v>58210123.434378982</v>
      </c>
      <c r="B1644">
        <v>198717912.4871431</v>
      </c>
    </row>
    <row r="1645" spans="1:2" x14ac:dyDescent="0.25">
      <c r="A1645">
        <f ca="1">31632.1698846608*((RANDBETWEEN(1620,2416)))</f>
        <v>75885575.553301334</v>
      </c>
      <c r="B1645">
        <v>201670002.62896061</v>
      </c>
    </row>
    <row r="1646" spans="1:2" x14ac:dyDescent="0.25">
      <c r="A1646">
        <f ca="1">29665.6646440593*((RANDBETWEEN(1620,2416)))</f>
        <v>58085371.373068169</v>
      </c>
      <c r="B1646">
        <v>170882123.59772715</v>
      </c>
    </row>
    <row r="1647" spans="1:2" x14ac:dyDescent="0.25">
      <c r="A1647">
        <f ca="1">26048.3453921861*((RANDBETWEEN(1620,2416)))</f>
        <v>55196443.886042394</v>
      </c>
      <c r="B1647">
        <v>154243135.27920124</v>
      </c>
    </row>
    <row r="1648" spans="1:2" x14ac:dyDescent="0.25">
      <c r="A1648">
        <f ca="1">28612.431528496*((RANDBETWEEN(1620,2416)))</f>
        <v>50386491.921681516</v>
      </c>
      <c r="B1648">
        <v>162427404.75953183</v>
      </c>
    </row>
    <row r="1649" spans="1:2" x14ac:dyDescent="0.25">
      <c r="A1649">
        <f ca="1">31928.8545321692*((RANDBETWEEN(1620,2416)))</f>
        <v>67816887.026327327</v>
      </c>
      <c r="B1649">
        <v>156998881.47117126</v>
      </c>
    </row>
    <row r="1650" spans="1:2" x14ac:dyDescent="0.25">
      <c r="A1650">
        <f ca="1">33058.0935571762*((RANDBETWEEN(1620,2416)))</f>
        <v>78248507.449836105</v>
      </c>
      <c r="B1650">
        <v>160577293.10183221</v>
      </c>
    </row>
    <row r="1651" spans="1:2" x14ac:dyDescent="0.25">
      <c r="A1651">
        <f ca="1">28382.5922682696*((RANDBETWEEN(1620,2416)))</f>
        <v>65166431.847947016</v>
      </c>
      <c r="B1651">
        <v>158195205.42463204</v>
      </c>
    </row>
    <row r="1652" spans="1:2" x14ac:dyDescent="0.25">
      <c r="A1652">
        <f ca="1">28618.5575348342*((RANDBETWEEN(1620,2416)))</f>
        <v>69056579.331554979</v>
      </c>
      <c r="B1652">
        <v>186634207.57103193</v>
      </c>
    </row>
    <row r="1653" spans="1:2" x14ac:dyDescent="0.25">
      <c r="A1653">
        <f ca="1">26668.2529083799*((RANDBETWEEN(1620,2416)))</f>
        <v>44775996.633169919</v>
      </c>
      <c r="B1653">
        <v>170608737.49905202</v>
      </c>
    </row>
    <row r="1654" spans="1:2" x14ac:dyDescent="0.25">
      <c r="A1654">
        <f ca="1">27552.2959279002*((RANDBETWEEN(1620,2416)))</f>
        <v>54525993.641314477</v>
      </c>
      <c r="B1654">
        <v>192394684.48591325</v>
      </c>
    </row>
    <row r="1655" spans="1:2" x14ac:dyDescent="0.25">
      <c r="A1655">
        <f ca="1">31786.633665259*((RANDBETWEEN(1620,2416)))</f>
        <v>60934976.736301452</v>
      </c>
      <c r="B1655">
        <v>160164475.53708601</v>
      </c>
    </row>
    <row r="1656" spans="1:2" x14ac:dyDescent="0.25">
      <c r="A1656">
        <f ca="1">29367.3489553098*((RANDBETWEEN(1620,2416)))</f>
        <v>49249044.198054582</v>
      </c>
      <c r="B1656">
        <v>163805747.86572516</v>
      </c>
    </row>
    <row r="1657" spans="1:2" x14ac:dyDescent="0.25">
      <c r="A1657">
        <f ca="1">26527.4647095568*((RANDBETWEEN(1620,2416)))</f>
        <v>44990580.147408314</v>
      </c>
      <c r="B1657">
        <v>152918816.20728722</v>
      </c>
    </row>
    <row r="1658" spans="1:2" x14ac:dyDescent="0.25">
      <c r="A1658">
        <f ca="1">32758.0309312804*((RANDBETWEEN(1620,2416)))</f>
        <v>53166284.201468043</v>
      </c>
      <c r="B1658">
        <v>176733877.44771406</v>
      </c>
    </row>
    <row r="1659" spans="1:2" x14ac:dyDescent="0.25">
      <c r="A1659">
        <f ca="1">27698.1500612099*((RANDBETWEEN(1620,2416)))</f>
        <v>62625517.288395591</v>
      </c>
      <c r="B1659">
        <v>151653126.69703805</v>
      </c>
    </row>
    <row r="1660" spans="1:2" x14ac:dyDescent="0.25">
      <c r="A1660">
        <f ca="1">32587.7349620702*((RANDBETWEEN(1620,2416)))</f>
        <v>73648281.01427868</v>
      </c>
      <c r="B1660">
        <v>173853734.8369559</v>
      </c>
    </row>
    <row r="1661" spans="1:2" x14ac:dyDescent="0.25">
      <c r="A1661">
        <f ca="1">31179.4482049397*((RANDBETWEEN(1620,2416)))</f>
        <v>70309655.70213908</v>
      </c>
      <c r="B1661">
        <v>182294578.09837699</v>
      </c>
    </row>
    <row r="1662" spans="1:2" x14ac:dyDescent="0.25">
      <c r="A1662">
        <f ca="1">27818.9203757149*((RANDBETWEEN(1620,2416)))</f>
        <v>57807716.540735535</v>
      </c>
      <c r="B1662">
        <v>202310648.29652369</v>
      </c>
    </row>
    <row r="1663" spans="1:2" x14ac:dyDescent="0.25">
      <c r="A1663">
        <f ca="1">29537.7537331812*((RANDBETWEEN(1620,2416)))</f>
        <v>49209897.719479956</v>
      </c>
      <c r="B1663">
        <v>196944369.20353812</v>
      </c>
    </row>
    <row r="1664" spans="1:2" x14ac:dyDescent="0.25">
      <c r="A1664">
        <f ca="1">26736.5375856395*((RANDBETWEEN(1620,2416)))</f>
        <v>58446071.162207849</v>
      </c>
      <c r="B1664">
        <v>179837825.72475418</v>
      </c>
    </row>
    <row r="1665" spans="1:2" x14ac:dyDescent="0.25">
      <c r="A1665">
        <f ca="1">30431.9114266155*((RANDBETWEEN(1620,2416)))</f>
        <v>59129203.901913978</v>
      </c>
      <c r="B1665">
        <v>171362818.16679835</v>
      </c>
    </row>
    <row r="1666" spans="1:2" x14ac:dyDescent="0.25">
      <c r="A1666">
        <f ca="1">26977.8200843862*((RANDBETWEEN(1620,2416)))</f>
        <v>58245113.56218987</v>
      </c>
      <c r="B1666">
        <v>148704820.68038955</v>
      </c>
    </row>
    <row r="1667" spans="1:2" x14ac:dyDescent="0.25">
      <c r="A1667">
        <f ca="1">29061.7944324296*((RANDBETWEEN(1620,2416)))</f>
        <v>65359975.678534135</v>
      </c>
      <c r="B1667">
        <v>203225218.50547791</v>
      </c>
    </row>
    <row r="1668" spans="1:2" x14ac:dyDescent="0.25">
      <c r="A1668">
        <f ca="1">24777.0218899577*((RANDBETWEEN(1620,2416)))</f>
        <v>59142751.251328938</v>
      </c>
      <c r="B1668">
        <v>156321332.56338948</v>
      </c>
    </row>
    <row r="1669" spans="1:2" x14ac:dyDescent="0.25">
      <c r="A1669">
        <f ca="1">31591.043560855*((RANDBETWEEN(1620,2416)))</f>
        <v>56358421.712565325</v>
      </c>
      <c r="B1669">
        <v>145821705.62350842</v>
      </c>
    </row>
    <row r="1670" spans="1:2" x14ac:dyDescent="0.25">
      <c r="A1670">
        <f ca="1">30646.9802841419*((RANDBETWEEN(1620,2416)))</f>
        <v>67913708.309658363</v>
      </c>
      <c r="B1670">
        <v>170919971.61025643</v>
      </c>
    </row>
    <row r="1671" spans="1:2" x14ac:dyDescent="0.25">
      <c r="A1671">
        <f ca="1">33583.6938018453*((RANDBETWEEN(1620,2416)))</f>
        <v>60081228.211501323</v>
      </c>
      <c r="B1671">
        <v>158573894.22388864</v>
      </c>
    </row>
    <row r="1672" spans="1:2" x14ac:dyDescent="0.25">
      <c r="A1672">
        <f ca="1">28571.6815175189*((RANDBETWEEN(1620,2416)))</f>
        <v>56771931.175310016</v>
      </c>
      <c r="B1672">
        <v>186641215.20857754</v>
      </c>
    </row>
    <row r="1673" spans="1:2" x14ac:dyDescent="0.25">
      <c r="A1673">
        <f ca="1">31595.9005627301*((RANDBETWEEN(1620,2416)))</f>
        <v>60506149.57762818</v>
      </c>
      <c r="B1673">
        <v>177218307.20161676</v>
      </c>
    </row>
    <row r="1674" spans="1:2" x14ac:dyDescent="0.25">
      <c r="A1674">
        <f ca="1">26859.0937865582*((RANDBETWEEN(1620,2416)))</f>
        <v>52885555.665733062</v>
      </c>
      <c r="B1674">
        <v>153090663.61711138</v>
      </c>
    </row>
    <row r="1675" spans="1:2" x14ac:dyDescent="0.25">
      <c r="A1675">
        <f ca="1">26158.1383145248*((RANDBETWEEN(1620,2416)))</f>
        <v>57469429.877011068</v>
      </c>
      <c r="B1675">
        <v>143022868.35816392</v>
      </c>
    </row>
    <row r="1676" spans="1:2" x14ac:dyDescent="0.25">
      <c r="A1676">
        <f ca="1">29382.8471394965*((RANDBETWEEN(1620,2416)))</f>
        <v>65053623.566845223</v>
      </c>
      <c r="B1676">
        <v>169909257.9814451</v>
      </c>
    </row>
    <row r="1677" spans="1:2" x14ac:dyDescent="0.25">
      <c r="A1677">
        <f ca="1">26252.4828066396*((RANDBETWEEN(1620,2416)))</f>
        <v>57781714.657413781</v>
      </c>
      <c r="B1677">
        <v>199652088.56023327</v>
      </c>
    </row>
    <row r="1678" spans="1:2" x14ac:dyDescent="0.25">
      <c r="A1678">
        <f ca="1">31953.9136065221*((RANDBETWEEN(1620,2416)))</f>
        <v>57293367.096494049</v>
      </c>
      <c r="B1678">
        <v>185509993.94246385</v>
      </c>
    </row>
    <row r="1679" spans="1:2" x14ac:dyDescent="0.25">
      <c r="A1679">
        <f ca="1">25884.6135657574*((RANDBETWEEN(1620,2416)))</f>
        <v>59068688.157058403</v>
      </c>
      <c r="B1679">
        <v>147256348.35235614</v>
      </c>
    </row>
    <row r="1680" spans="1:2" x14ac:dyDescent="0.25">
      <c r="A1680">
        <f ca="1">27405.4087189629*((RANDBETWEEN(1620,2416)))</f>
        <v>63580548.227993965</v>
      </c>
      <c r="B1680">
        <v>160396703.43526679</v>
      </c>
    </row>
    <row r="1681" spans="1:2" x14ac:dyDescent="0.25">
      <c r="A1681">
        <f ca="1">27309.8630078673*((RANDBETWEEN(1620,2416)))</f>
        <v>46617936.154429488</v>
      </c>
      <c r="B1681">
        <v>174929443.13161039</v>
      </c>
    </row>
    <row r="1682" spans="1:2" x14ac:dyDescent="0.25">
      <c r="A1682">
        <f ca="1">33036.3663910108*((RANDBETWEEN(1620,2416)))</f>
        <v>56789513.826147489</v>
      </c>
      <c r="B1682">
        <v>190272479.93474156</v>
      </c>
    </row>
    <row r="1683" spans="1:2" x14ac:dyDescent="0.25">
      <c r="A1683">
        <f ca="1">26441.5831621718*((RANDBETWEEN(1620,2416)))</f>
        <v>63512682.75553678</v>
      </c>
      <c r="B1683">
        <v>198339573.16873524</v>
      </c>
    </row>
    <row r="1684" spans="1:2" x14ac:dyDescent="0.25">
      <c r="A1684">
        <f ca="1">26014.1251528275*((RANDBETWEEN(1620,2416)))</f>
        <v>48386272.784259208</v>
      </c>
      <c r="B1684">
        <v>148731446.57328427</v>
      </c>
    </row>
    <row r="1685" spans="1:2" x14ac:dyDescent="0.25">
      <c r="A1685">
        <f ca="1">27489.9094118274*((RANDBETWEEN(1620,2416)))</f>
        <v>47090214.822460271</v>
      </c>
      <c r="B1685">
        <v>153914451.7311174</v>
      </c>
    </row>
    <row r="1686" spans="1:2" x14ac:dyDescent="0.25">
      <c r="A1686">
        <f ca="1">32553.9061329227*((RANDBETWEEN(1620,2416)))</f>
        <v>77055095.816627935</v>
      </c>
      <c r="B1686">
        <v>180061701.43276557</v>
      </c>
    </row>
    <row r="1687" spans="1:2" x14ac:dyDescent="0.25">
      <c r="A1687">
        <f ca="1">29204.7497762564*((RANDBETWEEN(1620,2416)))</f>
        <v>59548484.793786846</v>
      </c>
      <c r="B1687">
        <v>185194042.05441886</v>
      </c>
    </row>
    <row r="1688" spans="1:2" x14ac:dyDescent="0.25">
      <c r="A1688">
        <f ca="1">25849.5476492877*((RANDBETWEEN(1620,2416)))</f>
        <v>56739757.090186492</v>
      </c>
      <c r="B1688">
        <v>151276531.49646339</v>
      </c>
    </row>
    <row r="1689" spans="1:2" x14ac:dyDescent="0.25">
      <c r="A1689">
        <f ca="1">27046.55649222*((RANDBETWEEN(1620,2416)))</f>
        <v>52037574.691031359</v>
      </c>
      <c r="B1689">
        <v>176155497.22874087</v>
      </c>
    </row>
    <row r="1690" spans="1:2" x14ac:dyDescent="0.25">
      <c r="A1690">
        <f ca="1">26842.7657683467*((RANDBETWEEN(1620,2416)))</f>
        <v>63912625.294433571</v>
      </c>
      <c r="B1690">
        <v>149008338.16282088</v>
      </c>
    </row>
    <row r="1691" spans="1:2" x14ac:dyDescent="0.25">
      <c r="A1691">
        <f ca="1">29018.0895504154*((RANDBETWEEN(1620,2416)))</f>
        <v>56846437.429263785</v>
      </c>
      <c r="B1691">
        <v>151381518.78173032</v>
      </c>
    </row>
    <row r="1692" spans="1:2" x14ac:dyDescent="0.25">
      <c r="A1692">
        <f ca="1">26038.2508479224*((RANDBETWEEN(1620,2416)))</f>
        <v>44238988.190620199</v>
      </c>
      <c r="B1692">
        <v>155292493.28326881</v>
      </c>
    </row>
    <row r="1693" spans="1:2" x14ac:dyDescent="0.25">
      <c r="A1693">
        <f ca="1">32616.6118210814*((RANDBETWEEN(1620,2416)))</f>
        <v>57307386.969640099</v>
      </c>
      <c r="B1693">
        <v>167989129.12977466</v>
      </c>
    </row>
    <row r="1694" spans="1:2" x14ac:dyDescent="0.25">
      <c r="A1694">
        <f ca="1">27674.9959366376*((RANDBETWEEN(1620,2416)))</f>
        <v>62600840.808674164</v>
      </c>
      <c r="B1694">
        <v>164987970.06346977</v>
      </c>
    </row>
    <row r="1695" spans="1:2" x14ac:dyDescent="0.25">
      <c r="A1695">
        <f ca="1">26277.2530491828*((RANDBETWEEN(1620,2416)))</f>
        <v>46090301.848266698</v>
      </c>
      <c r="B1695">
        <v>158065266.95884532</v>
      </c>
    </row>
    <row r="1696" spans="1:2" x14ac:dyDescent="0.25">
      <c r="A1696">
        <f ca="1">28079.2815365601*((RANDBETWEEN(1620,2416)))</f>
        <v>52058987.968782462</v>
      </c>
      <c r="B1696">
        <v>201946305.38263628</v>
      </c>
    </row>
    <row r="1697" spans="1:2" x14ac:dyDescent="0.25">
      <c r="A1697">
        <f ca="1">29734.7048203069*((RANDBETWEEN(1620,2416)))</f>
        <v>62353676.008183584</v>
      </c>
      <c r="B1697">
        <v>184291515.65123212</v>
      </c>
    </row>
    <row r="1698" spans="1:2" x14ac:dyDescent="0.25">
      <c r="A1698">
        <f ca="1">26934.0919390809*((RANDBETWEEN(1620,2416)))</f>
        <v>49855004.179238819</v>
      </c>
      <c r="B1698">
        <v>144762522.08189082</v>
      </c>
    </row>
    <row r="1699" spans="1:2" x14ac:dyDescent="0.25">
      <c r="A1699">
        <f ca="1">26594.6383502014*((RANDBETWEEN(1620,2416)))</f>
        <v>58135879.433540255</v>
      </c>
      <c r="B1699">
        <v>154399034.55292064</v>
      </c>
    </row>
    <row r="1700" spans="1:2" x14ac:dyDescent="0.25">
      <c r="A1700">
        <f ca="1">28221.8424923792*((RANDBETWEEN(1620,2416)))</f>
        <v>57318562.102022171</v>
      </c>
      <c r="B1700">
        <v>173990127.82527387</v>
      </c>
    </row>
    <row r="1701" spans="1:2" x14ac:dyDescent="0.25">
      <c r="A1701">
        <f ca="1">25921.9027303588*((RANDBETWEEN(1620,2416)))</f>
        <v>53399119.624539219</v>
      </c>
      <c r="B1701">
        <v>145809952.31950045</v>
      </c>
    </row>
    <row r="1702" spans="1:2" x14ac:dyDescent="0.25">
      <c r="A1702">
        <f ca="1">25855.8635284521*((RANDBETWEEN(1620,2416)))</f>
        <v>46230283.988872416</v>
      </c>
      <c r="B1702">
        <v>188206682.47956288</v>
      </c>
    </row>
    <row r="1703" spans="1:2" x14ac:dyDescent="0.25">
      <c r="A1703">
        <f ca="1">30942.1821028021*((RANDBETWEEN(1620,2416)))</f>
        <v>55169910.689296193</v>
      </c>
      <c r="B1703">
        <v>184772015.66646919</v>
      </c>
    </row>
    <row r="1704" spans="1:2" x14ac:dyDescent="0.25">
      <c r="A1704">
        <f ca="1">26491.2386499368*((RANDBETWEEN(1620,2416)))</f>
        <v>50094932.287030473</v>
      </c>
      <c r="B1704">
        <v>146486828.21607032</v>
      </c>
    </row>
    <row r="1705" spans="1:2" x14ac:dyDescent="0.25">
      <c r="A1705">
        <f ca="1">28048.6373561544*((RANDBETWEEN(1620,2416)))</f>
        <v>48748531.724996343</v>
      </c>
      <c r="B1705">
        <v>163074488.54122192</v>
      </c>
    </row>
    <row r="1706" spans="1:2" x14ac:dyDescent="0.25">
      <c r="A1706">
        <f ca="1">28125.9960590082*((RANDBETWEEN(1620,2416)))</f>
        <v>48770477.166320249</v>
      </c>
      <c r="B1706">
        <v>162202084.27524173</v>
      </c>
    </row>
    <row r="1707" spans="1:2" x14ac:dyDescent="0.25">
      <c r="A1707">
        <f ca="1">25463.1276653374*((RANDBETWEEN(1620,2416)))</f>
        <v>48099848.159822442</v>
      </c>
      <c r="B1707">
        <v>145206516.1333836</v>
      </c>
    </row>
    <row r="1708" spans="1:2" x14ac:dyDescent="0.25">
      <c r="A1708">
        <f ca="1">29324.3227849373*((RANDBETWEEN(1620,2416)))</f>
        <v>64806753.354711451</v>
      </c>
      <c r="B1708">
        <v>144640775.24547717</v>
      </c>
    </row>
    <row r="1709" spans="1:2" x14ac:dyDescent="0.25">
      <c r="A1709">
        <f ca="1">27194.7814315609*((RANDBETWEEN(1620,2416)))</f>
        <v>51642889.93853417</v>
      </c>
      <c r="B1709">
        <v>156440712.2825757</v>
      </c>
    </row>
    <row r="1710" spans="1:2" x14ac:dyDescent="0.25">
      <c r="A1710">
        <f ca="1">26511.9493892615*((RANDBETWEEN(1620,2416)))</f>
        <v>51353645.966999508</v>
      </c>
      <c r="B1710">
        <v>155715526.66385937</v>
      </c>
    </row>
    <row r="1711" spans="1:2" x14ac:dyDescent="0.25">
      <c r="A1711">
        <f ca="1">26422.1288583281*((RANDBETWEEN(1620,2416)))</f>
        <v>44521287.126282863</v>
      </c>
      <c r="B1711">
        <v>188977371.85781616</v>
      </c>
    </row>
    <row r="1712" spans="1:2" x14ac:dyDescent="0.25">
      <c r="A1712">
        <f ca="1">28694.5758592653*((RANDBETWEEN(1620,2416)))</f>
        <v>50014645.722699352</v>
      </c>
      <c r="B1712">
        <v>179313923.20557779</v>
      </c>
    </row>
    <row r="1713" spans="1:2" x14ac:dyDescent="0.25">
      <c r="A1713">
        <f ca="1">27265.5091115064*((RANDBETWEEN(1620,2416)))</f>
        <v>63937618.866482608</v>
      </c>
      <c r="B1713">
        <v>179681350.57994407</v>
      </c>
    </row>
    <row r="1714" spans="1:2" x14ac:dyDescent="0.25">
      <c r="A1714">
        <f ca="1">27436.1365667424*((RANDBETWEEN(1620,2416)))</f>
        <v>48122983.538066156</v>
      </c>
      <c r="B1714">
        <v>143366202.51602516</v>
      </c>
    </row>
    <row r="1715" spans="1:2" x14ac:dyDescent="0.25">
      <c r="A1715">
        <f ca="1">27978.290330881*((RANDBETWEEN(1620,2416)))</f>
        <v>64601872.374004282</v>
      </c>
      <c r="B1715">
        <v>157623277.56114519</v>
      </c>
    </row>
    <row r="1716" spans="1:2" x14ac:dyDescent="0.25">
      <c r="A1716">
        <f ca="1">26788.6609107169*((RANDBETWEEN(1620,2416)))</f>
        <v>52559352.706826583</v>
      </c>
      <c r="B1716">
        <v>162493528.48355258</v>
      </c>
    </row>
    <row r="1717" spans="1:2" x14ac:dyDescent="0.25">
      <c r="A1717">
        <f ca="1">27423.4719373548*((RANDBETWEEN(1620,2416)))</f>
        <v>45001917.449199207</v>
      </c>
      <c r="B1717">
        <v>146423769.69117275</v>
      </c>
    </row>
    <row r="1718" spans="1:2" x14ac:dyDescent="0.25">
      <c r="A1718">
        <f ca="1">27091.0346376637*((RANDBETWEEN(1620,2416)))</f>
        <v>45729666.468376294</v>
      </c>
      <c r="B1718">
        <v>163935623.50720751</v>
      </c>
    </row>
    <row r="1719" spans="1:2" x14ac:dyDescent="0.25">
      <c r="A1719">
        <f ca="1">25583.9970059256*((RANDBETWEEN(1620,2416)))</f>
        <v>51577337.963945985</v>
      </c>
      <c r="B1719">
        <v>197490419.50759548</v>
      </c>
    </row>
    <row r="1720" spans="1:2" x14ac:dyDescent="0.25">
      <c r="A1720">
        <f ca="1">26195.8239362232*((RANDBETWEEN(1620,2416)))</f>
        <v>60957682.299591303</v>
      </c>
      <c r="B1720">
        <v>152922243.81490389</v>
      </c>
    </row>
    <row r="1721" spans="1:2" x14ac:dyDescent="0.25">
      <c r="A1721">
        <f ca="1">25770.5386491489*((RANDBETWEEN(1620,2416)))</f>
        <v>49324810.974471025</v>
      </c>
      <c r="B1721">
        <v>144111611.40351275</v>
      </c>
    </row>
    <row r="1722" spans="1:2" x14ac:dyDescent="0.25">
      <c r="A1722">
        <f ca="1">25550.4902389155*((RANDBETWEEN(1620,2416)))</f>
        <v>41826152.521104716</v>
      </c>
      <c r="B1722">
        <v>196440470.36875764</v>
      </c>
    </row>
    <row r="1723" spans="1:2" x14ac:dyDescent="0.25">
      <c r="A1723">
        <f ca="1">26551.1447126061*((RANDBETWEEN(1620,2416)))</f>
        <v>52332306.22854653</v>
      </c>
      <c r="B1723">
        <v>148361321.8406066</v>
      </c>
    </row>
    <row r="1724" spans="1:2" x14ac:dyDescent="0.25">
      <c r="A1724">
        <f ca="1">26205.0993570052*((RANDBETWEEN(1620,2416)))</f>
        <v>48977330.698242679</v>
      </c>
      <c r="B1724">
        <v>166587198.17655903</v>
      </c>
    </row>
    <row r="1725" spans="1:2" x14ac:dyDescent="0.25">
      <c r="A1725">
        <f ca="1">31080.0454073519*((RANDBETWEEN(1620,2416)))</f>
        <v>63123572.22233171</v>
      </c>
      <c r="B1725">
        <v>174754452.56220353</v>
      </c>
    </row>
    <row r="1726" spans="1:2" x14ac:dyDescent="0.25">
      <c r="A1726">
        <f ca="1">26805.4762464792*((RANDBETWEEN(1620,2416)))</f>
        <v>45542504.142768227</v>
      </c>
      <c r="B1726">
        <v>143461310.99462706</v>
      </c>
    </row>
    <row r="1727" spans="1:2" x14ac:dyDescent="0.25">
      <c r="A1727">
        <f ca="1">26673.4704758193*((RANDBETWEEN(1620,2416)))</f>
        <v>50066104.083112888</v>
      </c>
      <c r="B1727">
        <v>154793011.54479057</v>
      </c>
    </row>
    <row r="1728" spans="1:2" x14ac:dyDescent="0.25">
      <c r="A1728">
        <f ca="1">30006.4295937043*((RANDBETWEEN(1620,2416)))</f>
        <v>64243765.76012101</v>
      </c>
      <c r="B1728">
        <v>183462822.37783876</v>
      </c>
    </row>
    <row r="1729" spans="1:2" x14ac:dyDescent="0.25">
      <c r="A1729">
        <f ca="1">28296.605691483*((RANDBETWEEN(1620,2416)))</f>
        <v>55602830.183764018</v>
      </c>
      <c r="B1729">
        <v>143656743.80304727</v>
      </c>
    </row>
    <row r="1730" spans="1:2" x14ac:dyDescent="0.25">
      <c r="A1730">
        <f ca="1">31932.1669689546*((RANDBETWEEN(1620,2416)))</f>
        <v>66578568.130270392</v>
      </c>
      <c r="B1730">
        <v>197240734.00257105</v>
      </c>
    </row>
    <row r="1731" spans="1:2" x14ac:dyDescent="0.25">
      <c r="A1731">
        <f ca="1">27070.4925691702*((RANDBETWEEN(1620,2416)))</f>
        <v>59013673.80079107</v>
      </c>
      <c r="B1731">
        <v>152511339.49035859</v>
      </c>
    </row>
    <row r="1732" spans="1:2" x14ac:dyDescent="0.25">
      <c r="A1732">
        <f ca="1">29339.3965513728*((RANDBETWEEN(1620,2416)))</f>
        <v>60703211.464790352</v>
      </c>
      <c r="B1732">
        <v>149139056.772477</v>
      </c>
    </row>
    <row r="1733" spans="1:2" x14ac:dyDescent="0.25">
      <c r="A1733">
        <f ca="1">26686.280373558*((RANDBETWEEN(1620,2416)))</f>
        <v>44219166.578985669</v>
      </c>
      <c r="B1733">
        <v>162309105.11720747</v>
      </c>
    </row>
    <row r="1734" spans="1:2" x14ac:dyDescent="0.25">
      <c r="A1734">
        <f ca="1">26172.611012589*((RANDBETWEEN(1620,2416)))</f>
        <v>44388748.277351029</v>
      </c>
      <c r="B1734">
        <v>150200671.75318432</v>
      </c>
    </row>
    <row r="1735" spans="1:2" x14ac:dyDescent="0.25">
      <c r="A1735">
        <f ca="1">32852.9659966393*((RANDBETWEEN(1620,2416)))</f>
        <v>68794110.796962678</v>
      </c>
      <c r="B1735">
        <v>202809913.85514891</v>
      </c>
    </row>
    <row r="1736" spans="1:2" x14ac:dyDescent="0.25">
      <c r="A1736">
        <f ca="1">27724.8994007047*((RANDBETWEEN(1620,2416)))</f>
        <v>49045347.039846577</v>
      </c>
      <c r="B1736">
        <v>174502369.50011802</v>
      </c>
    </row>
    <row r="1737" spans="1:2" x14ac:dyDescent="0.25">
      <c r="A1737">
        <f ca="1">26294.6926335466*((RANDBETWEEN(1620,2416)))</f>
        <v>59531184.12234953</v>
      </c>
      <c r="B1737">
        <v>142995443.06253976</v>
      </c>
    </row>
    <row r="1738" spans="1:2" x14ac:dyDescent="0.25">
      <c r="A1738">
        <f ca="1">25256.326679901*((RANDBETWEEN(1620,2416)))</f>
        <v>53922257.461588718</v>
      </c>
      <c r="B1738">
        <v>193993162.39352089</v>
      </c>
    </row>
    <row r="1739" spans="1:2" x14ac:dyDescent="0.25">
      <c r="A1739">
        <f ca="1">29323.7179134747*((RANDBETWEEN(1620,2416)))</f>
        <v>50788679.426138155</v>
      </c>
      <c r="B1739">
        <v>146629579.8002744</v>
      </c>
    </row>
    <row r="1740" spans="1:2" x14ac:dyDescent="0.25">
      <c r="A1740">
        <f ca="1">26771.5807481449*((RANDBETWEEN(1620,2416)))</f>
        <v>59888026.133600168</v>
      </c>
      <c r="B1740">
        <v>161758004.64168987</v>
      </c>
    </row>
    <row r="1741" spans="1:2" x14ac:dyDescent="0.25">
      <c r="A1741">
        <f ca="1">27292.0160451029*((RANDBETWEEN(1620,2416)))</f>
        <v>51500034.277109213</v>
      </c>
      <c r="B1741">
        <v>152924207.14821801</v>
      </c>
    </row>
    <row r="1742" spans="1:2" x14ac:dyDescent="0.25">
      <c r="A1742">
        <f ca="1">28229.7316700106*((RANDBETWEEN(1620,2416)))</f>
        <v>57983868.850201756</v>
      </c>
      <c r="B1742">
        <v>191950588.75069606</v>
      </c>
    </row>
    <row r="1743" spans="1:2" x14ac:dyDescent="0.25">
      <c r="A1743">
        <f ca="1">26471.0532249556*((RANDBETWEEN(1620,2416)))</f>
        <v>58924564.478751145</v>
      </c>
      <c r="B1743">
        <v>157504241.0604552</v>
      </c>
    </row>
    <row r="1744" spans="1:2" x14ac:dyDescent="0.25">
      <c r="A1744">
        <f ca="1">27766.7537882493*((RANDBETWEEN(1620,2416)))</f>
        <v>52145963.614332139</v>
      </c>
      <c r="B1744">
        <v>160074896.9111276</v>
      </c>
    </row>
    <row r="1745" spans="1:2" x14ac:dyDescent="0.25">
      <c r="A1745">
        <f ca="1">30229.1440006003*((RANDBETWEEN(1620,2416)))</f>
        <v>57526061.033142321</v>
      </c>
      <c r="B1745">
        <v>198641541.25390366</v>
      </c>
    </row>
    <row r="1746" spans="1:2" x14ac:dyDescent="0.25">
      <c r="A1746">
        <f ca="1">27578.9385560006*((RANDBETWEEN(1620,2416)))</f>
        <v>54606298.340881273</v>
      </c>
      <c r="B1746">
        <v>144348430.08449018</v>
      </c>
    </row>
    <row r="1747" spans="1:2" x14ac:dyDescent="0.25">
      <c r="A1747">
        <f ca="1">29931.6708832887*((RANDBETWEEN(1620,2416)))</f>
        <v>70548948.271911561</v>
      </c>
      <c r="B1747">
        <v>179849163.91947323</v>
      </c>
    </row>
    <row r="1748" spans="1:2" x14ac:dyDescent="0.25">
      <c r="A1748">
        <f ca="1">25446.9226960765*((RANDBETWEEN(1620,2416)))</f>
        <v>61276189.852152273</v>
      </c>
      <c r="B1748">
        <v>149433204.19773686</v>
      </c>
    </row>
    <row r="1749" spans="1:2" x14ac:dyDescent="0.25">
      <c r="A1749">
        <f ca="1">29163.5854904066*((RANDBETWEEN(1620,2416)))</f>
        <v>60397785.550632082</v>
      </c>
      <c r="B1749">
        <v>191969714.44187373</v>
      </c>
    </row>
    <row r="1750" spans="1:2" x14ac:dyDescent="0.25">
      <c r="A1750">
        <f ca="1">26231.2900887738*((RANDBETWEEN(1620,2416)))</f>
        <v>58181001.416900247</v>
      </c>
      <c r="B1750">
        <v>162214260.4740946</v>
      </c>
    </row>
    <row r="1751" spans="1:2" x14ac:dyDescent="0.25">
      <c r="A1751">
        <f ca="1">28188.3793665639*((RANDBETWEEN(1620,2416)))</f>
        <v>58321756.909420684</v>
      </c>
      <c r="B1751">
        <v>192770456.56681642</v>
      </c>
    </row>
    <row r="1752" spans="1:2" x14ac:dyDescent="0.25">
      <c r="A1752">
        <f ca="1">31144.2856075197*((RANDBETWEEN(1620,2416)))</f>
        <v>67987975.481215596</v>
      </c>
      <c r="B1752">
        <v>162416032.42345247</v>
      </c>
    </row>
    <row r="1753" spans="1:2" x14ac:dyDescent="0.25">
      <c r="A1753">
        <f ca="1">26808.9877982929*((RANDBETWEEN(1620,2416)))</f>
        <v>59301481.009823889</v>
      </c>
      <c r="B1753">
        <v>150232610.83769816</v>
      </c>
    </row>
    <row r="1754" spans="1:2" x14ac:dyDescent="0.25">
      <c r="A1754">
        <f ca="1">27187.9526208971*((RANDBETWEEN(1620,2416)))</f>
        <v>58127842.703477986</v>
      </c>
      <c r="B1754">
        <v>166139317.64709458</v>
      </c>
    </row>
    <row r="1755" spans="1:2" x14ac:dyDescent="0.25">
      <c r="A1755">
        <f ca="1">26439.8145088122*((RANDBETWEEN(1620,2416)))</f>
        <v>43467055.052487195</v>
      </c>
      <c r="B1755">
        <v>161596191.33870536</v>
      </c>
    </row>
    <row r="1756" spans="1:2" x14ac:dyDescent="0.25">
      <c r="A1756">
        <f ca="1">26780.9965258233*((RANDBETWEEN(1620,2416)))</f>
        <v>44001177.291927695</v>
      </c>
      <c r="B1756">
        <v>202672415.66535228</v>
      </c>
    </row>
    <row r="1757" spans="1:2" x14ac:dyDescent="0.25">
      <c r="A1757">
        <f ca="1">29241.0757547534*((RANDBETWEEN(1620,2416)))</f>
        <v>50265409.222421013</v>
      </c>
      <c r="B1757">
        <v>154739190.19628859</v>
      </c>
    </row>
    <row r="1758" spans="1:2" x14ac:dyDescent="0.25">
      <c r="A1758">
        <f ca="1">27546.6142358018*((RANDBETWEEN(1620,2416)))</f>
        <v>64486623.926012076</v>
      </c>
      <c r="B1758">
        <v>152185545.18074581</v>
      </c>
    </row>
    <row r="1759" spans="1:2" x14ac:dyDescent="0.25">
      <c r="A1759">
        <f ca="1">28390.8493297748*((RANDBETWEEN(1620,2416)))</f>
        <v>51018356.24560529</v>
      </c>
      <c r="B1759">
        <v>185608262.93998551</v>
      </c>
    </row>
    <row r="1760" spans="1:2" x14ac:dyDescent="0.25">
      <c r="A1760">
        <f ca="1">27437.6255645248*((RANDBETWEEN(1620,2416)))</f>
        <v>47988407.112353936</v>
      </c>
      <c r="B1760">
        <v>165355259.84831491</v>
      </c>
    </row>
    <row r="1761" spans="1:2" x14ac:dyDescent="0.25">
      <c r="A1761">
        <f ca="1">26254.5601782811*((RANDBETWEEN(1620,2416)))</f>
        <v>62643380.585378677</v>
      </c>
      <c r="B1761">
        <v>186709645.99990043</v>
      </c>
    </row>
    <row r="1762" spans="1:2" x14ac:dyDescent="0.25">
      <c r="A1762">
        <f ca="1">25925.9844349069*((RANDBETWEEN(1620,2416)))</f>
        <v>47366773.562574886</v>
      </c>
      <c r="B1762">
        <v>176690920.76252985</v>
      </c>
    </row>
    <row r="1763" spans="1:2" x14ac:dyDescent="0.25">
      <c r="A1763">
        <f ca="1">25756.9595330861*((RANDBETWEEN(1620,2416)))</f>
        <v>57953158.949443661</v>
      </c>
      <c r="B1763">
        <v>188865823.72728235</v>
      </c>
    </row>
    <row r="1764" spans="1:2" x14ac:dyDescent="0.25">
      <c r="A1764">
        <f ca="1">30197.2094696498*((RANDBETWEEN(1620,2416)))</f>
        <v>50399142.604845569</v>
      </c>
      <c r="B1764">
        <v>202977608.33237946</v>
      </c>
    </row>
    <row r="1765" spans="1:2" x14ac:dyDescent="0.25">
      <c r="A1765">
        <f ca="1">26349.1851759258*((RANDBETWEEN(1620,2416)))</f>
        <v>55122495.388036706</v>
      </c>
      <c r="B1765">
        <v>172857756.03125384</v>
      </c>
    </row>
    <row r="1766" spans="1:2" x14ac:dyDescent="0.25">
      <c r="A1766">
        <f ca="1">27848.9337725549*((RANDBETWEEN(1620,2416)))</f>
        <v>49320461.711194813</v>
      </c>
      <c r="B1766">
        <v>170150466.86437646</v>
      </c>
    </row>
    <row r="1767" spans="1:2" x14ac:dyDescent="0.25">
      <c r="A1767">
        <f ca="1">26949.0632574709*((RANDBETWEEN(1620,2416)))</f>
        <v>55299477.804330409</v>
      </c>
      <c r="B1767">
        <v>180801372.16814929</v>
      </c>
    </row>
    <row r="1768" spans="1:2" x14ac:dyDescent="0.25">
      <c r="A1768">
        <f ca="1">26879.139152002*((RANDBETWEEN(1620,2416)))</f>
        <v>61365074.684020586</v>
      </c>
      <c r="B1768">
        <v>193140007.85465679</v>
      </c>
    </row>
    <row r="1769" spans="1:2" x14ac:dyDescent="0.25">
      <c r="A1769">
        <f ca="1">32359.6787816247*((RANDBETWEEN(1620,2416)))</f>
        <v>59768326.709660836</v>
      </c>
      <c r="B1769">
        <v>177546047.71311706</v>
      </c>
    </row>
    <row r="1770" spans="1:2" x14ac:dyDescent="0.25">
      <c r="A1770">
        <f ca="1">27337.7880044883*((RANDBETWEEN(1620,2416)))</f>
        <v>56835261.261331111</v>
      </c>
      <c r="B1770">
        <v>174328011.80981505</v>
      </c>
    </row>
    <row r="1771" spans="1:2" x14ac:dyDescent="0.25">
      <c r="A1771">
        <f ca="1">32954.4830271968*((RANDBETWEEN(1620,2416)))</f>
        <v>58131708.059975147</v>
      </c>
      <c r="B1771">
        <v>170120123.25900918</v>
      </c>
    </row>
    <row r="1772" spans="1:2" x14ac:dyDescent="0.25">
      <c r="A1772">
        <f ca="1">26469.1320286651*((RANDBETWEEN(1620,2416)))</f>
        <v>53308831.905731492</v>
      </c>
      <c r="B1772">
        <v>165347764.74773997</v>
      </c>
    </row>
    <row r="1773" spans="1:2" x14ac:dyDescent="0.25">
      <c r="A1773">
        <f ca="1">28037.1659221258*((RANDBETWEEN(1620,2416)))</f>
        <v>50354749.996137902</v>
      </c>
      <c r="B1773">
        <v>158754269.80093217</v>
      </c>
    </row>
    <row r="1774" spans="1:2" x14ac:dyDescent="0.25">
      <c r="A1774">
        <f ca="1">27831.4296232369*((RANDBETWEEN(1620,2416)))</f>
        <v>62036256.630194955</v>
      </c>
      <c r="B1774">
        <v>166162518.30977738</v>
      </c>
    </row>
    <row r="1775" spans="1:2" x14ac:dyDescent="0.25">
      <c r="A1775">
        <f ca="1">30269.1357190057*((RANDBETWEEN(1620,2416)))</f>
        <v>71435160.296853438</v>
      </c>
      <c r="B1775">
        <v>183291871.22503421</v>
      </c>
    </row>
    <row r="1776" spans="1:2" x14ac:dyDescent="0.25">
      <c r="A1776">
        <f ca="1">31900.9645591643*((RANDBETWEEN(1620,2416)))</f>
        <v>68012856.440138265</v>
      </c>
      <c r="B1776">
        <v>184690174.12029234</v>
      </c>
    </row>
    <row r="1777" spans="1:2" x14ac:dyDescent="0.25">
      <c r="A1777">
        <f ca="1">27866.6822199607*((RANDBETWEEN(1620,2416)))</f>
        <v>60331367.006214879</v>
      </c>
      <c r="B1777">
        <v>147634029.96617165</v>
      </c>
    </row>
    <row r="1778" spans="1:2" x14ac:dyDescent="0.25">
      <c r="A1778">
        <f ca="1">26300.9309506687*((RANDBETWEEN(1620,2416)))</f>
        <v>45342804.958952881</v>
      </c>
      <c r="B1778">
        <v>144482298.61837471</v>
      </c>
    </row>
    <row r="1779" spans="1:2" x14ac:dyDescent="0.25">
      <c r="A1779">
        <f ca="1">26499.1886509695*((RANDBETWEEN(1620,2416)))</f>
        <v>58086221.522925198</v>
      </c>
      <c r="B1779">
        <v>190778511.69377714</v>
      </c>
    </row>
    <row r="1780" spans="1:2" x14ac:dyDescent="0.25">
      <c r="A1780">
        <f ca="1">24101.0660486458*((RANDBETWEEN(1620,2416)))</f>
        <v>53407962.36379908</v>
      </c>
      <c r="B1780">
        <v>144377358.53111354</v>
      </c>
    </row>
    <row r="1781" spans="1:2" x14ac:dyDescent="0.25">
      <c r="A1781">
        <f ca="1">30190.8665323546*((RANDBETWEEN(1620,2416)))</f>
        <v>69348420.424818441</v>
      </c>
      <c r="B1781">
        <v>174756458.20283502</v>
      </c>
    </row>
    <row r="1782" spans="1:2" x14ac:dyDescent="0.25">
      <c r="A1782">
        <f ca="1">26750.7902084108*((RANDBETWEEN(1620,2416)))</f>
        <v>56711675.241830841</v>
      </c>
      <c r="B1782">
        <v>156350369.80026025</v>
      </c>
    </row>
    <row r="1783" spans="1:2" x14ac:dyDescent="0.25">
      <c r="A1783">
        <f ca="1">26449.362712475*((RANDBETWEEN(1620,2416)))</f>
        <v>47053416.265493102</v>
      </c>
      <c r="B1783">
        <v>150040326.44770899</v>
      </c>
    </row>
    <row r="1784" spans="1:2" x14ac:dyDescent="0.25">
      <c r="A1784">
        <f ca="1">28303.5465022219*((RANDBETWEEN(1620,2416)))</f>
        <v>62579141.316412643</v>
      </c>
      <c r="B1784">
        <v>156827752.04957452</v>
      </c>
    </row>
    <row r="1785" spans="1:2" x14ac:dyDescent="0.25">
      <c r="A1785">
        <f ca="1">30671.8075021017*((RANDBETWEEN(1620,2416)))</f>
        <v>54197083.856213741</v>
      </c>
      <c r="B1785">
        <v>187741616.01395229</v>
      </c>
    </row>
    <row r="1786" spans="1:2" x14ac:dyDescent="0.25">
      <c r="A1786">
        <f ca="1">26420.7843774421*((RANDBETWEEN(1620,2416)))</f>
        <v>52947251.892394014</v>
      </c>
      <c r="B1786">
        <v>150641177.71889538</v>
      </c>
    </row>
    <row r="1787" spans="1:2" x14ac:dyDescent="0.25">
      <c r="A1787">
        <f ca="1">26079.934249625*((RANDBETWEEN(1620,2416)))</f>
        <v>44492367.829860277</v>
      </c>
      <c r="B1787">
        <v>156550715.84150332</v>
      </c>
    </row>
    <row r="1788" spans="1:2" x14ac:dyDescent="0.25">
      <c r="A1788">
        <f ca="1">27959.134424231*((RANDBETWEEN(1620,2416)))</f>
        <v>46076653.531132631</v>
      </c>
      <c r="B1788">
        <v>200233759.29270369</v>
      </c>
    </row>
    <row r="1789" spans="1:2" x14ac:dyDescent="0.25">
      <c r="A1789">
        <f ca="1">28265.6692657785*((RANDBETWEEN(1620,2416)))</f>
        <v>61477830.653068319</v>
      </c>
      <c r="B1789">
        <v>156657806.93450862</v>
      </c>
    </row>
    <row r="1790" spans="1:2" x14ac:dyDescent="0.25">
      <c r="A1790">
        <f ca="1">25016.4522044131*((RANDBETWEEN(1620,2416)))</f>
        <v>58913744.941392854</v>
      </c>
      <c r="B1790">
        <v>143784110.02930015</v>
      </c>
    </row>
    <row r="1791" spans="1:2" x14ac:dyDescent="0.25">
      <c r="A1791">
        <f ca="1">27524.1645361685*((RANDBETWEEN(1620,2416)))</f>
        <v>54222604.136251979</v>
      </c>
      <c r="B1791">
        <v>162267431.69793946</v>
      </c>
    </row>
    <row r="1792" spans="1:2" x14ac:dyDescent="0.25">
      <c r="A1792">
        <f ca="1">26319.1796739038*((RANDBETWEEN(1620,2416)))</f>
        <v>48006183.725200601</v>
      </c>
      <c r="B1792">
        <v>143875621.54666504</v>
      </c>
    </row>
    <row r="1793" spans="1:2" x14ac:dyDescent="0.25">
      <c r="A1793">
        <f ca="1">26339.6347809321*((RANDBETWEEN(1620,2416)))</f>
        <v>60818216.709172331</v>
      </c>
      <c r="B1793">
        <v>160331523.73289362</v>
      </c>
    </row>
    <row r="1794" spans="1:2" x14ac:dyDescent="0.25">
      <c r="A1794">
        <f ca="1">25890.9729385999*((RANDBETWEEN(1620,2416)))</f>
        <v>44066435.941497073</v>
      </c>
      <c r="B1794">
        <v>152846031.00816754</v>
      </c>
    </row>
    <row r="1795" spans="1:2" x14ac:dyDescent="0.25">
      <c r="A1795">
        <f ca="1">27538.4866665263*((RANDBETWEEN(1620,2416)))</f>
        <v>65541598.266332507</v>
      </c>
      <c r="B1795">
        <v>192855945.08697063</v>
      </c>
    </row>
    <row r="1796" spans="1:2" x14ac:dyDescent="0.25">
      <c r="A1796">
        <f ca="1">32443.5010249651*((RANDBETWEEN(1620,2416)))</f>
        <v>62778174.483307548</v>
      </c>
      <c r="B1796">
        <v>153151597.68486753</v>
      </c>
    </row>
    <row r="1797" spans="1:2" x14ac:dyDescent="0.25">
      <c r="A1797">
        <f ca="1">26936.6952582211*((RANDBETWEEN(1620,2416)))</f>
        <v>52795922.706113398</v>
      </c>
      <c r="B1797">
        <v>152558128.48907387</v>
      </c>
    </row>
    <row r="1798" spans="1:2" x14ac:dyDescent="0.25">
      <c r="A1798">
        <f ca="1">26402.1987862614*((RANDBETWEEN(1620,2416)))</f>
        <v>51616298.627141073</v>
      </c>
      <c r="B1798">
        <v>153330537.65843439</v>
      </c>
    </row>
    <row r="1799" spans="1:2" x14ac:dyDescent="0.25">
      <c r="A1799">
        <f ca="1">28576.6392262114*((RANDBETWEEN(1620,2416)))</f>
        <v>47923023.982356474</v>
      </c>
      <c r="B1799">
        <v>180572253.42622411</v>
      </c>
    </row>
    <row r="1800" spans="1:2" x14ac:dyDescent="0.25">
      <c r="A1800">
        <f ca="1">27272.9092230268*((RANDBETWEEN(1620,2416)))</f>
        <v>53373083.34946353</v>
      </c>
      <c r="B1800">
        <v>191640248.94966531</v>
      </c>
    </row>
    <row r="1801" spans="1:2" x14ac:dyDescent="0.25">
      <c r="A1801">
        <f ca="1">27585.2126120162*((RANDBETWEEN(1620,2416)))</f>
        <v>46315571.975575276</v>
      </c>
      <c r="B1801">
        <v>184435977.89772385</v>
      </c>
    </row>
    <row r="1802" spans="1:2" x14ac:dyDescent="0.25">
      <c r="A1802">
        <f ca="1">30096.4276570478*((RANDBETWEEN(1620,2416)))</f>
        <v>61456905.275691591</v>
      </c>
      <c r="B1802">
        <v>178882213.94605777</v>
      </c>
    </row>
    <row r="1803" spans="1:2" x14ac:dyDescent="0.25">
      <c r="A1803">
        <f ca="1">31202.9017463864*((RANDBETWEEN(1620,2416)))</f>
        <v>61064078.71767813</v>
      </c>
      <c r="B1803">
        <v>154290532.55358943</v>
      </c>
    </row>
    <row r="1804" spans="1:2" x14ac:dyDescent="0.25">
      <c r="A1804">
        <f ca="1">27974.8548445471*((RANDBETWEEN(1620,2416)))</f>
        <v>52564752.252904028</v>
      </c>
      <c r="B1804">
        <v>163215448.69740805</v>
      </c>
    </row>
    <row r="1805" spans="1:2" x14ac:dyDescent="0.25">
      <c r="A1805">
        <f ca="1">27549.4497676058*((RANDBETWEEN(1620,2416)))</f>
        <v>48294185.442613028</v>
      </c>
      <c r="B1805">
        <v>169717452.39197287</v>
      </c>
    </row>
    <row r="1806" spans="1:2" x14ac:dyDescent="0.25">
      <c r="A1806">
        <f ca="1">29283.7430151445*((RANDBETWEEN(1620,2416)))</f>
        <v>64453518.376333117</v>
      </c>
      <c r="B1806">
        <v>183279987.9563694</v>
      </c>
    </row>
    <row r="1807" spans="1:2" x14ac:dyDescent="0.25">
      <c r="A1807">
        <f ca="1">31349.5452004213*((RANDBETWEEN(1620,2416)))</f>
        <v>61758604.044830032</v>
      </c>
      <c r="B1807">
        <v>173276925.9750323</v>
      </c>
    </row>
    <row r="1808" spans="1:2" x14ac:dyDescent="0.25">
      <c r="A1808">
        <f ca="1">29545.7234728357*((RANDBETWEEN(1620,2416)))</f>
        <v>68634715.627397269</v>
      </c>
      <c r="B1808">
        <v>157635290.95354617</v>
      </c>
    </row>
    <row r="1809" spans="1:2" x14ac:dyDescent="0.25">
      <c r="A1809">
        <f ca="1">28949.1585248189*((RANDBETWEEN(1620,2416)))</f>
        <v>52340078.612872615</v>
      </c>
      <c r="B1809">
        <v>190890529.98597369</v>
      </c>
    </row>
    <row r="1810" spans="1:2" x14ac:dyDescent="0.25">
      <c r="A1810">
        <f ca="1">27650.355822067*((RANDBETWEEN(1620,2416)))</f>
        <v>64701832.6236367</v>
      </c>
      <c r="B1810">
        <v>152600919.4687573</v>
      </c>
    </row>
    <row r="1811" spans="1:2" x14ac:dyDescent="0.25">
      <c r="A1811">
        <f ca="1">28559.4379646311*((RANDBETWEEN(1620,2416)))</f>
        <v>63658987.223162621</v>
      </c>
      <c r="B1811">
        <v>156320907.37307212</v>
      </c>
    </row>
    <row r="1812" spans="1:2" x14ac:dyDescent="0.25">
      <c r="A1812">
        <f ca="1">31155.5907973706*((RANDBETWEEN(1620,2416)))</f>
        <v>63027760.183080666</v>
      </c>
      <c r="B1812">
        <v>165491651.12658006</v>
      </c>
    </row>
    <row r="1813" spans="1:2" x14ac:dyDescent="0.25">
      <c r="A1813">
        <f ca="1">26551.7674990513*((RANDBETWEEN(1620,2416)))</f>
        <v>47899388.568288505</v>
      </c>
      <c r="B1813">
        <v>148404470.54099035</v>
      </c>
    </row>
    <row r="1814" spans="1:2" x14ac:dyDescent="0.25">
      <c r="A1814">
        <f ca="1">26566.9716890804*((RANDBETWEEN(1620,2416)))</f>
        <v>51938429.65215227</v>
      </c>
      <c r="B1814">
        <v>163003557.19792545</v>
      </c>
    </row>
    <row r="1815" spans="1:2" x14ac:dyDescent="0.25">
      <c r="A1815">
        <f ca="1">26578.4856919642*((RANDBETWEEN(1620,2416)))</f>
        <v>45635259.933102585</v>
      </c>
      <c r="B1815">
        <v>173194991.08348739</v>
      </c>
    </row>
    <row r="1816" spans="1:2" x14ac:dyDescent="0.25">
      <c r="A1816">
        <f ca="1">25696.1674303465*((RANDBETWEEN(1620,2416)))</f>
        <v>60720043.637908705</v>
      </c>
      <c r="B1816">
        <v>148341142.52086613</v>
      </c>
    </row>
    <row r="1817" spans="1:2" x14ac:dyDescent="0.25">
      <c r="A1817">
        <f ca="1">28191.3148134664*((RANDBETWEEN(1620,2416)))</f>
        <v>65967676.663511284</v>
      </c>
      <c r="B1817">
        <v>149619239.0077056</v>
      </c>
    </row>
    <row r="1818" spans="1:2" x14ac:dyDescent="0.25">
      <c r="A1818">
        <f ca="1">26566.3931758933*((RANDBETWEEN(1620,2416)))</f>
        <v>58313233.021085888</v>
      </c>
      <c r="B1818">
        <v>160154782.30846661</v>
      </c>
    </row>
    <row r="1819" spans="1:2" x14ac:dyDescent="0.25">
      <c r="A1819">
        <f ca="1">32658.9070572536*((RANDBETWEEN(1620,2416)))</f>
        <v>67114054.002656072</v>
      </c>
      <c r="B1819">
        <v>178103193.81189799</v>
      </c>
    </row>
    <row r="1820" spans="1:2" x14ac:dyDescent="0.25">
      <c r="A1820">
        <f ca="1">26667.354412248*((RANDBETWEEN(1620,2416)))</f>
        <v>57388146.695157647</v>
      </c>
      <c r="B1820">
        <v>147182061.57889566</v>
      </c>
    </row>
    <row r="1821" spans="1:2" x14ac:dyDescent="0.25">
      <c r="A1821">
        <f ca="1">25844.7934752969*((RANDBETWEEN(1620,2416)))</f>
        <v>52542465.13527862</v>
      </c>
      <c r="B1821">
        <v>173248858.68649986</v>
      </c>
    </row>
    <row r="1822" spans="1:2" x14ac:dyDescent="0.25">
      <c r="A1822">
        <f ca="1">28746.5655159684*((RANDBETWEEN(1620,2416)))</f>
        <v>64248573.928189367</v>
      </c>
      <c r="B1822">
        <v>173540886.25539994</v>
      </c>
    </row>
    <row r="1823" spans="1:2" x14ac:dyDescent="0.25">
      <c r="A1823">
        <f ca="1">28906.9999958107*((RANDBETWEEN(1620,2416)))</f>
        <v>47349665.993137918</v>
      </c>
      <c r="B1823">
        <v>164738559.1488972</v>
      </c>
    </row>
    <row r="1824" spans="1:2" x14ac:dyDescent="0.25">
      <c r="A1824">
        <f ca="1">27349.2687791181*((RANDBETWEEN(1620,2416)))</f>
        <v>49939764.790669627</v>
      </c>
      <c r="B1824">
        <v>152687356.76915833</v>
      </c>
    </row>
    <row r="1825" spans="1:2" x14ac:dyDescent="0.25">
      <c r="A1825">
        <f ca="1">31996.3342484265*((RANDBETWEEN(1620,2416)))</f>
        <v>53561863.53186588</v>
      </c>
      <c r="B1825">
        <v>186803948.55777594</v>
      </c>
    </row>
    <row r="1826" spans="1:2" x14ac:dyDescent="0.25">
      <c r="A1826">
        <f ca="1">25964.1859438549*((RANDBETWEEN(1620,2416)))</f>
        <v>56939459.774873808</v>
      </c>
      <c r="B1826">
        <v>145937805.61396939</v>
      </c>
    </row>
    <row r="1827" spans="1:2" x14ac:dyDescent="0.25">
      <c r="A1827">
        <f ca="1">34322.3403771584*((RANDBETWEEN(1620,2416)))</f>
        <v>68232812.669791073</v>
      </c>
      <c r="B1827">
        <v>184461484.76246807</v>
      </c>
    </row>
    <row r="1828" spans="1:2" x14ac:dyDescent="0.25">
      <c r="A1828">
        <f ca="1">26498.184546077*((RANDBETWEEN(1620,2416)))</f>
        <v>46795793.908371963</v>
      </c>
      <c r="B1828">
        <v>167808283.99637118</v>
      </c>
    </row>
    <row r="1829" spans="1:2" x14ac:dyDescent="0.25">
      <c r="A1829">
        <f ca="1">30925.5530981064*((RANDBETWEEN(1620,2416)))</f>
        <v>71283399.891135156</v>
      </c>
      <c r="B1829">
        <v>199668360.96767563</v>
      </c>
    </row>
    <row r="1830" spans="1:2" x14ac:dyDescent="0.25">
      <c r="A1830">
        <f ca="1">30114.1196144391*((RANDBETWEEN(1620,2416)))</f>
        <v>71611376.4431362</v>
      </c>
      <c r="B1830">
        <v>158366605.77198595</v>
      </c>
    </row>
    <row r="1831" spans="1:2" x14ac:dyDescent="0.25">
      <c r="A1831">
        <f ca="1">27295.5468631118*((RANDBETWEEN(1620,2416)))</f>
        <v>64826923.799890459</v>
      </c>
      <c r="B1831">
        <v>178480609.657965</v>
      </c>
    </row>
    <row r="1832" spans="1:2" x14ac:dyDescent="0.25">
      <c r="A1832">
        <f ca="1">26817.9140979271*((RANDBETWEEN(1620,2416)))</f>
        <v>44115468.691090025</v>
      </c>
      <c r="B1832">
        <v>158517211.31967032</v>
      </c>
    </row>
    <row r="1833" spans="1:2" x14ac:dyDescent="0.25">
      <c r="A1833">
        <f ca="1">31489.1573486292*((RANDBETWEEN(1620,2416)))</f>
        <v>61939172.504753612</v>
      </c>
      <c r="B1833">
        <v>186298121.23395199</v>
      </c>
    </row>
    <row r="1834" spans="1:2" x14ac:dyDescent="0.25">
      <c r="A1834">
        <f ca="1">26373.4825084486*((RANDBETWEEN(1620,2416)))</f>
        <v>53960145.212285742</v>
      </c>
      <c r="B1834">
        <v>162056910.36157429</v>
      </c>
    </row>
    <row r="1835" spans="1:2" x14ac:dyDescent="0.25">
      <c r="A1835">
        <f ca="1">29726.3514545648*((RANDBETWEEN(1620,2416)))</f>
        <v>49910544.092214227</v>
      </c>
      <c r="B1835">
        <v>201250428.83711213</v>
      </c>
    </row>
    <row r="1836" spans="1:2" x14ac:dyDescent="0.25">
      <c r="A1836">
        <f ca="1">26985.3047349931*((RANDBETWEEN(1620,2416)))</f>
        <v>44282885.070123687</v>
      </c>
      <c r="B1836">
        <v>178619976.53704917</v>
      </c>
    </row>
    <row r="1837" spans="1:2" x14ac:dyDescent="0.25">
      <c r="A1837">
        <f ca="1">27831.2554293455*((RANDBETWEEN(1620,2416)))</f>
        <v>51626978.821435921</v>
      </c>
      <c r="B1837">
        <v>188621947.67148685</v>
      </c>
    </row>
    <row r="1838" spans="1:2" x14ac:dyDescent="0.25">
      <c r="A1838">
        <f ca="1">26884.3193856519*((RANDBETWEEN(1620,2416)))</f>
        <v>54225672.200859852</v>
      </c>
      <c r="B1838">
        <v>192363459.58172926</v>
      </c>
    </row>
    <row r="1839" spans="1:2" x14ac:dyDescent="0.25">
      <c r="A1839">
        <f ca="1">27711.6919281017*((RANDBETWEEN(1620,2416)))</f>
        <v>66923736.006365679</v>
      </c>
      <c r="B1839">
        <v>144010505.34563655</v>
      </c>
    </row>
    <row r="1840" spans="1:2" x14ac:dyDescent="0.25">
      <c r="A1840">
        <f ca="1">26753.7310225579*((RANDBETWEEN(1620,2416)))</f>
        <v>54524103.82397303</v>
      </c>
      <c r="B1840">
        <v>157837841.70284286</v>
      </c>
    </row>
    <row r="1841" spans="1:2" x14ac:dyDescent="0.25">
      <c r="A1841">
        <f ca="1">24717.8257850746*((RANDBETWEEN(1620,2416)))</f>
        <v>47853710.719904453</v>
      </c>
      <c r="B1841">
        <v>147902146.24917597</v>
      </c>
    </row>
    <row r="1842" spans="1:2" x14ac:dyDescent="0.25">
      <c r="A1842">
        <f ca="1">32003.598317909*((RANDBETWEEN(1620,2416)))</f>
        <v>67527592.45078811</v>
      </c>
      <c r="B1842">
        <v>157506624.96789604</v>
      </c>
    </row>
    <row r="1843" spans="1:2" x14ac:dyDescent="0.25">
      <c r="A1843">
        <f ca="1">29273.1979555729*((RANDBETWEEN(1620,2416)))</f>
        <v>52925941.903675757</v>
      </c>
      <c r="B1843">
        <v>169514651.53144681</v>
      </c>
    </row>
    <row r="1844" spans="1:2" x14ac:dyDescent="0.25">
      <c r="A1844">
        <f ca="1">29276.8644233805*((RANDBETWEEN(1620,2416)))</f>
        <v>53840153.67459669</v>
      </c>
      <c r="B1844">
        <v>148927183.87048706</v>
      </c>
    </row>
    <row r="1845" spans="1:2" x14ac:dyDescent="0.25">
      <c r="A1845">
        <f ca="1">31806.6231810093*((RANDBETWEEN(1620,2416)))</f>
        <v>57442761.464902729</v>
      </c>
      <c r="B1845">
        <v>188213157.06859666</v>
      </c>
    </row>
    <row r="1846" spans="1:2" x14ac:dyDescent="0.25">
      <c r="A1846">
        <f ca="1">27823.5998486654*((RANDBETWEEN(1620,2416)))</f>
        <v>61990980.462826505</v>
      </c>
      <c r="B1846">
        <v>160306939.28359574</v>
      </c>
    </row>
    <row r="1847" spans="1:2" x14ac:dyDescent="0.25">
      <c r="A1847">
        <f ca="1">29550.1611312097*((RANDBETWEEN(1620,2416)))</f>
        <v>67403917.540289283</v>
      </c>
      <c r="B1847">
        <v>174515050.75270745</v>
      </c>
    </row>
    <row r="1848" spans="1:2" x14ac:dyDescent="0.25">
      <c r="A1848">
        <f ca="1">26523.3322275264*((RANDBETWEEN(1620,2416)))</f>
        <v>59067460.870701276</v>
      </c>
      <c r="B1848">
        <v>173570617.43540496</v>
      </c>
    </row>
    <row r="1849" spans="1:2" x14ac:dyDescent="0.25">
      <c r="A1849">
        <f ca="1">28222.4744042447*((RANDBETWEEN(1620,2416)))</f>
        <v>59013193.979275599</v>
      </c>
      <c r="B1849">
        <v>154024389.01456907</v>
      </c>
    </row>
    <row r="1850" spans="1:2" x14ac:dyDescent="0.25">
      <c r="A1850">
        <f ca="1">26574.8460052978*((RANDBETWEEN(1620,2416)))</f>
        <v>55727452.07310956</v>
      </c>
      <c r="B1850">
        <v>173356169.98140123</v>
      </c>
    </row>
    <row r="1851" spans="1:2" x14ac:dyDescent="0.25">
      <c r="A1851">
        <f ca="1">27341.2287759794*((RANDBETWEEN(1620,2416)))</f>
        <v>52768571.537640296</v>
      </c>
      <c r="B1851">
        <v>156765734.22514904</v>
      </c>
    </row>
    <row r="1852" spans="1:2" x14ac:dyDescent="0.25">
      <c r="A1852">
        <f ca="1">25898.0834853246*((RANDBETWEEN(1620,2416)))</f>
        <v>52236434.389899813</v>
      </c>
      <c r="B1852">
        <v>149024766.99369049</v>
      </c>
    </row>
    <row r="1853" spans="1:2" x14ac:dyDescent="0.25">
      <c r="A1853">
        <f ca="1">26467.7665997677*((RANDBETWEEN(1620,2416)))</f>
        <v>63363833.23984395</v>
      </c>
      <c r="B1853">
        <v>199993436.01307252</v>
      </c>
    </row>
    <row r="1854" spans="1:2" x14ac:dyDescent="0.25">
      <c r="A1854">
        <f ca="1">26361.1727542555*((RANDBETWEEN(1620,2416)))</f>
        <v>53671347.727664188</v>
      </c>
      <c r="B1854">
        <v>145749682.86303842</v>
      </c>
    </row>
    <row r="1855" spans="1:2" x14ac:dyDescent="0.25">
      <c r="A1855">
        <f ca="1">28074.559538216*((RANDBETWEEN(1620,2416)))</f>
        <v>59377693.423326887</v>
      </c>
      <c r="B1855">
        <v>188727458.53773859</v>
      </c>
    </row>
    <row r="1856" spans="1:2" x14ac:dyDescent="0.25">
      <c r="A1856">
        <f ca="1">27008.5255872996*((RANDBETWEEN(1620,2416)))</f>
        <v>46643723.689266361</v>
      </c>
      <c r="B1856">
        <v>172254322.21609557</v>
      </c>
    </row>
    <row r="1857" spans="1:2" x14ac:dyDescent="0.25">
      <c r="A1857">
        <f ca="1">26907.803609885*((RANDBETWEEN(1620,2416)))</f>
        <v>58336118.226230741</v>
      </c>
      <c r="B1857">
        <v>151212507.00214875</v>
      </c>
    </row>
    <row r="1858" spans="1:2" x14ac:dyDescent="0.25">
      <c r="A1858">
        <f ca="1">29376.2025611459*((RANDBETWEEN(1620,2416)))</f>
        <v>56578566.132766992</v>
      </c>
      <c r="B1858">
        <v>192876895.94694749</v>
      </c>
    </row>
    <row r="1859" spans="1:2" x14ac:dyDescent="0.25">
      <c r="A1859">
        <f ca="1">30071.23987511*((RANDBETWEEN(1620,2416)))</f>
        <v>62548178.940228775</v>
      </c>
      <c r="B1859">
        <v>164607821.78164712</v>
      </c>
    </row>
    <row r="1860" spans="1:2" x14ac:dyDescent="0.25">
      <c r="A1860">
        <f ca="1">32985.0873067954*((RANDBETWEEN(1620,2416)))</f>
        <v>62506740.44637733</v>
      </c>
      <c r="B1860">
        <v>181337403.16511595</v>
      </c>
    </row>
    <row r="1861" spans="1:2" x14ac:dyDescent="0.25">
      <c r="A1861">
        <f ca="1">25514.726273551*((RANDBETWEEN(1620,2416)))</f>
        <v>42992313.770933434</v>
      </c>
      <c r="B1861">
        <v>166648078.3059389</v>
      </c>
    </row>
    <row r="1862" spans="1:2" x14ac:dyDescent="0.25">
      <c r="A1862">
        <f ca="1">25335.6955777113*((RANDBETWEEN(1620,2416)))</f>
        <v>47909800.337452039</v>
      </c>
      <c r="B1862">
        <v>157629755.86505699</v>
      </c>
    </row>
    <row r="1863" spans="1:2" x14ac:dyDescent="0.25">
      <c r="A1863">
        <f ca="1">32304.7054892755*((RANDBETWEEN(1620,2416)))</f>
        <v>61055893.374730676</v>
      </c>
      <c r="B1863">
        <v>174577634.9269914</v>
      </c>
    </row>
    <row r="1864" spans="1:2" x14ac:dyDescent="0.25">
      <c r="A1864">
        <f ca="1">26954.9553800206*((RANDBETWEEN(1620,2416)))</f>
        <v>62265946.927847505</v>
      </c>
      <c r="B1864">
        <v>202591237.76280248</v>
      </c>
    </row>
    <row r="1865" spans="1:2" x14ac:dyDescent="0.25">
      <c r="A1865">
        <f ca="1">31142.125329722*((RANDBETWEEN(1620,2416)))</f>
        <v>51073085.540744133</v>
      </c>
      <c r="B1865">
        <v>192260751.44036683</v>
      </c>
    </row>
    <row r="1866" spans="1:2" x14ac:dyDescent="0.25">
      <c r="A1866">
        <f ca="1">27365.0805228031*((RANDBETWEEN(1620,2416)))</f>
        <v>44851366.976874217</v>
      </c>
      <c r="B1866">
        <v>155205729.53909537</v>
      </c>
    </row>
    <row r="1867" spans="1:2" x14ac:dyDescent="0.25">
      <c r="A1867">
        <f ca="1">27231.8481599092*((RANDBETWEEN(1620,2416)))</f>
        <v>47546806.887201428</v>
      </c>
      <c r="B1867">
        <v>151895431.91728914</v>
      </c>
    </row>
    <row r="1868" spans="1:2" x14ac:dyDescent="0.25">
      <c r="A1868">
        <f ca="1">26404.5794911893*((RANDBETWEEN(1620,2416)))</f>
        <v>63661441.153257288</v>
      </c>
      <c r="B1868">
        <v>182198823.76023525</v>
      </c>
    </row>
    <row r="1869" spans="1:2" x14ac:dyDescent="0.25">
      <c r="A1869">
        <f ca="1">27455.2748507844*((RANDBETWEEN(1620,2416)))</f>
        <v>64300253.700537167</v>
      </c>
      <c r="B1869">
        <v>187782100.00178647</v>
      </c>
    </row>
    <row r="1870" spans="1:2" x14ac:dyDescent="0.25">
      <c r="A1870">
        <f ca="1">26711.0905151677*((RANDBETWEEN(1620,2416)))</f>
        <v>63118306.887341179</v>
      </c>
      <c r="B1870">
        <v>172436864.10218942</v>
      </c>
    </row>
    <row r="1871" spans="1:2" x14ac:dyDescent="0.25">
      <c r="A1871">
        <f ca="1">27757.4403100212*((RANDBETWEEN(1620,2416)))</f>
        <v>65035682.646379657</v>
      </c>
      <c r="B1871">
        <v>157670456.11240676</v>
      </c>
    </row>
    <row r="1872" spans="1:2" x14ac:dyDescent="0.25">
      <c r="A1872">
        <f ca="1">28808.377879679*((RANDBETWEEN(1620,2416)))</f>
        <v>51278912.625828654</v>
      </c>
      <c r="B1872">
        <v>166758507.28204995</v>
      </c>
    </row>
    <row r="1873" spans="1:2" x14ac:dyDescent="0.25">
      <c r="A1873">
        <f ca="1">27579.1577918552*((RANDBETWEEN(1620,2416)))</f>
        <v>64755862.495275974</v>
      </c>
      <c r="B1873">
        <v>202271298.42588148</v>
      </c>
    </row>
    <row r="1874" spans="1:2" x14ac:dyDescent="0.25">
      <c r="A1874">
        <f ca="1">26962.6996966281*((RANDBETWEEN(1620,2416)))</f>
        <v>53332219.999930456</v>
      </c>
      <c r="B1874">
        <v>159060107.50867873</v>
      </c>
    </row>
    <row r="1875" spans="1:2" x14ac:dyDescent="0.25">
      <c r="A1875">
        <f ca="1">28397.7160011066*((RANDBETWEEN(1620,2416)))</f>
        <v>49468821.273927718</v>
      </c>
      <c r="B1875">
        <v>180902878.27801999</v>
      </c>
    </row>
    <row r="1876" spans="1:2" x14ac:dyDescent="0.25">
      <c r="A1876">
        <f ca="1">27219.5322929123*((RANDBETWEEN(1620,2416)))</f>
        <v>63639266.500828944</v>
      </c>
      <c r="B1876">
        <v>162730778.11498743</v>
      </c>
    </row>
    <row r="1877" spans="1:2" x14ac:dyDescent="0.25">
      <c r="A1877">
        <f ca="1">26567.350236934*((RANDBETWEEN(1620,2416)))</f>
        <v>58634141.972913317</v>
      </c>
      <c r="B1877">
        <v>177082926.80208898</v>
      </c>
    </row>
    <row r="1878" spans="1:2" x14ac:dyDescent="0.25">
      <c r="A1878">
        <f ca="1">27150.0563026245*((RANDBETWEEN(1620,2416)))</f>
        <v>50852055.454815671</v>
      </c>
      <c r="B1878">
        <v>186717133.38064536</v>
      </c>
    </row>
    <row r="1879" spans="1:2" x14ac:dyDescent="0.25">
      <c r="A1879">
        <f ca="1">25692.5898570685*((RANDBETWEEN(1620,2416)))</f>
        <v>41776151.10759332</v>
      </c>
      <c r="B1879">
        <v>194783512.51797473</v>
      </c>
    </row>
    <row r="1880" spans="1:2" x14ac:dyDescent="0.25">
      <c r="A1880">
        <f ca="1">26640.2564871353*((RANDBETWEEN(1620,2416)))</f>
        <v>60793065.303642668</v>
      </c>
      <c r="B1880">
        <v>142922534.71277547</v>
      </c>
    </row>
    <row r="1881" spans="1:2" x14ac:dyDescent="0.25">
      <c r="A1881">
        <f ca="1">31020.8872128096*((RANDBETWEEN(1620,2416)))</f>
        <v>59467040.78695596</v>
      </c>
      <c r="B1881">
        <v>198212407.92805162</v>
      </c>
    </row>
    <row r="1882" spans="1:2" x14ac:dyDescent="0.25">
      <c r="A1882">
        <f ca="1">25883.285419903*((RANDBETWEEN(1620,2416)))</f>
        <v>43898052.072155476</v>
      </c>
      <c r="B1882">
        <v>156857945.99643981</v>
      </c>
    </row>
    <row r="1883" spans="1:2" x14ac:dyDescent="0.25">
      <c r="A1883">
        <f ca="1">24826.2881954253*((RANDBETWEEN(1620,2416)))</f>
        <v>43917703.817707337</v>
      </c>
      <c r="B1883">
        <v>165958742.44716734</v>
      </c>
    </row>
    <row r="1884" spans="1:2" x14ac:dyDescent="0.25">
      <c r="A1884">
        <f ca="1">25848.1174773334*((RANDBETWEEN(1620,2416)))</f>
        <v>59502366.432821587</v>
      </c>
      <c r="B1884">
        <v>151708162.72800294</v>
      </c>
    </row>
    <row r="1885" spans="1:2" x14ac:dyDescent="0.25">
      <c r="A1885">
        <f ca="1">31019.0145427101*((RANDBETWEEN(1620,2416)))</f>
        <v>57757405.078526236</v>
      </c>
      <c r="B1885">
        <v>202581295.35217091</v>
      </c>
    </row>
    <row r="1886" spans="1:2" x14ac:dyDescent="0.25">
      <c r="A1886">
        <f ca="1">31190.983993747*((RANDBETWEEN(1620,2416)))</f>
        <v>53211818.693332426</v>
      </c>
      <c r="B1886">
        <v>161826416.11467847</v>
      </c>
    </row>
    <row r="1887" spans="1:2" x14ac:dyDescent="0.25">
      <c r="A1887">
        <f ca="1">28395.5372725407*((RANDBETWEEN(1620,2416)))</f>
        <v>47761293.692413464</v>
      </c>
      <c r="B1887">
        <v>201232679.04740086</v>
      </c>
    </row>
    <row r="1888" spans="1:2" x14ac:dyDescent="0.25">
      <c r="A1888">
        <f ca="1">27473.9539122164*((RANDBETWEEN(1620,2416)))</f>
        <v>58382152.063459828</v>
      </c>
      <c r="B1888">
        <v>151658009.88029242</v>
      </c>
    </row>
    <row r="1889" spans="1:2" x14ac:dyDescent="0.25">
      <c r="A1889">
        <f ca="1">32952.9119903719*((RANDBETWEEN(1620,2416)))</f>
        <v>64093413.821273394</v>
      </c>
      <c r="B1889">
        <v>201998866.15087861</v>
      </c>
    </row>
    <row r="1890" spans="1:2" x14ac:dyDescent="0.25">
      <c r="A1890">
        <f ca="1">25771.6392254983*((RANDBETWEEN(1620,2416)))</f>
        <v>60357179.066117093</v>
      </c>
      <c r="B1890">
        <v>152326506.65529919</v>
      </c>
    </row>
    <row r="1891" spans="1:2" x14ac:dyDescent="0.25">
      <c r="A1891">
        <f ca="1">26303.2761386409*((RANDBETWEEN(1620,2416)))</f>
        <v>47950872.400742434</v>
      </c>
      <c r="B1891">
        <v>161061175.35922974</v>
      </c>
    </row>
    <row r="1892" spans="1:2" x14ac:dyDescent="0.25">
      <c r="A1892">
        <f ca="1">29985.5665560757*((RANDBETWEEN(1620,2416)))</f>
        <v>54393817.732721351</v>
      </c>
      <c r="B1892">
        <v>202175011.45430899</v>
      </c>
    </row>
    <row r="1893" spans="1:2" x14ac:dyDescent="0.25">
      <c r="A1893">
        <f ca="1">26063.8617334243*((RANDBETWEEN(1620,2416)))</f>
        <v>57392623.537000284</v>
      </c>
      <c r="B1893">
        <v>148198038.73695019</v>
      </c>
    </row>
    <row r="1894" spans="1:2" x14ac:dyDescent="0.25">
      <c r="A1894">
        <f ca="1">25700.3119920851*((RANDBETWEEN(1620,2416)))</f>
        <v>58699512.589922331</v>
      </c>
      <c r="B1894">
        <v>152592639.77927366</v>
      </c>
    </row>
    <row r="1895" spans="1:2" x14ac:dyDescent="0.25">
      <c r="A1895">
        <f ca="1">31223.8101793214*((RANDBETWEEN(1620,2416)))</f>
        <v>68161577.62145862</v>
      </c>
      <c r="B1895">
        <v>171171826.89601541</v>
      </c>
    </row>
    <row r="1896" spans="1:2" x14ac:dyDescent="0.25">
      <c r="A1896">
        <f ca="1">32098.6152025703*((RANDBETWEEN(1620,2416)))</f>
        <v>64646611.017976612</v>
      </c>
      <c r="B1896">
        <v>165803585.23372948</v>
      </c>
    </row>
    <row r="1897" spans="1:2" x14ac:dyDescent="0.25">
      <c r="A1897">
        <f ca="1">27768.3061890937*((RANDBETWEEN(1620,2416)))</f>
        <v>45873241.824382819</v>
      </c>
      <c r="B1897">
        <v>160713458.02114686</v>
      </c>
    </row>
    <row r="1898" spans="1:2" x14ac:dyDescent="0.25">
      <c r="A1898">
        <f ca="1">30789.5347580474*((RANDBETWEEN(1620,2416)))</f>
        <v>61024857.890449882</v>
      </c>
      <c r="B1898">
        <v>166437176.1134063</v>
      </c>
    </row>
    <row r="1899" spans="1:2" x14ac:dyDescent="0.25">
      <c r="A1899">
        <f ca="1">26725.4539657451*((RANDBETWEEN(1620,2416)))</f>
        <v>47517857.15109472</v>
      </c>
      <c r="B1899">
        <v>146568866.28918725</v>
      </c>
    </row>
    <row r="1900" spans="1:2" x14ac:dyDescent="0.25">
      <c r="A1900">
        <f ca="1">30742.6834133038*((RANDBETWEEN(1620,2416)))</f>
        <v>66158254.705429778</v>
      </c>
      <c r="B1900">
        <v>160775327.92345101</v>
      </c>
    </row>
    <row r="1901" spans="1:2" x14ac:dyDescent="0.25">
      <c r="A1901">
        <f ca="1">29032.8989533169*((RANDBETWEEN(1620,2416)))</f>
        <v>68866036.317267627</v>
      </c>
      <c r="B1901">
        <v>189314004.91627938</v>
      </c>
    </row>
    <row r="1902" spans="1:2" x14ac:dyDescent="0.25">
      <c r="A1902">
        <f ca="1">27120.8564490277*((RANDBETWEEN(1620,2416)))</f>
        <v>49061629.316291191</v>
      </c>
      <c r="B1902">
        <v>149731090.74791032</v>
      </c>
    </row>
    <row r="1903" spans="1:2" x14ac:dyDescent="0.25">
      <c r="A1903">
        <f ca="1">30983.965983351*((RANDBETWEEN(1620,2416)))</f>
        <v>65407152.19085402</v>
      </c>
      <c r="B1903">
        <v>192730122.23914516</v>
      </c>
    </row>
    <row r="1904" spans="1:2" x14ac:dyDescent="0.25">
      <c r="A1904">
        <f ca="1">26757.1376608523*((RANDBETWEEN(1620,2416)))</f>
        <v>57848931.622762613</v>
      </c>
      <c r="B1904">
        <v>150967048.97579172</v>
      </c>
    </row>
    <row r="1905" spans="1:2" x14ac:dyDescent="0.25">
      <c r="A1905">
        <f ca="1">26245.3039850469*((RANDBETWEEN(1620,2416)))</f>
        <v>55745025.664239548</v>
      </c>
      <c r="B1905">
        <v>168844554.60631835</v>
      </c>
    </row>
    <row r="1906" spans="1:2" x14ac:dyDescent="0.25">
      <c r="A1906">
        <f ca="1">26657.1943599517*((RANDBETWEEN(1620,2416)))</f>
        <v>44437542.998039544</v>
      </c>
      <c r="B1906">
        <v>159661038.85796466</v>
      </c>
    </row>
    <row r="1907" spans="1:2" x14ac:dyDescent="0.25">
      <c r="A1907">
        <f ca="1">27763.8217087064*((RANDBETWEEN(1620,2416)))</f>
        <v>62413071.201171972</v>
      </c>
      <c r="B1907">
        <v>168133472.01436964</v>
      </c>
    </row>
    <row r="1908" spans="1:2" x14ac:dyDescent="0.25">
      <c r="A1908">
        <f ca="1">30634.3447667439*((RANDBETWEEN(1620,2416)))</f>
        <v>55968947.888841137</v>
      </c>
      <c r="B1908">
        <v>154677120.42781684</v>
      </c>
    </row>
    <row r="1909" spans="1:2" x14ac:dyDescent="0.25">
      <c r="A1909">
        <f ca="1">26927.4297229785*((RANDBETWEEN(1620,2416)))</f>
        <v>61259902.61977604</v>
      </c>
      <c r="B1909">
        <v>153688992.63543108</v>
      </c>
    </row>
    <row r="1910" spans="1:2" x14ac:dyDescent="0.25">
      <c r="A1910">
        <f ca="1">27053.8009703444*((RANDBETWEEN(1620,2416)))</f>
        <v>45152793.819504723</v>
      </c>
      <c r="B1910">
        <v>151478751.19489595</v>
      </c>
    </row>
    <row r="1911" spans="1:2" x14ac:dyDescent="0.25">
      <c r="A1911">
        <f ca="1">29877.6182312263*((RANDBETWEEN(1620,2416)))</f>
        <v>67672805.293727532</v>
      </c>
      <c r="B1911">
        <v>158995265.18885139</v>
      </c>
    </row>
    <row r="1912" spans="1:2" x14ac:dyDescent="0.25">
      <c r="A1912">
        <f ca="1">26473.4837835473*((RANDBETWEEN(1620,2416)))</f>
        <v>50034884.35090436</v>
      </c>
      <c r="B1912">
        <v>165278259.85508603</v>
      </c>
    </row>
    <row r="1913" spans="1:2" x14ac:dyDescent="0.25">
      <c r="A1913">
        <f ca="1">25471.3972353689*((RANDBETWEEN(1620,2416)))</f>
        <v>42384404.999653809</v>
      </c>
      <c r="B1913">
        <v>169232780.74775189</v>
      </c>
    </row>
    <row r="1914" spans="1:2" x14ac:dyDescent="0.25">
      <c r="A1914">
        <f ca="1">27869.9255151556*((RANDBETWEEN(1620,2416)))</f>
        <v>53064338.180856176</v>
      </c>
      <c r="B1914">
        <v>178120426.21920192</v>
      </c>
    </row>
    <row r="1915" spans="1:2" x14ac:dyDescent="0.25">
      <c r="A1915">
        <f ca="1">30043.6901194785*((RANDBETWEEN(1620,2416)))</f>
        <v>53447724.722552262</v>
      </c>
      <c r="B1915">
        <v>195319956.69010395</v>
      </c>
    </row>
    <row r="1916" spans="1:2" x14ac:dyDescent="0.25">
      <c r="A1916">
        <f ca="1">30393.4193809207*((RANDBETWEEN(1620,2416)))</f>
        <v>56227825.854703315</v>
      </c>
      <c r="B1916">
        <v>202400859.31334594</v>
      </c>
    </row>
    <row r="1917" spans="1:2" x14ac:dyDescent="0.25">
      <c r="A1917">
        <f ca="1">30671.9390532614*((RANDBETWEEN(1620,2416)))</f>
        <v>61435893.923682496</v>
      </c>
      <c r="B1917">
        <v>168959666.49606848</v>
      </c>
    </row>
    <row r="1918" spans="1:2" x14ac:dyDescent="0.25">
      <c r="A1918">
        <f ca="1">27255.5676036956*((RANDBETWEEN(1620,2416)))</f>
        <v>58599470.347945489</v>
      </c>
      <c r="B1918">
        <v>156515125.3505677</v>
      </c>
    </row>
    <row r="1919" spans="1:2" x14ac:dyDescent="0.25">
      <c r="A1919">
        <f ca="1">27732.5453728576*((RANDBETWEEN(1620,2416)))</f>
        <v>66142120.714265302</v>
      </c>
      <c r="B1919">
        <v>177237837.65360719</v>
      </c>
    </row>
    <row r="1920" spans="1:2" x14ac:dyDescent="0.25">
      <c r="A1920">
        <f ca="1">26202.8015574333*((RANDBETWEEN(1620,2416)))</f>
        <v>44728182.258538716</v>
      </c>
      <c r="B1920">
        <v>165216422.67794025</v>
      </c>
    </row>
    <row r="1921" spans="1:2" x14ac:dyDescent="0.25">
      <c r="A1921">
        <f ca="1">26404.3429860278*((RANDBETWEEN(1620,2416)))</f>
        <v>58776067.486897908</v>
      </c>
      <c r="B1921">
        <v>145520158.69054344</v>
      </c>
    </row>
    <row r="1922" spans="1:2" x14ac:dyDescent="0.25">
      <c r="A1922">
        <f ca="1">27623.8098933537*((RANDBETWEEN(1620,2416)))</f>
        <v>62899415.127166294</v>
      </c>
      <c r="B1922">
        <v>155299539.96173745</v>
      </c>
    </row>
    <row r="1923" spans="1:2" x14ac:dyDescent="0.25">
      <c r="A1923">
        <f ca="1">28016.2925837571*((RANDBETWEEN(1620,2416)))</f>
        <v>58918263.303641193</v>
      </c>
      <c r="B1923">
        <v>168794890.89671433</v>
      </c>
    </row>
    <row r="1924" spans="1:2" x14ac:dyDescent="0.25">
      <c r="A1924">
        <f ca="1">28007.8589151333*((RANDBETWEEN(1620,2416)))</f>
        <v>64726161.952873036</v>
      </c>
      <c r="B1924">
        <v>147290530.21984428</v>
      </c>
    </row>
    <row r="1925" spans="1:2" x14ac:dyDescent="0.25">
      <c r="A1925">
        <f ca="1">25178.3769624112*((RANDBETWEEN(1620,2416)))</f>
        <v>57356342.72037264</v>
      </c>
      <c r="B1925">
        <v>166018849.82506302</v>
      </c>
    </row>
    <row r="1926" spans="1:2" x14ac:dyDescent="0.25">
      <c r="A1926">
        <f ca="1">30680.8382833572*((RANDBETWEEN(1620,2416)))</f>
        <v>52433552.626257375</v>
      </c>
      <c r="B1926">
        <v>184981078.48943621</v>
      </c>
    </row>
    <row r="1927" spans="1:2" x14ac:dyDescent="0.25">
      <c r="A1927">
        <f ca="1">26941.1245396497*((RANDBETWEEN(1620,2416)))</f>
        <v>47685790.435179941</v>
      </c>
      <c r="B1927">
        <v>153651825.76664746</v>
      </c>
    </row>
    <row r="1928" spans="1:2" x14ac:dyDescent="0.25">
      <c r="A1928">
        <f ca="1">27279.3334218722*((RANDBETWEEN(1620,2416)))</f>
        <v>60423723.52944687</v>
      </c>
      <c r="B1928">
        <v>185532490.89333993</v>
      </c>
    </row>
    <row r="1929" spans="1:2" x14ac:dyDescent="0.25">
      <c r="A1929">
        <f ca="1">25725.8982206385*((RANDBETWEEN(1620,2416)))</f>
        <v>48570495.840565465</v>
      </c>
      <c r="B1929">
        <v>146861338.0250985</v>
      </c>
    </row>
    <row r="1930" spans="1:2" x14ac:dyDescent="0.25">
      <c r="A1930">
        <f ca="1">26121.9586937142*((RANDBETWEEN(1620,2416)))</f>
        <v>46679940.185667269</v>
      </c>
      <c r="B1930">
        <v>144448316.24123871</v>
      </c>
    </row>
    <row r="1931" spans="1:2" x14ac:dyDescent="0.25">
      <c r="A1931">
        <f ca="1">27381.9746663371*((RANDBETWEEN(1620,2416)))</f>
        <v>48329185.286085054</v>
      </c>
      <c r="B1931">
        <v>157727498.57467836</v>
      </c>
    </row>
    <row r="1932" spans="1:2" x14ac:dyDescent="0.25">
      <c r="A1932">
        <f ca="1">29605.6595212448*((RANDBETWEEN(1620,2416)))</f>
        <v>64007435.884931348</v>
      </c>
      <c r="B1932">
        <v>146801581.26795781</v>
      </c>
    </row>
    <row r="1933" spans="1:2" x14ac:dyDescent="0.25">
      <c r="A1933">
        <f ca="1">26480.3091645461*((RANDBETWEEN(1620,2416)))</f>
        <v>60295663.967671365</v>
      </c>
      <c r="B1933">
        <v>149868486.37073687</v>
      </c>
    </row>
    <row r="1934" spans="1:2" x14ac:dyDescent="0.25">
      <c r="A1934">
        <f ca="1">27825.9489740291*((RANDBETWEEN(1620,2416)))</f>
        <v>53397996.08116176</v>
      </c>
      <c r="B1934">
        <v>167461599.88414291</v>
      </c>
    </row>
    <row r="1935" spans="1:2" x14ac:dyDescent="0.25">
      <c r="A1935">
        <f ca="1">25928.445254526*((RANDBETWEEN(1620,2416)))</f>
        <v>43611644.91811274</v>
      </c>
      <c r="B1935">
        <v>144375783.69534615</v>
      </c>
    </row>
    <row r="1936" spans="1:2" x14ac:dyDescent="0.25">
      <c r="A1936">
        <f ca="1">26082.7451271976*((RANDBETWEEN(1620,2416)))</f>
        <v>48670402.407350741</v>
      </c>
      <c r="B1936">
        <v>146263464.88751632</v>
      </c>
    </row>
    <row r="1937" spans="1:2" x14ac:dyDescent="0.25">
      <c r="A1937">
        <f ca="1">26873.5678586253*((RANDBETWEEN(1620,2416)))</f>
        <v>53693388.581533305</v>
      </c>
      <c r="B1937">
        <v>169337745.97808814</v>
      </c>
    </row>
    <row r="1938" spans="1:2" x14ac:dyDescent="0.25">
      <c r="A1938">
        <f ca="1">27064.4959758544*((RANDBETWEEN(1620,2416)))</f>
        <v>58486375.803821333</v>
      </c>
      <c r="B1938">
        <v>179072135.32507068</v>
      </c>
    </row>
    <row r="1939" spans="1:2" x14ac:dyDescent="0.25">
      <c r="A1939">
        <f ca="1">27601.1431382592*((RANDBETWEEN(1620,2416)))</f>
        <v>63951848.651346564</v>
      </c>
      <c r="B1939">
        <v>145646882.10326296</v>
      </c>
    </row>
    <row r="1940" spans="1:2" x14ac:dyDescent="0.25">
      <c r="A1940">
        <f ca="1">27525.573442243*((RANDBETWEEN(1620,2416)))</f>
        <v>54583212.135967784</v>
      </c>
      <c r="B1940">
        <v>202886274.48153597</v>
      </c>
    </row>
    <row r="1941" spans="1:2" x14ac:dyDescent="0.25">
      <c r="A1941">
        <f ca="1">26524.7420781659*((RANDBETWEEN(1620,2416)))</f>
        <v>59654144.933795057</v>
      </c>
      <c r="B1941">
        <v>158856790.84222043</v>
      </c>
    </row>
    <row r="1942" spans="1:2" x14ac:dyDescent="0.25">
      <c r="A1942">
        <f ca="1">26277.8208868258*((RANDBETWEEN(1620,2416)))</f>
        <v>48430023.894420028</v>
      </c>
      <c r="B1942">
        <v>147197586.30408338</v>
      </c>
    </row>
    <row r="1943" spans="1:2" x14ac:dyDescent="0.25">
      <c r="A1943">
        <f ca="1">28748.968570073*((RANDBETWEEN(1620,2416)))</f>
        <v>47637040.920611039</v>
      </c>
      <c r="B1943">
        <v>160434227.43114153</v>
      </c>
    </row>
    <row r="1944" spans="1:2" x14ac:dyDescent="0.25">
      <c r="A1944">
        <f ca="1">27151.04476897*((RANDBETWEEN(1620,2416)))</f>
        <v>51804193.419194721</v>
      </c>
      <c r="B1944">
        <v>188380530.00681594</v>
      </c>
    </row>
    <row r="1945" spans="1:2" x14ac:dyDescent="0.25">
      <c r="A1945">
        <f ca="1">27599.1931025731*((RANDBETWEEN(1620,2416)))</f>
        <v>53238843.494863503</v>
      </c>
      <c r="B1945">
        <v>148002236.53987956</v>
      </c>
    </row>
    <row r="1946" spans="1:2" x14ac:dyDescent="0.25">
      <c r="A1946">
        <f ca="1">26878.9832087466*((RANDBETWEEN(1620,2416)))</f>
        <v>46984462.648889065</v>
      </c>
      <c r="B1946">
        <v>144195010.06739205</v>
      </c>
    </row>
    <row r="1947" spans="1:2" x14ac:dyDescent="0.25">
      <c r="A1947">
        <f ca="1">28496.4044013053*((RANDBETWEEN(1620,2416)))</f>
        <v>51692477.583967768</v>
      </c>
      <c r="B1947">
        <v>172439829.90312949</v>
      </c>
    </row>
    <row r="1948" spans="1:2" x14ac:dyDescent="0.25">
      <c r="A1948">
        <f ca="1">26217.9704983808*((RANDBETWEEN(1620,2416)))</f>
        <v>51020170.58984907</v>
      </c>
      <c r="B1948">
        <v>159807076.37360936</v>
      </c>
    </row>
    <row r="1949" spans="1:2" x14ac:dyDescent="0.25">
      <c r="A1949">
        <f ca="1">26978.1664905766*((RANDBETWEEN(1620,2416)))</f>
        <v>59540813.444702558</v>
      </c>
      <c r="B1949">
        <v>150213616.6924164</v>
      </c>
    </row>
    <row r="1950" spans="1:2" x14ac:dyDescent="0.25">
      <c r="A1950">
        <f ca="1">26391.8562639015*((RANDBETWEEN(1620,2416)))</f>
        <v>51701646.420983046</v>
      </c>
      <c r="B1950">
        <v>156870547.18141001</v>
      </c>
    </row>
    <row r="1951" spans="1:2" x14ac:dyDescent="0.25">
      <c r="A1951">
        <f ca="1">30384.5096651805*((RANDBETWEEN(1620,2416)))</f>
        <v>70188217.326566875</v>
      </c>
      <c r="B1951">
        <v>148569721.24601147</v>
      </c>
    </row>
    <row r="1952" spans="1:2" x14ac:dyDescent="0.25">
      <c r="A1952">
        <f ca="1">28472.3104578213*((RANDBETWEEN(1620,2416)))</f>
        <v>55948090.049618885</v>
      </c>
      <c r="B1952">
        <v>175534946.38610342</v>
      </c>
    </row>
    <row r="1953" spans="1:2" x14ac:dyDescent="0.25">
      <c r="A1953">
        <f ca="1">31117.1847376345*((RANDBETWEEN(1620,2416)))</f>
        <v>51281120.447621718</v>
      </c>
      <c r="B1953">
        <v>147799279.88533926</v>
      </c>
    </row>
    <row r="1954" spans="1:2" x14ac:dyDescent="0.25">
      <c r="A1954">
        <f ca="1">26163.8927398446*((RANDBETWEEN(1620,2416)))</f>
        <v>55990730.463267416</v>
      </c>
      <c r="B1954">
        <v>144951425.8809506</v>
      </c>
    </row>
    <row r="1955" spans="1:2" x14ac:dyDescent="0.25">
      <c r="A1955">
        <f ca="1">29390.1984190822*((RANDBETWEEN(1620,2416)))</f>
        <v>66010385.649258524</v>
      </c>
      <c r="B1955">
        <v>161028601.68066043</v>
      </c>
    </row>
    <row r="1956" spans="1:2" x14ac:dyDescent="0.25">
      <c r="A1956">
        <f ca="1">28673.7721687373*((RANDBETWEEN(1620,2416)))</f>
        <v>61992695.428809956</v>
      </c>
      <c r="B1956">
        <v>149263632.18850473</v>
      </c>
    </row>
    <row r="1957" spans="1:2" x14ac:dyDescent="0.25">
      <c r="A1957">
        <f ca="1">28802.2081674415*((RANDBETWEEN(1620,2416)))</f>
        <v>46717181.64759016</v>
      </c>
      <c r="B1957">
        <v>197293185.91292167</v>
      </c>
    </row>
    <row r="1958" spans="1:2" x14ac:dyDescent="0.25">
      <c r="A1958">
        <f ca="1">27726.9922603062*((RANDBETWEEN(1620,2416)))</f>
        <v>56618518.195545189</v>
      </c>
      <c r="B1958">
        <v>201740115.54861167</v>
      </c>
    </row>
    <row r="1959" spans="1:2" x14ac:dyDescent="0.25">
      <c r="A1959">
        <f ca="1">26899.2651613352*((RANDBETWEEN(1620,2416)))</f>
        <v>48042087.578144647</v>
      </c>
      <c r="B1959">
        <v>152120776.39976162</v>
      </c>
    </row>
    <row r="1960" spans="1:2" x14ac:dyDescent="0.25">
      <c r="A1960">
        <f ca="1">27732.08462658*((RANDBETWEEN(1620,2416)))</f>
        <v>46340313.411015153</v>
      </c>
      <c r="B1960">
        <v>170890770.36849552</v>
      </c>
    </row>
    <row r="1961" spans="1:2" x14ac:dyDescent="0.25">
      <c r="A1961">
        <f ca="1">27056.3735864996*((RANDBETWEEN(1620,2416)))</f>
        <v>46347567.953673884</v>
      </c>
      <c r="B1961">
        <v>176291504.01093867</v>
      </c>
    </row>
    <row r="1962" spans="1:2" x14ac:dyDescent="0.25">
      <c r="A1962">
        <f ca="1">26027.333310758*((RANDBETWEEN(1620,2416)))</f>
        <v>45782079.293623373</v>
      </c>
      <c r="B1962">
        <v>195263733.91859064</v>
      </c>
    </row>
    <row r="1963" spans="1:2" x14ac:dyDescent="0.25">
      <c r="A1963">
        <f ca="1">28745.4203591664*((RANDBETWEEN(1620,2416)))</f>
        <v>59273056.780601054</v>
      </c>
      <c r="B1963">
        <v>189514184.11680639</v>
      </c>
    </row>
    <row r="1964" spans="1:2" x14ac:dyDescent="0.25">
      <c r="A1964">
        <f ca="1">27331.3848311234*((RANDBETWEEN(1620,2416)))</f>
        <v>56193327.212789625</v>
      </c>
      <c r="B1964">
        <v>156741706.15854639</v>
      </c>
    </row>
    <row r="1965" spans="1:2" x14ac:dyDescent="0.25">
      <c r="A1965">
        <f ca="1">29888.1797712734*((RANDBETWEEN(1620,2416)))</f>
        <v>70416551.541120023</v>
      </c>
      <c r="B1965">
        <v>190930415.74147382</v>
      </c>
    </row>
    <row r="1966" spans="1:2" x14ac:dyDescent="0.25">
      <c r="A1966">
        <f ca="1">33639.3232850953*((RANDBETWEEN(1620,2416)))</f>
        <v>61089011.085733235</v>
      </c>
      <c r="B1966">
        <v>192548717.49299419</v>
      </c>
    </row>
    <row r="1967" spans="1:2" x14ac:dyDescent="0.25">
      <c r="A1967">
        <f ca="1">26838.573055424*((RANDBETWEEN(1620,2416)))</f>
        <v>59742663.621373743</v>
      </c>
      <c r="B1967">
        <v>169190235.22255552</v>
      </c>
    </row>
    <row r="1968" spans="1:2" x14ac:dyDescent="0.25">
      <c r="A1968">
        <f ca="1">26935.1521769457*((RANDBETWEEN(1620,2416)))</f>
        <v>57856706.876079403</v>
      </c>
      <c r="B1968">
        <v>203453126.71347803</v>
      </c>
    </row>
    <row r="1969" spans="1:2" x14ac:dyDescent="0.25">
      <c r="A1969">
        <f ca="1">29166.8192045745*((RANDBETWEEN(1620,2416)))</f>
        <v>50808599.054368794</v>
      </c>
      <c r="B1969">
        <v>170155388.27272707</v>
      </c>
    </row>
    <row r="1970" spans="1:2" x14ac:dyDescent="0.25">
      <c r="A1970">
        <f ca="1">32997.4144988897*((RANDBETWEEN(1620,2416)))</f>
        <v>65433872.951298177</v>
      </c>
      <c r="B1970">
        <v>203042225.87355518</v>
      </c>
    </row>
    <row r="1971" spans="1:2" x14ac:dyDescent="0.25">
      <c r="A1971">
        <f ca="1">30354.7292377411*((RANDBETWEEN(1620,2416)))</f>
        <v>59829171.327587634</v>
      </c>
      <c r="B1971">
        <v>160088228.01272845</v>
      </c>
    </row>
    <row r="1972" spans="1:2" x14ac:dyDescent="0.25">
      <c r="A1972">
        <f ca="1">26408.8680615834*((RANDBETWEEN(1620,2416)))</f>
        <v>46189110.2397094</v>
      </c>
      <c r="B1972">
        <v>202330864.57280165</v>
      </c>
    </row>
    <row r="1973" spans="1:2" x14ac:dyDescent="0.25">
      <c r="A1973">
        <f ca="1">25698.8795803779*((RANDBETWEEN(1620,2416)))</f>
        <v>50601093.893764131</v>
      </c>
      <c r="B1973">
        <v>166335063.05886057</v>
      </c>
    </row>
    <row r="1974" spans="1:2" x14ac:dyDescent="0.25">
      <c r="A1974">
        <f ca="1">30614.0927627619*((RANDBETWEEN(1620,2416)))</f>
        <v>67136705.428736761</v>
      </c>
      <c r="B1974">
        <v>180971846.35568416</v>
      </c>
    </row>
    <row r="1975" spans="1:2" x14ac:dyDescent="0.25">
      <c r="A1975">
        <f ca="1">32857.0435081568*((RANDBETWEEN(1620,2416)))</f>
        <v>64629804.580544397</v>
      </c>
      <c r="B1975">
        <v>196086113.31357929</v>
      </c>
    </row>
    <row r="1976" spans="1:2" x14ac:dyDescent="0.25">
      <c r="A1976">
        <f ca="1">26733.5262532378*((RANDBETWEEN(1620,2416)))</f>
        <v>64427798.270303108</v>
      </c>
      <c r="B1976">
        <v>188112724.03656015</v>
      </c>
    </row>
    <row r="1977" spans="1:2" x14ac:dyDescent="0.25">
      <c r="A1977">
        <f ca="1">26620.1676225992*((RANDBETWEEN(1620,2416)))</f>
        <v>60161578.827074252</v>
      </c>
      <c r="B1977">
        <v>163694429.55978346</v>
      </c>
    </row>
    <row r="1978" spans="1:2" x14ac:dyDescent="0.25">
      <c r="A1978">
        <f ca="1">28011.7140986931*((RANDBETWEEN(1620,2416)))</f>
        <v>50196991.664858073</v>
      </c>
      <c r="B1978">
        <v>166760161.32650423</v>
      </c>
    </row>
    <row r="1979" spans="1:2" x14ac:dyDescent="0.25">
      <c r="A1979">
        <f ca="1">29085.6469228841*((RANDBETWEEN(1620,2416)))</f>
        <v>67711386.036474228</v>
      </c>
      <c r="B1979">
        <v>198836491.93017685</v>
      </c>
    </row>
    <row r="1980" spans="1:2" x14ac:dyDescent="0.25">
      <c r="A1980">
        <f ca="1">30862.0439739745*((RANDBETWEEN(1620,2416)))</f>
        <v>73019596.04242371</v>
      </c>
      <c r="B1980">
        <v>157874277.61721841</v>
      </c>
    </row>
    <row r="1981" spans="1:2" x14ac:dyDescent="0.25">
      <c r="A1981">
        <f ca="1">28986.0074600019*((RANDBETWEEN(1620,2416)))</f>
        <v>53305267.718943462</v>
      </c>
      <c r="B1981">
        <v>173247753.25499791</v>
      </c>
    </row>
    <row r="1982" spans="1:2" x14ac:dyDescent="0.25">
      <c r="A1982">
        <f ca="1">24157.9389275761*((RANDBETWEEN(1620,2416)))</f>
        <v>52833412.434608914</v>
      </c>
      <c r="B1982">
        <v>168024613.46715498</v>
      </c>
    </row>
    <row r="1983" spans="1:2" x14ac:dyDescent="0.25">
      <c r="A1983">
        <f ca="1">26291.0611504524*((RANDBETWEEN(1620,2416)))</f>
        <v>43616870.448600531</v>
      </c>
      <c r="B1983">
        <v>158418109.24329495</v>
      </c>
    </row>
    <row r="1984" spans="1:2" x14ac:dyDescent="0.25">
      <c r="A1984">
        <f ca="1">30114.6285749642*((RANDBETWEEN(1620,2416)))</f>
        <v>65800463.436296768</v>
      </c>
      <c r="B1984">
        <v>175954792.4606787</v>
      </c>
    </row>
    <row r="1985" spans="1:2" x14ac:dyDescent="0.25">
      <c r="A1985">
        <f ca="1">29717.7311738697*((RANDBETWEEN(1620,2416)))</f>
        <v>57800987.133176625</v>
      </c>
      <c r="B1985">
        <v>201464650.58041155</v>
      </c>
    </row>
    <row r="1986" spans="1:2" x14ac:dyDescent="0.25">
      <c r="A1986">
        <f ca="1">26087.1116943913*((RANDBETWEEN(1620,2416)))</f>
        <v>60287315.125738263</v>
      </c>
      <c r="B1986">
        <v>158509843.97159597</v>
      </c>
    </row>
    <row r="1987" spans="1:2" x14ac:dyDescent="0.25">
      <c r="A1987">
        <f ca="1">28123.4159110046*((RANDBETWEEN(1620,2416)))</f>
        <v>62265242.826964214</v>
      </c>
      <c r="B1987">
        <v>175176281.85501474</v>
      </c>
    </row>
    <row r="1988" spans="1:2" x14ac:dyDescent="0.25">
      <c r="A1988">
        <f ca="1">26969.6072866371*((RANDBETWEEN(1620,2416)))</f>
        <v>62596458.512284651</v>
      </c>
      <c r="B1988">
        <v>169607408.64367318</v>
      </c>
    </row>
    <row r="1989" spans="1:2" x14ac:dyDescent="0.25">
      <c r="A1989">
        <f ca="1">26437.7754692078*((RANDBETWEEN(1620,2416)))</f>
        <v>61811519.047007769</v>
      </c>
      <c r="B1989">
        <v>150326347.7420001</v>
      </c>
    </row>
    <row r="1990" spans="1:2" x14ac:dyDescent="0.25">
      <c r="A1990">
        <f ca="1">27882.1009185563*((RANDBETWEEN(1620,2416)))</f>
        <v>58217826.717945583</v>
      </c>
      <c r="B1990">
        <v>203330536.58273184</v>
      </c>
    </row>
    <row r="1991" spans="1:2" x14ac:dyDescent="0.25">
      <c r="A1991">
        <f ca="1">27237.6287600304*((RANDBETWEEN(1620,2416)))</f>
        <v>54393544.63378077</v>
      </c>
      <c r="B1991">
        <v>173823348.52275184</v>
      </c>
    </row>
    <row r="1992" spans="1:2" x14ac:dyDescent="0.25">
      <c r="A1992">
        <f ca="1">25875.0387789111*((RANDBETWEEN(1620,2416)))</f>
        <v>44582691.816063873</v>
      </c>
      <c r="B1992">
        <v>150127547.12153965</v>
      </c>
    </row>
    <row r="1993" spans="1:2" x14ac:dyDescent="0.25">
      <c r="A1993">
        <f ca="1">25822.8576363363*((RANDBETWEEN(1620,2416)))</f>
        <v>57894846.820665963</v>
      </c>
      <c r="B1993">
        <v>158841519.09282577</v>
      </c>
    </row>
    <row r="1994" spans="1:2" x14ac:dyDescent="0.25">
      <c r="A1994">
        <f ca="1">26621.9112164409*((RANDBETWEEN(1620,2416)))</f>
        <v>44085884.974426188</v>
      </c>
      <c r="B1994">
        <v>170584859.83728659</v>
      </c>
    </row>
    <row r="1995" spans="1:2" x14ac:dyDescent="0.25">
      <c r="A1995">
        <f ca="1">26310.4685721067*((RANDBETWEEN(1620,2416)))</f>
        <v>59961557.875831097</v>
      </c>
      <c r="B1995">
        <v>146884046.22168258</v>
      </c>
    </row>
    <row r="1996" spans="1:2" x14ac:dyDescent="0.25">
      <c r="A1996">
        <f ca="1">26460.9841727791*((RANDBETWEEN(1620,2416)))</f>
        <v>45671658.682216719</v>
      </c>
      <c r="B1996">
        <v>146630757.24500671</v>
      </c>
    </row>
    <row r="1997" spans="1:2" x14ac:dyDescent="0.25">
      <c r="A1997">
        <f ca="1">27511.1131271532*((RANDBETWEEN(1620,2416)))</f>
        <v>57003026.399461381</v>
      </c>
      <c r="B1997">
        <v>161428006.38642183</v>
      </c>
    </row>
    <row r="1998" spans="1:2" x14ac:dyDescent="0.25">
      <c r="A1998">
        <f ca="1">27617.3243592373*((RANDBETWEEN(1620,2416)))</f>
        <v>62332301.078798532</v>
      </c>
      <c r="B1998">
        <v>172170411.86125913</v>
      </c>
    </row>
    <row r="1999" spans="1:2" x14ac:dyDescent="0.25">
      <c r="A1999">
        <f ca="1">27925.5205077221*((RANDBETWEEN(1620,2416)))</f>
        <v>61436145.116988614</v>
      </c>
      <c r="B1999">
        <v>148284440.7241717</v>
      </c>
    </row>
    <row r="2000" spans="1:2" x14ac:dyDescent="0.25">
      <c r="A2000">
        <f ca="1">27386.0473969618*((RANDBETWEEN(1620,2416)))</f>
        <v>46912299.190995559</v>
      </c>
      <c r="B2000">
        <v>184143158.05113152</v>
      </c>
    </row>
    <row r="2001" spans="1:2" x14ac:dyDescent="0.25">
      <c r="A2001">
        <f ca="1">25875.0383807621*((RANDBETWEEN(1620,2416)))</f>
        <v>45436567.396618254</v>
      </c>
      <c r="B2001">
        <v>178022082.86985981</v>
      </c>
    </row>
    <row r="2002" spans="1:2" x14ac:dyDescent="0.25">
      <c r="A2002">
        <f ca="1">32087.3077400255*((RANDBETWEEN(1620,2416)))</f>
        <v>53489542.002622545</v>
      </c>
      <c r="B2002">
        <v>200640869.16615596</v>
      </c>
    </row>
    <row r="2003" spans="1:2" x14ac:dyDescent="0.25">
      <c r="A2003">
        <f ca="1">27272.1498054253*((RANDBETWEEN(1620,2416)))</f>
        <v>62753216.702283613</v>
      </c>
      <c r="B2003">
        <v>168674086.99079686</v>
      </c>
    </row>
    <row r="2004" spans="1:2" x14ac:dyDescent="0.25">
      <c r="A2004">
        <f ca="1">26408.4462666444*((RANDBETWEEN(1620,2416)))</f>
        <v>45422527.578628331</v>
      </c>
      <c r="B2004">
        <v>169094563.43887687</v>
      </c>
    </row>
    <row r="2005" spans="1:2" x14ac:dyDescent="0.25">
      <c r="A2005">
        <f ca="1">27221.2008549187*((RANDBETWEEN(1620,2416)))</f>
        <v>59206111.859448098</v>
      </c>
      <c r="B2005">
        <v>194841405.05977392</v>
      </c>
    </row>
    <row r="2006" spans="1:2" x14ac:dyDescent="0.25">
      <c r="A2006">
        <f ca="1">30001.6280419156*((RANDBETWEEN(1620,2416)))</f>
        <v>61563340.742010847</v>
      </c>
      <c r="B2006">
        <v>181792116.41968855</v>
      </c>
    </row>
    <row r="2007" spans="1:2" x14ac:dyDescent="0.25">
      <c r="A2007">
        <f ca="1">28986.2311302185*((RANDBETWEEN(1620,2416)))</f>
        <v>69132161.245571136</v>
      </c>
      <c r="B2007">
        <v>146019372.78364664</v>
      </c>
    </row>
    <row r="2008" spans="1:2" x14ac:dyDescent="0.25">
      <c r="A2008">
        <f ca="1">34365.7191783533*((RANDBETWEEN(1620,2416)))</f>
        <v>77322868.151294872</v>
      </c>
      <c r="B2008">
        <v>195710073.21530974</v>
      </c>
    </row>
    <row r="2009" spans="1:2" x14ac:dyDescent="0.25">
      <c r="A2009">
        <f ca="1">31779.9834103898*((RANDBETWEEN(1620,2416)))</f>
        <v>55487851.034540601</v>
      </c>
      <c r="B2009">
        <v>145712407.0643006</v>
      </c>
    </row>
    <row r="2010" spans="1:2" x14ac:dyDescent="0.25">
      <c r="A2010">
        <f ca="1">29905.9279636413*((RANDBETWEEN(1620,2416)))</f>
        <v>63609908.778665058</v>
      </c>
      <c r="B2010">
        <v>148206094.99628419</v>
      </c>
    </row>
    <row r="2011" spans="1:2" x14ac:dyDescent="0.25">
      <c r="A2011">
        <f ca="1">30725.2338879245*((RANDBETWEEN(1620,2416)))</f>
        <v>67626239.787321925</v>
      </c>
      <c r="B2011">
        <v>189974322.87777105</v>
      </c>
    </row>
    <row r="2012" spans="1:2" x14ac:dyDescent="0.25">
      <c r="A2012">
        <f ca="1">28243.8436211894*((RANDBETWEEN(1620,2416)))</f>
        <v>51940428.419367276</v>
      </c>
      <c r="B2012">
        <v>173732471.69193771</v>
      </c>
    </row>
    <row r="2013" spans="1:2" x14ac:dyDescent="0.25">
      <c r="A2013">
        <f ca="1">26370.3605511608*((RANDBETWEEN(1620,2416)))</f>
        <v>56353460.497830644</v>
      </c>
      <c r="B2013">
        <v>176367789.57585615</v>
      </c>
    </row>
    <row r="2014" spans="1:2" x14ac:dyDescent="0.25">
      <c r="A2014">
        <f ca="1">27384.3993178181*((RANDBETWEEN(1620,2416)))</f>
        <v>64955795.181864552</v>
      </c>
      <c r="B2014">
        <v>156829277.35969287</v>
      </c>
    </row>
    <row r="2015" spans="1:2" x14ac:dyDescent="0.25">
      <c r="A2015">
        <f ca="1">28843.3303376169*((RANDBETWEEN(1620,2416)))</f>
        <v>62099690.216889292</v>
      </c>
      <c r="B2015">
        <v>168451389.06526172</v>
      </c>
    </row>
    <row r="2016" spans="1:2" x14ac:dyDescent="0.25">
      <c r="A2016">
        <f ca="1">28573.3509769065*((RANDBETWEEN(1620,2416)))</f>
        <v>49946217.507632621</v>
      </c>
      <c r="B2016">
        <v>174915623.21555719</v>
      </c>
    </row>
    <row r="2017" spans="1:2" x14ac:dyDescent="0.25">
      <c r="A2017">
        <f ca="1">32830.2122859574*((RANDBETWEEN(1620,2416)))</f>
        <v>56861927.679278247</v>
      </c>
      <c r="B2017">
        <v>180937561.44937798</v>
      </c>
    </row>
    <row r="2018" spans="1:2" x14ac:dyDescent="0.25">
      <c r="A2018">
        <f ca="1">26854.1023767784*((RANDBETWEEN(1620,2416)))</f>
        <v>56984405.243523873</v>
      </c>
      <c r="B2018">
        <v>170853332.17624158</v>
      </c>
    </row>
    <row r="2019" spans="1:2" x14ac:dyDescent="0.25">
      <c r="A2019">
        <f ca="1">30225.3519026747*((RANDBETWEEN(1620,2416)))</f>
        <v>61931746.04858052</v>
      </c>
      <c r="B2019">
        <v>148338137.24603343</v>
      </c>
    </row>
    <row r="2020" spans="1:2" x14ac:dyDescent="0.25">
      <c r="A2020">
        <f ca="1">26928.062693234*((RANDBETWEEN(1620,2416)))</f>
        <v>56818212.282723658</v>
      </c>
      <c r="B2020">
        <v>153263657.44263026</v>
      </c>
    </row>
    <row r="2021" spans="1:2" x14ac:dyDescent="0.25">
      <c r="A2021">
        <f ca="1">28479.2800986183*((RANDBETWEEN(1620,2416)))</f>
        <v>51661414.09889368</v>
      </c>
      <c r="B2021">
        <v>166783388.05530983</v>
      </c>
    </row>
    <row r="2022" spans="1:2" x14ac:dyDescent="0.25">
      <c r="A2022">
        <f ca="1">26956.2355857545*((RANDBETWEEN(1620,2416)))</f>
        <v>56985482.028284937</v>
      </c>
      <c r="B2022">
        <v>156501046.84636524</v>
      </c>
    </row>
    <row r="2023" spans="1:2" x14ac:dyDescent="0.25">
      <c r="A2023">
        <f ca="1">27711.8443949734*((RANDBETWEEN(1620,2416)))</f>
        <v>64374614.529523216</v>
      </c>
      <c r="B2023">
        <v>150681447.46814704</v>
      </c>
    </row>
    <row r="2024" spans="1:2" x14ac:dyDescent="0.25">
      <c r="A2024">
        <f ca="1">26502.4880444842*((RANDBETWEEN(1620,2416)))</f>
        <v>48287533.217050239</v>
      </c>
      <c r="B2024">
        <v>153139876.7302056</v>
      </c>
    </row>
    <row r="2025" spans="1:2" x14ac:dyDescent="0.25">
      <c r="A2025">
        <f ca="1">29273.3762949736*((RANDBETWEEN(1620,2416)))</f>
        <v>59542047.383976303</v>
      </c>
      <c r="B2025">
        <v>165253720.31796664</v>
      </c>
    </row>
    <row r="2026" spans="1:2" x14ac:dyDescent="0.25">
      <c r="A2026">
        <f ca="1">27969.0139687049*((RANDBETWEEN(1620,2416)))</f>
        <v>51966427.953853652</v>
      </c>
      <c r="B2026">
        <v>158435920.79170331</v>
      </c>
    </row>
    <row r="2027" spans="1:2" x14ac:dyDescent="0.25">
      <c r="A2027">
        <f ca="1">29048.699447318*((RANDBETWEEN(1620,2416)))</f>
        <v>62599947.308970295</v>
      </c>
      <c r="B2027">
        <v>166439148.78780219</v>
      </c>
    </row>
    <row r="2028" spans="1:2" x14ac:dyDescent="0.25">
      <c r="A2028">
        <f ca="1">26125.7314073851*((RANDBETWEEN(1620,2416)))</f>
        <v>62414372.33224301</v>
      </c>
      <c r="B2028">
        <v>145792176.33060429</v>
      </c>
    </row>
    <row r="2029" spans="1:2" x14ac:dyDescent="0.25">
      <c r="A2029">
        <f ca="1">25584.1666429425*((RANDBETWEEN(1620,2416)))</f>
        <v>61043821.610060796</v>
      </c>
      <c r="B2029">
        <v>148595775.41175532</v>
      </c>
    </row>
    <row r="2030" spans="1:2" x14ac:dyDescent="0.25">
      <c r="A2030">
        <f ca="1">27310.788199228*((RANDBETWEEN(1620,2416)))</f>
        <v>62459772.611634478</v>
      </c>
      <c r="B2030">
        <v>159048885.72139201</v>
      </c>
    </row>
    <row r="2031" spans="1:2" x14ac:dyDescent="0.25">
      <c r="A2031">
        <f ca="1">27111.5684644027*((RANDBETWEEN(1620,2416)))</f>
        <v>47960364.613528401</v>
      </c>
      <c r="B2031">
        <v>163608171.26238835</v>
      </c>
    </row>
    <row r="2032" spans="1:2" x14ac:dyDescent="0.25">
      <c r="A2032">
        <f ca="1">28716.6829348398*((RANDBETWEEN(1620,2416)))</f>
        <v>47497393.574225046</v>
      </c>
      <c r="B2032">
        <v>144571742.75497368</v>
      </c>
    </row>
    <row r="2033" spans="1:2" x14ac:dyDescent="0.25">
      <c r="A2033">
        <f ca="1">26026.7394417768*((RANDBETWEEN(1620,2416)))</f>
        <v>50049419.946536765</v>
      </c>
      <c r="B2033">
        <v>158713802.056813</v>
      </c>
    </row>
    <row r="2034" spans="1:2" x14ac:dyDescent="0.25">
      <c r="A2034">
        <f ca="1">30197.4772275819*((RANDBETWEEN(1620,2416)))</f>
        <v>70450714.371948659</v>
      </c>
      <c r="B2034">
        <v>194160878.06285125</v>
      </c>
    </row>
    <row r="2035" spans="1:2" x14ac:dyDescent="0.25">
      <c r="A2035">
        <f ca="1">27947.2173645799*((RANDBETWEEN(1620,2416)))</f>
        <v>59359889.682367802</v>
      </c>
      <c r="B2035">
        <v>188265166.01162919</v>
      </c>
    </row>
    <row r="2036" spans="1:2" x14ac:dyDescent="0.25">
      <c r="A2036">
        <f ca="1">32213.2928249887*((RANDBETWEEN(1620,2416)))</f>
        <v>56115556.101130232</v>
      </c>
      <c r="B2036">
        <v>161737554.57802796</v>
      </c>
    </row>
    <row r="2037" spans="1:2" x14ac:dyDescent="0.25">
      <c r="A2037">
        <f ca="1">27182.9024187423*((RANDBETWEEN(1620,2416)))</f>
        <v>47705993.744892776</v>
      </c>
      <c r="B2037">
        <v>147833809.25320232</v>
      </c>
    </row>
    <row r="2038" spans="1:2" x14ac:dyDescent="0.25">
      <c r="A2038">
        <f ca="1">31159.9355151662*((RANDBETWEEN(1620,2416)))</f>
        <v>75001964.785004959</v>
      </c>
      <c r="B2038">
        <v>195072257.86257124</v>
      </c>
    </row>
    <row r="2039" spans="1:2" x14ac:dyDescent="0.25">
      <c r="A2039">
        <f ca="1">27397.035369143*((RANDBETWEEN(1620,2416)))</f>
        <v>55752966.976205982</v>
      </c>
      <c r="B2039">
        <v>160304603.2766884</v>
      </c>
    </row>
    <row r="2040" spans="1:2" x14ac:dyDescent="0.25">
      <c r="A2040">
        <f ca="1">26651.1784074201*((RANDBETWEEN(1620,2416)))</f>
        <v>53222403.27961798</v>
      </c>
      <c r="B2040">
        <v>143423816.16182104</v>
      </c>
    </row>
    <row r="2041" spans="1:2" x14ac:dyDescent="0.25">
      <c r="A2041">
        <f ca="1">27290.5330452594*((RANDBETWEEN(1620,2416)))</f>
        <v>44838345.793361165</v>
      </c>
      <c r="B2041">
        <v>160880698.69574201</v>
      </c>
    </row>
    <row r="2042" spans="1:2" x14ac:dyDescent="0.25">
      <c r="A2042">
        <f ca="1">31941.0917970158*((RANDBETWEEN(1620,2416)))</f>
        <v>70877282.697578073</v>
      </c>
      <c r="B2042">
        <v>200086710.97632399</v>
      </c>
    </row>
    <row r="2043" spans="1:2" x14ac:dyDescent="0.25">
      <c r="A2043">
        <f ca="1">26522.3917903515*((RANDBETWEEN(1620,2416)))</f>
        <v>54264813.603059143</v>
      </c>
      <c r="B2043">
        <v>154863363.58364576</v>
      </c>
    </row>
    <row r="2044" spans="1:2" x14ac:dyDescent="0.25">
      <c r="A2044">
        <f ca="1">27598.0956609351*((RANDBETWEEN(1620,2416)))</f>
        <v>54671827.504312515</v>
      </c>
      <c r="B2044">
        <v>160681820.27231935</v>
      </c>
    </row>
    <row r="2045" spans="1:2" x14ac:dyDescent="0.25">
      <c r="A2045">
        <f ca="1">25896.2567412429*((RANDBETWEEN(1620,2416)))</f>
        <v>50394115.618458696</v>
      </c>
      <c r="B2045">
        <v>150668059.66044736</v>
      </c>
    </row>
    <row r="2046" spans="1:2" x14ac:dyDescent="0.25">
      <c r="A2046">
        <f ca="1">30873.3141388632*((RANDBETWEEN(1620,2416)))</f>
        <v>62549334.445336774</v>
      </c>
      <c r="B2046">
        <v>159986330.91930294</v>
      </c>
    </row>
    <row r="2047" spans="1:2" x14ac:dyDescent="0.25">
      <c r="A2047">
        <f ca="1">27280.5015951124*((RANDBETWEEN(1620,2416)))</f>
        <v>54779247.202985749</v>
      </c>
      <c r="B2047">
        <v>167236550.32034761</v>
      </c>
    </row>
    <row r="2048" spans="1:2" x14ac:dyDescent="0.25">
      <c r="A2048">
        <f ca="1">28521.4708580363*((RANDBETWEEN(1620,2416)))</f>
        <v>46718169.265463434</v>
      </c>
      <c r="B2048">
        <v>179332486.1046052</v>
      </c>
    </row>
    <row r="2049" spans="1:2" x14ac:dyDescent="0.25">
      <c r="A2049">
        <f ca="1">27277.6199131927*((RANDBETWEEN(1620,2416)))</f>
        <v>52673084.052375078</v>
      </c>
      <c r="B2049">
        <v>166727002.86325556</v>
      </c>
    </row>
    <row r="2050" spans="1:2" x14ac:dyDescent="0.25">
      <c r="A2050">
        <f ca="1">26246.2931494941*((RANDBETWEEN(1620,2416)))</f>
        <v>53962378.715359896</v>
      </c>
      <c r="B2050">
        <v>154483409.87885696</v>
      </c>
    </row>
    <row r="2051" spans="1:2" x14ac:dyDescent="0.25">
      <c r="A2051">
        <f ca="1">30759.6194013826*((RANDBETWEEN(1620,2416)))</f>
        <v>73761567.324515581</v>
      </c>
      <c r="B2051">
        <v>156666714.81985813</v>
      </c>
    </row>
    <row r="2052" spans="1:2" x14ac:dyDescent="0.25">
      <c r="A2052">
        <f ca="1">28405.9863702051*((RANDBETWEEN(1620,2416)))</f>
        <v>61413742.532383442</v>
      </c>
      <c r="B2052">
        <v>161571055.30389309</v>
      </c>
    </row>
    <row r="2053" spans="1:2" x14ac:dyDescent="0.25">
      <c r="A2053">
        <f ca="1">27004.6023332912*((RANDBETWEEN(1620,2416)))</f>
        <v>58762014.677241698</v>
      </c>
      <c r="B2053">
        <v>143380634.60638696</v>
      </c>
    </row>
    <row r="2054" spans="1:2" x14ac:dyDescent="0.25">
      <c r="A2054">
        <f ca="1">27581.5189673063*((RANDBETWEEN(1620,2416)))</f>
        <v>45868066.04263033</v>
      </c>
      <c r="B2054">
        <v>196894722.779989</v>
      </c>
    </row>
    <row r="2055" spans="1:2" x14ac:dyDescent="0.25">
      <c r="A2055">
        <f ca="1">27080.2233781653*((RANDBETWEEN(1620,2416)))</f>
        <v>46063459.966259174</v>
      </c>
      <c r="B2055">
        <v>169825304.94875669</v>
      </c>
    </row>
    <row r="2056" spans="1:2" x14ac:dyDescent="0.25">
      <c r="A2056">
        <f ca="1">26052.0112471429*((RANDBETWEEN(1620,2416)))</f>
        <v>60362510.059630141</v>
      </c>
      <c r="B2056">
        <v>160525462.93420506</v>
      </c>
    </row>
    <row r="2057" spans="1:2" x14ac:dyDescent="0.25">
      <c r="A2057">
        <f ca="1">27205.4136049875*((RANDBETWEEN(1620,2416)))</f>
        <v>56070357.439879142</v>
      </c>
      <c r="B2057">
        <v>163081467.86292803</v>
      </c>
    </row>
    <row r="2058" spans="1:2" x14ac:dyDescent="0.25">
      <c r="A2058">
        <f ca="1">26144.6830459199*((RANDBETWEEN(1620,2416)))</f>
        <v>52054063.944426581</v>
      </c>
      <c r="B2058">
        <v>157953544.25664604</v>
      </c>
    </row>
    <row r="2059" spans="1:2" x14ac:dyDescent="0.25">
      <c r="A2059">
        <f ca="1">28369.5011344637*((RANDBETWEEN(1620,2416)))</f>
        <v>53277923.13052287</v>
      </c>
      <c r="B2059">
        <v>170318901.82513511</v>
      </c>
    </row>
    <row r="2060" spans="1:2" x14ac:dyDescent="0.25">
      <c r="A2060">
        <f ca="1">26235.2698737882*((RANDBETWEEN(1620,2416)))</f>
        <v>50345482.887799479</v>
      </c>
      <c r="B2060">
        <v>168860409.55128425</v>
      </c>
    </row>
    <row r="2061" spans="1:2" x14ac:dyDescent="0.25">
      <c r="A2061">
        <f ca="1">26578.1638782333*((RANDBETWEEN(1620,2416)))</f>
        <v>50870605.662938483</v>
      </c>
      <c r="B2061">
        <v>163141229.25904015</v>
      </c>
    </row>
    <row r="2062" spans="1:2" x14ac:dyDescent="0.25">
      <c r="A2062">
        <f ca="1">32543.5351174138*((RANDBETWEEN(1620,2416)))</f>
        <v>60075365.826745838</v>
      </c>
      <c r="B2062">
        <v>158608460.70243618</v>
      </c>
    </row>
    <row r="2063" spans="1:2" x14ac:dyDescent="0.25">
      <c r="A2063">
        <f ca="1">25511.1424058469*((RANDBETWEEN(1620,2416)))</f>
        <v>53267265.343408354</v>
      </c>
      <c r="B2063">
        <v>148107347.78856197</v>
      </c>
    </row>
    <row r="2064" spans="1:2" x14ac:dyDescent="0.25">
      <c r="A2064">
        <f ca="1">26414.0601801955*((RANDBETWEEN(1620,2416)))</f>
        <v>55839323.220933191</v>
      </c>
      <c r="B2064">
        <v>153944971.96115509</v>
      </c>
    </row>
    <row r="2065" spans="1:2" x14ac:dyDescent="0.25">
      <c r="A2065">
        <f ca="1">27841.5075827434*((RANDBETWEEN(1620,2416)))</f>
        <v>62699075.076338142</v>
      </c>
      <c r="B2065">
        <v>187042928.2246725</v>
      </c>
    </row>
    <row r="2066" spans="1:2" x14ac:dyDescent="0.25">
      <c r="A2066">
        <f ca="1">26337.7219067067*((RANDBETWEEN(1620,2416)))</f>
        <v>52622768.369600073</v>
      </c>
      <c r="B2066">
        <v>184884795.03890708</v>
      </c>
    </row>
    <row r="2067" spans="1:2" x14ac:dyDescent="0.25">
      <c r="A2067">
        <f ca="1">28877.2075653002*((RANDBETWEEN(1620,2416)))</f>
        <v>63760874.304182865</v>
      </c>
      <c r="B2067">
        <v>147022323.09882581</v>
      </c>
    </row>
    <row r="2068" spans="1:2" x14ac:dyDescent="0.25">
      <c r="A2068">
        <f ca="1">31844.0201358788*((RANDBETWEEN(1620,2416)))</f>
        <v>60822078.459528543</v>
      </c>
      <c r="B2068">
        <v>168936512.9886626</v>
      </c>
    </row>
    <row r="2069" spans="1:2" x14ac:dyDescent="0.25">
      <c r="A2069">
        <f ca="1">26484.2301645083*((RANDBETWEEN(1620,2416)))</f>
        <v>53047913.019510135</v>
      </c>
      <c r="B2069">
        <v>178711059.26584917</v>
      </c>
    </row>
    <row r="2070" spans="1:2" x14ac:dyDescent="0.25">
      <c r="A2070">
        <f ca="1">27550.4232709634*((RANDBETWEEN(1620,2416)))</f>
        <v>52042749.558849856</v>
      </c>
      <c r="B2070">
        <v>193060727.91442603</v>
      </c>
    </row>
    <row r="2071" spans="1:2" x14ac:dyDescent="0.25">
      <c r="A2071">
        <f ca="1">32485.1597016477*((RANDBETWEEN(1620,2416)))</f>
        <v>74585926.674983218</v>
      </c>
      <c r="B2071">
        <v>175409526.38553697</v>
      </c>
    </row>
    <row r="2072" spans="1:2" x14ac:dyDescent="0.25">
      <c r="A2072">
        <f ca="1">31037.4471487688*((RANDBETWEEN(1620,2416)))</f>
        <v>51273862.689766131</v>
      </c>
      <c r="B2072">
        <v>186982447.1225853</v>
      </c>
    </row>
    <row r="2073" spans="1:2" x14ac:dyDescent="0.25">
      <c r="A2073">
        <f ca="1">26426.2914880832*((RANDBETWEEN(1620,2416)))</f>
        <v>57847152.067414217</v>
      </c>
      <c r="B2073">
        <v>178306574.05756611</v>
      </c>
    </row>
    <row r="2074" spans="1:2" x14ac:dyDescent="0.25">
      <c r="A2074">
        <f ca="1">26435.461670927*((RANDBETWEEN(1620,2416)))</f>
        <v>51469843.873294793</v>
      </c>
      <c r="B2074">
        <v>158720790.06038439</v>
      </c>
    </row>
    <row r="2075" spans="1:2" x14ac:dyDescent="0.25">
      <c r="A2075">
        <f ca="1">27923.0067906594*((RANDBETWEEN(1620,2416)))</f>
        <v>51266640.467650749</v>
      </c>
      <c r="B2075">
        <v>164331568.27375424</v>
      </c>
    </row>
    <row r="2076" spans="1:2" x14ac:dyDescent="0.25">
      <c r="A2076">
        <f ca="1">26741.6491792914*((RANDBETWEEN(1620,2416)))</f>
        <v>47600135.539138675</v>
      </c>
      <c r="B2076">
        <v>154349070.40406683</v>
      </c>
    </row>
    <row r="2077" spans="1:2" x14ac:dyDescent="0.25">
      <c r="A2077">
        <f ca="1">27216.0781684369*((RANDBETWEEN(1620,2416)))</f>
        <v>48880076.390512682</v>
      </c>
      <c r="B2077">
        <v>183773856.46210748</v>
      </c>
    </row>
    <row r="2078" spans="1:2" x14ac:dyDescent="0.25">
      <c r="A2078">
        <f ca="1">24841.0998156151*((RANDBETWEEN(1620,2416)))</f>
        <v>46626744.353909567</v>
      </c>
      <c r="B2078">
        <v>164537336.47798088</v>
      </c>
    </row>
    <row r="2079" spans="1:2" x14ac:dyDescent="0.25">
      <c r="A2079">
        <f ca="1">26816.3398580614*((RANDBETWEEN(1620,2416)))</f>
        <v>62669786.248289518</v>
      </c>
      <c r="B2079">
        <v>158939015.57918611</v>
      </c>
    </row>
    <row r="2080" spans="1:2" x14ac:dyDescent="0.25">
      <c r="A2080">
        <f ca="1">30329.7338556161*((RANDBETWEEN(1620,2416)))</f>
        <v>71578171.89925395</v>
      </c>
      <c r="B2080">
        <v>189265761.65379432</v>
      </c>
    </row>
    <row r="2081" spans="1:2" x14ac:dyDescent="0.25">
      <c r="A2081">
        <f ca="1">27645.9945001046*((RANDBETWEEN(1620,2416)))</f>
        <v>55236697.011208959</v>
      </c>
      <c r="B2081">
        <v>178998948.89012644</v>
      </c>
    </row>
    <row r="2082" spans="1:2" x14ac:dyDescent="0.25">
      <c r="A2082">
        <f ca="1">27290.9487816067*((RANDBETWEEN(1620,2416)))</f>
        <v>49069125.909328789</v>
      </c>
      <c r="B2082">
        <v>146135224.13135266</v>
      </c>
    </row>
    <row r="2083" spans="1:2" x14ac:dyDescent="0.25">
      <c r="A2083">
        <f ca="1">27534.9883192532*((RANDBETWEEN(1620,2416)))</f>
        <v>54078717.059013359</v>
      </c>
      <c r="B2083">
        <v>151230500.0497078</v>
      </c>
    </row>
    <row r="2084" spans="1:2" x14ac:dyDescent="0.25">
      <c r="A2084">
        <f ca="1">26136.1166752979*((RANDBETWEEN(1620,2416)))</f>
        <v>58152859.602537751</v>
      </c>
      <c r="B2084">
        <v>168931421.86569694</v>
      </c>
    </row>
    <row r="2085" spans="1:2" x14ac:dyDescent="0.25">
      <c r="A2085">
        <f ca="1">31610.3071683892*((RANDBETWEEN(1620,2416)))</f>
        <v>56329567.374069512</v>
      </c>
      <c r="B2085">
        <v>146715831.41701353</v>
      </c>
    </row>
    <row r="2086" spans="1:2" x14ac:dyDescent="0.25">
      <c r="A2086">
        <f ca="1">27918.4005180981*((RANDBETWEEN(1620,2416)))</f>
        <v>49610997.720660239</v>
      </c>
      <c r="B2086">
        <v>192266176.86551255</v>
      </c>
    </row>
    <row r="2087" spans="1:2" x14ac:dyDescent="0.25">
      <c r="A2087">
        <f ca="1">32051.5721793349*((RANDBETWEEN(1620,2416)))</f>
        <v>73333997.146318302</v>
      </c>
      <c r="B2087">
        <v>156778955.73449877</v>
      </c>
    </row>
    <row r="2088" spans="1:2" x14ac:dyDescent="0.25">
      <c r="A2088">
        <f ca="1">25435.5267315559*((RANDBETWEEN(1620,2416)))</f>
        <v>53592654.823388301</v>
      </c>
      <c r="B2088">
        <v>168436112.55011076</v>
      </c>
    </row>
    <row r="2089" spans="1:2" x14ac:dyDescent="0.25">
      <c r="A2089">
        <f ca="1">26418.8003036157*((RANDBETWEEN(1620,2416)))</f>
        <v>62586137.919265643</v>
      </c>
      <c r="B2089">
        <v>150777784.85217881</v>
      </c>
    </row>
    <row r="2090" spans="1:2" x14ac:dyDescent="0.25">
      <c r="A2090">
        <f ca="1">29600.0484080976*((RANDBETWEEN(1620,2416)))</f>
        <v>50231282.1485416</v>
      </c>
      <c r="B2090">
        <v>185851075.41960654</v>
      </c>
    </row>
    <row r="2091" spans="1:2" x14ac:dyDescent="0.25">
      <c r="A2091">
        <f ca="1">27174.2020509771*((RANDBETWEEN(1620,2416)))</f>
        <v>48859215.287656836</v>
      </c>
      <c r="B2091">
        <v>198463302.94983476</v>
      </c>
    </row>
    <row r="2092" spans="1:2" x14ac:dyDescent="0.25">
      <c r="A2092">
        <f ca="1">26619.0030815632*((RANDBETWEEN(1620,2416)))</f>
        <v>58348854.754786611</v>
      </c>
      <c r="B2092">
        <v>153906689.53961432</v>
      </c>
    </row>
    <row r="2093" spans="1:2" x14ac:dyDescent="0.25">
      <c r="A2093">
        <f ca="1">30523.2034370595*((RANDBETWEEN(1620,2416)))</f>
        <v>65991165.830922715</v>
      </c>
      <c r="B2093">
        <v>153516315.47885251</v>
      </c>
    </row>
    <row r="2094" spans="1:2" x14ac:dyDescent="0.25">
      <c r="A2094">
        <f ca="1">26301.8712455825*((RANDBETWEEN(1620,2416)))</f>
        <v>45318124.156138629</v>
      </c>
      <c r="B2094">
        <v>175496108.81208983</v>
      </c>
    </row>
    <row r="2095" spans="1:2" x14ac:dyDescent="0.25">
      <c r="A2095">
        <f ca="1">26330.2107442219*((RANDBETWEEN(1620,2416)))</f>
        <v>54240234.13309703</v>
      </c>
      <c r="B2095">
        <v>149841069.94061631</v>
      </c>
    </row>
    <row r="2096" spans="1:2" x14ac:dyDescent="0.25">
      <c r="A2096">
        <f ca="1">28153.9941218082*((RANDBETWEEN(1620,2416)))</f>
        <v>47242402.136394158</v>
      </c>
      <c r="B2096">
        <v>148225396.42265001</v>
      </c>
    </row>
    <row r="2097" spans="1:2" x14ac:dyDescent="0.25">
      <c r="A2097">
        <f ca="1">26340.302661253*((RANDBETWEEN(1620,2416)))</f>
        <v>49914873.543074429</v>
      </c>
      <c r="B2097">
        <v>187504250.99055046</v>
      </c>
    </row>
    <row r="2098" spans="1:2" x14ac:dyDescent="0.25">
      <c r="A2098">
        <f ca="1">28491.3733423336*((RANDBETWEEN(1620,2416)))</f>
        <v>62652529.979791492</v>
      </c>
      <c r="B2098">
        <v>160975163.97596812</v>
      </c>
    </row>
    <row r="2099" spans="1:2" x14ac:dyDescent="0.25">
      <c r="A2099">
        <f ca="1">27957.6600872099*((RANDBETWEEN(1620,2416)))</f>
        <v>50239915.176716246</v>
      </c>
      <c r="B2099">
        <v>182945756.78693509</v>
      </c>
    </row>
    <row r="2100" spans="1:2" x14ac:dyDescent="0.25">
      <c r="A2100">
        <f ca="1">31788.7396148644*((RANDBETWEEN(1620,2416)))</f>
        <v>58236970.974431597</v>
      </c>
      <c r="B2100">
        <v>185104785.50343028</v>
      </c>
    </row>
    <row r="2101" spans="1:2" x14ac:dyDescent="0.25">
      <c r="A2101">
        <f ca="1">27601.1804426607*((RANDBETWEEN(1620,2416)))</f>
        <v>52497445.201940648</v>
      </c>
      <c r="B2101">
        <v>152999121.96769938</v>
      </c>
    </row>
    <row r="2102" spans="1:2" x14ac:dyDescent="0.25">
      <c r="A2102">
        <f ca="1">29033.6647280566*((RANDBETWEEN(1620,2416)))</f>
        <v>57660858.149920352</v>
      </c>
      <c r="B2102">
        <v>186127941.43739289</v>
      </c>
    </row>
    <row r="2103" spans="1:2" x14ac:dyDescent="0.25">
      <c r="A2103">
        <f ca="1">29063.0546466928*((RANDBETWEEN(1620,2416)))</f>
        <v>51935678.65363998</v>
      </c>
      <c r="B2103">
        <v>182792906.56999919</v>
      </c>
    </row>
    <row r="2104" spans="1:2" x14ac:dyDescent="0.25">
      <c r="A2104">
        <f ca="1">32937.7178822691*((RANDBETWEEN(1620,2416)))</f>
        <v>71968913.572758049</v>
      </c>
      <c r="B2104">
        <v>188827594.69824624</v>
      </c>
    </row>
    <row r="2105" spans="1:2" x14ac:dyDescent="0.25">
      <c r="A2105">
        <f ca="1">26600.9645943649*((RANDBETWEEN(1620,2416)))</f>
        <v>43652182.899352789</v>
      </c>
      <c r="B2105">
        <v>178349394.40531361</v>
      </c>
    </row>
    <row r="2106" spans="1:2" x14ac:dyDescent="0.25">
      <c r="A2106">
        <f ca="1">28258.6221119612*((RANDBETWEEN(1620,2416)))</f>
        <v>50215571.492955118</v>
      </c>
      <c r="B2106">
        <v>188878605.03472695</v>
      </c>
    </row>
    <row r="2107" spans="1:2" x14ac:dyDescent="0.25">
      <c r="A2107">
        <f ca="1">26588.3373408743*((RANDBETWEEN(1620,2416)))</f>
        <v>49667014.152753174</v>
      </c>
      <c r="B2107">
        <v>151649703.79340845</v>
      </c>
    </row>
    <row r="2108" spans="1:2" x14ac:dyDescent="0.25">
      <c r="A2108">
        <f ca="1">28063.2685729672*((RANDBETWEEN(1620,2416)))</f>
        <v>52562502.037167504</v>
      </c>
      <c r="B2108">
        <v>180247115.47039211</v>
      </c>
    </row>
    <row r="2109" spans="1:2" x14ac:dyDescent="0.25">
      <c r="A2109">
        <f ca="1">28483.0307037905*((RANDBETWEEN(1620,2416)))</f>
        <v>49987718.885152318</v>
      </c>
      <c r="B2109">
        <v>153341615.58851439</v>
      </c>
    </row>
    <row r="2110" spans="1:2" x14ac:dyDescent="0.25">
      <c r="A2110">
        <f ca="1">25883.3199349595*((RANDBETWEEN(1620,2416)))</f>
        <v>55700904.500032939</v>
      </c>
      <c r="B2110">
        <v>160027324.23432115</v>
      </c>
    </row>
    <row r="2111" spans="1:2" x14ac:dyDescent="0.25">
      <c r="A2111">
        <f ca="1">28621.246897009*((RANDBETWEEN(1620,2416)))</f>
        <v>66687505.270030938</v>
      </c>
      <c r="B2111">
        <v>147183683.51211768</v>
      </c>
    </row>
    <row r="2112" spans="1:2" x14ac:dyDescent="0.25">
      <c r="A2112">
        <f ca="1">29216.93929553*((RANDBETWEEN(1620,2416)))</f>
        <v>69740834.098430321</v>
      </c>
      <c r="B2112">
        <v>171797845.98403782</v>
      </c>
    </row>
    <row r="2113" spans="1:2" x14ac:dyDescent="0.25">
      <c r="A2113">
        <f ca="1">31405.5660558493*((RANDBETWEEN(1620,2416)))</f>
        <v>55336607.390406415</v>
      </c>
      <c r="B2113">
        <v>171665266.51322544</v>
      </c>
    </row>
    <row r="2114" spans="1:2" x14ac:dyDescent="0.25">
      <c r="A2114">
        <f ca="1">27660.8304933282*((RANDBETWEEN(1620,2416)))</f>
        <v>53827976.140016638</v>
      </c>
      <c r="B2114">
        <v>153766107.458648</v>
      </c>
    </row>
    <row r="2115" spans="1:2" x14ac:dyDescent="0.25">
      <c r="A2115">
        <f ca="1">26042.9800164531*((RANDBETWEEN(1620,2416)))</f>
        <v>49403533.091211535</v>
      </c>
      <c r="B2115">
        <v>159285106.28743276</v>
      </c>
    </row>
    <row r="2116" spans="1:2" x14ac:dyDescent="0.25">
      <c r="A2116">
        <f ca="1">26695.7679488851*((RANDBETWEEN(1620,2416)))</f>
        <v>60812959.387560233</v>
      </c>
      <c r="B2116">
        <v>179785328.21316615</v>
      </c>
    </row>
    <row r="2117" spans="1:2" x14ac:dyDescent="0.25">
      <c r="A2117">
        <f ca="1">29542.0025009336*((RANDBETWEEN(1620,2416)))</f>
        <v>54002780.571706593</v>
      </c>
      <c r="B2117">
        <v>171465101.98702517</v>
      </c>
    </row>
    <row r="2118" spans="1:2" x14ac:dyDescent="0.25">
      <c r="A2118">
        <f ca="1">29910.2927261049*((RANDBETWEEN(1620,2416)))</f>
        <v>67926274.780984208</v>
      </c>
      <c r="B2118">
        <v>173290555.16003501</v>
      </c>
    </row>
    <row r="2119" spans="1:2" x14ac:dyDescent="0.25">
      <c r="A2119">
        <f ca="1">28293.8735858178*((RANDBETWEEN(1620,2416)))</f>
        <v>54126180.16966942</v>
      </c>
      <c r="B2119">
        <v>181724578.02871302</v>
      </c>
    </row>
    <row r="2120" spans="1:2" x14ac:dyDescent="0.25">
      <c r="A2120">
        <f ca="1">27277.3095839807*((RANDBETWEEN(1620,2416)))</f>
        <v>61619442.350212321</v>
      </c>
      <c r="B2120">
        <v>157045098.22385699</v>
      </c>
    </row>
    <row r="2121" spans="1:2" x14ac:dyDescent="0.25">
      <c r="A2121">
        <f ca="1">28021.5881537328*((RANDBETWEEN(1620,2416)))</f>
        <v>61983752.996056959</v>
      </c>
      <c r="B2121">
        <v>201886750.76112914</v>
      </c>
    </row>
    <row r="2122" spans="1:2" x14ac:dyDescent="0.25">
      <c r="A2122">
        <f ca="1">29209.1967308349*((RANDBETWEEN(1620,2416)))</f>
        <v>56987142.821858808</v>
      </c>
      <c r="B2122">
        <v>196973408.42183453</v>
      </c>
    </row>
    <row r="2123" spans="1:2" x14ac:dyDescent="0.25">
      <c r="A2123">
        <f ca="1">27211.2329729427*((RANDBETWEEN(1620,2416)))</f>
        <v>52680947.03561715</v>
      </c>
      <c r="B2123">
        <v>162762514.29550648</v>
      </c>
    </row>
    <row r="2124" spans="1:2" x14ac:dyDescent="0.25">
      <c r="A2124">
        <f ca="1">33409.5399469285*((RANDBETWEEN(1620,2416)))</f>
        <v>74235997.762075037</v>
      </c>
      <c r="B2124">
        <v>160697921.80091</v>
      </c>
    </row>
    <row r="2125" spans="1:2" x14ac:dyDescent="0.25">
      <c r="A2125">
        <f ca="1">29397.7958647014*((RANDBETWEEN(1620,2416)))</f>
        <v>56267381.285038449</v>
      </c>
      <c r="B2125">
        <v>188199039.56412736</v>
      </c>
    </row>
    <row r="2126" spans="1:2" x14ac:dyDescent="0.25">
      <c r="A2126">
        <f ca="1">27107.1436752473*((RANDBETWEEN(1620,2416)))</f>
        <v>61966930.44161541</v>
      </c>
      <c r="B2126">
        <v>176290707.86308563</v>
      </c>
    </row>
    <row r="2127" spans="1:2" x14ac:dyDescent="0.25">
      <c r="A2127">
        <f ca="1">27172.1926515158*((RANDBETWEEN(1620,2416)))</f>
        <v>57523531.843258888</v>
      </c>
      <c r="B2127">
        <v>148031339.50217274</v>
      </c>
    </row>
    <row r="2128" spans="1:2" x14ac:dyDescent="0.25">
      <c r="A2128">
        <f ca="1">29141.2965735872*((RANDBETWEEN(1620,2416)))</f>
        <v>50705856.038041659</v>
      </c>
      <c r="B2128">
        <v>156216498.10403556</v>
      </c>
    </row>
    <row r="2129" spans="1:2" x14ac:dyDescent="0.25">
      <c r="A2129">
        <f ca="1">29411.7929800073*((RANDBETWEEN(1620,2416)))</f>
        <v>68117712.541696921</v>
      </c>
      <c r="B2129">
        <v>146139593.8042134</v>
      </c>
    </row>
    <row r="2130" spans="1:2" x14ac:dyDescent="0.25">
      <c r="A2130">
        <f ca="1">27293.3574763647*((RANDBETWEEN(1620,2416)))</f>
        <v>50247071.113987468</v>
      </c>
      <c r="B2130">
        <v>145164262.046296</v>
      </c>
    </row>
    <row r="2131" spans="1:2" x14ac:dyDescent="0.25">
      <c r="A2131">
        <f ca="1">25617.5241454086*((RANDBETWEEN(1620,2416)))</f>
        <v>42243297.315778822</v>
      </c>
      <c r="B2131">
        <v>149847732.33038738</v>
      </c>
    </row>
    <row r="2132" spans="1:2" x14ac:dyDescent="0.25">
      <c r="A2132">
        <f ca="1">27697.5030178663*((RANDBETWEEN(1620,2416)))</f>
        <v>65366107.122164547</v>
      </c>
      <c r="B2132">
        <v>189637389.34700683</v>
      </c>
    </row>
    <row r="2133" spans="1:2" x14ac:dyDescent="0.25">
      <c r="A2133">
        <f ca="1">29219.4474962085*((RANDBETWEEN(1620,2416)))</f>
        <v>54903341.845375694</v>
      </c>
      <c r="B2133">
        <v>150837588.47682962</v>
      </c>
    </row>
    <row r="2134" spans="1:2" x14ac:dyDescent="0.25">
      <c r="A2134">
        <f ca="1">28573.9092743801*((RANDBETWEEN(1620,2416)))</f>
        <v>68463086.621414736</v>
      </c>
      <c r="B2134">
        <v>200508370.98849657</v>
      </c>
    </row>
    <row r="2135" spans="1:2" x14ac:dyDescent="0.25">
      <c r="A2135">
        <f ca="1">28852.040594497*((RANDBETWEEN(1620,2416)))</f>
        <v>66879030.098044112</v>
      </c>
      <c r="B2135">
        <v>171433239.28517228</v>
      </c>
    </row>
    <row r="2136" spans="1:2" x14ac:dyDescent="0.25">
      <c r="A2136">
        <f ca="1">26863.8871597037*((RANDBETWEEN(1620,2416)))</f>
        <v>55500790.871947758</v>
      </c>
      <c r="B2136">
        <v>193175639.23819652</v>
      </c>
    </row>
    <row r="2137" spans="1:2" x14ac:dyDescent="0.25">
      <c r="A2137">
        <f ca="1">27215.4853458624*((RANDBETWEEN(1620,2416)))</f>
        <v>53532859.675311387</v>
      </c>
      <c r="B2137">
        <v>155101853.77896881</v>
      </c>
    </row>
    <row r="2138" spans="1:2" x14ac:dyDescent="0.25">
      <c r="A2138">
        <f ca="1">26336.8286188951*((RANDBETWEEN(1620,2416)))</f>
        <v>53253067.467405945</v>
      </c>
      <c r="B2138">
        <v>172535968.86175326</v>
      </c>
    </row>
    <row r="2139" spans="1:2" x14ac:dyDescent="0.25">
      <c r="A2139">
        <f ca="1">31443.8348302223*((RANDBETWEEN(1620,2416)))</f>
        <v>69553762.644451827</v>
      </c>
      <c r="B2139">
        <v>163649959.90969294</v>
      </c>
    </row>
    <row r="2140" spans="1:2" x14ac:dyDescent="0.25">
      <c r="A2140">
        <f ca="1">27450.6382957788*((RANDBETWEEN(1620,2416)))</f>
        <v>56164005.9531634</v>
      </c>
      <c r="B2140">
        <v>158754826.93961412</v>
      </c>
    </row>
    <row r="2141" spans="1:2" x14ac:dyDescent="0.25">
      <c r="A2141">
        <f ca="1">25555.6369945793*((RANDBETWEEN(1620,2416)))</f>
        <v>47431262.261939228</v>
      </c>
      <c r="B2141">
        <v>172557666.82166898</v>
      </c>
    </row>
    <row r="2142" spans="1:2" x14ac:dyDescent="0.25">
      <c r="A2142">
        <f ca="1">26470.0620226271*((RANDBETWEEN(1620,2416)))</f>
        <v>62125235.567105904</v>
      </c>
      <c r="B2142">
        <v>158009069.46758518</v>
      </c>
    </row>
    <row r="2143" spans="1:2" x14ac:dyDescent="0.25">
      <c r="A2143">
        <f ca="1">27921.3684356216*((RANDBETWEEN(1620,2416)))</f>
        <v>58551109.609498449</v>
      </c>
      <c r="B2143">
        <v>164451944.09049088</v>
      </c>
    </row>
    <row r="2144" spans="1:2" x14ac:dyDescent="0.25">
      <c r="A2144">
        <f ca="1">26523.2651842326*((RANDBETWEEN(1620,2416)))</f>
        <v>62754045.425894402</v>
      </c>
      <c r="B2144">
        <v>179844360.04937685</v>
      </c>
    </row>
    <row r="2145" spans="1:2" x14ac:dyDescent="0.25">
      <c r="A2145">
        <f ca="1">32327.6480504718*((RANDBETWEEN(1620,2416)))</f>
        <v>63976415.491883785</v>
      </c>
      <c r="B2145">
        <v>173054096.28964081</v>
      </c>
    </row>
    <row r="2146" spans="1:2" x14ac:dyDescent="0.25">
      <c r="A2146">
        <f ca="1">29854.5527850808*((RANDBETWEEN(1620,2416)))</f>
        <v>62067615.240182966</v>
      </c>
      <c r="B2146">
        <v>159319292.88284048</v>
      </c>
    </row>
    <row r="2147" spans="1:2" x14ac:dyDescent="0.25">
      <c r="A2147">
        <f ca="1">27453.2518299916*((RANDBETWEEN(1620,2416)))</f>
        <v>58612692.657032147</v>
      </c>
      <c r="B2147">
        <v>182354790.57825929</v>
      </c>
    </row>
    <row r="2148" spans="1:2" x14ac:dyDescent="0.25">
      <c r="A2148">
        <f ca="1">26710.7592829736*((RANDBETWEEN(1620,2416)))</f>
        <v>46877382.541618668</v>
      </c>
      <c r="B2148">
        <v>179805089.06415316</v>
      </c>
    </row>
    <row r="2149" spans="1:2" x14ac:dyDescent="0.25">
      <c r="A2149">
        <f ca="1">29558.0381734905*((RANDBETWEEN(1620,2416)))</f>
        <v>70141224.585693002</v>
      </c>
      <c r="B2149">
        <v>174025179.56350064</v>
      </c>
    </row>
    <row r="2150" spans="1:2" x14ac:dyDescent="0.25">
      <c r="A2150">
        <f ca="1">26853.4174503944*((RANDBETWEEN(1620,2416)))</f>
        <v>56150495.888774775</v>
      </c>
      <c r="B2150">
        <v>152112716.73975107</v>
      </c>
    </row>
    <row r="2151" spans="1:2" x14ac:dyDescent="0.25">
      <c r="A2151">
        <f ca="1">31850.5869513155*((RANDBETWEEN(1620,2416)))</f>
        <v>59687999.946765266</v>
      </c>
      <c r="B2151">
        <v>200318063.33561534</v>
      </c>
    </row>
    <row r="2152" spans="1:2" x14ac:dyDescent="0.25">
      <c r="A2152">
        <f ca="1">31862.9482822163*((RANDBETWEEN(1620,2416)))</f>
        <v>62037160.305475131</v>
      </c>
      <c r="B2152">
        <v>174934296.10435969</v>
      </c>
    </row>
    <row r="2153" spans="1:2" x14ac:dyDescent="0.25">
      <c r="A2153">
        <f ca="1">26226.2236510303*((RANDBETWEEN(1620,2416)))</f>
        <v>47469464.808364883</v>
      </c>
      <c r="B2153">
        <v>152741795.67771685</v>
      </c>
    </row>
    <row r="2154" spans="1:2" x14ac:dyDescent="0.25">
      <c r="A2154">
        <f ca="1">27997.8419598541*((RANDBETWEEN(1620,2416)))</f>
        <v>48464264.432507426</v>
      </c>
      <c r="B2154">
        <v>183306368.46917975</v>
      </c>
    </row>
    <row r="2155" spans="1:2" x14ac:dyDescent="0.25">
      <c r="A2155">
        <f ca="1">27293.4268745828*((RANDBETWEEN(1620,2416)))</f>
        <v>57998532.108488642</v>
      </c>
      <c r="B2155">
        <v>154349299.64107549</v>
      </c>
    </row>
    <row r="2156" spans="1:2" x14ac:dyDescent="0.25">
      <c r="A2156">
        <f ca="1">29606.3137776135*((RANDBETWEEN(1620,2416)))</f>
        <v>55600657.274358161</v>
      </c>
      <c r="B2156">
        <v>173977620.04926965</v>
      </c>
    </row>
    <row r="2157" spans="1:2" x14ac:dyDescent="0.25">
      <c r="A2157">
        <f ca="1">26549.4515883633*((RANDBETWEEN(1620,2416)))</f>
        <v>43249056.637443759</v>
      </c>
      <c r="B2157">
        <v>175192871.67164445</v>
      </c>
    </row>
    <row r="2158" spans="1:2" x14ac:dyDescent="0.25">
      <c r="A2158">
        <f ca="1">29825.2517988125*((RANDBETWEEN(1620,2416)))</f>
        <v>50255549.280999109</v>
      </c>
      <c r="B2158">
        <v>152039021.48369935</v>
      </c>
    </row>
    <row r="2159" spans="1:2" x14ac:dyDescent="0.25">
      <c r="A2159">
        <f ca="1">33448.4566248863*((RANDBETWEEN(1620,2416)))</f>
        <v>71245212.611007765</v>
      </c>
      <c r="B2159">
        <v>193109367.04490831</v>
      </c>
    </row>
    <row r="2160" spans="1:2" x14ac:dyDescent="0.25">
      <c r="A2160">
        <f ca="1">25557.6205407251*((RANDBETWEEN(1620,2416)))</f>
        <v>42987917.749499604</v>
      </c>
      <c r="B2160">
        <v>146833769.91838712</v>
      </c>
    </row>
    <row r="2161" spans="1:2" x14ac:dyDescent="0.25">
      <c r="A2161">
        <f ca="1">26189.8555233372*((RANDBETWEEN(1620,2416)))</f>
        <v>53977292.233597904</v>
      </c>
      <c r="B2161">
        <v>150454167.61226833</v>
      </c>
    </row>
    <row r="2162" spans="1:2" x14ac:dyDescent="0.25">
      <c r="A2162">
        <f ca="1">27546.0706999096*((RANDBETWEEN(1620,2416)))</f>
        <v>58122209.176809318</v>
      </c>
      <c r="B2162">
        <v>144714776.33498022</v>
      </c>
    </row>
    <row r="2163" spans="1:2" x14ac:dyDescent="0.25">
      <c r="A2163">
        <f ca="1">28165.2160264499*((RANDBETWEEN(1620,2416)))</f>
        <v>46923249.900065601</v>
      </c>
      <c r="B2163">
        <v>147945463.27691868</v>
      </c>
    </row>
    <row r="2164" spans="1:2" x14ac:dyDescent="0.25">
      <c r="A2164">
        <f ca="1">26702.6730587853*((RANDBETWEEN(1620,2416)))</f>
        <v>49586863.870164216</v>
      </c>
      <c r="B2164">
        <v>144358197.66495222</v>
      </c>
    </row>
    <row r="2165" spans="1:2" x14ac:dyDescent="0.25">
      <c r="A2165">
        <f ca="1">26640.8167825749*((RANDBETWEEN(1620,2416)))</f>
        <v>59702070.409750298</v>
      </c>
      <c r="B2165">
        <v>191645567.15867418</v>
      </c>
    </row>
    <row r="2166" spans="1:2" x14ac:dyDescent="0.25">
      <c r="A2166">
        <f ca="1">26901.6787361031*((RANDBETWEEN(1620,2416)))</f>
        <v>53803357.47220622</v>
      </c>
      <c r="B2166">
        <v>179779735.14298055</v>
      </c>
    </row>
    <row r="2167" spans="1:2" x14ac:dyDescent="0.25">
      <c r="A2167">
        <f ca="1">31815.5154495641*((RANDBETWEEN(1620,2416)))</f>
        <v>70439551.205334827</v>
      </c>
      <c r="B2167">
        <v>171281284.5200243</v>
      </c>
    </row>
    <row r="2168" spans="1:2" x14ac:dyDescent="0.25">
      <c r="A2168">
        <f ca="1">30886.9950121192*((RANDBETWEEN(1620,2416)))</f>
        <v>53002083.440796532</v>
      </c>
      <c r="B2168">
        <v>168766568.21048361</v>
      </c>
    </row>
    <row r="2169" spans="1:2" x14ac:dyDescent="0.25">
      <c r="A2169">
        <f ca="1">27018.8170422816*((RANDBETWEEN(1620,2416)))</f>
        <v>53118994.305125661</v>
      </c>
      <c r="B2169">
        <v>164659777.48352385</v>
      </c>
    </row>
    <row r="2170" spans="1:2" x14ac:dyDescent="0.25">
      <c r="A2170">
        <f ca="1">30239.3710525293*((RANDBETWEEN(1620,2416)))</f>
        <v>67675712.415560544</v>
      </c>
      <c r="B2170">
        <v>202917694.17665589</v>
      </c>
    </row>
    <row r="2171" spans="1:2" x14ac:dyDescent="0.25">
      <c r="A2171">
        <f ca="1">30091.9717111274*((RANDBETWEEN(1620,2416)))</f>
        <v>60394587.224232726</v>
      </c>
      <c r="B2171">
        <v>182323998.14226449</v>
      </c>
    </row>
    <row r="2172" spans="1:2" x14ac:dyDescent="0.25">
      <c r="A2172">
        <f ca="1">30758.5740615781*((RANDBETWEEN(1620,2416)))</f>
        <v>60563632.327247344</v>
      </c>
      <c r="B2172">
        <v>144605240.21999419</v>
      </c>
    </row>
    <row r="2173" spans="1:2" x14ac:dyDescent="0.25">
      <c r="A2173">
        <f ca="1">26761.2194733891*((RANDBETWEEN(1620,2416)))</f>
        <v>51381541.388906993</v>
      </c>
      <c r="B2173">
        <v>152710671.74459055</v>
      </c>
    </row>
    <row r="2174" spans="1:2" x14ac:dyDescent="0.25">
      <c r="A2174">
        <f ca="1">25591.2457560859*((RANDBETWEEN(1620,2416)))</f>
        <v>46473702.293052003</v>
      </c>
      <c r="B2174">
        <v>149509067.91728771</v>
      </c>
    </row>
    <row r="2175" spans="1:2" x14ac:dyDescent="0.25">
      <c r="A2175">
        <f ca="1">31639.2922579577*((RANDBETWEEN(1620,2416)))</f>
        <v>69163492.875895634</v>
      </c>
      <c r="B2175">
        <v>190184934.35609716</v>
      </c>
    </row>
    <row r="2176" spans="1:2" x14ac:dyDescent="0.25">
      <c r="A2176">
        <f ca="1">26372.3751381427*((RANDBETWEEN(1620,2416)))</f>
        <v>49896533.761366047</v>
      </c>
      <c r="B2176">
        <v>146712814.35435271</v>
      </c>
    </row>
    <row r="2177" spans="1:2" x14ac:dyDescent="0.25">
      <c r="A2177">
        <f ca="1">27094.423840527*((RANDBETWEEN(1620,2416)))</f>
        <v>52021293.773811787</v>
      </c>
      <c r="B2177">
        <v>142998157.79417413</v>
      </c>
    </row>
    <row r="2178" spans="1:2" x14ac:dyDescent="0.25">
      <c r="A2178">
        <f ca="1">26886.0407803784*((RANDBETWEEN(1620,2416)))</f>
        <v>47857152.589073516</v>
      </c>
      <c r="B2178">
        <v>180199927.04127651</v>
      </c>
    </row>
    <row r="2179" spans="1:2" x14ac:dyDescent="0.25">
      <c r="A2179">
        <f ca="1">27973.7173545886*((RANDBETWEEN(1620,2416)))</f>
        <v>49289689.978785157</v>
      </c>
      <c r="B2179">
        <v>149444817.88597861</v>
      </c>
    </row>
    <row r="2180" spans="1:2" x14ac:dyDescent="0.25">
      <c r="A2180">
        <f ca="1">29086.661507904*((RANDBETWEEN(1620,2416)))</f>
        <v>60645689.243979879</v>
      </c>
      <c r="B2180">
        <v>178668640.97375423</v>
      </c>
    </row>
    <row r="2181" spans="1:2" x14ac:dyDescent="0.25">
      <c r="A2181">
        <f ca="1">26885.2093487489*((RANDBETWEEN(1620,2416)))</f>
        <v>50866816.08783295</v>
      </c>
      <c r="B2181">
        <v>166213043.91805869</v>
      </c>
    </row>
    <row r="2182" spans="1:2" x14ac:dyDescent="0.25">
      <c r="A2182">
        <f ca="1">33595.7526552509*((RANDBETWEEN(1620,2416)))</f>
        <v>80092274.330118135</v>
      </c>
      <c r="B2182">
        <v>176185731.19832313</v>
      </c>
    </row>
    <row r="2183" spans="1:2" x14ac:dyDescent="0.25">
      <c r="A2183">
        <f ca="1">27651.8061198078*((RANDBETWEEN(1620,2416)))</f>
        <v>59423731.351466991</v>
      </c>
      <c r="B2183">
        <v>155064494.92539644</v>
      </c>
    </row>
    <row r="2184" spans="1:2" x14ac:dyDescent="0.25">
      <c r="A2184">
        <f ca="1">27533.8496949479*((RANDBETWEEN(1620,2416)))</f>
        <v>61648289.466988333</v>
      </c>
      <c r="B2184">
        <v>188630813.61737776</v>
      </c>
    </row>
    <row r="2185" spans="1:2" x14ac:dyDescent="0.25">
      <c r="A2185">
        <f ca="1">29240.4189041319*((RANDBETWEEN(1620,2416)))</f>
        <v>63919555.724432401</v>
      </c>
      <c r="B2185">
        <v>184926187.96486035</v>
      </c>
    </row>
    <row r="2186" spans="1:2" x14ac:dyDescent="0.25">
      <c r="A2186">
        <f ca="1">27315.7276066687*((RANDBETWEEN(1620,2416)))</f>
        <v>45945053.834416822</v>
      </c>
      <c r="B2186">
        <v>190797845.36345932</v>
      </c>
    </row>
    <row r="2187" spans="1:2" x14ac:dyDescent="0.25">
      <c r="A2187">
        <f ca="1">29170.9837069459*((RANDBETWEEN(1620,2416)))</f>
        <v>69922847.945549339</v>
      </c>
      <c r="B2187">
        <v>154538507.04292077</v>
      </c>
    </row>
    <row r="2188" spans="1:2" x14ac:dyDescent="0.25">
      <c r="A2188">
        <f ca="1">26528.5630619134*((RANDBETWEEN(1620,2416)))</f>
        <v>49528827.23659233</v>
      </c>
      <c r="B2188">
        <v>160353127.28254235</v>
      </c>
    </row>
    <row r="2189" spans="1:2" x14ac:dyDescent="0.25">
      <c r="A2189">
        <f ca="1">27595.213692593*((RANDBETWEEN(1620,2416)))</f>
        <v>59550471.148615591</v>
      </c>
      <c r="B2189">
        <v>169560176.5375573</v>
      </c>
    </row>
    <row r="2190" spans="1:2" x14ac:dyDescent="0.25">
      <c r="A2190">
        <f ca="1">27504.32212782*((RANDBETWEEN(1620,2416)))</f>
        <v>55586235.020324126</v>
      </c>
      <c r="B2190">
        <v>143161439.42727536</v>
      </c>
    </row>
    <row r="2191" spans="1:2" x14ac:dyDescent="0.25">
      <c r="A2191">
        <f ca="1">31732.3305529223*((RANDBETWEEN(1620,2416)))</f>
        <v>63781984.411373861</v>
      </c>
      <c r="B2191">
        <v>166575672.13763601</v>
      </c>
    </row>
    <row r="2192" spans="1:2" x14ac:dyDescent="0.25">
      <c r="A2192">
        <f ca="1">25974.8253294854*((RANDBETWEEN(1620,2416)))</f>
        <v>44858523.344021223</v>
      </c>
      <c r="B2192">
        <v>189377395.74949726</v>
      </c>
    </row>
    <row r="2193" spans="1:2" x14ac:dyDescent="0.25">
      <c r="A2193">
        <f ca="1">27231.7308209446*((RANDBETWEEN(1620,2416)))</f>
        <v>45858234.702470705</v>
      </c>
      <c r="B2193">
        <v>149258866.18897933</v>
      </c>
    </row>
    <row r="2194" spans="1:2" x14ac:dyDescent="0.25">
      <c r="A2194">
        <f ca="1">26163.0237601742*((RANDBETWEEN(1620,2416)))</f>
        <v>55962707.823012531</v>
      </c>
      <c r="B2194">
        <v>164027761.76223549</v>
      </c>
    </row>
    <row r="2195" spans="1:2" x14ac:dyDescent="0.25">
      <c r="A2195">
        <f ca="1">25411.6634215389*((RANDBETWEEN(1620,2416)))</f>
        <v>41751363.001588419</v>
      </c>
      <c r="B2195">
        <v>144896932.26597223</v>
      </c>
    </row>
    <row r="2196" spans="1:2" x14ac:dyDescent="0.25">
      <c r="A2196">
        <f ca="1">26888.0134898984*((RANDBETWEEN(1620,2416)))</f>
        <v>44768542.46068085</v>
      </c>
      <c r="B2196">
        <v>169253542.86890483</v>
      </c>
    </row>
    <row r="2197" spans="1:2" x14ac:dyDescent="0.25">
      <c r="A2197">
        <f ca="1">25823.7592779462*((RANDBETWEEN(1620,2416)))</f>
        <v>44106980.846732058</v>
      </c>
      <c r="B2197">
        <v>155741150.18666175</v>
      </c>
    </row>
    <row r="2198" spans="1:2" x14ac:dyDescent="0.25">
      <c r="A2198">
        <f ca="1">26220.770626945*((RANDBETWEEN(1620,2416)))</f>
        <v>56427098.389185637</v>
      </c>
      <c r="B2198">
        <v>166730123.34477738</v>
      </c>
    </row>
    <row r="2199" spans="1:2" x14ac:dyDescent="0.25">
      <c r="A2199">
        <f ca="1">26640.0744193326*((RANDBETWEEN(1620,2416)))</f>
        <v>55597835.313147046</v>
      </c>
      <c r="B2199">
        <v>152081062.83934176</v>
      </c>
    </row>
    <row r="2200" spans="1:2" x14ac:dyDescent="0.25">
      <c r="A2200">
        <f ca="1">26877.0917031585*((RANDBETWEEN(1620,2416)))</f>
        <v>63241796.777531989</v>
      </c>
      <c r="B2200">
        <v>190985284.86125329</v>
      </c>
    </row>
    <row r="2201" spans="1:2" x14ac:dyDescent="0.25">
      <c r="A2201">
        <f ca="1">27294.8586620993*((RANDBETWEEN(1620,2416)))</f>
        <v>50277129.655586824</v>
      </c>
      <c r="B2201">
        <v>145113704.21937743</v>
      </c>
    </row>
    <row r="2202" spans="1:2" x14ac:dyDescent="0.25">
      <c r="A2202">
        <f ca="1">27533.1413060953*((RANDBETWEEN(1620,2416)))</f>
        <v>61371371.971286453</v>
      </c>
      <c r="B2202">
        <v>172240066.21675044</v>
      </c>
    </row>
    <row r="2203" spans="1:2" x14ac:dyDescent="0.25">
      <c r="A2203">
        <f ca="1">26304.6901465611*((RANDBETWEEN(1620,2416)))</f>
        <v>59790560.703133397</v>
      </c>
      <c r="B2203">
        <v>151021001.01478851</v>
      </c>
    </row>
    <row r="2204" spans="1:2" x14ac:dyDescent="0.25">
      <c r="A2204">
        <f ca="1">25513.4752941584*((RANDBETWEEN(1620,2416)))</f>
        <v>49113439.941254966</v>
      </c>
      <c r="B2204">
        <v>147528054.77275649</v>
      </c>
    </row>
    <row r="2205" spans="1:2" x14ac:dyDescent="0.25">
      <c r="A2205">
        <f ca="1">28323.6027593935*((RANDBETWEEN(1620,2416)))</f>
        <v>56987088.751899749</v>
      </c>
      <c r="B2205">
        <v>175205492.84884921</v>
      </c>
    </row>
    <row r="2206" spans="1:2" x14ac:dyDescent="0.25">
      <c r="A2206">
        <f ca="1">28088.1639148171*((RANDBETWEEN(1620,2416)))</f>
        <v>60249111.597282596</v>
      </c>
      <c r="B2206">
        <v>152819897.94577703</v>
      </c>
    </row>
    <row r="2207" spans="1:2" x14ac:dyDescent="0.25">
      <c r="A2207">
        <f ca="1">26140.0827457943*((RANDBETWEEN(1620,2416)))</f>
        <v>45196203.067478344</v>
      </c>
      <c r="B2207">
        <v>143747565.95720527</v>
      </c>
    </row>
    <row r="2208" spans="1:2" x14ac:dyDescent="0.25">
      <c r="A2208">
        <f ca="1">29921.8944102251*((RANDBETWEEN(1620,2416)))</f>
        <v>68162075.466492891</v>
      </c>
      <c r="B2208">
        <v>179807682.29793099</v>
      </c>
    </row>
    <row r="2209" spans="1:2" x14ac:dyDescent="0.25">
      <c r="A2209">
        <f ca="1">29433.0437112438*((RANDBETWEEN(1620,2416)))</f>
        <v>54627729.128068447</v>
      </c>
      <c r="B2209">
        <v>175319798.07632142</v>
      </c>
    </row>
    <row r="2210" spans="1:2" x14ac:dyDescent="0.25">
      <c r="A2210">
        <f ca="1">28481.4027096056*((RANDBETWEEN(1620,2416)))</f>
        <v>66019891.480865695</v>
      </c>
      <c r="B2210">
        <v>193147961.9867776</v>
      </c>
    </row>
    <row r="2211" spans="1:2" x14ac:dyDescent="0.25">
      <c r="A2211">
        <f ca="1">26274.5677190802*((RANDBETWEEN(1620,2416)))</f>
        <v>44167548.335773833</v>
      </c>
      <c r="B2211">
        <v>148971391.86309239</v>
      </c>
    </row>
    <row r="2212" spans="1:2" x14ac:dyDescent="0.25">
      <c r="A2212">
        <f ca="1">27247.509079581*((RANDBETWEEN(1620,2416)))</f>
        <v>56702066.394608103</v>
      </c>
      <c r="B2212">
        <v>163907503.66124609</v>
      </c>
    </row>
    <row r="2213" spans="1:2" x14ac:dyDescent="0.25">
      <c r="A2213">
        <f ca="1">26551.0768890091*((RANDBETWEEN(1620,2416)))</f>
        <v>60456802.076273777</v>
      </c>
      <c r="B2213">
        <v>146228601.71577096</v>
      </c>
    </row>
    <row r="2214" spans="1:2" x14ac:dyDescent="0.25">
      <c r="A2214">
        <f ca="1">30598.6898548207*((RANDBETWEEN(1620,2416)))</f>
        <v>67898492.787847236</v>
      </c>
      <c r="B2214">
        <v>166645658.15285093</v>
      </c>
    </row>
    <row r="2215" spans="1:2" x14ac:dyDescent="0.25">
      <c r="A2215">
        <f ca="1">26532.5707039947*((RANDBETWEEN(1620,2416)))</f>
        <v>47599431.842966408</v>
      </c>
      <c r="B2215">
        <v>192093999.47552931</v>
      </c>
    </row>
    <row r="2216" spans="1:2" x14ac:dyDescent="0.25">
      <c r="A2216">
        <f ca="1">28444.4975848476*((RANDBETWEEN(1620,2416)))</f>
        <v>67641015.256767705</v>
      </c>
      <c r="B2216">
        <v>191353587.82624713</v>
      </c>
    </row>
    <row r="2217" spans="1:2" x14ac:dyDescent="0.25">
      <c r="A2217">
        <f ca="1">24930.2300836733*((RANDBETWEEN(1620,2416)))</f>
        <v>52677576.166801713</v>
      </c>
      <c r="B2217">
        <v>154878997.14559957</v>
      </c>
    </row>
    <row r="2218" spans="1:2" x14ac:dyDescent="0.25">
      <c r="A2218">
        <f ca="1">31812.6221119615*((RANDBETWEEN(1620,2416)))</f>
        <v>72500965.793160215</v>
      </c>
      <c r="B2218">
        <v>166458336.40686449</v>
      </c>
    </row>
    <row r="2219" spans="1:2" x14ac:dyDescent="0.25">
      <c r="A2219">
        <f ca="1">29688.77790615*((RANDBETWEEN(1620,2416)))</f>
        <v>59347867.034393802</v>
      </c>
      <c r="B2219">
        <v>167267023.42835432</v>
      </c>
    </row>
    <row r="2220" spans="1:2" x14ac:dyDescent="0.25">
      <c r="A2220">
        <f ca="1">28000.8016628864*((RANDBETWEEN(1620,2416)))</f>
        <v>65045862.262885004</v>
      </c>
      <c r="B2220">
        <v>178726583.29895473</v>
      </c>
    </row>
    <row r="2221" spans="1:2" x14ac:dyDescent="0.25">
      <c r="A2221">
        <f ca="1">26484.6335868547*((RANDBETWEEN(1620,2416)))</f>
        <v>58584009.494122528</v>
      </c>
      <c r="B2221">
        <v>153142309.24246591</v>
      </c>
    </row>
    <row r="2222" spans="1:2" x14ac:dyDescent="0.25">
      <c r="A2222">
        <f ca="1">29114.7954575923*((RANDBETWEEN(1620,2416)))</f>
        <v>67371636.688868597</v>
      </c>
      <c r="B2222">
        <v>146218402.75060198</v>
      </c>
    </row>
    <row r="2223" spans="1:2" x14ac:dyDescent="0.25">
      <c r="A2223">
        <f ca="1">26500.7013589444*((RANDBETWEEN(1620,2416)))</f>
        <v>58593050.704625972</v>
      </c>
      <c r="B2223">
        <v>150221189.2685447</v>
      </c>
    </row>
    <row r="2224" spans="1:2" x14ac:dyDescent="0.25">
      <c r="A2224">
        <f ca="1">27886.9608883207*((RANDBETWEEN(1620,2416)))</f>
        <v>59761757.183671273</v>
      </c>
      <c r="B2224">
        <v>176694248.95571119</v>
      </c>
    </row>
    <row r="2225" spans="1:2" x14ac:dyDescent="0.25">
      <c r="A2225">
        <f ca="1">27775.7330962326*((RANDBETWEEN(1620,2416)))</f>
        <v>60634425.34907575</v>
      </c>
      <c r="B2225">
        <v>148206776.50315079</v>
      </c>
    </row>
    <row r="2226" spans="1:2" x14ac:dyDescent="0.25">
      <c r="A2226">
        <f ca="1">32793.0198005874*((RANDBETWEEN(1620,2416)))</f>
        <v>65520453.561573692</v>
      </c>
      <c r="B2226">
        <v>162793920.79400289</v>
      </c>
    </row>
    <row r="2227" spans="1:2" x14ac:dyDescent="0.25">
      <c r="A2227">
        <f ca="1">25642.045035662*((RANDBETWEEN(1620,2416)))</f>
        <v>45412061.758157387</v>
      </c>
      <c r="B2227">
        <v>173737126.1472775</v>
      </c>
    </row>
    <row r="2228" spans="1:2" x14ac:dyDescent="0.25">
      <c r="A2228">
        <f ca="1">25506.9254824331*((RANDBETWEEN(1620,2416)))</f>
        <v>45937972.793862008</v>
      </c>
      <c r="B2228">
        <v>196512954.21491855</v>
      </c>
    </row>
    <row r="2229" spans="1:2" x14ac:dyDescent="0.25">
      <c r="A2229">
        <f ca="1">31944.906627636*((RANDBETWEEN(1620,2416)))</f>
        <v>68234320.556630418</v>
      </c>
      <c r="B2229">
        <v>192964224.58897236</v>
      </c>
    </row>
    <row r="2230" spans="1:2" x14ac:dyDescent="0.25">
      <c r="A2230">
        <f ca="1">27503.1936856167*((RANDBETWEEN(1620,2416)))</f>
        <v>48873175.179340817</v>
      </c>
      <c r="B2230">
        <v>144715778.62882087</v>
      </c>
    </row>
    <row r="2231" spans="1:2" x14ac:dyDescent="0.25">
      <c r="A2231">
        <f ca="1">27005.848845523*((RANDBETWEEN(1620,2416)))</f>
        <v>58791732.936703473</v>
      </c>
      <c r="B2231">
        <v>177490238.73370713</v>
      </c>
    </row>
    <row r="2232" spans="1:2" x14ac:dyDescent="0.25">
      <c r="A2232">
        <f ca="1">28444.5187351193*((RANDBETWEEN(1620,2416)))</f>
        <v>68266844.964286327</v>
      </c>
      <c r="B2232">
        <v>167637980.24185771</v>
      </c>
    </row>
    <row r="2233" spans="1:2" x14ac:dyDescent="0.25">
      <c r="A2233">
        <f ca="1">30389.5299008201*((RANDBETWEEN(1620,2416)))</f>
        <v>71962406.805141956</v>
      </c>
      <c r="B2233">
        <v>155564641.20372686</v>
      </c>
    </row>
    <row r="2234" spans="1:2" x14ac:dyDescent="0.25">
      <c r="A2234">
        <f ca="1">26315.7594472851*((RANDBETWEEN(1620,2416)))</f>
        <v>53526254.715777919</v>
      </c>
      <c r="B2234">
        <v>148448606.78963012</v>
      </c>
    </row>
    <row r="2235" spans="1:2" x14ac:dyDescent="0.25">
      <c r="A2235">
        <f ca="1">28183.2922298289*((RANDBETWEEN(1620,2416)))</f>
        <v>67555351.474899933</v>
      </c>
      <c r="B2235">
        <v>174607079.80220443</v>
      </c>
    </row>
    <row r="2236" spans="1:2" x14ac:dyDescent="0.25">
      <c r="A2236">
        <f ca="1">26431.1309712909*((RANDBETWEEN(1620,2416)))</f>
        <v>51434980.870132186</v>
      </c>
      <c r="B2236">
        <v>191277337.27531594</v>
      </c>
    </row>
    <row r="2237" spans="1:2" x14ac:dyDescent="0.25">
      <c r="A2237">
        <f ca="1">30616.9159711329*((RANDBETWEEN(1620,2416)))</f>
        <v>64326140.45535019</v>
      </c>
      <c r="B2237">
        <v>201598895.35726714</v>
      </c>
    </row>
    <row r="2238" spans="1:2" x14ac:dyDescent="0.25">
      <c r="A2238">
        <f ca="1">29535.9105654165*((RANDBETWEEN(1620,2416)))</f>
        <v>67223732.446888</v>
      </c>
      <c r="B2238">
        <v>163994074.82733667</v>
      </c>
    </row>
    <row r="2239" spans="1:2" x14ac:dyDescent="0.25">
      <c r="A2239">
        <f ca="1">27047.8691060522*((RANDBETWEEN(1620,2416)))</f>
        <v>52445818.196635194</v>
      </c>
      <c r="B2239">
        <v>202710335.30758595</v>
      </c>
    </row>
    <row r="2240" spans="1:2" x14ac:dyDescent="0.25">
      <c r="A2240">
        <f ca="1">26103.6816247079*((RANDBETWEEN(1620,2416)))</f>
        <v>48578951.503581375</v>
      </c>
      <c r="B2240">
        <v>149384772.34394446</v>
      </c>
    </row>
    <row r="2241" spans="1:2" x14ac:dyDescent="0.25">
      <c r="A2241">
        <f ca="1">25775.8853866721*((RANDBETWEEN(1620,2416)))</f>
        <v>42530210.888008967</v>
      </c>
      <c r="B2241">
        <v>173291829.05345005</v>
      </c>
    </row>
    <row r="2242" spans="1:2" x14ac:dyDescent="0.25">
      <c r="A2242">
        <f ca="1">26817.7595067398*((RANDBETWEEN(1620,2416)))</f>
        <v>61680846.865501434</v>
      </c>
      <c r="B2242">
        <v>175937040.65058449</v>
      </c>
    </row>
    <row r="2243" spans="1:2" x14ac:dyDescent="0.25">
      <c r="A2243">
        <f ca="1">27434.1231108384*((RANDBETWEEN(1620,2416)))</f>
        <v>64497623.433581106</v>
      </c>
      <c r="B2243">
        <v>148284385.28708935</v>
      </c>
    </row>
    <row r="2244" spans="1:2" x14ac:dyDescent="0.25">
      <c r="A2244">
        <f ca="1">31182.0819255598*((RANDBETWEEN(1620,2416)))</f>
        <v>55660016.237124175</v>
      </c>
      <c r="B2244">
        <v>160978229.05413514</v>
      </c>
    </row>
    <row r="2245" spans="1:2" x14ac:dyDescent="0.25">
      <c r="A2245">
        <f ca="1">30675.1761073399*((RANDBETWEEN(1620,2416)))</f>
        <v>61595753.623538464</v>
      </c>
      <c r="B2245">
        <v>159218855.78498679</v>
      </c>
    </row>
    <row r="2246" spans="1:2" x14ac:dyDescent="0.25">
      <c r="A2246">
        <f ca="1">27290.9692227234*((RANDBETWEEN(1620,2416)))</f>
        <v>53244680.953533426</v>
      </c>
      <c r="B2246">
        <v>171976501.02154902</v>
      </c>
    </row>
    <row r="2247" spans="1:2" x14ac:dyDescent="0.25">
      <c r="A2247">
        <f ca="1">32271.1123871433*((RANDBETWEEN(1620,2416)))</f>
        <v>74126745.153268084</v>
      </c>
      <c r="B2247">
        <v>153124996.58048889</v>
      </c>
    </row>
    <row r="2248" spans="1:2" x14ac:dyDescent="0.25">
      <c r="A2248">
        <f ca="1">28992.7330925162*((RANDBETWEEN(1620,2416)))</f>
        <v>63957969.20209071</v>
      </c>
      <c r="B2248">
        <v>169194880.27007186</v>
      </c>
    </row>
    <row r="2249" spans="1:2" x14ac:dyDescent="0.25">
      <c r="A2249">
        <f ca="1">27723.8270588607*((RANDBETWEEN(1620,2416)))</f>
        <v>57998246.207136519</v>
      </c>
      <c r="B2249">
        <v>160486596.96296722</v>
      </c>
    </row>
    <row r="2250" spans="1:2" x14ac:dyDescent="0.25">
      <c r="A2250">
        <f ca="1">29518.7188596417*((RANDBETWEEN(1620,2416)))</f>
        <v>54727704.765775718</v>
      </c>
      <c r="B2250">
        <v>190004812.91401103</v>
      </c>
    </row>
    <row r="2251" spans="1:2" x14ac:dyDescent="0.25">
      <c r="A2251">
        <f ca="1">26357.828342271*((RANDBETWEEN(1620,2416)))</f>
        <v>60754794.328934625</v>
      </c>
      <c r="B2251">
        <v>153412232.1560384</v>
      </c>
    </row>
    <row r="2252" spans="1:2" x14ac:dyDescent="0.25">
      <c r="A2252">
        <f ca="1">27446.4008239392*((RANDBETWEEN(1620,2416)))</f>
        <v>60327189.011018343</v>
      </c>
      <c r="B2252">
        <v>189405800.60857698</v>
      </c>
    </row>
    <row r="2253" spans="1:2" x14ac:dyDescent="0.25">
      <c r="A2253">
        <f ca="1">26861.1676338492*((RANDBETWEEN(1620,2416)))</f>
        <v>48215795.902759351</v>
      </c>
      <c r="B2253">
        <v>172329129.31939906</v>
      </c>
    </row>
    <row r="2254" spans="1:2" x14ac:dyDescent="0.25">
      <c r="A2254">
        <f ca="1">27832.6168883881*((RANDBETWEEN(1620,2416)))</f>
        <v>51629504.32795988</v>
      </c>
      <c r="B2254">
        <v>147717290.32191843</v>
      </c>
    </row>
    <row r="2255" spans="1:2" x14ac:dyDescent="0.25">
      <c r="A2255">
        <f ca="1">27544.7432476597*((RANDBETWEEN(1620,2416)))</f>
        <v>66052294.30788786</v>
      </c>
      <c r="B2255">
        <v>192141672.29647961</v>
      </c>
    </row>
    <row r="2256" spans="1:2" x14ac:dyDescent="0.25">
      <c r="A2256">
        <f ca="1">27950.4508823428*((RANDBETWEEN(1620,2416)))</f>
        <v>53692816.144980505</v>
      </c>
      <c r="B2256">
        <v>176196962.09081364</v>
      </c>
    </row>
    <row r="2257" spans="1:2" x14ac:dyDescent="0.25">
      <c r="A2257">
        <f ca="1">26481.1769178896*((RANDBETWEEN(1620,2416)))</f>
        <v>61992435.164779589</v>
      </c>
      <c r="B2257">
        <v>143497842.90531877</v>
      </c>
    </row>
    <row r="2258" spans="1:2" x14ac:dyDescent="0.25">
      <c r="A2258">
        <f ca="1">28051.7586472296*((RANDBETWEEN(1620,2416)))</f>
        <v>51923805.256021991</v>
      </c>
      <c r="B2258">
        <v>143395533.43055117</v>
      </c>
    </row>
    <row r="2259" spans="1:2" x14ac:dyDescent="0.25">
      <c r="A2259">
        <f ca="1">29412.8224451963*((RANDBETWEEN(1620,2416)))</f>
        <v>50295926.3812856</v>
      </c>
      <c r="B2259">
        <v>180075799.12926012</v>
      </c>
    </row>
    <row r="2260" spans="1:2" x14ac:dyDescent="0.25">
      <c r="A2260">
        <f ca="1">26646.3619571695*((RANDBETWEEN(1620,2416)))</f>
        <v>58222300.87641535</v>
      </c>
      <c r="B2260">
        <v>147577434.20438161</v>
      </c>
    </row>
    <row r="2261" spans="1:2" x14ac:dyDescent="0.25">
      <c r="A2261">
        <f ca="1">28237.26059455*((RANDBETWEEN(1620,2416)))</f>
        <v>50968255.373162724</v>
      </c>
      <c r="B2261">
        <v>195927073.84485435</v>
      </c>
    </row>
    <row r="2262" spans="1:2" x14ac:dyDescent="0.25">
      <c r="A2262">
        <f ca="1">27660.5222429999*((RANDBETWEEN(1620,2416)))</f>
        <v>54214623.59627977</v>
      </c>
      <c r="B2262">
        <v>152071974.50917977</v>
      </c>
    </row>
    <row r="2263" spans="1:2" x14ac:dyDescent="0.25">
      <c r="A2263">
        <f ca="1">29557.5197085024*((RANDBETWEEN(1620,2416)))</f>
        <v>54385836.263644502</v>
      </c>
      <c r="B2263">
        <v>188989669.7552672</v>
      </c>
    </row>
    <row r="2264" spans="1:2" x14ac:dyDescent="0.25">
      <c r="A2264">
        <f ca="1">34461.4842279239*((RANDBETWEEN(1620,2416)))</f>
        <v>57895293.502912179</v>
      </c>
      <c r="B2264">
        <v>162083642.63356194</v>
      </c>
    </row>
    <row r="2265" spans="1:2" x14ac:dyDescent="0.25">
      <c r="A2265">
        <f ca="1">34512.167586533*((RANDBETWEEN(1620,2416)))</f>
        <v>60637878.449538566</v>
      </c>
      <c r="B2265">
        <v>154846038.30006221</v>
      </c>
    </row>
    <row r="2266" spans="1:2" x14ac:dyDescent="0.25">
      <c r="A2266">
        <f ca="1">29284.552646084*((RANDBETWEEN(1620,2416)))</f>
        <v>59037658.134505317</v>
      </c>
      <c r="B2266">
        <v>171464521.23248717</v>
      </c>
    </row>
    <row r="2267" spans="1:2" x14ac:dyDescent="0.25">
      <c r="A2267">
        <f ca="1">30878.3261703325*((RANDBETWEEN(1620,2416)))</f>
        <v>51072751.485729933</v>
      </c>
      <c r="B2267">
        <v>154077506.57366297</v>
      </c>
    </row>
    <row r="2268" spans="1:2" x14ac:dyDescent="0.25">
      <c r="A2268">
        <f ca="1">28748.3211287615*((RANDBETWEEN(1620,2416)))</f>
        <v>59767759.626695164</v>
      </c>
      <c r="B2268">
        <v>149754468.53360772</v>
      </c>
    </row>
    <row r="2269" spans="1:2" x14ac:dyDescent="0.25">
      <c r="A2269">
        <f ca="1">26441.7070043233*((RANDBETWEEN(1620,2416)))</f>
        <v>54602124.963927694</v>
      </c>
      <c r="B2269">
        <v>172145706.95714587</v>
      </c>
    </row>
    <row r="2270" spans="1:2" x14ac:dyDescent="0.25">
      <c r="A2270">
        <f ca="1">30032.4538395044*((RANDBETWEEN(1620,2416)))</f>
        <v>71987791.853292167</v>
      </c>
      <c r="B2270">
        <v>182261028.52286375</v>
      </c>
    </row>
    <row r="2271" spans="1:2" x14ac:dyDescent="0.25">
      <c r="A2271">
        <f ca="1">27511.4309891694*((RANDBETWEEN(1620,2416)))</f>
        <v>54940327.685371228</v>
      </c>
      <c r="B2271">
        <v>144298721.87963402</v>
      </c>
    </row>
    <row r="2272" spans="1:2" x14ac:dyDescent="0.25">
      <c r="A2272">
        <f ca="1">26111.0551987602*((RANDBETWEEN(1620,2416)))</f>
        <v>61987645.041856654</v>
      </c>
      <c r="B2272">
        <v>145020894.15148002</v>
      </c>
    </row>
    <row r="2273" spans="1:2" x14ac:dyDescent="0.25">
      <c r="A2273">
        <f ca="1">27493.6628380928*((RANDBETWEEN(1620,2416)))</f>
        <v>64280183.715461083</v>
      </c>
      <c r="B2273">
        <v>163183026.73538092</v>
      </c>
    </row>
    <row r="2274" spans="1:2" x14ac:dyDescent="0.25">
      <c r="A2274">
        <f ca="1">28169.6654983262*((RANDBETWEEN(1620,2416)))</f>
        <v>59860539.183943145</v>
      </c>
      <c r="B2274">
        <v>181461544.85337108</v>
      </c>
    </row>
    <row r="2275" spans="1:2" x14ac:dyDescent="0.25">
      <c r="A2275">
        <f ca="1">27540.7341772132*((RANDBETWEEN(1620,2416)))</f>
        <v>64720725.31645111</v>
      </c>
      <c r="B2275">
        <v>167280352.93552926</v>
      </c>
    </row>
    <row r="2276" spans="1:2" x14ac:dyDescent="0.25">
      <c r="A2276">
        <f ca="1">26858.6116314281*((RANDBETWEEN(1620,2416)))</f>
        <v>62043392.868598811</v>
      </c>
      <c r="B2276">
        <v>143199376.17765808</v>
      </c>
    </row>
    <row r="2277" spans="1:2" x14ac:dyDescent="0.25">
      <c r="A2277">
        <f ca="1">32087.5481899341*((RANDBETWEEN(1620,2416)))</f>
        <v>67929339.518090516</v>
      </c>
      <c r="B2277">
        <v>194932472.33881429</v>
      </c>
    </row>
    <row r="2278" spans="1:2" x14ac:dyDescent="0.25">
      <c r="A2278">
        <f ca="1">31283.2331480504*((RANDBETWEEN(1620,2416)))</f>
        <v>62691599.228692904</v>
      </c>
      <c r="B2278">
        <v>194180900.31001279</v>
      </c>
    </row>
    <row r="2279" spans="1:2" x14ac:dyDescent="0.25">
      <c r="A2279">
        <f ca="1">34105.8359302131*((RANDBETWEEN(1620,2416)))</f>
        <v>72440795.515772656</v>
      </c>
      <c r="B2279">
        <v>147361328.17667025</v>
      </c>
    </row>
    <row r="2280" spans="1:2" x14ac:dyDescent="0.25">
      <c r="A2280">
        <f ca="1">27607.8165517045*((RANDBETWEEN(1620,2416)))</f>
        <v>58970296.154440768</v>
      </c>
      <c r="B2280">
        <v>170852215.71012825</v>
      </c>
    </row>
    <row r="2281" spans="1:2" x14ac:dyDescent="0.25">
      <c r="A2281">
        <f ca="1">25639.8973804*((RANDBETWEEN(1620,2416)))</f>
        <v>50177279.173442796</v>
      </c>
      <c r="B2281">
        <v>148714015.94889441</v>
      </c>
    </row>
    <row r="2282" spans="1:2" x14ac:dyDescent="0.25">
      <c r="A2282">
        <f ca="1">29007.9798978811*((RANDBETWEEN(1620,2416)))</f>
        <v>54564010.187914431</v>
      </c>
      <c r="B2282">
        <v>184807708.15604168</v>
      </c>
    </row>
    <row r="2283" spans="1:2" x14ac:dyDescent="0.25">
      <c r="A2283">
        <f ca="1">26744.9285114816*((RANDBETWEEN(1620,2416)))</f>
        <v>61754039.933011107</v>
      </c>
      <c r="B2283">
        <v>148769003.23087409</v>
      </c>
    </row>
    <row r="2284" spans="1:2" x14ac:dyDescent="0.25">
      <c r="A2284">
        <f ca="1">28120.8068689109*((RANDBETWEEN(1620,2416)))</f>
        <v>52810875.299814597</v>
      </c>
      <c r="B2284">
        <v>171233296.76588169</v>
      </c>
    </row>
    <row r="2285" spans="1:2" x14ac:dyDescent="0.25">
      <c r="A2285">
        <f ca="1">25858.6286833062*((RANDBETWEEN(1620,2416)))</f>
        <v>60483332.49025324</v>
      </c>
      <c r="B2285">
        <v>151917523.35738161</v>
      </c>
    </row>
    <row r="2286" spans="1:2" x14ac:dyDescent="0.25">
      <c r="A2286">
        <f ca="1">27246.6212051598*((RANDBETWEEN(1620,2416)))</f>
        <v>64492752.39261324</v>
      </c>
      <c r="B2286">
        <v>145672392.31937653</v>
      </c>
    </row>
    <row r="2287" spans="1:2" x14ac:dyDescent="0.25">
      <c r="A2287">
        <f ca="1">27247.0240660927*((RANDBETWEEN(1620,2416)))</f>
        <v>57245997.562860683</v>
      </c>
      <c r="B2287">
        <v>184237698.18332624</v>
      </c>
    </row>
    <row r="2288" spans="1:2" x14ac:dyDescent="0.25">
      <c r="A2288">
        <f ca="1">26939.803091097*((RANDBETWEEN(1620,2416)))</f>
        <v>63524055.688806713</v>
      </c>
      <c r="B2288">
        <v>143371911.84046948</v>
      </c>
    </row>
    <row r="2289" spans="1:2" x14ac:dyDescent="0.25">
      <c r="A2289">
        <f ca="1">28124.7373028281*((RANDBETWEEN(1620,2416)))</f>
        <v>45590199.167884298</v>
      </c>
      <c r="B2289">
        <v>168454957.47950038</v>
      </c>
    </row>
    <row r="2290" spans="1:2" x14ac:dyDescent="0.25">
      <c r="A2290">
        <f ca="1">31494.7021468624*((RANDBETWEEN(1620,2416)))</f>
        <v>59965912.887625962</v>
      </c>
      <c r="B2290">
        <v>159864160.08926415</v>
      </c>
    </row>
    <row r="2291" spans="1:2" x14ac:dyDescent="0.25">
      <c r="A2291">
        <f ca="1">25962.4128668557*((RANDBETWEEN(1620,2416)))</f>
        <v>44629387.718124986</v>
      </c>
      <c r="B2291">
        <v>151656146.74421552</v>
      </c>
    </row>
    <row r="2292" spans="1:2" x14ac:dyDescent="0.25">
      <c r="A2292">
        <f ca="1">30510.564663491*((RANDBETWEEN(1620,2416)))</f>
        <v>58153136.248613767</v>
      </c>
      <c r="B2292">
        <v>166054927.61526448</v>
      </c>
    </row>
    <row r="2293" spans="1:2" x14ac:dyDescent="0.25">
      <c r="A2293">
        <f ca="1">28416.0906828243*((RANDBETWEEN(1620,2416)))</f>
        <v>49955487.420405053</v>
      </c>
      <c r="B2293">
        <v>183438585.07328022</v>
      </c>
    </row>
    <row r="2294" spans="1:2" x14ac:dyDescent="0.25">
      <c r="A2294">
        <f ca="1">28289.3570273917*((RANDBETWEEN(1620,2416)))</f>
        <v>57144501.195331186</v>
      </c>
      <c r="B2294">
        <v>165439115.49589267</v>
      </c>
    </row>
    <row r="2295" spans="1:2" x14ac:dyDescent="0.25">
      <c r="A2295">
        <f ca="1">27930.4834006174*((RANDBETWEEN(1620,2416)))</f>
        <v>56782672.753455222</v>
      </c>
      <c r="B2295">
        <v>165211412.07992113</v>
      </c>
    </row>
    <row r="2296" spans="1:2" x14ac:dyDescent="0.25">
      <c r="A2296">
        <f ca="1">26575.9770889761*((RANDBETWEEN(1620,2416)))</f>
        <v>44328729.784412108</v>
      </c>
      <c r="B2296">
        <v>189110161.14051342</v>
      </c>
    </row>
    <row r="2297" spans="1:2" x14ac:dyDescent="0.25">
      <c r="A2297">
        <f ca="1">32970.2038989525*((RANDBETWEEN(1620,2416)))</f>
        <v>64852391.069239557</v>
      </c>
      <c r="B2297">
        <v>178191650.55642238</v>
      </c>
    </row>
    <row r="2298" spans="1:2" x14ac:dyDescent="0.25">
      <c r="A2298">
        <f ca="1">26465.6566978169*((RANDBETWEEN(1620,2416)))</f>
        <v>57827459.884729974</v>
      </c>
      <c r="B2298">
        <v>146743128.0523926</v>
      </c>
    </row>
    <row r="2299" spans="1:2" x14ac:dyDescent="0.25">
      <c r="A2299">
        <f ca="1">25554.0040381754*((RANDBETWEEN(1620,2416)))</f>
        <v>43390698.856821895</v>
      </c>
      <c r="B2299">
        <v>149517601.95549834</v>
      </c>
    </row>
    <row r="2300" spans="1:2" x14ac:dyDescent="0.25">
      <c r="A2300">
        <f ca="1">26826.0010036343*((RANDBETWEEN(1620,2416)))</f>
        <v>64623836.417754926</v>
      </c>
      <c r="B2300">
        <v>172187549.96084833</v>
      </c>
    </row>
    <row r="2301" spans="1:2" x14ac:dyDescent="0.25">
      <c r="A2301">
        <f ca="1">27639.8984778981*((RANDBETWEEN(1620,2416)))</f>
        <v>60559017.565074831</v>
      </c>
      <c r="B2301">
        <v>191720301.51592922</v>
      </c>
    </row>
    <row r="2302" spans="1:2" x14ac:dyDescent="0.25">
      <c r="A2302">
        <f ca="1">29482.6384922798*((RANDBETWEEN(1620,2416)))</f>
        <v>67367828.95485945</v>
      </c>
      <c r="B2302">
        <v>150437382.46515784</v>
      </c>
    </row>
    <row r="2303" spans="1:2" x14ac:dyDescent="0.25">
      <c r="A2303">
        <f ca="1">27337.798227654*((RANDBETWEEN(1620,2416)))</f>
        <v>49836806.169013202</v>
      </c>
      <c r="B2303">
        <v>145497254.80025446</v>
      </c>
    </row>
    <row r="2304" spans="1:2" x14ac:dyDescent="0.25">
      <c r="A2304">
        <f ca="1">30636.8671290094*((RANDBETWEEN(1620,2416)))</f>
        <v>52021400.385058045</v>
      </c>
      <c r="B2304">
        <v>172434073.88889462</v>
      </c>
    </row>
    <row r="2305" spans="1:2" x14ac:dyDescent="0.25">
      <c r="A2305">
        <f ca="1">26241.7038217079*((RANDBETWEEN(1620,2416)))</f>
        <v>62691430.430060223</v>
      </c>
      <c r="B2305">
        <v>143403739.79306319</v>
      </c>
    </row>
    <row r="2306" spans="1:2" x14ac:dyDescent="0.25">
      <c r="A2306">
        <f ca="1">28468.5608959819*((RANDBETWEEN(1620,2416)))</f>
        <v>59157669.541850381</v>
      </c>
      <c r="B2306">
        <v>147205405.28518078</v>
      </c>
    </row>
    <row r="2307" spans="1:2" x14ac:dyDescent="0.25">
      <c r="A2307">
        <f ca="1">30514.9375580239*((RANDBETWEEN(1620,2416)))</f>
        <v>52363632.849569112</v>
      </c>
      <c r="B2307">
        <v>177383558.26873499</v>
      </c>
    </row>
    <row r="2308" spans="1:2" x14ac:dyDescent="0.25">
      <c r="A2308">
        <f ca="1">31211.6508364949*((RANDBETWEEN(1620,2416)))</f>
        <v>59302136.589340232</v>
      </c>
      <c r="B2308">
        <v>186384990.58013341</v>
      </c>
    </row>
    <row r="2309" spans="1:2" x14ac:dyDescent="0.25">
      <c r="A2309">
        <f ca="1">25809.6683806356*((RANDBETWEEN(1620,2416)))</f>
        <v>51412859.4142261</v>
      </c>
      <c r="B2309">
        <v>149673192.05622518</v>
      </c>
    </row>
    <row r="2310" spans="1:2" x14ac:dyDescent="0.25">
      <c r="A2310">
        <f ca="1">26582.3103532592*((RANDBETWEEN(1620,2416)))</f>
        <v>57178549.569860443</v>
      </c>
      <c r="B2310">
        <v>146805364.02533561</v>
      </c>
    </row>
    <row r="2311" spans="1:2" x14ac:dyDescent="0.25">
      <c r="A2311">
        <f ca="1">29051.8747732692*((RANDBETWEEN(1620,2416)))</f>
        <v>61560922.644557469</v>
      </c>
      <c r="B2311">
        <v>182900445.09691083</v>
      </c>
    </row>
    <row r="2312" spans="1:2" x14ac:dyDescent="0.25">
      <c r="A2312">
        <f ca="1">28287.3105568556*((RANDBETWEEN(1620,2416)))</f>
        <v>46815498.971596047</v>
      </c>
      <c r="B2312">
        <v>159501743.39199752</v>
      </c>
    </row>
    <row r="2313" spans="1:2" x14ac:dyDescent="0.25">
      <c r="A2313">
        <f ca="1">31439.7993137836*((RANDBETWEEN(1620,2416)))</f>
        <v>70708108.656699315</v>
      </c>
      <c r="B2313">
        <v>167991169.2818017</v>
      </c>
    </row>
    <row r="2314" spans="1:2" x14ac:dyDescent="0.25">
      <c r="A2314">
        <f ca="1">30309.5976668238*((RANDBETWEEN(1620,2416)))</f>
        <v>62134675.216988876</v>
      </c>
      <c r="B2314">
        <v>173332579.52216917</v>
      </c>
    </row>
    <row r="2315" spans="1:2" x14ac:dyDescent="0.25">
      <c r="A2315">
        <f ca="1">28283.4362481976*((RANDBETWEEN(1620,2416)))</f>
        <v>65278170.860840037</v>
      </c>
      <c r="B2315">
        <v>168213675.16908246</v>
      </c>
    </row>
    <row r="2316" spans="1:2" x14ac:dyDescent="0.25">
      <c r="A2316">
        <f ca="1">27334.0597240118*((RANDBETWEEN(1620,2416)))</f>
        <v>63633691.037499405</v>
      </c>
      <c r="B2316">
        <v>143419376.46350545</v>
      </c>
    </row>
    <row r="2317" spans="1:2" x14ac:dyDescent="0.25">
      <c r="A2317">
        <f ca="1">27847.6384784394*((RANDBETWEEN(1620,2416)))</f>
        <v>45141021.973550223</v>
      </c>
      <c r="B2317">
        <v>155174805.13068974</v>
      </c>
    </row>
    <row r="2318" spans="1:2" x14ac:dyDescent="0.25">
      <c r="A2318">
        <f ca="1">29487.2837691109*((RANDBETWEEN(1620,2416)))</f>
        <v>52398903.257710122</v>
      </c>
      <c r="B2318">
        <v>162932642.63408121</v>
      </c>
    </row>
    <row r="2319" spans="1:2" x14ac:dyDescent="0.25">
      <c r="A2319">
        <f ca="1">26434.4159862314*((RANDBETWEEN(1620,2416)))</f>
        <v>43933999.369116537</v>
      </c>
      <c r="B2319">
        <v>179372002.39883769</v>
      </c>
    </row>
    <row r="2320" spans="1:2" x14ac:dyDescent="0.25">
      <c r="A2320">
        <f ca="1">28695.4829310056*((RANDBETWEEN(1620,2416)))</f>
        <v>66430042.985277966</v>
      </c>
      <c r="B2320">
        <v>145235917.01675621</v>
      </c>
    </row>
    <row r="2321" spans="1:2" x14ac:dyDescent="0.25">
      <c r="A2321">
        <f ca="1">28583.9372825627*((RANDBETWEEN(1620,2416)))</f>
        <v>49878970.558071904</v>
      </c>
      <c r="B2321">
        <v>186058503.7091307</v>
      </c>
    </row>
    <row r="2322" spans="1:2" x14ac:dyDescent="0.25">
      <c r="A2322">
        <f ca="1">27492.4456740863*((RANDBETWEEN(1620,2416)))</f>
        <v>48771598.62582913</v>
      </c>
      <c r="B2322">
        <v>186988850.77717391</v>
      </c>
    </row>
    <row r="2323" spans="1:2" x14ac:dyDescent="0.25">
      <c r="A2323">
        <f ca="1">26179.5069956068*((RANDBETWEEN(1620,2416)))</f>
        <v>50107576.389591426</v>
      </c>
      <c r="B2323">
        <v>184539140.46509522</v>
      </c>
    </row>
    <row r="2324" spans="1:2" x14ac:dyDescent="0.25">
      <c r="A2324">
        <f ca="1">28278.3238416817*((RANDBETWEEN(1620,2416)))</f>
        <v>66256112.761060312</v>
      </c>
      <c r="B2324">
        <v>149927232.17848256</v>
      </c>
    </row>
    <row r="2325" spans="1:2" x14ac:dyDescent="0.25">
      <c r="A2325">
        <f ca="1">29912.6190023159*((RANDBETWEEN(1620,2416)))</f>
        <v>55577646.106303021</v>
      </c>
      <c r="B2325">
        <v>186685371.3714782</v>
      </c>
    </row>
    <row r="2326" spans="1:2" x14ac:dyDescent="0.25">
      <c r="A2326">
        <f ca="1">30218.76913758*((RANDBETWEEN(1620,2416)))</f>
        <v>55058597.368670829</v>
      </c>
      <c r="B2326">
        <v>152054700.45706216</v>
      </c>
    </row>
    <row r="2327" spans="1:2" x14ac:dyDescent="0.25">
      <c r="A2327">
        <f ca="1">24961.8372572885*((RANDBETWEEN(1620,2416)))</f>
        <v>55415278.711180389</v>
      </c>
      <c r="B2327">
        <v>153003307.09243456</v>
      </c>
    </row>
    <row r="2328" spans="1:2" x14ac:dyDescent="0.25">
      <c r="A2328">
        <f ca="1">28417.7560339491*((RANDBETWEEN(1620,2416)))</f>
        <v>56892347.579966053</v>
      </c>
      <c r="B2328">
        <v>158111609.60822231</v>
      </c>
    </row>
    <row r="2329" spans="1:2" x14ac:dyDescent="0.25">
      <c r="A2329">
        <f ca="1">27885.4083181979*((RANDBETWEEN(1620,2416)))</f>
        <v>59089180.226261437</v>
      </c>
      <c r="B2329">
        <v>145455521.85825682</v>
      </c>
    </row>
    <row r="2330" spans="1:2" x14ac:dyDescent="0.25">
      <c r="A2330">
        <f ca="1">29150.535079783*((RANDBETWEEN(1620,2416)))</f>
        <v>67541789.779857248</v>
      </c>
      <c r="B2330">
        <v>202463968.77765962</v>
      </c>
    </row>
    <row r="2331" spans="1:2" x14ac:dyDescent="0.25">
      <c r="A2331">
        <f ca="1">26720.7321876853*((RANDBETWEEN(1620,2416)))</f>
        <v>46039821.559381686</v>
      </c>
      <c r="B2331">
        <v>146944348.75902987</v>
      </c>
    </row>
    <row r="2332" spans="1:2" x14ac:dyDescent="0.25">
      <c r="A2332">
        <f ca="1">27187.1224251402*((RANDBETWEEN(1620,2416)))</f>
        <v>61089464.08929</v>
      </c>
      <c r="B2332">
        <v>151515704.6113556</v>
      </c>
    </row>
    <row r="2333" spans="1:2" x14ac:dyDescent="0.25">
      <c r="A2333">
        <f ca="1">27450.8168837591*((RANDBETWEEN(1620,2416)))</f>
        <v>58387887.511755571</v>
      </c>
      <c r="B2333">
        <v>178711415.24895784</v>
      </c>
    </row>
    <row r="2334" spans="1:2" x14ac:dyDescent="0.25">
      <c r="A2334">
        <f ca="1">32073.0250245055*((RANDBETWEEN(1620,2416)))</f>
        <v>52856345.240385041</v>
      </c>
      <c r="B2334">
        <v>179961703.7300204</v>
      </c>
    </row>
    <row r="2335" spans="1:2" x14ac:dyDescent="0.25">
      <c r="A2335">
        <f ca="1">27203.9623284208*((RANDBETWEEN(1620,2416)))</f>
        <v>49347987.66375538</v>
      </c>
      <c r="B2335">
        <v>157606878.00386846</v>
      </c>
    </row>
    <row r="2336" spans="1:2" x14ac:dyDescent="0.25">
      <c r="A2336">
        <f ca="1">28748.2749753111*((RANDBETWEEN(1620,2416)))</f>
        <v>60658860.197906464</v>
      </c>
      <c r="B2336">
        <v>145899129.8797991</v>
      </c>
    </row>
    <row r="2337" spans="1:2" x14ac:dyDescent="0.25">
      <c r="A2337">
        <f ca="1">28471.45184562*((RANDBETWEEN(1620,2416)))</f>
        <v>61925407.764223628</v>
      </c>
      <c r="B2337">
        <v>185113490.08769625</v>
      </c>
    </row>
    <row r="2338" spans="1:2" x14ac:dyDescent="0.25">
      <c r="A2338">
        <f ca="1">26940.6660541813*((RANDBETWEEN(1620,2416)))</f>
        <v>59350287.317361429</v>
      </c>
      <c r="B2338">
        <v>156178732.55428785</v>
      </c>
    </row>
    <row r="2339" spans="1:2" x14ac:dyDescent="0.25">
      <c r="A2339">
        <f ca="1">26311.1144433857*((RANDBETWEEN(1620,2416)))</f>
        <v>63515030.266333163</v>
      </c>
      <c r="B2339">
        <v>153001944.68366122</v>
      </c>
    </row>
    <row r="2340" spans="1:2" x14ac:dyDescent="0.25">
      <c r="A2340">
        <f ca="1">26007.1203477339*((RANDBETWEEN(1620,2416)))</f>
        <v>55707251.78484606</v>
      </c>
      <c r="B2340">
        <v>185686493.37866455</v>
      </c>
    </row>
    <row r="2341" spans="1:2" x14ac:dyDescent="0.25">
      <c r="A2341">
        <f ca="1">33741.733211279*((RANDBETWEEN(1620,2416)))</f>
        <v>70014096.413403884</v>
      </c>
      <c r="B2341">
        <v>165061755.5708074</v>
      </c>
    </row>
    <row r="2342" spans="1:2" x14ac:dyDescent="0.25">
      <c r="A2342">
        <f ca="1">27810.5978894389*((RANDBETWEEN(1620,2416)))</f>
        <v>57985096.59948007</v>
      </c>
      <c r="B2342">
        <v>190435358.00534385</v>
      </c>
    </row>
    <row r="2343" spans="1:2" x14ac:dyDescent="0.25">
      <c r="A2343">
        <f ca="1">27523.4778970084*((RANDBETWEEN(1620,2416)))</f>
        <v>55349714.050883897</v>
      </c>
      <c r="B2343">
        <v>148879502.69465441</v>
      </c>
    </row>
    <row r="2344" spans="1:2" x14ac:dyDescent="0.25">
      <c r="A2344">
        <f ca="1">28142.3725457902*((RANDBETWEEN(1620,2416)))</f>
        <v>57494867.111049347</v>
      </c>
      <c r="B2344">
        <v>183810046.19423378</v>
      </c>
    </row>
    <row r="2345" spans="1:2" x14ac:dyDescent="0.25">
      <c r="A2345">
        <f ca="1">29643.8170520428*((RANDBETWEEN(1620,2416)))</f>
        <v>57835087.068535544</v>
      </c>
      <c r="B2345">
        <v>202879861.63396326</v>
      </c>
    </row>
    <row r="2346" spans="1:2" x14ac:dyDescent="0.25">
      <c r="A2346">
        <f ca="1">26915.9277222094*((RANDBETWEEN(1620,2416)))</f>
        <v>57223262.337417223</v>
      </c>
      <c r="B2346">
        <v>145664735.27537578</v>
      </c>
    </row>
    <row r="2347" spans="1:2" x14ac:dyDescent="0.25">
      <c r="A2347">
        <f ca="1">31007.8985771017*((RANDBETWEEN(1620,2416)))</f>
        <v>52372340.696724705</v>
      </c>
      <c r="B2347">
        <v>185256228.3879962</v>
      </c>
    </row>
    <row r="2348" spans="1:2" x14ac:dyDescent="0.25">
      <c r="A2348">
        <f ca="1">27171.5566761736*((RANDBETWEEN(1620,2416)))</f>
        <v>48990316.687140949</v>
      </c>
      <c r="B2348">
        <v>157389036.36633888</v>
      </c>
    </row>
    <row r="2349" spans="1:2" x14ac:dyDescent="0.25">
      <c r="A2349">
        <f ca="1">27592.1958436209*((RANDBETWEEN(1620,2416)))</f>
        <v>54522178.986994945</v>
      </c>
      <c r="B2349">
        <v>164923078.82245818</v>
      </c>
    </row>
    <row r="2350" spans="1:2" x14ac:dyDescent="0.25">
      <c r="A2350">
        <f ca="1">27104.5555915636*((RANDBETWEEN(1620,2416)))</f>
        <v>47134822.173729099</v>
      </c>
      <c r="B2350">
        <v>175733029.80449486</v>
      </c>
    </row>
    <row r="2351" spans="1:2" x14ac:dyDescent="0.25">
      <c r="A2351">
        <f ca="1">26033.8213022893*((RANDBETWEEN(1620,2416)))</f>
        <v>60007958.101776928</v>
      </c>
      <c r="B2351">
        <v>167034370.39125043</v>
      </c>
    </row>
    <row r="2352" spans="1:2" x14ac:dyDescent="0.25">
      <c r="A2352">
        <f ca="1">27176.3957155143*((RANDBETWEEN(1620,2416)))</f>
        <v>60603362.445596866</v>
      </c>
      <c r="B2352">
        <v>155845150.03323156</v>
      </c>
    </row>
    <row r="2353" spans="1:2" x14ac:dyDescent="0.25">
      <c r="A2353">
        <f ca="1">30512.1373675327*((RANDBETWEEN(1620,2416)))</f>
        <v>68408211.978008255</v>
      </c>
      <c r="B2353">
        <v>154670412.21341187</v>
      </c>
    </row>
    <row r="2354" spans="1:2" x14ac:dyDescent="0.25">
      <c r="A2354">
        <f ca="1">26012.9514201733*((RANDBETWEEN(1620,2416)))</f>
        <v>59621684.655037135</v>
      </c>
      <c r="B2354">
        <v>145736991.6876885</v>
      </c>
    </row>
    <row r="2355" spans="1:2" x14ac:dyDescent="0.25">
      <c r="A2355">
        <f ca="1">27465.7061340828*((RANDBETWEEN(1620,2416)))</f>
        <v>49081216.861605905</v>
      </c>
      <c r="B2355">
        <v>159323684.12788695</v>
      </c>
    </row>
    <row r="2356" spans="1:2" x14ac:dyDescent="0.25">
      <c r="A2356">
        <f ca="1">26670.2807318811*((RANDBETWEEN(1620,2416)))</f>
        <v>58407914.802819692</v>
      </c>
      <c r="B2356">
        <v>165512345.00253808</v>
      </c>
    </row>
    <row r="2357" spans="1:2" x14ac:dyDescent="0.25">
      <c r="A2357">
        <f ca="1">27790.9505856744*((RANDBETWEEN(1620,2416)))</f>
        <v>46605424.132175922</v>
      </c>
      <c r="B2357">
        <v>165225311.98439872</v>
      </c>
    </row>
    <row r="2358" spans="1:2" x14ac:dyDescent="0.25">
      <c r="A2358">
        <f ca="1">30838.7404808678*((RANDBETWEEN(1620,2416)))</f>
        <v>53412698.5128631</v>
      </c>
      <c r="B2358">
        <v>191068895.63472152</v>
      </c>
    </row>
    <row r="2359" spans="1:2" x14ac:dyDescent="0.25">
      <c r="A2359">
        <f ca="1">28090.2366983216*((RANDBETWEEN(1620,2416)))</f>
        <v>57669255.941654257</v>
      </c>
      <c r="B2359">
        <v>177753786.59143558</v>
      </c>
    </row>
    <row r="2360" spans="1:2" x14ac:dyDescent="0.25">
      <c r="A2360">
        <f ca="1">26506.4795998908*((RANDBETWEEN(1620,2416)))</f>
        <v>55159984.047372773</v>
      </c>
      <c r="B2360">
        <v>155286940.91197366</v>
      </c>
    </row>
    <row r="2361" spans="1:2" x14ac:dyDescent="0.25">
      <c r="A2361">
        <f ca="1">25137.5875207446*((RANDBETWEEN(1620,2416)))</f>
        <v>54950766.320347734</v>
      </c>
      <c r="B2361">
        <v>165055245.50137144</v>
      </c>
    </row>
    <row r="2362" spans="1:2" x14ac:dyDescent="0.25">
      <c r="A2362">
        <f ca="1">28689.8594056307*((RANDBETWEEN(1620,2416)))</f>
        <v>60564293.205286339</v>
      </c>
      <c r="B2362">
        <v>176359349.24775162</v>
      </c>
    </row>
    <row r="2363" spans="1:2" x14ac:dyDescent="0.25">
      <c r="A2363">
        <f ca="1">26823.2373484109*((RANDBETWEEN(1620,2416)))</f>
        <v>46538316.799492881</v>
      </c>
      <c r="B2363">
        <v>180810243.76464266</v>
      </c>
    </row>
    <row r="2364" spans="1:2" x14ac:dyDescent="0.25">
      <c r="A2364">
        <f ca="1">25699.4742730231*((RANDBETWEEN(1620,2416)))</f>
        <v>47287032.662362494</v>
      </c>
      <c r="B2364">
        <v>149678551.87274852</v>
      </c>
    </row>
    <row r="2365" spans="1:2" x14ac:dyDescent="0.25">
      <c r="A2365">
        <f ca="1">26651.3243699645*((RANDBETWEEN(1620,2416)))</f>
        <v>64282994.380354427</v>
      </c>
      <c r="B2365">
        <v>146829950.71101946</v>
      </c>
    </row>
    <row r="2366" spans="1:2" x14ac:dyDescent="0.25">
      <c r="A2366">
        <f ca="1">27923.7491071552*((RANDBETWEEN(1620,2416)))</f>
        <v>66598141.620565079</v>
      </c>
      <c r="B2366">
        <v>171907742.27762461</v>
      </c>
    </row>
    <row r="2367" spans="1:2" x14ac:dyDescent="0.25">
      <c r="A2367">
        <f ca="1">33174.7818024396*((RANDBETWEEN(1620,2416)))</f>
        <v>69667041.785123259</v>
      </c>
      <c r="B2367">
        <v>201131257.97228953</v>
      </c>
    </row>
    <row r="2368" spans="1:2" x14ac:dyDescent="0.25">
      <c r="A2368">
        <f ca="1">27880.3793446951*((RANDBETWEEN(1620,2416)))</f>
        <v>49041587.267318614</v>
      </c>
      <c r="B2368">
        <v>164730834.98266476</v>
      </c>
    </row>
    <row r="2369" spans="1:2" x14ac:dyDescent="0.25">
      <c r="A2369">
        <f ca="1">26132.1424502355*((RANDBETWEEN(1620,2416)))</f>
        <v>42334070.769381456</v>
      </c>
      <c r="B2369">
        <v>192542889.44444665</v>
      </c>
    </row>
    <row r="2370" spans="1:2" x14ac:dyDescent="0.25">
      <c r="A2370">
        <f ca="1">27248.8554797444*((RANDBETWEEN(1620,2416)))</f>
        <v>64634285.197953723</v>
      </c>
      <c r="B2370">
        <v>164288225.06754056</v>
      </c>
    </row>
    <row r="2371" spans="1:2" x14ac:dyDescent="0.25">
      <c r="A2371">
        <f ca="1">27139.5233224726*((RANDBETWEEN(1620,2416)))</f>
        <v>50235257.669896871</v>
      </c>
      <c r="B2371">
        <v>154811847.41069669</v>
      </c>
    </row>
    <row r="2372" spans="1:2" x14ac:dyDescent="0.25">
      <c r="A2372">
        <f ca="1">28821.4257036686*((RANDBETWEEN(1620,2416)))</f>
        <v>66635136.226881742</v>
      </c>
      <c r="B2372">
        <v>191989008.65135962</v>
      </c>
    </row>
    <row r="2373" spans="1:2" x14ac:dyDescent="0.25">
      <c r="A2373">
        <f ca="1">30633.6320970591*((RANDBETWEEN(1620,2416)))</f>
        <v>63472885.705106549</v>
      </c>
      <c r="B2373">
        <v>192222093.71439034</v>
      </c>
    </row>
    <row r="2374" spans="1:2" x14ac:dyDescent="0.25">
      <c r="A2374">
        <f ca="1">25115.9800946726*((RANDBETWEEN(1620,2416)))</f>
        <v>44605980.648138471</v>
      </c>
      <c r="B2374">
        <v>150204493.284648</v>
      </c>
    </row>
    <row r="2375" spans="1:2" x14ac:dyDescent="0.25">
      <c r="A2375">
        <f ca="1">27781.6951590393*((RANDBETWEEN(1620,2416)))</f>
        <v>57924834.406597026</v>
      </c>
      <c r="B2375">
        <v>192997878.4203617</v>
      </c>
    </row>
    <row r="2376" spans="1:2" x14ac:dyDescent="0.25">
      <c r="A2376">
        <f ca="1">27410.421032508*((RANDBETWEEN(1620,2416)))</f>
        <v>45007911.335378215</v>
      </c>
      <c r="B2376">
        <v>176300490.10143504</v>
      </c>
    </row>
    <row r="2377" spans="1:2" x14ac:dyDescent="0.25">
      <c r="A2377">
        <f ca="1">26622.3841324079*((RANDBETWEEN(1620,2416)))</f>
        <v>51461068.527944423</v>
      </c>
      <c r="B2377">
        <v>188765686.14465159</v>
      </c>
    </row>
    <row r="2378" spans="1:2" x14ac:dyDescent="0.25">
      <c r="A2378">
        <f ca="1">27037.1554003936*((RANDBETWEEN(1620,2416)))</f>
        <v>53155047.517173789</v>
      </c>
      <c r="B2378">
        <v>173989673.30157512</v>
      </c>
    </row>
    <row r="2379" spans="1:2" x14ac:dyDescent="0.25">
      <c r="A2379">
        <f ca="1">26657.840991633*((RANDBETWEEN(1620,2416)))</f>
        <v>62166085.192488164</v>
      </c>
      <c r="B2379">
        <v>194296964.68993962</v>
      </c>
    </row>
    <row r="2380" spans="1:2" x14ac:dyDescent="0.25">
      <c r="A2380">
        <f ca="1">25354.9472300227*((RANDBETWEEN(1620,2416)))</f>
        <v>49543566.887464404</v>
      </c>
      <c r="B2380">
        <v>145127751.81888962</v>
      </c>
    </row>
    <row r="2381" spans="1:2" x14ac:dyDescent="0.25">
      <c r="A2381">
        <f ca="1">27078.1613982937*((RANDBETWEEN(1620,2416)))</f>
        <v>63633679.285990208</v>
      </c>
      <c r="B2381">
        <v>189822545.51574543</v>
      </c>
    </row>
    <row r="2382" spans="1:2" x14ac:dyDescent="0.25">
      <c r="A2382">
        <f ca="1">29028.4954991815*((RANDBETWEEN(1620,2416)))</f>
        <v>50538610.664074987</v>
      </c>
      <c r="B2382">
        <v>163949329.98898107</v>
      </c>
    </row>
    <row r="2383" spans="1:2" x14ac:dyDescent="0.25">
      <c r="A2383">
        <f ca="1">27424.558221183*((RANDBETWEEN(1620,2416)))</f>
        <v>44784303.575191908</v>
      </c>
      <c r="B2383">
        <v>191683454.76033381</v>
      </c>
    </row>
    <row r="2384" spans="1:2" x14ac:dyDescent="0.25">
      <c r="A2384">
        <f ca="1">27309.975768195*((RANDBETWEEN(1620,2416)))</f>
        <v>59754226.980810627</v>
      </c>
      <c r="B2384">
        <v>191622133.97034723</v>
      </c>
    </row>
    <row r="2385" spans="1:2" x14ac:dyDescent="0.25">
      <c r="A2385">
        <f ca="1">26321.6838224346*((RANDBETWEEN(1620,2416)))</f>
        <v>52037968.916953169</v>
      </c>
      <c r="B2385">
        <v>202858551.66338059</v>
      </c>
    </row>
    <row r="2386" spans="1:2" x14ac:dyDescent="0.25">
      <c r="A2386">
        <f ca="1">26626.3764894008*((RANDBETWEEN(1620,2416)))</f>
        <v>62784995.762007162</v>
      </c>
      <c r="B2386">
        <v>165137435.44836703</v>
      </c>
    </row>
    <row r="2387" spans="1:2" x14ac:dyDescent="0.25">
      <c r="A2387">
        <f ca="1">33290.3103947126*((RANDBETWEEN(1620,2416)))</f>
        <v>76367972.04547061</v>
      </c>
      <c r="B2387">
        <v>194468693.8046062</v>
      </c>
    </row>
    <row r="2388" spans="1:2" x14ac:dyDescent="0.25">
      <c r="A2388">
        <f ca="1">30750.3683412007*((RANDBETWEEN(1620,2416)))</f>
        <v>58056695.428186968</v>
      </c>
      <c r="B2388">
        <v>175392334.80440018</v>
      </c>
    </row>
    <row r="2389" spans="1:2" x14ac:dyDescent="0.25">
      <c r="A2389">
        <f ca="1">26106.5535779338*((RANDBETWEEN(1620,2416)))</f>
        <v>43676264.135883167</v>
      </c>
      <c r="B2389">
        <v>172180892.97931391</v>
      </c>
    </row>
    <row r="2390" spans="1:2" x14ac:dyDescent="0.25">
      <c r="A2390">
        <f ca="1">26243.9181056975*((RANDBETWEEN(1620,2416)))</f>
        <v>45480710.07717371</v>
      </c>
      <c r="B2390">
        <v>181508109.26918972</v>
      </c>
    </row>
    <row r="2391" spans="1:2" x14ac:dyDescent="0.25">
      <c r="A2391">
        <f ca="1">29361.5656009*((RANDBETWEEN(1620,2416)))</f>
        <v>65857991.642818645</v>
      </c>
      <c r="B2391">
        <v>179563977.40676758</v>
      </c>
    </row>
    <row r="2392" spans="1:2" x14ac:dyDescent="0.25">
      <c r="A2392">
        <f ca="1">27939.6523911735*((RANDBETWEEN(1620,2416)))</f>
        <v>51185443.180629894</v>
      </c>
      <c r="B2392">
        <v>194799539.03567848</v>
      </c>
    </row>
    <row r="2393" spans="1:2" x14ac:dyDescent="0.25">
      <c r="A2393">
        <f ca="1">26660.8069046103*((RANDBETWEEN(1620,2416)))</f>
        <v>49135867.125196718</v>
      </c>
      <c r="B2393">
        <v>147171860.43700877</v>
      </c>
    </row>
    <row r="2394" spans="1:2" x14ac:dyDescent="0.25">
      <c r="A2394">
        <f ca="1">27464.9562119525*((RANDBETWEEN(1620,2416)))</f>
        <v>63993347.973849386</v>
      </c>
      <c r="B2394">
        <v>146656433.15650916</v>
      </c>
    </row>
    <row r="2395" spans="1:2" x14ac:dyDescent="0.25">
      <c r="A2395">
        <f ca="1">26867.9457189707*((RANDBETWEEN(1620,2416)))</f>
        <v>43552940.010451518</v>
      </c>
      <c r="B2395">
        <v>165153121.81495345</v>
      </c>
    </row>
    <row r="2396" spans="1:2" x14ac:dyDescent="0.25">
      <c r="A2396">
        <f ca="1">27144.6160671397*((RANDBETWEEN(1620,2416)))</f>
        <v>47665945.813897394</v>
      </c>
      <c r="B2396">
        <v>164178284.30668342</v>
      </c>
    </row>
    <row r="2397" spans="1:2" x14ac:dyDescent="0.25">
      <c r="A2397">
        <f ca="1">28786.2409081003*((RANDBETWEEN(1620,2416)))</f>
        <v>69461199.311246097</v>
      </c>
      <c r="B2397">
        <v>157298667.51367295</v>
      </c>
    </row>
    <row r="2398" spans="1:2" x14ac:dyDescent="0.25">
      <c r="A2398">
        <f ca="1">29496.2520483538*((RANDBETWEEN(1620,2416)))</f>
        <v>48875289.644122206</v>
      </c>
      <c r="B2398">
        <v>165190270.531811</v>
      </c>
    </row>
    <row r="2399" spans="1:2" x14ac:dyDescent="0.25">
      <c r="A2399">
        <f ca="1">31626.08514469*((RANDBETWEEN(1620,2416)))</f>
        <v>72961378.428799927</v>
      </c>
      <c r="B2399">
        <v>151302676.34605524</v>
      </c>
    </row>
    <row r="2400" spans="1:2" x14ac:dyDescent="0.25">
      <c r="A2400">
        <f ca="1">30257.706441813*((RANDBETWEEN(1620,2416)))</f>
        <v>50742173.702920452</v>
      </c>
      <c r="B2400">
        <v>189561242.65677974</v>
      </c>
    </row>
    <row r="2401" spans="1:2" x14ac:dyDescent="0.25">
      <c r="A2401">
        <f ca="1">28545.6179181836*((RANDBETWEEN(1620,2416)))</f>
        <v>65911831.773086019</v>
      </c>
      <c r="B2401">
        <v>185098430.87337545</v>
      </c>
    </row>
    <row r="2402" spans="1:2" x14ac:dyDescent="0.25">
      <c r="A2402">
        <f ca="1">31371.8816804915*((RANDBETWEEN(1620,2416)))</f>
        <v>68547561.471873954</v>
      </c>
      <c r="B2402">
        <v>182704205.31544152</v>
      </c>
    </row>
    <row r="2403" spans="1:2" x14ac:dyDescent="0.25">
      <c r="A2403">
        <f ca="1">28025.8951694064*((RANDBETWEEN(1620,2416)))</f>
        <v>53249200.821872167</v>
      </c>
      <c r="B2403">
        <v>165648708.69327518</v>
      </c>
    </row>
    <row r="2404" spans="1:2" x14ac:dyDescent="0.25">
      <c r="A2404">
        <f ca="1">27152.8657265017*((RANDBETWEEN(1620,2416)))</f>
        <v>56613725.039756112</v>
      </c>
      <c r="B2404">
        <v>165594426.6953854</v>
      </c>
    </row>
    <row r="2405" spans="1:2" x14ac:dyDescent="0.25">
      <c r="A2405">
        <f ca="1">26525.6874454128*((RANDBETWEEN(1620,2416)))</f>
        <v>58913551.816261776</v>
      </c>
      <c r="B2405">
        <v>148362894.54669526</v>
      </c>
    </row>
    <row r="2406" spans="1:2" x14ac:dyDescent="0.25">
      <c r="A2406">
        <f ca="1">28768.1119051381*((RANDBETWEEN(1620,2416)))</f>
        <v>47438616.531572662</v>
      </c>
      <c r="B2406">
        <v>147664732.61391774</v>
      </c>
    </row>
    <row r="2407" spans="1:2" x14ac:dyDescent="0.25">
      <c r="A2407">
        <f ca="1">31369.1500695355*((RANDBETWEEN(1620,2416)))</f>
        <v>70768802.5568721</v>
      </c>
      <c r="B2407">
        <v>156843714.61877406</v>
      </c>
    </row>
    <row r="2408" spans="1:2" x14ac:dyDescent="0.25">
      <c r="A2408">
        <f ca="1">32551.9825806834*((RANDBETWEEN(1620,2416)))</f>
        <v>63997197.753623538</v>
      </c>
      <c r="B2408">
        <v>196922491.45598191</v>
      </c>
    </row>
    <row r="2409" spans="1:2" x14ac:dyDescent="0.25">
      <c r="A2409">
        <f ca="1">26513.3188230538*((RANDBETWEEN(1620,2416)))</f>
        <v>61776032.85771542</v>
      </c>
      <c r="B2409">
        <v>144405034.75179768</v>
      </c>
    </row>
    <row r="2410" spans="1:2" x14ac:dyDescent="0.25">
      <c r="A2410">
        <f ca="1">27017.5292960329*((RANDBETWEEN(1620,2416)))</f>
        <v>44335765.574790023</v>
      </c>
      <c r="B2410">
        <v>154647366.66049597</v>
      </c>
    </row>
    <row r="2411" spans="1:2" x14ac:dyDescent="0.25">
      <c r="A2411">
        <f ca="1">26278.9885097072*((RANDBETWEEN(1620,2416)))</f>
        <v>54292390.261055104</v>
      </c>
      <c r="B2411">
        <v>173195981.1893324</v>
      </c>
    </row>
    <row r="2412" spans="1:2" x14ac:dyDescent="0.25">
      <c r="A2412">
        <f ca="1">27039.8550526718*((RANDBETWEEN(1620,2416)))</f>
        <v>48996217.355441302</v>
      </c>
      <c r="B2412">
        <v>166018440.78136542</v>
      </c>
    </row>
    <row r="2413" spans="1:2" x14ac:dyDescent="0.25">
      <c r="A2413">
        <f ca="1">30127.6206285309*((RANDBETWEEN(1620,2416)))</f>
        <v>56127757.23095309</v>
      </c>
      <c r="B2413">
        <v>148191907.45737299</v>
      </c>
    </row>
    <row r="2414" spans="1:2" x14ac:dyDescent="0.25">
      <c r="A2414">
        <f ca="1">26531.4836639119*((RANDBETWEEN(1620,2416)))</f>
        <v>43325912.823168084</v>
      </c>
      <c r="B2414">
        <v>145977832.18229476</v>
      </c>
    </row>
    <row r="2415" spans="1:2" x14ac:dyDescent="0.25">
      <c r="A2415">
        <f ca="1">25567.1820690051*((RANDBETWEEN(1620,2416)))</f>
        <v>57347189.380778536</v>
      </c>
      <c r="B2415">
        <v>149415361.63967785</v>
      </c>
    </row>
    <row r="2416" spans="1:2" x14ac:dyDescent="0.25">
      <c r="A2416">
        <f ca="1">27278.1475843857*((RANDBETWEEN(1620,2416)))</f>
        <v>54147122.955005623</v>
      </c>
      <c r="B2416">
        <v>151894247.28769892</v>
      </c>
    </row>
    <row r="2417" spans="1:2" x14ac:dyDescent="0.25">
      <c r="A2417">
        <f ca="1">27747.9270876429*((RANDBETWEEN(1620,2416)))</f>
        <v>55773333.446162231</v>
      </c>
      <c r="B2417">
        <v>155397130.43895239</v>
      </c>
    </row>
    <row r="2418" spans="1:2" x14ac:dyDescent="0.25">
      <c r="A2418">
        <f ca="1">27195.2221432621*((RANDBETWEEN(1620,2416)))</f>
        <v>46259072.865688823</v>
      </c>
      <c r="B2418">
        <v>168755773.50929162</v>
      </c>
    </row>
    <row r="2419" spans="1:2" x14ac:dyDescent="0.25">
      <c r="A2419">
        <f ca="1">26732.2217183459*((RANDBETWEEN(1620,2416)))</f>
        <v>50951614.595167346</v>
      </c>
      <c r="B2419">
        <v>145807500.74397236</v>
      </c>
    </row>
    <row r="2420" spans="1:2" x14ac:dyDescent="0.25">
      <c r="A2420">
        <f ca="1">27445.7419444862*((RANDBETWEEN(1620,2416)))</f>
        <v>62960532.02065146</v>
      </c>
      <c r="B2420">
        <v>173876640.70860544</v>
      </c>
    </row>
    <row r="2421" spans="1:2" x14ac:dyDescent="0.25">
      <c r="A2421">
        <f ca="1">26569.8641520717*((RANDBETWEEN(1620,2416)))</f>
        <v>43787136.122614205</v>
      </c>
      <c r="B2421">
        <v>146370543.72731394</v>
      </c>
    </row>
    <row r="2422" spans="1:2" x14ac:dyDescent="0.25">
      <c r="A2422">
        <f ca="1">26429.7694341305*((RANDBETWEEN(1620,2416)))</f>
        <v>58594798.835467421</v>
      </c>
      <c r="B2422">
        <v>162793976.83001536</v>
      </c>
    </row>
    <row r="2423" spans="1:2" x14ac:dyDescent="0.25">
      <c r="A2423">
        <f ca="1">31272.4882953783*((RANDBETWEEN(1620,2416)))</f>
        <v>59918087.57394477</v>
      </c>
      <c r="B2423">
        <v>163227392.6423763</v>
      </c>
    </row>
    <row r="2424" spans="1:2" x14ac:dyDescent="0.25">
      <c r="A2424">
        <f ca="1">26474.5120523983*((RANDBETWEEN(1620,2416)))</f>
        <v>55649424.33414124</v>
      </c>
      <c r="B2424">
        <v>150149201.89285764</v>
      </c>
    </row>
    <row r="2425" spans="1:2" x14ac:dyDescent="0.25">
      <c r="A2425">
        <f ca="1">27567.842442356*((RANDBETWEEN(1620,2416)))</f>
        <v>54446488.823653035</v>
      </c>
      <c r="B2425">
        <v>199568071.37362352</v>
      </c>
    </row>
    <row r="2426" spans="1:2" x14ac:dyDescent="0.25">
      <c r="A2426">
        <f ca="1">28336.7509616762*((RANDBETWEEN(1620,2416)))</f>
        <v>56361797.662774056</v>
      </c>
      <c r="B2426">
        <v>144442914.53803879</v>
      </c>
    </row>
    <row r="2427" spans="1:2" x14ac:dyDescent="0.25">
      <c r="A2427">
        <f ca="1">26734.8725253669*((RANDBETWEEN(1620,2416)))</f>
        <v>53737093.77598758</v>
      </c>
      <c r="B2427">
        <v>192938356.76254168</v>
      </c>
    </row>
    <row r="2428" spans="1:2" x14ac:dyDescent="0.25">
      <c r="A2428">
        <f ca="1">25860.7981980753*((RANDBETWEEN(1620,2416)))</f>
        <v>59531557.451969273</v>
      </c>
      <c r="B2428">
        <v>149548502.0007441</v>
      </c>
    </row>
    <row r="2429" spans="1:2" x14ac:dyDescent="0.25">
      <c r="A2429">
        <f ca="1">26442.7253756811*((RANDBETWEEN(1620,2416)))</f>
        <v>63806296.33151859</v>
      </c>
      <c r="B2429">
        <v>164766986.70251784</v>
      </c>
    </row>
    <row r="2430" spans="1:2" x14ac:dyDescent="0.25">
      <c r="A2430">
        <f ca="1">29549.0684615546*((RANDBETWEEN(1620,2416)))</f>
        <v>53779304.600029387</v>
      </c>
      <c r="B2430">
        <v>186657950.69811225</v>
      </c>
    </row>
    <row r="2431" spans="1:2" x14ac:dyDescent="0.25">
      <c r="A2431">
        <f ca="1">28192.7136638104*((RANDBETWEEN(1620,2416)))</f>
        <v>51028811.731496826</v>
      </c>
      <c r="B2431">
        <v>150564525.90806144</v>
      </c>
    </row>
    <row r="2432" spans="1:2" x14ac:dyDescent="0.25">
      <c r="A2432">
        <f ca="1">33023.8466892741*((RANDBETWEEN(1620,2416)))</f>
        <v>63438809.490095541</v>
      </c>
      <c r="B2432">
        <v>146410209.28946164</v>
      </c>
    </row>
    <row r="2433" spans="1:2" x14ac:dyDescent="0.25">
      <c r="A2433">
        <f ca="1">26536.8195255258*((RANDBETWEEN(1620,2416)))</f>
        <v>45908697.779159635</v>
      </c>
      <c r="B2433">
        <v>152025527.32775855</v>
      </c>
    </row>
    <row r="2434" spans="1:2" x14ac:dyDescent="0.25">
      <c r="A2434">
        <f ca="1">29224.594239113*((RANDBETWEEN(1620,2416)))</f>
        <v>70548170.493218675</v>
      </c>
      <c r="B2434">
        <v>162443814.82144964</v>
      </c>
    </row>
    <row r="2435" spans="1:2" x14ac:dyDescent="0.25">
      <c r="A2435">
        <f ca="1">29468.0010323528*((RANDBETWEEN(1620,2416)))</f>
        <v>49771453.743643954</v>
      </c>
      <c r="B2435">
        <v>187972790.32380036</v>
      </c>
    </row>
    <row r="2436" spans="1:2" x14ac:dyDescent="0.25">
      <c r="A2436">
        <f ca="1">27770.5258092776*((RANDBETWEEN(1620,2416)))</f>
        <v>47015500.195106991</v>
      </c>
      <c r="B2436">
        <v>146435202.06797552</v>
      </c>
    </row>
    <row r="2437" spans="1:2" x14ac:dyDescent="0.25">
      <c r="A2437">
        <f ca="1">26401.2848607585*((RANDBETWEEN(1620,2416)))</f>
        <v>43826132.868859187</v>
      </c>
      <c r="B2437">
        <v>148117039.86992839</v>
      </c>
    </row>
    <row r="2438" spans="1:2" x14ac:dyDescent="0.25">
      <c r="A2438">
        <f ca="1">26335.9882308963*((RANDBETWEEN(1620,2416)))</f>
        <v>44270796.216136634</v>
      </c>
      <c r="B2438">
        <v>160773204.90446943</v>
      </c>
    </row>
    <row r="2439" spans="1:2" x14ac:dyDescent="0.25">
      <c r="A2439">
        <f ca="1">26082.7021827129*((RANDBETWEEN(1620,2416)))</f>
        <v>44940495.860814244</v>
      </c>
      <c r="B2439">
        <v>151788112.51212251</v>
      </c>
    </row>
    <row r="2440" spans="1:2" x14ac:dyDescent="0.25">
      <c r="A2440">
        <f ca="1">27833.0180640256*((RANDBETWEEN(1620,2416)))</f>
        <v>59451326.584758699</v>
      </c>
      <c r="B2440">
        <v>195891598.8235729</v>
      </c>
    </row>
    <row r="2441" spans="1:2" x14ac:dyDescent="0.25">
      <c r="A2441">
        <f ca="1">27284.2095390891*((RANDBETWEEN(1620,2416)))</f>
        <v>45455493.092122518</v>
      </c>
      <c r="B2441">
        <v>199197375.79483569</v>
      </c>
    </row>
    <row r="2442" spans="1:2" x14ac:dyDescent="0.25">
      <c r="A2442">
        <f ca="1">26902.5022116898*((RANDBETWEEN(1620,2416)))</f>
        <v>57087109.693205826</v>
      </c>
      <c r="B2442">
        <v>152923991.16394547</v>
      </c>
    </row>
    <row r="2443" spans="1:2" x14ac:dyDescent="0.25">
      <c r="A2443">
        <f ca="1">25749.8312149514*((RANDBETWEEN(1620,2416)))</f>
        <v>49877423.063360833</v>
      </c>
      <c r="B2443">
        <v>143525073.12921533</v>
      </c>
    </row>
    <row r="2444" spans="1:2" x14ac:dyDescent="0.25">
      <c r="A2444">
        <f ca="1">26156.9471094288*((RANDBETWEEN(1620,2416)))</f>
        <v>57414498.90519619</v>
      </c>
      <c r="B2444">
        <v>185075742.02213016</v>
      </c>
    </row>
    <row r="2445" spans="1:2" x14ac:dyDescent="0.25">
      <c r="A2445">
        <f ca="1">29939.3493466918*((RANDBETWEEN(1620,2416)))</f>
        <v>55387796.291379869</v>
      </c>
      <c r="B2445">
        <v>193167190.99942309</v>
      </c>
    </row>
    <row r="2446" spans="1:2" x14ac:dyDescent="0.25">
      <c r="A2446">
        <f ca="1">27039.2619322248*((RANDBETWEEN(1620,2416)))</f>
        <v>51672029.552481592</v>
      </c>
      <c r="B2446">
        <v>160019040.23490584</v>
      </c>
    </row>
    <row r="2447" spans="1:2" x14ac:dyDescent="0.25">
      <c r="A2447">
        <f ca="1">25645.895038532*((RANDBETWEEN(1620,2416)))</f>
        <v>56959532.880579643</v>
      </c>
      <c r="B2447">
        <v>171678375.89319259</v>
      </c>
    </row>
    <row r="2448" spans="1:2" x14ac:dyDescent="0.25">
      <c r="A2448">
        <f ca="1">26214.740701325*((RANDBETWEEN(1620,2416)))</f>
        <v>62548371.313361332</v>
      </c>
      <c r="B2448">
        <v>143624391.78471464</v>
      </c>
    </row>
    <row r="2449" spans="1:2" x14ac:dyDescent="0.25">
      <c r="A2449">
        <f ca="1">28098.9966409506*((RANDBETWEEN(1620,2416)))</f>
        <v>60159951.80827529</v>
      </c>
      <c r="B2449">
        <v>191404742.02675182</v>
      </c>
    </row>
    <row r="2450" spans="1:2" x14ac:dyDescent="0.25">
      <c r="A2450">
        <f ca="1">27717.1849053461*((RANDBETWEEN(1620,2416)))</f>
        <v>58400108.595564149</v>
      </c>
      <c r="B2450">
        <v>172664611.63507962</v>
      </c>
    </row>
    <row r="2451" spans="1:2" x14ac:dyDescent="0.25">
      <c r="A2451">
        <f ca="1">27231.831412521*((RANDBETWEEN(1620,2416)))</f>
        <v>55525704.250130229</v>
      </c>
      <c r="B2451">
        <v>147838108.42910212</v>
      </c>
    </row>
    <row r="2452" spans="1:2" x14ac:dyDescent="0.25">
      <c r="A2452">
        <f ca="1">27162.5039522665*((RANDBETWEEN(1620,2416)))</f>
        <v>44682319.001478352</v>
      </c>
      <c r="B2452">
        <v>182187486.40952566</v>
      </c>
    </row>
    <row r="2453" spans="1:2" x14ac:dyDescent="0.25">
      <c r="A2453">
        <f ca="1">26646.0282158991*((RANDBETWEEN(1620,2416)))</f>
        <v>46337443.067448564</v>
      </c>
      <c r="B2453">
        <v>162349289.3486684</v>
      </c>
    </row>
    <row r="2454" spans="1:2" x14ac:dyDescent="0.25">
      <c r="A2454">
        <f ca="1">28288.5946964315*((RANDBETWEEN(1620,2416)))</f>
        <v>48147188.173326343</v>
      </c>
      <c r="B2454">
        <v>184975330.7272698</v>
      </c>
    </row>
    <row r="2455" spans="1:2" x14ac:dyDescent="0.25">
      <c r="A2455">
        <f ca="1">27722.8313581294*((RANDBETWEEN(1620,2416)))</f>
        <v>66368458.271361664</v>
      </c>
      <c r="B2455">
        <v>162344479.09338859</v>
      </c>
    </row>
    <row r="2456" spans="1:2" x14ac:dyDescent="0.25">
      <c r="A2456">
        <f ca="1">31159.0449384943*((RANDBETWEEN(1620,2416)))</f>
        <v>62505044.14661964</v>
      </c>
      <c r="B2456">
        <v>174762844.97438967</v>
      </c>
    </row>
    <row r="2457" spans="1:2" x14ac:dyDescent="0.25">
      <c r="A2457">
        <f ca="1">26833.6912506356*((RANDBETWEEN(1620,2416)))</f>
        <v>55304237.667559952</v>
      </c>
      <c r="B2457">
        <v>148485890.38737819</v>
      </c>
    </row>
    <row r="2458" spans="1:2" x14ac:dyDescent="0.25">
      <c r="A2458">
        <f ca="1">26777.235104469*((RANDBETWEEN(1620,2416)))</f>
        <v>61641195.210487746</v>
      </c>
      <c r="B2458">
        <v>182681147.50206473</v>
      </c>
    </row>
    <row r="2459" spans="1:2" x14ac:dyDescent="0.25">
      <c r="A2459">
        <f ca="1">27049.018503544*((RANDBETWEEN(1620,2416)))</f>
        <v>50608713.620130807</v>
      </c>
      <c r="B2459">
        <v>185725868.0392234</v>
      </c>
    </row>
    <row r="2460" spans="1:2" x14ac:dyDescent="0.25">
      <c r="A2460">
        <f ca="1">26882.9134090133*((RANDBETWEEN(1620,2416)))</f>
        <v>63551207.298907325</v>
      </c>
      <c r="B2460">
        <v>151466773.62569907</v>
      </c>
    </row>
    <row r="2461" spans="1:2" x14ac:dyDescent="0.25">
      <c r="A2461">
        <f ca="1">28343.7989959836*((RANDBETWEEN(1620,2416)))</f>
        <v>52889528.926505342</v>
      </c>
      <c r="B2461">
        <v>174587608.77362877</v>
      </c>
    </row>
    <row r="2462" spans="1:2" x14ac:dyDescent="0.25">
      <c r="A2462">
        <f ca="1">30225.703155639*((RANDBETWEEN(1620,2416)))</f>
        <v>61509305.921725355</v>
      </c>
      <c r="B2462">
        <v>149648105.50962025</v>
      </c>
    </row>
    <row r="2463" spans="1:2" x14ac:dyDescent="0.25">
      <c r="A2463">
        <f ca="1">32805.5873599914*((RANDBETWEEN(1620,2416)))</f>
        <v>67973177.009902239</v>
      </c>
      <c r="B2463">
        <v>161360343.77577826</v>
      </c>
    </row>
    <row r="2464" spans="1:2" x14ac:dyDescent="0.25">
      <c r="A2464">
        <f ca="1">27555.3590373158*((RANDBETWEEN(1620,2416)))</f>
        <v>46733888.927287586</v>
      </c>
      <c r="B2464">
        <v>160201469.19205147</v>
      </c>
    </row>
    <row r="2465" spans="1:2" x14ac:dyDescent="0.25">
      <c r="A2465">
        <f ca="1">29758.4623029734*((RANDBETWEEN(1620,2416)))</f>
        <v>68563497.146050721</v>
      </c>
      <c r="B2465">
        <v>164256401.30410552</v>
      </c>
    </row>
    <row r="2466" spans="1:2" x14ac:dyDescent="0.25">
      <c r="A2466">
        <f ca="1">27745.7119239871*((RANDBETWEEN(1620,2416)))</f>
        <v>48333030.171585523</v>
      </c>
      <c r="B2466">
        <v>201769542.57521397</v>
      </c>
    </row>
    <row r="2467" spans="1:2" x14ac:dyDescent="0.25">
      <c r="A2467">
        <f ca="1">27984.9481746748*((RANDBETWEEN(1620,2416)))</f>
        <v>58656451.374118455</v>
      </c>
      <c r="B2467">
        <v>178356137.27495706</v>
      </c>
    </row>
    <row r="2468" spans="1:2" x14ac:dyDescent="0.25">
      <c r="A2468">
        <f ca="1">26153.9447413703*((RANDBETWEEN(1620,2416)))</f>
        <v>55629440.46489466</v>
      </c>
      <c r="B2468">
        <v>183639589.49195823</v>
      </c>
    </row>
    <row r="2469" spans="1:2" x14ac:dyDescent="0.25">
      <c r="A2469">
        <f ca="1">28247.8950414393*((RANDBETWEEN(1620,2416)))</f>
        <v>47230480.50928653</v>
      </c>
      <c r="B2469">
        <v>164693224.1792042</v>
      </c>
    </row>
    <row r="2470" spans="1:2" x14ac:dyDescent="0.25">
      <c r="A2470">
        <f ca="1">27384.4456071551*((RANDBETWEEN(1620,2416)))</f>
        <v>57863333.567918703</v>
      </c>
      <c r="B2470">
        <v>199180983.53304267</v>
      </c>
    </row>
    <row r="2471" spans="1:2" x14ac:dyDescent="0.25">
      <c r="A2471">
        <f ca="1">28417.922851104*((RANDBETWEEN(1620,2416)))</f>
        <v>47543184.929897048</v>
      </c>
      <c r="B2471">
        <v>182460610.87618294</v>
      </c>
    </row>
    <row r="2472" spans="1:2" x14ac:dyDescent="0.25">
      <c r="A2472">
        <f ca="1">27950.5624558551*((RANDBETWEEN(1620,2416)))</f>
        <v>57270702.472047083</v>
      </c>
      <c r="B2472">
        <v>183220617.97587013</v>
      </c>
    </row>
    <row r="2473" spans="1:2" x14ac:dyDescent="0.25">
      <c r="A2473">
        <f ca="1">28075.8064768947*((RANDBETWEEN(1620,2416)))</f>
        <v>51912166.175778329</v>
      </c>
      <c r="B2473">
        <v>172870470.17202687</v>
      </c>
    </row>
    <row r="2474" spans="1:2" x14ac:dyDescent="0.25">
      <c r="A2474">
        <f ca="1">26927.75845795*((RANDBETWEEN(1620,2416)))</f>
        <v>60021973.602770448</v>
      </c>
      <c r="B2474">
        <v>170557953.66042256</v>
      </c>
    </row>
    <row r="2475" spans="1:2" x14ac:dyDescent="0.25">
      <c r="A2475">
        <f ca="1">31580.4420403056*((RANDBETWEEN(1620,2416)))</f>
        <v>61044994.463910677</v>
      </c>
      <c r="B2475">
        <v>179492785.14595354</v>
      </c>
    </row>
    <row r="2476" spans="1:2" x14ac:dyDescent="0.25">
      <c r="A2476">
        <f ca="1">27142.7837729723*((RANDBETWEEN(1620,2416)))</f>
        <v>54964137.140268981</v>
      </c>
      <c r="B2476">
        <v>181527762.82603517</v>
      </c>
    </row>
    <row r="2477" spans="1:2" x14ac:dyDescent="0.25">
      <c r="A2477">
        <f ca="1">26715.6399978884*((RANDBETWEEN(1620,2416)))</f>
        <v>52335938.755863346</v>
      </c>
      <c r="B2477">
        <v>171861588.40051872</v>
      </c>
    </row>
    <row r="2478" spans="1:2" x14ac:dyDescent="0.25">
      <c r="A2478">
        <f ca="1">31319.6209050004*((RANDBETWEEN(1620,2416)))</f>
        <v>63422232.332625844</v>
      </c>
      <c r="B2478">
        <v>153718780.48572484</v>
      </c>
    </row>
    <row r="2479" spans="1:2" x14ac:dyDescent="0.25">
      <c r="A2479">
        <f ca="1">28791.165000826*((RANDBETWEEN(1620,2416)))</f>
        <v>58935514.756690808</v>
      </c>
      <c r="B2479">
        <v>184203893.87571913</v>
      </c>
    </row>
    <row r="2480" spans="1:2" x14ac:dyDescent="0.25">
      <c r="A2480">
        <f ca="1">25909.7731691512*((RANDBETWEEN(1620,2416)))</f>
        <v>59152012.145172097</v>
      </c>
      <c r="B2480">
        <v>157059441.16306788</v>
      </c>
    </row>
    <row r="2481" spans="1:2" x14ac:dyDescent="0.25">
      <c r="A2481">
        <f ca="1">29629.419251021*((RANDBETWEEN(1620,2416)))</f>
        <v>64621763.38647677</v>
      </c>
      <c r="B2481">
        <v>190549332.80625066</v>
      </c>
    </row>
    <row r="2482" spans="1:2" x14ac:dyDescent="0.25">
      <c r="A2482">
        <f ca="1">32796.7078866516*((RANDBETWEEN(1620,2416)))</f>
        <v>60805096.42185206</v>
      </c>
      <c r="B2482">
        <v>186231788.63105887</v>
      </c>
    </row>
    <row r="2483" spans="1:2" x14ac:dyDescent="0.25">
      <c r="A2483">
        <f ca="1">26017.2733066913*((RANDBETWEEN(1620,2416)))</f>
        <v>54766360.310585141</v>
      </c>
      <c r="B2483">
        <v>147639727.42618856</v>
      </c>
    </row>
    <row r="2484" spans="1:2" x14ac:dyDescent="0.25">
      <c r="A2484">
        <f ca="1">26482.4186778699*((RANDBETWEEN(1620,2416)))</f>
        <v>44622875.472210705</v>
      </c>
      <c r="B2484">
        <v>149784097.14659908</v>
      </c>
    </row>
    <row r="2485" spans="1:2" x14ac:dyDescent="0.25">
      <c r="A2485">
        <f ca="1">31670.4058130602*((RANDBETWEEN(1620,2416)))</f>
        <v>67869679.657388121</v>
      </c>
      <c r="B2485">
        <v>183541729.49639159</v>
      </c>
    </row>
    <row r="2486" spans="1:2" x14ac:dyDescent="0.25">
      <c r="A2486">
        <f ca="1">27374.9330291327*((RANDBETWEEN(1620,2416)))</f>
        <v>64002593.422112353</v>
      </c>
      <c r="B2486">
        <v>146516332.73786423</v>
      </c>
    </row>
    <row r="2487" spans="1:2" x14ac:dyDescent="0.25">
      <c r="A2487">
        <f ca="1">32619.7289459098*((RANDBETWEEN(1620,2416)))</f>
        <v>68534050.515356466</v>
      </c>
      <c r="B2487">
        <v>162871535.28268421</v>
      </c>
    </row>
    <row r="2488" spans="1:2" x14ac:dyDescent="0.25">
      <c r="A2488">
        <f ca="1">26609.7647795948*((RANDBETWEEN(1620,2416)))</f>
        <v>53113090.500071153</v>
      </c>
      <c r="B2488">
        <v>162833208.34325632</v>
      </c>
    </row>
    <row r="2489" spans="1:2" x14ac:dyDescent="0.25">
      <c r="A2489">
        <f ca="1">26555.6385381134*((RANDBETWEEN(1620,2416)))</f>
        <v>59431519.0482978</v>
      </c>
      <c r="B2489">
        <v>143661615.79458338</v>
      </c>
    </row>
    <row r="2490" spans="1:2" x14ac:dyDescent="0.25">
      <c r="A2490">
        <f ca="1">27778.1316673257*((RANDBETWEEN(1620,2416)))</f>
        <v>52028440.612901077</v>
      </c>
      <c r="B2490">
        <v>179936024.46654212</v>
      </c>
    </row>
    <row r="2491" spans="1:2" x14ac:dyDescent="0.25">
      <c r="A2491">
        <f ca="1">28074.12686215*((RANDBETWEEN(1620,2416)))</f>
        <v>46294235.195685342</v>
      </c>
      <c r="B2491">
        <v>174237690.52807236</v>
      </c>
    </row>
    <row r="2492" spans="1:2" x14ac:dyDescent="0.25">
      <c r="A2492">
        <f ca="1">28389.0927655037*((RANDBETWEEN(1620,2416)))</f>
        <v>47608508.567749649</v>
      </c>
      <c r="B2492">
        <v>189535086.18016934</v>
      </c>
    </row>
    <row r="2493" spans="1:2" x14ac:dyDescent="0.25">
      <c r="A2493">
        <f ca="1">27103.0848275678*((RANDBETWEEN(1620,2416)))</f>
        <v>51360345.748240978</v>
      </c>
      <c r="B2493">
        <v>180552099.16102669</v>
      </c>
    </row>
    <row r="2494" spans="1:2" x14ac:dyDescent="0.25">
      <c r="A2494">
        <f ca="1">26944.5250864037*((RANDBETWEEN(1620,2416)))</f>
        <v>56017667.654633269</v>
      </c>
      <c r="B2494">
        <v>161356189.02957451</v>
      </c>
    </row>
    <row r="2495" spans="1:2" x14ac:dyDescent="0.25">
      <c r="A2495">
        <f ca="1">26068.0982369516*((RANDBETWEEN(1620,2416)))</f>
        <v>43950813.62750046</v>
      </c>
      <c r="B2495">
        <v>143686971.23701194</v>
      </c>
    </row>
    <row r="2496" spans="1:2" x14ac:dyDescent="0.25">
      <c r="A2496">
        <f ca="1">26524.7546678534*((RANDBETWEEN(1620,2416)))</f>
        <v>46736617.724757686</v>
      </c>
      <c r="B2496">
        <v>150309885.46868142</v>
      </c>
    </row>
    <row r="2497" spans="1:2" x14ac:dyDescent="0.25">
      <c r="A2497">
        <f ca="1">29124.5302958494*((RANDBETWEEN(1620,2416)))</f>
        <v>62938109.969330534</v>
      </c>
      <c r="B2497">
        <v>180072217.42085868</v>
      </c>
    </row>
    <row r="2498" spans="1:2" x14ac:dyDescent="0.25">
      <c r="A2498">
        <f ca="1">25662.4115896583*((RANDBETWEEN(1620,2416)))</f>
        <v>51658434.529982261</v>
      </c>
      <c r="B2498">
        <v>155737575.19382751</v>
      </c>
    </row>
    <row r="2499" spans="1:2" x14ac:dyDescent="0.25">
      <c r="A2499">
        <f ca="1">31391.8594734479*((RANDBETWEEN(1620,2416)))</f>
        <v>53648687.840122439</v>
      </c>
      <c r="B2499">
        <v>159214786.33720249</v>
      </c>
    </row>
    <row r="2500" spans="1:2" x14ac:dyDescent="0.25">
      <c r="A2500">
        <f ca="1">26583.6712651623*((RANDBETWEEN(1620,2416)))</f>
        <v>55639623.957984619</v>
      </c>
      <c r="B2500">
        <v>194830731.82917666</v>
      </c>
    </row>
    <row r="2501" spans="1:2" x14ac:dyDescent="0.25">
      <c r="A2501">
        <f ca="1">33205.6007040008*((RANDBETWEEN(1620,2416)))</f>
        <v>56217081.991873376</v>
      </c>
      <c r="B2501">
        <v>169106372.97543639</v>
      </c>
    </row>
    <row r="2502" spans="1:2" x14ac:dyDescent="0.25">
      <c r="A2502">
        <f ca="1">29092.9370208337*((RANDBETWEEN(1620,2416)))</f>
        <v>67146498.64408429</v>
      </c>
      <c r="B2502">
        <v>156740515.42013058</v>
      </c>
    </row>
    <row r="2503" spans="1:2" x14ac:dyDescent="0.25">
      <c r="A2503">
        <f ca="1">27739.0409162688*((RANDBETWEEN(1620,2416)))</f>
        <v>46740283.943912879</v>
      </c>
      <c r="B2503">
        <v>168348655.20519555</v>
      </c>
    </row>
    <row r="2504" spans="1:2" x14ac:dyDescent="0.25">
      <c r="A2504">
        <f ca="1">25894.813457316*((RANDBETWEEN(1620,2416)))</f>
        <v>60930496.065064505</v>
      </c>
      <c r="B2504">
        <v>157856534.53535524</v>
      </c>
    </row>
    <row r="2505" spans="1:2" x14ac:dyDescent="0.25">
      <c r="A2505">
        <f ca="1">30987.5140625296*((RANDBETWEEN(1620,2416)))</f>
        <v>55219750.059427664</v>
      </c>
      <c r="B2505">
        <v>161038626.27097201</v>
      </c>
    </row>
    <row r="2506" spans="1:2" x14ac:dyDescent="0.25">
      <c r="A2506">
        <f ca="1">26569.4879567904*((RANDBETWEEN(1620,2416)))</f>
        <v>52687294.618315309</v>
      </c>
      <c r="B2506">
        <v>171465191.22247648</v>
      </c>
    </row>
    <row r="2507" spans="1:2" x14ac:dyDescent="0.25">
      <c r="A2507">
        <f ca="1">28110.5760442021*((RANDBETWEEN(1620,2416)))</f>
        <v>58947877.96469187</v>
      </c>
      <c r="B2507">
        <v>161336244.30270103</v>
      </c>
    </row>
    <row r="2508" spans="1:2" x14ac:dyDescent="0.25">
      <c r="A2508">
        <f ca="1">26186.03578239*((RANDBETWEEN(1620,2416)))</f>
        <v>54912117.035671785</v>
      </c>
      <c r="B2508">
        <v>154634610.6374504</v>
      </c>
    </row>
    <row r="2509" spans="1:2" x14ac:dyDescent="0.25">
      <c r="A2509">
        <f ca="1">25584.5266865789*((RANDBETWEEN(1620,2416)))</f>
        <v>45131105.075125128</v>
      </c>
      <c r="B2509">
        <v>171143525.82267794</v>
      </c>
    </row>
    <row r="2510" spans="1:2" x14ac:dyDescent="0.25">
      <c r="A2510">
        <f ca="1">26486.1125422335*((RANDBETWEEN(1620,2416)))</f>
        <v>51621433.344813123</v>
      </c>
      <c r="B2510">
        <v>199292384.51802278</v>
      </c>
    </row>
    <row r="2511" spans="1:2" x14ac:dyDescent="0.25">
      <c r="A2511">
        <f ca="1">26487.5579489552*((RANDBETWEEN(1620,2416)))</f>
        <v>54670319.606643632</v>
      </c>
      <c r="B2511">
        <v>157107254.08945957</v>
      </c>
    </row>
    <row r="2512" spans="1:2" x14ac:dyDescent="0.25">
      <c r="A2512">
        <f ca="1">27228.2498076613*((RANDBETWEEN(1620,2416)))</f>
        <v>52223783.13109456</v>
      </c>
      <c r="B2512">
        <v>164080482.8613809</v>
      </c>
    </row>
    <row r="2513" spans="1:2" x14ac:dyDescent="0.25">
      <c r="A2513">
        <f ca="1">27097.2411373335*((RANDBETWEEN(1620,2416)))</f>
        <v>51701536.090032339</v>
      </c>
      <c r="B2513">
        <v>158633013.74055827</v>
      </c>
    </row>
    <row r="2514" spans="1:2" x14ac:dyDescent="0.25">
      <c r="A2514">
        <f ca="1">29841.072126341*((RANDBETWEEN(1620,2416)))</f>
        <v>58965958.521649733</v>
      </c>
      <c r="B2514">
        <v>185164416.18658951</v>
      </c>
    </row>
    <row r="2515" spans="1:2" x14ac:dyDescent="0.25">
      <c r="A2515">
        <f ca="1">26865.9634674422*((RANDBETWEEN(1620,2416)))</f>
        <v>64075322.869849592</v>
      </c>
      <c r="B2515">
        <v>151831174.17858031</v>
      </c>
    </row>
    <row r="2516" spans="1:2" x14ac:dyDescent="0.25">
      <c r="A2516">
        <f ca="1">29057.1474263798*((RANDBETWEEN(1620,2416)))</f>
        <v>65756324.625897467</v>
      </c>
      <c r="B2516">
        <v>166409707.92637628</v>
      </c>
    </row>
    <row r="2517" spans="1:2" x14ac:dyDescent="0.25">
      <c r="A2517">
        <f ca="1">26343.6533613882*((RANDBETWEEN(1620,2416)))</f>
        <v>57877006.43496979</v>
      </c>
      <c r="B2517">
        <v>164446222.41978633</v>
      </c>
    </row>
    <row r="2518" spans="1:2" x14ac:dyDescent="0.25">
      <c r="A2518">
        <f ca="1">27914.5341022644*((RANDBETWEEN(1620,2416)))</f>
        <v>57113136.773232862</v>
      </c>
      <c r="B2518">
        <v>196567779.68598342</v>
      </c>
    </row>
    <row r="2519" spans="1:2" x14ac:dyDescent="0.25">
      <c r="A2519">
        <f ca="1">27127.8662403921*((RANDBETWEEN(1620,2416)))</f>
        <v>48450369.105340213</v>
      </c>
      <c r="B2519">
        <v>145924258.99986982</v>
      </c>
    </row>
    <row r="2520" spans="1:2" x14ac:dyDescent="0.25">
      <c r="A2520">
        <f ca="1">26742.6474172564*((RANDBETWEEN(1620,2416)))</f>
        <v>47254257.986291967</v>
      </c>
      <c r="B2520">
        <v>158719010.00388122</v>
      </c>
    </row>
    <row r="2521" spans="1:2" x14ac:dyDescent="0.25">
      <c r="A2521">
        <f ca="1">25876.7792993822*((RANDBETWEEN(1620,2416)))</f>
        <v>52866260.108637929</v>
      </c>
      <c r="B2521">
        <v>160217389.18036804</v>
      </c>
    </row>
    <row r="2522" spans="1:2" x14ac:dyDescent="0.25">
      <c r="A2522">
        <f ca="1">29471.5109111885*((RANDBETWEEN(1620,2416)))</f>
        <v>56850544.547682643</v>
      </c>
      <c r="B2522">
        <v>149044941.81655806</v>
      </c>
    </row>
    <row r="2523" spans="1:2" x14ac:dyDescent="0.25">
      <c r="A2523">
        <f ca="1">27314.2978723608*((RANDBETWEEN(1620,2416)))</f>
        <v>45259791.574501857</v>
      </c>
      <c r="B2523">
        <v>174284565.07852799</v>
      </c>
    </row>
    <row r="2524" spans="1:2" x14ac:dyDescent="0.25">
      <c r="A2524">
        <f ca="1">27615.2761178449*((RANDBETWEEN(1620,2416)))</f>
        <v>57439774.325117469</v>
      </c>
      <c r="B2524">
        <v>176114595.41744995</v>
      </c>
    </row>
    <row r="2525" spans="1:2" x14ac:dyDescent="0.25">
      <c r="A2525">
        <f ca="1">27932.4038881886*((RANDBETWEEN(1620,2416)))</f>
        <v>59384290.666288994</v>
      </c>
      <c r="B2525">
        <v>167897137.73887762</v>
      </c>
    </row>
    <row r="2526" spans="1:2" x14ac:dyDescent="0.25">
      <c r="A2526">
        <f ca="1">26398.3090074773*((RANDBETWEEN(1620,2416)))</f>
        <v>44692337.149659142</v>
      </c>
      <c r="B2526">
        <v>146357428.46588039</v>
      </c>
    </row>
    <row r="2527" spans="1:2" x14ac:dyDescent="0.25">
      <c r="A2527">
        <f ca="1">27448.9679853087*((RANDBETWEEN(1620,2416)))</f>
        <v>58932934.264457747</v>
      </c>
      <c r="B2527">
        <v>151966191.2690419</v>
      </c>
    </row>
    <row r="2528" spans="1:2" x14ac:dyDescent="0.25">
      <c r="A2528">
        <f ca="1">26579.8743242434*((RANDBETWEEN(1620,2416)))</f>
        <v>52601571.28767769</v>
      </c>
      <c r="B2528">
        <v>192160468.83916253</v>
      </c>
    </row>
    <row r="2529" spans="1:2" x14ac:dyDescent="0.25">
      <c r="A2529">
        <f ca="1">32729.1848455399*((RANDBETWEEN(1620,2416)))</f>
        <v>76029896.396189198</v>
      </c>
      <c r="B2529">
        <v>153946947.16855577</v>
      </c>
    </row>
    <row r="2530" spans="1:2" x14ac:dyDescent="0.25">
      <c r="A2530">
        <f ca="1">25898.4350068171*((RANDBETWEEN(1620,2416)))</f>
        <v>62208040.886374719</v>
      </c>
      <c r="B2530">
        <v>174126507.02210146</v>
      </c>
    </row>
    <row r="2531" spans="1:2" x14ac:dyDescent="0.25">
      <c r="A2531">
        <f ca="1">26349.8882079748*((RANDBETWEEN(1620,2416)))</f>
        <v>48720943.296545416</v>
      </c>
      <c r="B2531">
        <v>174572409.09410203</v>
      </c>
    </row>
    <row r="2532" spans="1:2" x14ac:dyDescent="0.25">
      <c r="A2532">
        <f ca="1">28843.4087989774*((RANDBETWEEN(1620,2416)))</f>
        <v>52293100.152546078</v>
      </c>
      <c r="B2532">
        <v>151612590.22417372</v>
      </c>
    </row>
    <row r="2533" spans="1:2" x14ac:dyDescent="0.25">
      <c r="A2533">
        <f ca="1">28306.0559379311*((RANDBETWEEN(1620,2416)))</f>
        <v>57857578.337131128</v>
      </c>
      <c r="B2533">
        <v>153996299.61929536</v>
      </c>
    </row>
    <row r="2534" spans="1:2" x14ac:dyDescent="0.25">
      <c r="A2534">
        <f ca="1">26384.8653570416*((RANDBETWEEN(1620,2416)))</f>
        <v>63587525.510470279</v>
      </c>
      <c r="B2534">
        <v>163608861.51797757</v>
      </c>
    </row>
    <row r="2535" spans="1:2" x14ac:dyDescent="0.25">
      <c r="A2535">
        <f ca="1">29238.0828075177*((RANDBETWEEN(1620,2416)))</f>
        <v>69060351.59135671</v>
      </c>
      <c r="B2535">
        <v>203168873.03020111</v>
      </c>
    </row>
    <row r="2536" spans="1:2" x14ac:dyDescent="0.25">
      <c r="A2536">
        <f ca="1">26296.7069966737*((RANDBETWEEN(1620,2416)))</f>
        <v>57537194.908722006</v>
      </c>
      <c r="B2536">
        <v>166231720.32066491</v>
      </c>
    </row>
    <row r="2537" spans="1:2" x14ac:dyDescent="0.25">
      <c r="A2537">
        <f ca="1">25478.5758389832*((RANDBETWEEN(1620,2416)))</f>
        <v>45097079.235000223</v>
      </c>
      <c r="B2537">
        <v>143811679.62568235</v>
      </c>
    </row>
    <row r="2538" spans="1:2" x14ac:dyDescent="0.25">
      <c r="A2538">
        <f ca="1">30216.8591517031*((RANDBETWEEN(1620,2416)))</f>
        <v>72762196.83730118</v>
      </c>
      <c r="B2538">
        <v>165486464.59749928</v>
      </c>
    </row>
    <row r="2539" spans="1:2" x14ac:dyDescent="0.25">
      <c r="A2539">
        <f ca="1">26753.7568109068*((RANDBETWEEN(1620,2416)))</f>
        <v>52437363.349377245</v>
      </c>
      <c r="B2539">
        <v>149933204.04552808</v>
      </c>
    </row>
    <row r="2540" spans="1:2" x14ac:dyDescent="0.25">
      <c r="A2540">
        <f ca="1">30707.3659650431*((RANDBETWEEN(1620,2416)))</f>
        <v>59633704.704113632</v>
      </c>
      <c r="B2540">
        <v>145309623.97323844</v>
      </c>
    </row>
    <row r="2541" spans="1:2" x14ac:dyDescent="0.25">
      <c r="A2541">
        <f ca="1">26064.3069595028*((RANDBETWEEN(1620,2416)))</f>
        <v>53145121.890426122</v>
      </c>
      <c r="B2541">
        <v>143320811.99171948</v>
      </c>
    </row>
    <row r="2542" spans="1:2" x14ac:dyDescent="0.25">
      <c r="A2542">
        <f ca="1">26699.190365146*((RANDBETWEEN(1620,2416)))</f>
        <v>61595032.172391899</v>
      </c>
      <c r="B2542">
        <v>171864967.24846852</v>
      </c>
    </row>
    <row r="2543" spans="1:2" x14ac:dyDescent="0.25">
      <c r="A2543">
        <f ca="1">31385.5725463679*((RANDBETWEEN(1620,2416)))</f>
        <v>74446578.079984635</v>
      </c>
      <c r="B2543">
        <v>192241234.08133966</v>
      </c>
    </row>
    <row r="2544" spans="1:2" x14ac:dyDescent="0.25">
      <c r="A2544">
        <f ca="1">31143.4373003296*((RANDBETWEEN(1620,2416)))</f>
        <v>51511245.294745117</v>
      </c>
      <c r="B2544">
        <v>189449621.09672412</v>
      </c>
    </row>
    <row r="2545" spans="1:2" x14ac:dyDescent="0.25">
      <c r="A2545">
        <f ca="1">27048.7365614949*((RANDBETWEEN(1620,2416)))</f>
        <v>62266191.564561181</v>
      </c>
      <c r="B2545">
        <v>153315184.40294588</v>
      </c>
    </row>
    <row r="2546" spans="1:2" x14ac:dyDescent="0.25">
      <c r="A2546">
        <f ca="1">26299.9063025397*((RANDBETWEEN(1620,2416)))</f>
        <v>44052343.056753956</v>
      </c>
      <c r="B2546">
        <v>155386351.97613564</v>
      </c>
    </row>
    <row r="2547" spans="1:2" x14ac:dyDescent="0.25">
      <c r="A2547">
        <f ca="1">26023.7444083165*((RANDBETWEEN(1620,2416)))</f>
        <v>54962148.190364435</v>
      </c>
      <c r="B2547">
        <v>148353095.09158552</v>
      </c>
    </row>
    <row r="2548" spans="1:2" x14ac:dyDescent="0.25">
      <c r="A2548">
        <f ca="1">26473.9934184818*((RANDBETWEEN(1620,2416)))</f>
        <v>50009373.567512028</v>
      </c>
      <c r="B2548">
        <v>173610810.90093923</v>
      </c>
    </row>
    <row r="2549" spans="1:2" x14ac:dyDescent="0.25">
      <c r="A2549">
        <f ca="1">25973.5995664228*((RANDBETWEEN(1620,2416)))</f>
        <v>47090136.013924532</v>
      </c>
      <c r="B2549">
        <v>147126940.77339813</v>
      </c>
    </row>
    <row r="2550" spans="1:2" x14ac:dyDescent="0.25">
      <c r="A2550">
        <f ca="1">26356.8271298194*((RANDBETWEEN(1620,2416)))</f>
        <v>56667178.329111807</v>
      </c>
      <c r="B2550">
        <v>160628614.65818053</v>
      </c>
    </row>
    <row r="2551" spans="1:2" x14ac:dyDescent="0.25">
      <c r="A2551">
        <f ca="1">25691.1935057986*((RANDBETWEEN(1620,2416)))</f>
        <v>51690681.333666727</v>
      </c>
      <c r="B2551">
        <v>192278720.63398448</v>
      </c>
    </row>
    <row r="2552" spans="1:2" x14ac:dyDescent="0.25">
      <c r="A2552">
        <f ca="1">28538.1189457139*((RANDBETWEEN(1620,2416)))</f>
        <v>52738443.811679319</v>
      </c>
      <c r="B2552">
        <v>145068438.35536969</v>
      </c>
    </row>
    <row r="2553" spans="1:2" x14ac:dyDescent="0.25">
      <c r="A2553">
        <f ca="1">25541.2388268746*((RANDBETWEEN(1620,2416)))</f>
        <v>55322323.299010426</v>
      </c>
      <c r="B2553">
        <v>145274011.71042418</v>
      </c>
    </row>
    <row r="2554" spans="1:2" x14ac:dyDescent="0.25">
      <c r="A2554">
        <f ca="1">32160.4639028595*((RANDBETWEEN(1620,2416)))</f>
        <v>70463576.411165148</v>
      </c>
      <c r="B2554">
        <v>157357572.25030088</v>
      </c>
    </row>
    <row r="2555" spans="1:2" x14ac:dyDescent="0.25">
      <c r="A2555">
        <f ca="1">27052.0420772368*((RANDBETWEEN(1620,2416)))</f>
        <v>64140391.765128531</v>
      </c>
      <c r="B2555">
        <v>147201679.71991602</v>
      </c>
    </row>
    <row r="2556" spans="1:2" x14ac:dyDescent="0.25">
      <c r="A2556">
        <f ca="1">31130.8557858041*((RANDBETWEEN(1620,2416)))</f>
        <v>71569837.451563597</v>
      </c>
      <c r="B2556">
        <v>201898090.42784208</v>
      </c>
    </row>
    <row r="2557" spans="1:2" x14ac:dyDescent="0.25">
      <c r="A2557">
        <f ca="1">26603.224522335*((RANDBETWEEN(1620,2416)))</f>
        <v>56531852.109961972</v>
      </c>
      <c r="B2557">
        <v>177182912.03004557</v>
      </c>
    </row>
    <row r="2558" spans="1:2" x14ac:dyDescent="0.25">
      <c r="A2558">
        <f ca="1">26784.7187217241*((RANDBETWEEN(1620,2416)))</f>
        <v>51801646.007814422</v>
      </c>
      <c r="B2558">
        <v>165735613.87836719</v>
      </c>
    </row>
    <row r="2559" spans="1:2" x14ac:dyDescent="0.25">
      <c r="A2559">
        <f ca="1">31219.4335964377*((RANDBETWEEN(1620,2416)))</f>
        <v>55789127.836834222</v>
      </c>
      <c r="B2559">
        <v>181827202.78048164</v>
      </c>
    </row>
    <row r="2560" spans="1:2" x14ac:dyDescent="0.25">
      <c r="A2560">
        <f ca="1">25620.6270026892*((RANDBETWEEN(1620,2416)))</f>
        <v>49447810.115190201</v>
      </c>
      <c r="B2560">
        <v>151373258.31955299</v>
      </c>
    </row>
    <row r="2561" spans="1:2" x14ac:dyDescent="0.25">
      <c r="A2561">
        <f ca="1">30791.3626729433*((RANDBETWEEN(1620,2416)))</f>
        <v>70050350.080946058</v>
      </c>
      <c r="B2561">
        <v>171109490.50448278</v>
      </c>
    </row>
    <row r="2562" spans="1:2" x14ac:dyDescent="0.25">
      <c r="A2562">
        <f ca="1">31957.1970416401*((RANDBETWEEN(1620,2416)))</f>
        <v>70753234.250191092</v>
      </c>
      <c r="B2562">
        <v>160390423.22285423</v>
      </c>
    </row>
    <row r="2563" spans="1:2" x14ac:dyDescent="0.25">
      <c r="A2563">
        <f ca="1">29463.6597381817*((RANDBETWEEN(1620,2416)))</f>
        <v>57424672.829716153</v>
      </c>
      <c r="B2563">
        <v>171840051.31809491</v>
      </c>
    </row>
    <row r="2564" spans="1:2" x14ac:dyDescent="0.25">
      <c r="A2564">
        <f ca="1">27313.8054609551*((RANDBETWEEN(1620,2416)))</f>
        <v>60882472.372469001</v>
      </c>
      <c r="B2564">
        <v>157679974.25549284</v>
      </c>
    </row>
    <row r="2565" spans="1:2" x14ac:dyDescent="0.25">
      <c r="A2565">
        <f ca="1">26558.7442333875*((RANDBETWEEN(1620,2416)))</f>
        <v>52719107.30327411</v>
      </c>
      <c r="B2565">
        <v>170165743.55682528</v>
      </c>
    </row>
    <row r="2566" spans="1:2" x14ac:dyDescent="0.25">
      <c r="A2566">
        <f ca="1">27469.708331766*((RANDBETWEEN(1620,2416)))</f>
        <v>57713857.205040447</v>
      </c>
      <c r="B2566">
        <v>164583800.59476724</v>
      </c>
    </row>
    <row r="2567" spans="1:2" x14ac:dyDescent="0.25">
      <c r="A2567">
        <f ca="1">26468.5670218988*((RANDBETWEEN(1620,2416)))</f>
        <v>55742802.148118928</v>
      </c>
      <c r="B2567">
        <v>148749602.03398123</v>
      </c>
    </row>
    <row r="2568" spans="1:2" x14ac:dyDescent="0.25">
      <c r="A2568">
        <f ca="1">28908.2624635497*((RANDBETWEEN(1620,2416)))</f>
        <v>64089617.881689742</v>
      </c>
      <c r="B2568">
        <v>192442808.56898898</v>
      </c>
    </row>
    <row r="2569" spans="1:2" x14ac:dyDescent="0.25">
      <c r="A2569">
        <f ca="1">27859.4564508894*((RANDBETWEEN(1620,2416)))</f>
        <v>67252727.872447073</v>
      </c>
      <c r="B2569">
        <v>192097715.42431337</v>
      </c>
    </row>
    <row r="2570" spans="1:2" x14ac:dyDescent="0.25">
      <c r="A2570">
        <f ca="1">27709.0738919335*((RANDBETWEEN(1620,2416)))</f>
        <v>51677422.808455989</v>
      </c>
      <c r="B2570">
        <v>199274410.84080899</v>
      </c>
    </row>
    <row r="2571" spans="1:2" x14ac:dyDescent="0.25">
      <c r="A2571">
        <f ca="1">28738.62427846*((RANDBETWEEN(1620,2416)))</f>
        <v>51528353.331278771</v>
      </c>
      <c r="B2571">
        <v>169472535.44089448</v>
      </c>
    </row>
    <row r="2572" spans="1:2" x14ac:dyDescent="0.25">
      <c r="A2572">
        <f ca="1">27274.3325419717*((RANDBETWEEN(1620,2416)))</f>
        <v>57712487.658812039</v>
      </c>
      <c r="B2572">
        <v>186925417.09470311</v>
      </c>
    </row>
    <row r="2573" spans="1:2" x14ac:dyDescent="0.25">
      <c r="A2573">
        <f ca="1">26539.0863841279*((RANDBETWEEN(1620,2416)))</f>
        <v>63985737.272132404</v>
      </c>
      <c r="B2573">
        <v>193922239.27824479</v>
      </c>
    </row>
    <row r="2574" spans="1:2" x14ac:dyDescent="0.25">
      <c r="A2574">
        <f ca="1">29595.7147866546*((RANDBETWEEN(1620,2416)))</f>
        <v>58717898.136722811</v>
      </c>
      <c r="B2574">
        <v>144392535.18737444</v>
      </c>
    </row>
    <row r="2575" spans="1:2" x14ac:dyDescent="0.25">
      <c r="A2575">
        <f ca="1">29396.9607371319*((RANDBETWEEN(1620,2416)))</f>
        <v>68465521.556780085</v>
      </c>
      <c r="B2575">
        <v>163900157.54391569</v>
      </c>
    </row>
    <row r="2576" spans="1:2" x14ac:dyDescent="0.25">
      <c r="A2576">
        <f ca="1">26684.7138788789*((RANDBETWEEN(1620,2416)))</f>
        <v>60761093.502207369</v>
      </c>
      <c r="B2576">
        <v>179657464.97724018</v>
      </c>
    </row>
    <row r="2577" spans="1:2" x14ac:dyDescent="0.25">
      <c r="A2577">
        <f ca="1">32497.9109312424*((RANDBETWEEN(1620,2416)))</f>
        <v>73575270.348332897</v>
      </c>
      <c r="B2577">
        <v>152301760.07654989</v>
      </c>
    </row>
    <row r="2578" spans="1:2" x14ac:dyDescent="0.25">
      <c r="A2578">
        <f ca="1">27683.2212794506*((RANDBETWEEN(1620,2416)))</f>
        <v>63173110.959706306</v>
      </c>
      <c r="B2578">
        <v>162732300.5488444</v>
      </c>
    </row>
    <row r="2579" spans="1:2" x14ac:dyDescent="0.25">
      <c r="A2579">
        <f ca="1">28589.9236023606*((RANDBETWEEN(1620,2416)))</f>
        <v>54635344.004111029</v>
      </c>
      <c r="B2579">
        <v>203638907.9917002</v>
      </c>
    </row>
    <row r="2580" spans="1:2" x14ac:dyDescent="0.25">
      <c r="A2580">
        <f ca="1">26754.2767247375*((RANDBETWEEN(1620,2416)))</f>
        <v>54043638.98396977</v>
      </c>
      <c r="B2580">
        <v>179671847.72572953</v>
      </c>
    </row>
    <row r="2581" spans="1:2" x14ac:dyDescent="0.25">
      <c r="A2581">
        <f ca="1">29186.340225529*((RANDBETWEEN(1620,2416)))</f>
        <v>47427802.86648462</v>
      </c>
      <c r="B2581">
        <v>176213626.92551583</v>
      </c>
    </row>
    <row r="2582" spans="1:2" x14ac:dyDescent="0.25">
      <c r="A2582">
        <f ca="1">29444.5643152144*((RANDBETWEEN(1620,2416)))</f>
        <v>63747481.742439255</v>
      </c>
      <c r="B2582">
        <v>171258216.17671698</v>
      </c>
    </row>
    <row r="2583" spans="1:2" x14ac:dyDescent="0.25">
      <c r="A2583">
        <f ca="1">26461.9803521526*((RANDBETWEEN(1620,2416)))</f>
        <v>55755392.601985611</v>
      </c>
      <c r="B2583">
        <v>173612822.5382767</v>
      </c>
    </row>
    <row r="2584" spans="1:2" x14ac:dyDescent="0.25">
      <c r="A2584">
        <f ca="1">25380.8146269726*((RANDBETWEEN(1620,2416)))</f>
        <v>49721015.854239367</v>
      </c>
      <c r="B2584">
        <v>185507717.89385873</v>
      </c>
    </row>
    <row r="2585" spans="1:2" x14ac:dyDescent="0.25">
      <c r="A2585">
        <f ca="1">26888.6748630997*((RANDBETWEEN(1620,2416)))</f>
        <v>56546883.237098701</v>
      </c>
      <c r="B2585">
        <v>198970608.35448202</v>
      </c>
    </row>
    <row r="2586" spans="1:2" x14ac:dyDescent="0.25">
      <c r="A2586">
        <f ca="1">26387.5489210997*((RANDBETWEEN(1620,2416)))</f>
        <v>54200025.483938716</v>
      </c>
      <c r="B2586">
        <v>154252798.97432238</v>
      </c>
    </row>
    <row r="2587" spans="1:2" x14ac:dyDescent="0.25">
      <c r="A2587">
        <f ca="1">29898.8402701756*((RANDBETWEEN(1620,2416)))</f>
        <v>51097118.02173017</v>
      </c>
      <c r="B2587">
        <v>175626790.51428074</v>
      </c>
    </row>
    <row r="2588" spans="1:2" x14ac:dyDescent="0.25">
      <c r="A2588">
        <f ca="1">27103.182452668*((RANDBETWEEN(1620,2416)))</f>
        <v>61036366.883408308</v>
      </c>
      <c r="B2588">
        <v>150244456.24164635</v>
      </c>
    </row>
    <row r="2589" spans="1:2" x14ac:dyDescent="0.25">
      <c r="A2589">
        <f ca="1">27002.9396389245*((RANDBETWEEN(1620,2416)))</f>
        <v>62160767.048804156</v>
      </c>
      <c r="B2589">
        <v>165597595.37715492</v>
      </c>
    </row>
    <row r="2590" spans="1:2" x14ac:dyDescent="0.25">
      <c r="A2590">
        <f ca="1">30078.0974061483*((RANDBETWEEN(1620,2416)))</f>
        <v>55253464.935094416</v>
      </c>
      <c r="B2590">
        <v>171729774.48867828</v>
      </c>
    </row>
    <row r="2591" spans="1:2" x14ac:dyDescent="0.25">
      <c r="A2591">
        <f ca="1">25887.1045581833*((RANDBETWEEN(1620,2416)))</f>
        <v>49832676.274502903</v>
      </c>
      <c r="B2591">
        <v>148925146.56091654</v>
      </c>
    </row>
    <row r="2592" spans="1:2" x14ac:dyDescent="0.25">
      <c r="A2592">
        <f ca="1">26878.8171105186*((RANDBETWEEN(1620,2416)))</f>
        <v>59133397.643140927</v>
      </c>
      <c r="B2592">
        <v>146420633.87090677</v>
      </c>
    </row>
    <row r="2593" spans="1:2" x14ac:dyDescent="0.25">
      <c r="A2593">
        <f ca="1">28040.7072362449*((RANDBETWEEN(1620,2416)))</f>
        <v>46856021.791765191</v>
      </c>
      <c r="B2593">
        <v>173720672.49823442</v>
      </c>
    </row>
    <row r="2594" spans="1:2" x14ac:dyDescent="0.25">
      <c r="A2594">
        <f ca="1">27107.9188343293*((RANDBETWEEN(1620,2416)))</f>
        <v>48279203.44394055</v>
      </c>
      <c r="B2594">
        <v>172776082.42642283</v>
      </c>
    </row>
    <row r="2595" spans="1:2" x14ac:dyDescent="0.25">
      <c r="A2595">
        <f ca="1">26774.1925394228*((RANDBETWEEN(1620,2416)))</f>
        <v>53494836.693766728</v>
      </c>
      <c r="B2595">
        <v>151676718.58685803</v>
      </c>
    </row>
    <row r="2596" spans="1:2" x14ac:dyDescent="0.25">
      <c r="A2596">
        <f ca="1">30015.494130411*((RANDBETWEEN(1620,2416)))</f>
        <v>63272661.62690641</v>
      </c>
      <c r="B2596">
        <v>176485278.8107602</v>
      </c>
    </row>
    <row r="2597" spans="1:2" x14ac:dyDescent="0.25">
      <c r="A2597">
        <f ca="1">28949.0983867861*((RANDBETWEEN(1620,2416)))</f>
        <v>59027211.61065679</v>
      </c>
      <c r="B2597">
        <v>196384839.83726227</v>
      </c>
    </row>
    <row r="2598" spans="1:2" x14ac:dyDescent="0.25">
      <c r="A2598">
        <f ca="1">26252.9368528104*((RANDBETWEEN(1620,2416)))</f>
        <v>60276743.014052711</v>
      </c>
      <c r="B2598">
        <v>143975354.06133568</v>
      </c>
    </row>
    <row r="2599" spans="1:2" x14ac:dyDescent="0.25">
      <c r="A2599">
        <f ca="1">29695.3042340558*((RANDBETWEEN(1620,2416)))</f>
        <v>71387511.378670037</v>
      </c>
      <c r="B2599">
        <v>143575229.40870321</v>
      </c>
    </row>
    <row r="2600" spans="1:2" x14ac:dyDescent="0.25">
      <c r="A2600">
        <f ca="1">26171.3491805423*((RANDBETWEEN(1620,2416)))</f>
        <v>59984732.321802884</v>
      </c>
      <c r="B2600">
        <v>168404919.25278696</v>
      </c>
    </row>
    <row r="2601" spans="1:2" x14ac:dyDescent="0.25">
      <c r="A2601">
        <f ca="1">27676.2801050345*((RANDBETWEEN(1620,2416)))</f>
        <v>57538986.338366807</v>
      </c>
      <c r="B2601">
        <v>185837701.91458726</v>
      </c>
    </row>
    <row r="2602" spans="1:2" x14ac:dyDescent="0.25">
      <c r="A2602">
        <f ca="1">26342.3887819327*((RANDBETWEEN(1620,2416)))</f>
        <v>44782060.92928566</v>
      </c>
      <c r="B2602">
        <v>184748626.59715217</v>
      </c>
    </row>
    <row r="2603" spans="1:2" x14ac:dyDescent="0.25">
      <c r="A2603">
        <f ca="1">26371.4836346918*((RANDBETWEEN(1620,2416)))</f>
        <v>51081563.800397985</v>
      </c>
      <c r="B2603">
        <v>155628761.03413624</v>
      </c>
    </row>
    <row r="2604" spans="1:2" x14ac:dyDescent="0.25">
      <c r="A2604">
        <f ca="1">26416.95387083*((RANDBETWEEN(1620,2416)))</f>
        <v>47867520.413944013</v>
      </c>
      <c r="B2604">
        <v>187513782.21279392</v>
      </c>
    </row>
    <row r="2605" spans="1:2" x14ac:dyDescent="0.25">
      <c r="A2605">
        <f ca="1">30188.5335554987*((RANDBETWEEN(1620,2416)))</f>
        <v>55818598.544117145</v>
      </c>
      <c r="B2605">
        <v>183043270.23478001</v>
      </c>
    </row>
    <row r="2606" spans="1:2" x14ac:dyDescent="0.25">
      <c r="A2606">
        <f ca="1">26590.4621765282*((RANDBETWEEN(1620,2416)))</f>
        <v>44831519.229626544</v>
      </c>
      <c r="B2606">
        <v>145796563.67112219</v>
      </c>
    </row>
    <row r="2607" spans="1:2" x14ac:dyDescent="0.25">
      <c r="A2607">
        <f ca="1">29027.816685897*((RANDBETWEEN(1620,2416)))</f>
        <v>60464942.156723537</v>
      </c>
      <c r="B2607">
        <v>193308700.84805682</v>
      </c>
    </row>
    <row r="2608" spans="1:2" x14ac:dyDescent="0.25">
      <c r="A2608">
        <f ca="1">26474.3434619428*((RANDBETWEEN(1620,2416)))</f>
        <v>49559970.960756838</v>
      </c>
      <c r="B2608">
        <v>158939656.93897712</v>
      </c>
    </row>
    <row r="2609" spans="1:2" x14ac:dyDescent="0.25">
      <c r="A2609">
        <f ca="1">26653.7840484475*((RANDBETWEEN(1620,2416)))</f>
        <v>63835812.796031669</v>
      </c>
      <c r="B2609">
        <v>158359547.03548288</v>
      </c>
    </row>
    <row r="2610" spans="1:2" x14ac:dyDescent="0.25">
      <c r="A2610">
        <f ca="1">32481.6323484961*((RANDBETWEEN(1620,2416)))</f>
        <v>67821648.343659759</v>
      </c>
      <c r="B2610">
        <v>168539383.97372472</v>
      </c>
    </row>
    <row r="2611" spans="1:2" x14ac:dyDescent="0.25">
      <c r="A2611">
        <f ca="1">29182.2333184492*((RANDBETWEEN(1620,2416)))</f>
        <v>51068908.307286076</v>
      </c>
      <c r="B2611">
        <v>180333855.13285658</v>
      </c>
    </row>
    <row r="2612" spans="1:2" x14ac:dyDescent="0.25">
      <c r="A2612">
        <f ca="1">32285.7872490864*((RANDBETWEEN(1620,2416)))</f>
        <v>63538429.306202069</v>
      </c>
      <c r="B2612">
        <v>199620987.64133102</v>
      </c>
    </row>
    <row r="2613" spans="1:2" x14ac:dyDescent="0.25">
      <c r="A2613">
        <f ca="1">26648.1992002738*((RANDBETWEEN(1620,2416)))</f>
        <v>45834902.624470912</v>
      </c>
      <c r="B2613">
        <v>145831482.97779489</v>
      </c>
    </row>
    <row r="2614" spans="1:2" x14ac:dyDescent="0.25">
      <c r="A2614">
        <f ca="1">29169.9763525778*((RANDBETWEEN(1620,2416)))</f>
        <v>62598769.252632014</v>
      </c>
      <c r="B2614">
        <v>163017996.41264233</v>
      </c>
    </row>
    <row r="2615" spans="1:2" x14ac:dyDescent="0.25">
      <c r="A2615">
        <f ca="1">26725.263698243*((RANDBETWEEN(1620,2416)))</f>
        <v>52461692.639651068</v>
      </c>
      <c r="B2615">
        <v>155173828.88203478</v>
      </c>
    </row>
    <row r="2616" spans="1:2" x14ac:dyDescent="0.25">
      <c r="A2616">
        <f ca="1">26823.3798554639*((RANDBETWEEN(1620,2416)))</f>
        <v>46297153.63053076</v>
      </c>
      <c r="B2616">
        <v>193609171.14397895</v>
      </c>
    </row>
    <row r="2617" spans="1:2" x14ac:dyDescent="0.25">
      <c r="A2617">
        <f ca="1">27376.3494459623*((RANDBETWEEN(1620,2416)))</f>
        <v>50974762.668381877</v>
      </c>
      <c r="B2617">
        <v>145223431.95271471</v>
      </c>
    </row>
    <row r="2618" spans="1:2" x14ac:dyDescent="0.25">
      <c r="A2618">
        <f ca="1">28336.3608594932*((RANDBETWEEN(1620,2416)))</f>
        <v>62254984.80830662</v>
      </c>
      <c r="B2618">
        <v>152355249.53952819</v>
      </c>
    </row>
    <row r="2619" spans="1:2" x14ac:dyDescent="0.25">
      <c r="A2619">
        <f ca="1">27919.0980162423*((RANDBETWEEN(1620,2416)))</f>
        <v>54721432.111834973</v>
      </c>
      <c r="B2619">
        <v>188538505.04154071</v>
      </c>
    </row>
    <row r="2620" spans="1:2" x14ac:dyDescent="0.25">
      <c r="A2620">
        <f ca="1">29850.2176657386*((RANDBETWEEN(1620,2416)))</f>
        <v>65192875.381973058</v>
      </c>
      <c r="B2620">
        <v>195553246.6587435</v>
      </c>
    </row>
    <row r="2621" spans="1:2" x14ac:dyDescent="0.25">
      <c r="A2621">
        <f ca="1">28796.3715898689*((RANDBETWEEN(1620,2416)))</f>
        <v>66174061.913518682</v>
      </c>
      <c r="B2621">
        <v>180381387.70862174</v>
      </c>
    </row>
    <row r="2622" spans="1:2" x14ac:dyDescent="0.25">
      <c r="A2622">
        <f ca="1">27579.5930653156*((RANDBETWEEN(1620,2416)))</f>
        <v>59682239.393343061</v>
      </c>
      <c r="B2622">
        <v>157072523.56675395</v>
      </c>
    </row>
    <row r="2623" spans="1:2" x14ac:dyDescent="0.25">
      <c r="A2623">
        <f ca="1">26195.6197146334*((RANDBETWEEN(1620,2416)))</f>
        <v>59175904.935356773</v>
      </c>
      <c r="B2623">
        <v>164491360.57134408</v>
      </c>
    </row>
    <row r="2624" spans="1:2" x14ac:dyDescent="0.25">
      <c r="A2624">
        <f ca="1">32303.4876150037*((RANDBETWEEN(1620,2416)))</f>
        <v>76107016.82094878</v>
      </c>
      <c r="B2624">
        <v>151573032.21463835</v>
      </c>
    </row>
    <row r="2625" spans="1:2" x14ac:dyDescent="0.25">
      <c r="A2625">
        <f ca="1">26608.2327052621*((RANDBETWEEN(1620,2416)))</f>
        <v>52498043.127482198</v>
      </c>
      <c r="B2625">
        <v>166084236.79457322</v>
      </c>
    </row>
    <row r="2626" spans="1:2" x14ac:dyDescent="0.25">
      <c r="A2626">
        <f ca="1">29417.4513226862*((RANDBETWEEN(1620,2416)))</f>
        <v>68983923.351699218</v>
      </c>
      <c r="B2626">
        <v>166281843.75040448</v>
      </c>
    </row>
    <row r="2627" spans="1:2" x14ac:dyDescent="0.25">
      <c r="A2627">
        <f ca="1">29515.3349257047*((RANDBETWEEN(1620,2416)))</f>
        <v>51445228.775503375</v>
      </c>
      <c r="B2627">
        <v>154373982.52450818</v>
      </c>
    </row>
    <row r="2628" spans="1:2" x14ac:dyDescent="0.25">
      <c r="A2628">
        <f ca="1">26309.7747072586*((RANDBETWEEN(1620,2416)))</f>
        <v>43832084.662292793</v>
      </c>
      <c r="B2628">
        <v>151309405.76484632</v>
      </c>
    </row>
    <row r="2629" spans="1:2" x14ac:dyDescent="0.25">
      <c r="A2629">
        <f ca="1">28147.2154723699*((RANDBETWEEN(1620,2416)))</f>
        <v>51143490.513296075</v>
      </c>
      <c r="B2629">
        <v>180996430.38188502</v>
      </c>
    </row>
    <row r="2630" spans="1:2" x14ac:dyDescent="0.25">
      <c r="A2630">
        <f ca="1">26413.8393733213*((RANDBETWEEN(1620,2416)))</f>
        <v>47333600.156991757</v>
      </c>
      <c r="B2630">
        <v>152697982.85239801</v>
      </c>
    </row>
    <row r="2631" spans="1:2" x14ac:dyDescent="0.25">
      <c r="A2631">
        <f ca="1">26771.1684708928*((RANDBETWEEN(1620,2416)))</f>
        <v>55978513.272636816</v>
      </c>
      <c r="B2631">
        <v>151231500.23678741</v>
      </c>
    </row>
    <row r="2632" spans="1:2" x14ac:dyDescent="0.25">
      <c r="A2632">
        <f ca="1">29473.5896203733*((RANDBETWEEN(1620,2416)))</f>
        <v>48572475.69437515</v>
      </c>
      <c r="B2632">
        <v>156471366.04492509</v>
      </c>
    </row>
    <row r="2633" spans="1:2" x14ac:dyDescent="0.25">
      <c r="A2633">
        <f ca="1">30470.0420970566*((RANDBETWEEN(1620,2416)))</f>
        <v>56308637.79536055</v>
      </c>
      <c r="B2633">
        <v>192365378.96089807</v>
      </c>
    </row>
    <row r="2634" spans="1:2" x14ac:dyDescent="0.25">
      <c r="A2634">
        <f ca="1">27060.9578906461*((RANDBETWEEN(1620,2416)))</f>
        <v>54500769.1917613</v>
      </c>
      <c r="B2634">
        <v>151471033.54772022</v>
      </c>
    </row>
    <row r="2635" spans="1:2" x14ac:dyDescent="0.25">
      <c r="A2635">
        <f ca="1">30454.624996026*((RANDBETWEEN(1620,2416)))</f>
        <v>68218359.991098225</v>
      </c>
      <c r="B2635">
        <v>179569430.43241233</v>
      </c>
    </row>
    <row r="2636" spans="1:2" x14ac:dyDescent="0.25">
      <c r="A2636">
        <f ca="1">26593.1464779243*((RANDBETWEEN(1620,2416)))</f>
        <v>43240456.173104934</v>
      </c>
      <c r="B2636">
        <v>161837231.60196972</v>
      </c>
    </row>
    <row r="2637" spans="1:2" x14ac:dyDescent="0.25">
      <c r="A2637">
        <f ca="1">28028.3988866139*((RANDBETWEEN(1620,2416)))</f>
        <v>60401199.600652888</v>
      </c>
      <c r="B2637">
        <v>174955523.43259948</v>
      </c>
    </row>
    <row r="2638" spans="1:2" x14ac:dyDescent="0.25">
      <c r="A2638">
        <f ca="1">28093.5866647824*((RANDBETWEEN(1620,2416)))</f>
        <v>54361090.196353935</v>
      </c>
      <c r="B2638">
        <v>193892404.98451966</v>
      </c>
    </row>
    <row r="2639" spans="1:2" x14ac:dyDescent="0.25">
      <c r="A2639">
        <f ca="1">31692.7363817951*((RANDBETWEEN(1620,2416)))</f>
        <v>53719188.167142741</v>
      </c>
      <c r="B2639">
        <v>157072076.96955323</v>
      </c>
    </row>
    <row r="2640" spans="1:2" x14ac:dyDescent="0.25">
      <c r="A2640">
        <f ca="1">26981.6117199388*((RANDBETWEEN(1620,2416)))</f>
        <v>47541599.850532129</v>
      </c>
      <c r="B2640">
        <v>150556253.13283589</v>
      </c>
    </row>
    <row r="2641" spans="1:2" x14ac:dyDescent="0.25">
      <c r="A2641">
        <f ca="1">27172.1371704554*((RANDBETWEEN(1620,2416)))</f>
        <v>48067510.654535659</v>
      </c>
      <c r="B2641">
        <v>145745975.9566426</v>
      </c>
    </row>
    <row r="2642" spans="1:2" x14ac:dyDescent="0.25">
      <c r="A2642">
        <f ca="1">27415.0294475399*((RANDBETWEEN(1620,2416)))</f>
        <v>48743922.357725881</v>
      </c>
      <c r="B2642">
        <v>178184353.27376589</v>
      </c>
    </row>
    <row r="2643" spans="1:2" x14ac:dyDescent="0.25">
      <c r="A2643">
        <f ca="1">25639.0148796498*((RANDBETWEEN(1620,2416)))</f>
        <v>55149521.006126799</v>
      </c>
      <c r="B2643">
        <v>161514601.17887947</v>
      </c>
    </row>
    <row r="2644" spans="1:2" x14ac:dyDescent="0.25">
      <c r="A2644">
        <f ca="1">26597.4161321409*((RANDBETWEEN(1620,2416)))</f>
        <v>62530525.326663166</v>
      </c>
      <c r="B2644">
        <v>150792271.14998972</v>
      </c>
    </row>
    <row r="2645" spans="1:2" x14ac:dyDescent="0.25">
      <c r="A2645">
        <f ca="1">32331.8666069311*((RANDBETWEEN(1620,2416)))</f>
        <v>75494908.527184159</v>
      </c>
      <c r="B2645">
        <v>191363831.41130283</v>
      </c>
    </row>
    <row r="2646" spans="1:2" x14ac:dyDescent="0.25">
      <c r="A2646">
        <f ca="1">26142.7057159182*((RANDBETWEEN(1620,2416)))</f>
        <v>47841151.460130386</v>
      </c>
      <c r="B2646">
        <v>160305672.98553884</v>
      </c>
    </row>
    <row r="2647" spans="1:2" x14ac:dyDescent="0.25">
      <c r="A2647">
        <f ca="1">30610.8430987372*((RANDBETWEEN(1620,2416)))</f>
        <v>64435824.722841911</v>
      </c>
      <c r="B2647">
        <v>170778711.58904141</v>
      </c>
    </row>
    <row r="2648" spans="1:2" x14ac:dyDescent="0.25">
      <c r="A2648">
        <f ca="1">27235.5224771591*((RANDBETWEEN(1620,2416)))</f>
        <v>55751114.510744765</v>
      </c>
      <c r="B2648">
        <v>172675893.46135527</v>
      </c>
    </row>
    <row r="2649" spans="1:2" x14ac:dyDescent="0.25">
      <c r="A2649">
        <f ca="1">26411.5599637052*((RANDBETWEEN(1620,2416)))</f>
        <v>53826759.20603127</v>
      </c>
      <c r="B2649">
        <v>163555974.79661167</v>
      </c>
    </row>
    <row r="2650" spans="1:2" x14ac:dyDescent="0.25">
      <c r="A2650">
        <f ca="1">26356.5268612829*((RANDBETWEEN(1620,2416)))</f>
        <v>58168854.782851428</v>
      </c>
      <c r="B2650">
        <v>147274061.13218433</v>
      </c>
    </row>
    <row r="2651" spans="1:2" x14ac:dyDescent="0.25">
      <c r="A2651">
        <f ca="1">26759.8216525488*((RANDBETWEEN(1620,2416)))</f>
        <v>43564989.650349535</v>
      </c>
      <c r="B2651">
        <v>150213249.06261328</v>
      </c>
    </row>
    <row r="2652" spans="1:2" x14ac:dyDescent="0.25">
      <c r="A2652">
        <f ca="1">27997.2099221855*((RANDBETWEEN(1620,2416)))</f>
        <v>52522765.81402009</v>
      </c>
      <c r="B2652">
        <v>191769679.84576425</v>
      </c>
    </row>
    <row r="2653" spans="1:2" x14ac:dyDescent="0.25">
      <c r="A2653">
        <f ca="1">25528.8197201688*((RANDBETWEEN(1620,2416)))</f>
        <v>52793599.181309141</v>
      </c>
      <c r="B2653">
        <v>145234487.88155925</v>
      </c>
    </row>
    <row r="2654" spans="1:2" x14ac:dyDescent="0.25">
      <c r="A2654">
        <f ca="1">28020.0796319948*((RANDBETWEEN(1620,2416)))</f>
        <v>67192150.957523644</v>
      </c>
      <c r="B2654">
        <v>173893557.50152001</v>
      </c>
    </row>
    <row r="2655" spans="1:2" x14ac:dyDescent="0.25">
      <c r="A2655">
        <f ca="1">27230.6597144582*((RANDBETWEEN(1620,2416)))</f>
        <v>65380813.974414021</v>
      </c>
      <c r="B2655">
        <v>162542616.49689415</v>
      </c>
    </row>
    <row r="2656" spans="1:2" x14ac:dyDescent="0.25">
      <c r="A2656">
        <f ca="1">28369.8033518692*((RANDBETWEEN(1620,2416)))</f>
        <v>51122385.64006836</v>
      </c>
      <c r="B2656">
        <v>199292822.40774328</v>
      </c>
    </row>
    <row r="2657" spans="1:2" x14ac:dyDescent="0.25">
      <c r="A2657">
        <f ca="1">27803.5158102209*((RANDBETWEEN(1620,2416)))</f>
        <v>60472646.887230553</v>
      </c>
      <c r="B2657">
        <v>184447230.25495499</v>
      </c>
    </row>
    <row r="2658" spans="1:2" x14ac:dyDescent="0.25">
      <c r="A2658">
        <f ca="1">27561.6167344809*((RANDBETWEEN(1620,2416)))</f>
        <v>61793144.718706191</v>
      </c>
      <c r="B2658">
        <v>164107882.79342276</v>
      </c>
    </row>
    <row r="2659" spans="1:2" x14ac:dyDescent="0.25">
      <c r="A2659">
        <f ca="1">31550.1491749296*((RANDBETWEEN(1620,2416)))</f>
        <v>66980966.698375642</v>
      </c>
      <c r="B2659">
        <v>152822957.29704827</v>
      </c>
    </row>
    <row r="2660" spans="1:2" x14ac:dyDescent="0.25">
      <c r="A2660">
        <f ca="1">26489.6176775946*((RANDBETWEEN(1620,2416)))</f>
        <v>59204295.509424008</v>
      </c>
      <c r="B2660">
        <v>154015256.9350726</v>
      </c>
    </row>
    <row r="2661" spans="1:2" x14ac:dyDescent="0.25">
      <c r="A2661">
        <f ca="1">27545.9997941422*((RANDBETWEEN(1620,2416)))</f>
        <v>52144577.610311277</v>
      </c>
      <c r="B2661">
        <v>154687580.42232937</v>
      </c>
    </row>
    <row r="2662" spans="1:2" x14ac:dyDescent="0.25">
      <c r="A2662">
        <f ca="1">27465.0985976953*((RANDBETWEEN(1620,2416)))</f>
        <v>65339469.56391719</v>
      </c>
      <c r="B2662">
        <v>185891259.22989845</v>
      </c>
    </row>
    <row r="2663" spans="1:2" x14ac:dyDescent="0.25">
      <c r="A2663">
        <f ca="1">26812.9686806551*((RANDBETWEEN(1620,2416)))</f>
        <v>53170116.893739097</v>
      </c>
      <c r="B2663">
        <v>157086786.4199535</v>
      </c>
    </row>
    <row r="2664" spans="1:2" x14ac:dyDescent="0.25">
      <c r="A2664">
        <f ca="1">28486.625008495*((RANDBETWEEN(1620,2416)))</f>
        <v>50934085.515189067</v>
      </c>
      <c r="B2664">
        <v>175214793.6113117</v>
      </c>
    </row>
    <row r="2665" spans="1:2" x14ac:dyDescent="0.25">
      <c r="A2665">
        <f ca="1">26935.4606715251*((RANDBETWEEN(1620,2416)))</f>
        <v>61062689.342347309</v>
      </c>
      <c r="B2665">
        <v>166905374.91028982</v>
      </c>
    </row>
    <row r="2666" spans="1:2" x14ac:dyDescent="0.25">
      <c r="A2666">
        <f ca="1">26753.7558170777*((RANDBETWEEN(1620,2416)))</f>
        <v>51795271.261862464</v>
      </c>
      <c r="B2666">
        <v>164446397.82080114</v>
      </c>
    </row>
    <row r="2667" spans="1:2" x14ac:dyDescent="0.25">
      <c r="A2667">
        <f ca="1">31950.4670718056*((RANDBETWEEN(1620,2416)))</f>
        <v>60322481.831568979</v>
      </c>
      <c r="B2667">
        <v>171774753.36647299</v>
      </c>
    </row>
    <row r="2668" spans="1:2" x14ac:dyDescent="0.25">
      <c r="A2668">
        <f ca="1">29016.9521566985*((RANDBETWEEN(1620,2416)))</f>
        <v>47558784.584828943</v>
      </c>
      <c r="B2668">
        <v>146150951.7142936</v>
      </c>
    </row>
    <row r="2669" spans="1:2" x14ac:dyDescent="0.25">
      <c r="A2669">
        <f ca="1">27861.5531758694*((RANDBETWEEN(1620,2416)))</f>
        <v>50930919.205489278</v>
      </c>
      <c r="B2669">
        <v>160244140.19664603</v>
      </c>
    </row>
    <row r="2670" spans="1:2" x14ac:dyDescent="0.25">
      <c r="A2670">
        <f ca="1">26286.7679687102*((RANDBETWEEN(1620,2416)))</f>
        <v>46001843.945242785</v>
      </c>
      <c r="B2670">
        <v>145113257.70273152</v>
      </c>
    </row>
    <row r="2671" spans="1:2" x14ac:dyDescent="0.25">
      <c r="A2671">
        <f ca="1">26609.307385781*((RANDBETWEEN(1620,2416)))</f>
        <v>63117277.119072594</v>
      </c>
      <c r="B2671">
        <v>166031255.85795009</v>
      </c>
    </row>
    <row r="2672" spans="1:2" x14ac:dyDescent="0.25">
      <c r="A2672">
        <f ca="1">29954.6412752106*((RANDBETWEEN(1620,2416)))</f>
        <v>71441819.441377208</v>
      </c>
      <c r="B2672">
        <v>198552479.88301605</v>
      </c>
    </row>
    <row r="2673" spans="1:2" x14ac:dyDescent="0.25">
      <c r="A2673">
        <f ca="1">26536.9059784808*((RANDBETWEEN(1620,2416)))</f>
        <v>60053018.229302153</v>
      </c>
      <c r="B2673">
        <v>168510843.52156296</v>
      </c>
    </row>
    <row r="2674" spans="1:2" x14ac:dyDescent="0.25">
      <c r="A2674">
        <f ca="1">27546.6975226153*((RANDBETWEEN(1620,2416)))</f>
        <v>55864702.575863771</v>
      </c>
      <c r="B2674">
        <v>175087202.67922485</v>
      </c>
    </row>
    <row r="2675" spans="1:2" x14ac:dyDescent="0.25">
      <c r="A2675">
        <f ca="1">31656.7825441545*((RANDBETWEEN(1620,2416)))</f>
        <v>64548179.607530966</v>
      </c>
      <c r="B2675">
        <v>201611812.27975181</v>
      </c>
    </row>
    <row r="2676" spans="1:2" x14ac:dyDescent="0.25">
      <c r="A2676">
        <f ca="1">27582.0928218424*((RANDBETWEEN(1620,2416)))</f>
        <v>66445261.607818387</v>
      </c>
      <c r="B2676">
        <v>195368049.43899992</v>
      </c>
    </row>
    <row r="2677" spans="1:2" x14ac:dyDescent="0.25">
      <c r="A2677">
        <f ca="1">31904.6560771642*((RANDBETWEEN(1620,2416)))</f>
        <v>74624990.5644871</v>
      </c>
      <c r="B2677">
        <v>180340493.63275737</v>
      </c>
    </row>
    <row r="2678" spans="1:2" x14ac:dyDescent="0.25">
      <c r="A2678">
        <f ca="1">27212.822478993*((RANDBETWEEN(1620,2416)))</f>
        <v>48602100.947481461</v>
      </c>
      <c r="B2678">
        <v>168072282.14620966</v>
      </c>
    </row>
    <row r="2679" spans="1:2" x14ac:dyDescent="0.25">
      <c r="A2679">
        <f ca="1">30237.68370828*((RANDBETWEEN(1620,2416)))</f>
        <v>51948340.610824995</v>
      </c>
      <c r="B2679">
        <v>201126299.68651137</v>
      </c>
    </row>
    <row r="2680" spans="1:2" x14ac:dyDescent="0.25">
      <c r="A2680">
        <f ca="1">24702.6432222198*((RANDBETWEEN(1620,2416)))</f>
        <v>48812423.007106356</v>
      </c>
      <c r="B2680">
        <v>177045010.38326874</v>
      </c>
    </row>
    <row r="2681" spans="1:2" x14ac:dyDescent="0.25">
      <c r="A2681">
        <f ca="1">26325.8166590999*((RANDBETWEEN(1620,2416)))</f>
        <v>60996917.199134454</v>
      </c>
      <c r="B2681">
        <v>152462683.52835467</v>
      </c>
    </row>
    <row r="2682" spans="1:2" x14ac:dyDescent="0.25">
      <c r="A2682">
        <f ca="1">32307.6334224553*((RANDBETWEEN(1620,2416)))</f>
        <v>71432177.497048646</v>
      </c>
      <c r="B2682">
        <v>170056138.17437387</v>
      </c>
    </row>
    <row r="2683" spans="1:2" x14ac:dyDescent="0.25">
      <c r="A2683">
        <f ca="1">33246.1492346823*((RANDBETWEEN(1620,2416)))</f>
        <v>66957744.558650121</v>
      </c>
      <c r="B2683">
        <v>156195947.71259817</v>
      </c>
    </row>
    <row r="2684" spans="1:2" x14ac:dyDescent="0.25">
      <c r="A2684">
        <f ca="1">30509.6836870087*((RANDBETWEEN(1620,2416)))</f>
        <v>56717501.97414916</v>
      </c>
      <c r="B2684">
        <v>168639188.21671584</v>
      </c>
    </row>
    <row r="2685" spans="1:2" x14ac:dyDescent="0.25">
      <c r="A2685">
        <f ca="1">28021.1456390178*((RANDBETWEEN(1620,2416)))</f>
        <v>60805886.036668554</v>
      </c>
      <c r="B2685">
        <v>187081965.32243422</v>
      </c>
    </row>
    <row r="2686" spans="1:2" x14ac:dyDescent="0.25">
      <c r="A2686">
        <f ca="1">26109.0954571863*((RANDBETWEEN(1620,2416)))</f>
        <v>45273171.522761092</v>
      </c>
      <c r="B2686">
        <v>168364010.98541668</v>
      </c>
    </row>
    <row r="2687" spans="1:2" x14ac:dyDescent="0.25">
      <c r="A2687">
        <f ca="1">27927.1955208433*((RANDBETWEEN(1620,2416)))</f>
        <v>53508506.617935784</v>
      </c>
      <c r="B2687">
        <v>148391855.5939256</v>
      </c>
    </row>
    <row r="2688" spans="1:2" x14ac:dyDescent="0.25">
      <c r="A2688">
        <f ca="1">28606.5220594615*((RANDBETWEEN(1620,2416)))</f>
        <v>46971909.221635856</v>
      </c>
      <c r="B2688">
        <v>195318607.71304208</v>
      </c>
    </row>
    <row r="2689" spans="1:2" x14ac:dyDescent="0.25">
      <c r="A2689">
        <f ca="1">27287.9110772797*((RANDBETWEEN(1620,2416)))</f>
        <v>62298300.989429623</v>
      </c>
      <c r="B2689">
        <v>188413352.44589835</v>
      </c>
    </row>
    <row r="2690" spans="1:2" x14ac:dyDescent="0.25">
      <c r="A2690">
        <f ca="1">25735.6082273456*((RANDBETWEEN(1620,2416)))</f>
        <v>58780129.191257298</v>
      </c>
      <c r="B2690">
        <v>148122114.86260039</v>
      </c>
    </row>
    <row r="2691" spans="1:2" x14ac:dyDescent="0.25">
      <c r="A2691">
        <f ca="1">28522.0876477725*((RANDBETWEEN(1620,2416)))</f>
        <v>58955155.167945676</v>
      </c>
      <c r="B2691">
        <v>182732698.25699839</v>
      </c>
    </row>
    <row r="2692" spans="1:2" x14ac:dyDescent="0.25">
      <c r="A2692">
        <f ca="1">31553.4558100374*((RANDBETWEEN(1620,2416)))</f>
        <v>56165151.341866553</v>
      </c>
      <c r="B2692">
        <v>181392456.88569206</v>
      </c>
    </row>
    <row r="2693" spans="1:2" x14ac:dyDescent="0.25">
      <c r="A2693">
        <f ca="1">26410.1410919631*((RANDBETWEEN(1620,2416)))</f>
        <v>55197194.882202953</v>
      </c>
      <c r="B2693">
        <v>146738333.13068199</v>
      </c>
    </row>
    <row r="2694" spans="1:2" x14ac:dyDescent="0.25">
      <c r="A2694">
        <f ca="1">26125.778106516*((RANDBETWEEN(1620,2416)))</f>
        <v>54890259.8017902</v>
      </c>
      <c r="B2694">
        <v>148070651.52721304</v>
      </c>
    </row>
    <row r="2695" spans="1:2" x14ac:dyDescent="0.25">
      <c r="A2695">
        <f ca="1">25141.8107246273*((RANDBETWEEN(1620,2416)))</f>
        <v>50786457.663747117</v>
      </c>
      <c r="B2695">
        <v>149750356.41417816</v>
      </c>
    </row>
    <row r="2696" spans="1:2" x14ac:dyDescent="0.25">
      <c r="A2696">
        <f ca="1">32088.6228378195*((RANDBETWEEN(1620,2416)))</f>
        <v>75408263.668875903</v>
      </c>
      <c r="B2696">
        <v>177790998.36365902</v>
      </c>
    </row>
    <row r="2697" spans="1:2" x14ac:dyDescent="0.25">
      <c r="A2697">
        <f ca="1">26989.5940693333*((RANDBETWEEN(1620,2416)))</f>
        <v>56948043.486293301</v>
      </c>
      <c r="B2697">
        <v>155661499.97552451</v>
      </c>
    </row>
    <row r="2698" spans="1:2" x14ac:dyDescent="0.25">
      <c r="A2698">
        <f ca="1">27110.3645948886*((RANDBETWEEN(1620,2416)))</f>
        <v>58558387.524959408</v>
      </c>
      <c r="B2698">
        <v>188017745.27953142</v>
      </c>
    </row>
    <row r="2699" spans="1:2" x14ac:dyDescent="0.25">
      <c r="A2699">
        <f ca="1">27679.191636558*((RANDBETWEEN(1620,2416)))</f>
        <v>46473362.75778091</v>
      </c>
      <c r="B2699">
        <v>161810622.25757387</v>
      </c>
    </row>
    <row r="2700" spans="1:2" x14ac:dyDescent="0.25">
      <c r="A2700">
        <f ca="1">29849.6522225826*((RANDBETWEEN(1620,2416)))</f>
        <v>55789000.00400693</v>
      </c>
      <c r="B2700">
        <v>200118279.85407412</v>
      </c>
    </row>
    <row r="2701" spans="1:2" x14ac:dyDescent="0.25">
      <c r="A2701">
        <f ca="1">26310.9046431619*((RANDBETWEEN(1620,2416)))</f>
        <v>47912157.355197787</v>
      </c>
      <c r="B2701">
        <v>192233373.63565743</v>
      </c>
    </row>
    <row r="2702" spans="1:2" x14ac:dyDescent="0.25">
      <c r="A2702">
        <f ca="1">25532.9772646272*((RANDBETWEEN(1620,2416)))</f>
        <v>56402346.777561471</v>
      </c>
      <c r="B2702">
        <v>172320403.99377599</v>
      </c>
    </row>
    <row r="2703" spans="1:2" x14ac:dyDescent="0.25">
      <c r="A2703">
        <f ca="1">27747.5521546637*((RANDBETWEEN(1620,2416)))</f>
        <v>64485311.207438536</v>
      </c>
      <c r="B2703">
        <v>195725551.58433965</v>
      </c>
    </row>
    <row r="2704" spans="1:2" x14ac:dyDescent="0.25">
      <c r="A2704">
        <f ca="1">26447.7452705479*((RANDBETWEEN(1620,2416)))</f>
        <v>51440864.551215738</v>
      </c>
      <c r="B2704">
        <v>193085060.97975329</v>
      </c>
    </row>
    <row r="2705" spans="1:2" x14ac:dyDescent="0.25">
      <c r="A2705">
        <f ca="1">26136.8230801787*((RANDBETWEEN(1620,2416)))</f>
        <v>58128294.530317321</v>
      </c>
      <c r="B2705">
        <v>185482378.03130668</v>
      </c>
    </row>
    <row r="2706" spans="1:2" x14ac:dyDescent="0.25">
      <c r="A2706">
        <f ca="1">33546.8582943842*((RANDBETWEEN(1620,2416)))</f>
        <v>78130632.96762076</v>
      </c>
      <c r="B2706">
        <v>187235508.34126049</v>
      </c>
    </row>
    <row r="2707" spans="1:2" x14ac:dyDescent="0.25">
      <c r="A2707">
        <f ca="1">26232.9084892152*((RANDBETWEEN(1620,2416)))</f>
        <v>53672530.768934257</v>
      </c>
      <c r="B2707">
        <v>154988118.1269092</v>
      </c>
    </row>
    <row r="2708" spans="1:2" x14ac:dyDescent="0.25">
      <c r="A2708">
        <f ca="1">29617.5488703344*((RANDBETWEEN(1620,2416)))</f>
        <v>60034771.560167909</v>
      </c>
      <c r="B2708">
        <v>163630664.37702507</v>
      </c>
    </row>
    <row r="2709" spans="1:2" x14ac:dyDescent="0.25">
      <c r="A2709">
        <f ca="1">28278.6802196912*((RANDBETWEEN(1620,2416)))</f>
        <v>58367195.973442547</v>
      </c>
      <c r="B2709">
        <v>170323897.80656537</v>
      </c>
    </row>
    <row r="2710" spans="1:2" x14ac:dyDescent="0.25">
      <c r="A2710">
        <f ca="1">26621.1204235376*((RANDBETWEEN(1620,2416)))</f>
        <v>51911184.825898364</v>
      </c>
      <c r="B2710">
        <v>149441015.83105165</v>
      </c>
    </row>
    <row r="2711" spans="1:2" x14ac:dyDescent="0.25">
      <c r="A2711">
        <f ca="1">26676.8155448276*((RANDBETWEEN(1620,2416)))</f>
        <v>50125736.408731073</v>
      </c>
      <c r="B2711">
        <v>159985695.33031365</v>
      </c>
    </row>
    <row r="2712" spans="1:2" x14ac:dyDescent="0.25">
      <c r="A2712">
        <f ca="1">28973.8998854916*((RANDBETWEEN(1620,2416)))</f>
        <v>62554649.852776423</v>
      </c>
      <c r="B2712">
        <v>200546555.68453309</v>
      </c>
    </row>
    <row r="2713" spans="1:2" x14ac:dyDescent="0.25">
      <c r="A2713">
        <f ca="1">28834.2594224101*((RANDBETWEEN(1620,2416)))</f>
        <v>63810216.101793624</v>
      </c>
      <c r="B2713">
        <v>195324817.9637534</v>
      </c>
    </row>
    <row r="2714" spans="1:2" x14ac:dyDescent="0.25">
      <c r="A2714">
        <f ca="1">30984.4202662595*((RANDBETWEEN(1620,2416)))</f>
        <v>65346142.341541246</v>
      </c>
      <c r="B2714">
        <v>192484318.61514241</v>
      </c>
    </row>
    <row r="2715" spans="1:2" x14ac:dyDescent="0.25">
      <c r="A2715">
        <f ca="1">26222.6986286265*((RANDBETWEEN(1620,2416)))</f>
        <v>51868497.887423262</v>
      </c>
      <c r="B2715">
        <v>179026884.68546516</v>
      </c>
    </row>
    <row r="2716" spans="1:2" x14ac:dyDescent="0.25">
      <c r="A2716">
        <f ca="1">26180.5606148012*((RANDBETWEEN(1620,2416)))</f>
        <v>54089038.230179377</v>
      </c>
      <c r="B2716">
        <v>164562485.35545027</v>
      </c>
    </row>
    <row r="2717" spans="1:2" x14ac:dyDescent="0.25">
      <c r="A2717">
        <f ca="1">27165.7188731459*((RANDBETWEEN(1620,2416)))</f>
        <v>54820420.686008476</v>
      </c>
      <c r="B2717">
        <v>168638771.44477347</v>
      </c>
    </row>
    <row r="2718" spans="1:2" x14ac:dyDescent="0.25">
      <c r="A2718">
        <f ca="1">25472.359323246*((RANDBETWEEN(1620,2416)))</f>
        <v>42869980.741023026</v>
      </c>
      <c r="B2718">
        <v>163600131.69759309</v>
      </c>
    </row>
    <row r="2719" spans="1:2" x14ac:dyDescent="0.25">
      <c r="A2719">
        <f ca="1">25230.8611163088*((RANDBETWEEN(1620,2416)))</f>
        <v>44179237.814656787</v>
      </c>
      <c r="B2719">
        <v>160481718.83587205</v>
      </c>
    </row>
    <row r="2720" spans="1:2" x14ac:dyDescent="0.25">
      <c r="A2720">
        <f ca="1">29831.4751346115*((RANDBETWEEN(1620,2416)))</f>
        <v>55158397.523896627</v>
      </c>
      <c r="B2720">
        <v>198571426.69256997</v>
      </c>
    </row>
    <row r="2721" spans="1:2" x14ac:dyDescent="0.25">
      <c r="A2721">
        <f ca="1">26020.722084564*((RANDBETWEEN(1620,2416)))</f>
        <v>53238397.385017887</v>
      </c>
      <c r="B2721">
        <v>169928677.00579336</v>
      </c>
    </row>
    <row r="2722" spans="1:2" x14ac:dyDescent="0.25">
      <c r="A2722">
        <f ca="1">28924.5592849748*((RANDBETWEEN(1620,2416)))</f>
        <v>48998203.428747304</v>
      </c>
      <c r="B2722">
        <v>153057770.38188621</v>
      </c>
    </row>
    <row r="2723" spans="1:2" x14ac:dyDescent="0.25">
      <c r="A2723">
        <f ca="1">27237.3722268726*((RANDBETWEEN(1620,2416)))</f>
        <v>56871633.209709987</v>
      </c>
      <c r="B2723">
        <v>147311697.26445678</v>
      </c>
    </row>
    <row r="2724" spans="1:2" x14ac:dyDescent="0.25">
      <c r="A2724">
        <f ca="1">26067.3093384981*((RANDBETWEEN(1620,2416)))</f>
        <v>58442907.536912754</v>
      </c>
      <c r="B2724">
        <v>157093490.46707112</v>
      </c>
    </row>
    <row r="2725" spans="1:2" x14ac:dyDescent="0.25">
      <c r="A2725">
        <f ca="1">26387.3889111155*((RANDBETWEEN(1620,2416)))</f>
        <v>48262534.3184302</v>
      </c>
      <c r="B2725">
        <v>150507296.49221644</v>
      </c>
    </row>
    <row r="2726" spans="1:2" x14ac:dyDescent="0.25">
      <c r="A2726">
        <f ca="1">27024.4428720724*((RANDBETWEEN(1620,2416)))</f>
        <v>49481754.898764491</v>
      </c>
      <c r="B2726">
        <v>143751030.44597349</v>
      </c>
    </row>
    <row r="2727" spans="1:2" x14ac:dyDescent="0.25">
      <c r="A2727">
        <f ca="1">27306.174463611*((RANDBETWEEN(1620,2416)))</f>
        <v>64961389.048930466</v>
      </c>
      <c r="B2727">
        <v>172721546.88720146</v>
      </c>
    </row>
    <row r="2728" spans="1:2" x14ac:dyDescent="0.25">
      <c r="A2728">
        <f ca="1">26478.5650865351*((RANDBETWEEN(1620,2416)))</f>
        <v>53857401.386012442</v>
      </c>
      <c r="B2728">
        <v>143791505.92650491</v>
      </c>
    </row>
    <row r="2729" spans="1:2" x14ac:dyDescent="0.25">
      <c r="A2729">
        <f ca="1">27920.6317161652*((RANDBETWEEN(1620,2416)))</f>
        <v>58884612.289392456</v>
      </c>
      <c r="B2729">
        <v>175441453.33564231</v>
      </c>
    </row>
    <row r="2730" spans="1:2" x14ac:dyDescent="0.25">
      <c r="A2730">
        <f ca="1">33345.3203194801*((RANDBETWEEN(1620,2416)))</f>
        <v>54286181.480113618</v>
      </c>
      <c r="B2730">
        <v>178739782.33594868</v>
      </c>
    </row>
    <row r="2731" spans="1:2" x14ac:dyDescent="0.25">
      <c r="A2731">
        <f ca="1">28671.222138692*((RANDBETWEEN(1620,2416)))</f>
        <v>49171145.967856787</v>
      </c>
      <c r="B2731">
        <v>172943559.12916088</v>
      </c>
    </row>
    <row r="2732" spans="1:2" x14ac:dyDescent="0.25">
      <c r="A2732">
        <f ca="1">30857.248099699*((RANDBETWEEN(1620,2416)))</f>
        <v>51253889.093600012</v>
      </c>
      <c r="B2732">
        <v>180225575.87686431</v>
      </c>
    </row>
    <row r="2733" spans="1:2" x14ac:dyDescent="0.25">
      <c r="A2733">
        <f ca="1">29763.2065775937*((RANDBETWEEN(1620,2416)))</f>
        <v>60270493.31962727</v>
      </c>
      <c r="B2733">
        <v>181434802.83959618</v>
      </c>
    </row>
    <row r="2734" spans="1:2" x14ac:dyDescent="0.25">
      <c r="A2734">
        <f ca="1">25684.9948333103*((RANDBETWEEN(1620,2416)))</f>
        <v>57996718.333614692</v>
      </c>
      <c r="B2734">
        <v>147729616.74387291</v>
      </c>
    </row>
    <row r="2735" spans="1:2" x14ac:dyDescent="0.25">
      <c r="A2735">
        <f ca="1">31595.9813779071*((RANDBETWEEN(1620,2416)))</f>
        <v>53397208.528663076</v>
      </c>
      <c r="B2735">
        <v>191978416.65768164</v>
      </c>
    </row>
    <row r="2736" spans="1:2" x14ac:dyDescent="0.25">
      <c r="A2736">
        <f ca="1">26762.9250572487*((RANDBETWEEN(1620,2416)))</f>
        <v>48976152.854765192</v>
      </c>
      <c r="B2736">
        <v>149971047.65393084</v>
      </c>
    </row>
    <row r="2737" spans="1:2" x14ac:dyDescent="0.25">
      <c r="A2737">
        <f ca="1">27486.1477411545*((RANDBETWEEN(1620,2416)))</f>
        <v>48650481.501843549</v>
      </c>
      <c r="B2737">
        <v>161544232.91740963</v>
      </c>
    </row>
    <row r="2738" spans="1:2" x14ac:dyDescent="0.25">
      <c r="A2738">
        <f ca="1">28033.041086703*((RANDBETWEEN(1620,2416)))</f>
        <v>48160764.586955689</v>
      </c>
      <c r="B2738">
        <v>171836957.01235658</v>
      </c>
    </row>
    <row r="2739" spans="1:2" x14ac:dyDescent="0.25">
      <c r="A2739">
        <f ca="1">26772.4465145198*((RANDBETWEEN(1620,2416)))</f>
        <v>58122981.383022457</v>
      </c>
      <c r="B2739">
        <v>144730071.14203188</v>
      </c>
    </row>
    <row r="2740" spans="1:2" x14ac:dyDescent="0.25">
      <c r="A2740">
        <f ca="1">27822.3689291452*((RANDBETWEEN(1620,2416)))</f>
        <v>57119323.411535107</v>
      </c>
      <c r="B2740">
        <v>152069452.57011443</v>
      </c>
    </row>
    <row r="2741" spans="1:2" x14ac:dyDescent="0.25">
      <c r="A2741">
        <f ca="1">25984.4546522405*((RANDBETWEEN(1620,2416)))</f>
        <v>47369660.831034489</v>
      </c>
      <c r="B2741">
        <v>183444373.73432863</v>
      </c>
    </row>
    <row r="2742" spans="1:2" x14ac:dyDescent="0.25">
      <c r="A2742">
        <f ca="1">29725.994315511*((RANDBETWEEN(1620,2416)))</f>
        <v>56003773.29042273</v>
      </c>
      <c r="B2742">
        <v>160321159.38513353</v>
      </c>
    </row>
    <row r="2743" spans="1:2" x14ac:dyDescent="0.25">
      <c r="A2743">
        <f ca="1">30622.7817679075*((RANDBETWEEN(1620,2416)))</f>
        <v>50251984.881136172</v>
      </c>
      <c r="B2743">
        <v>200794471.52012852</v>
      </c>
    </row>
    <row r="2744" spans="1:2" x14ac:dyDescent="0.25">
      <c r="A2744">
        <f ca="1">26249.37769154*((RANDBETWEEN(1620,2416)))</f>
        <v>62552267.038939759</v>
      </c>
      <c r="B2744">
        <v>162279152.7045036</v>
      </c>
    </row>
    <row r="2745" spans="1:2" x14ac:dyDescent="0.25">
      <c r="A2745">
        <f ca="1">35302.9509664371*((RANDBETWEEN(1620,2416)))</f>
        <v>82467693.457597107</v>
      </c>
      <c r="B2745">
        <v>201079613.31395274</v>
      </c>
    </row>
    <row r="2746" spans="1:2" x14ac:dyDescent="0.25">
      <c r="A2746">
        <f ca="1">28028.5973103695*((RANDBETWEEN(1620,2416)))</f>
        <v>62699972.183296584</v>
      </c>
      <c r="B2746">
        <v>157157543.27849302</v>
      </c>
    </row>
    <row r="2747" spans="1:2" x14ac:dyDescent="0.25">
      <c r="A2747">
        <f ca="1">30849.6059540185*((RANDBETWEEN(1620,2416)))</f>
        <v>51148646.67176263</v>
      </c>
      <c r="B2747">
        <v>165952950.16671357</v>
      </c>
    </row>
    <row r="2748" spans="1:2" x14ac:dyDescent="0.25">
      <c r="A2748">
        <f ca="1">26009.0558358487*((RANDBETWEEN(1620,2416)))</f>
        <v>61615453.275125585</v>
      </c>
      <c r="B2748">
        <v>168049990.08214545</v>
      </c>
    </row>
    <row r="2749" spans="1:2" x14ac:dyDescent="0.25">
      <c r="A2749">
        <f ca="1">25605.4939131001*((RANDBETWEEN(1620,2416)))</f>
        <v>56306481.114907086</v>
      </c>
      <c r="B2749">
        <v>147167134.04205999</v>
      </c>
    </row>
    <row r="2750" spans="1:2" x14ac:dyDescent="0.25">
      <c r="A2750">
        <f ca="1">33092.9599947257*((RANDBETWEEN(1620,2416)))</f>
        <v>79356918.067352131</v>
      </c>
      <c r="B2750">
        <v>176346328.54527318</v>
      </c>
    </row>
    <row r="2751" spans="1:2" x14ac:dyDescent="0.25">
      <c r="A2751">
        <f ca="1">27799.966104958*((RANDBETWEEN(1620,2416)))</f>
        <v>46537143.25969968</v>
      </c>
      <c r="B2751">
        <v>158739800.01937622</v>
      </c>
    </row>
    <row r="2752" spans="1:2" x14ac:dyDescent="0.25">
      <c r="A2752">
        <f ca="1">28687.3394217244*((RANDBETWEEN(1620,2416)))</f>
        <v>55251815.726241186</v>
      </c>
      <c r="B2752">
        <v>177153420.33967417</v>
      </c>
    </row>
    <row r="2753" spans="1:2" x14ac:dyDescent="0.25">
      <c r="A2753">
        <f ca="1">29705.7151589136*((RANDBETWEEN(1620,2416)))</f>
        <v>50232364.333722949</v>
      </c>
      <c r="B2753">
        <v>188273491.8524825</v>
      </c>
    </row>
    <row r="2754" spans="1:2" x14ac:dyDescent="0.25">
      <c r="A2754">
        <f ca="1">30838.9088217118*((RANDBETWEEN(1620,2416)))</f>
        <v>57792115.131887875</v>
      </c>
      <c r="B2754">
        <v>202364991.84502345</v>
      </c>
    </row>
    <row r="2755" spans="1:2" x14ac:dyDescent="0.25">
      <c r="A2755">
        <f ca="1">28111.5908337088*((RANDBETWEEN(1620,2416)))</f>
        <v>57375756.891599573</v>
      </c>
      <c r="B2755">
        <v>195064883.30047798</v>
      </c>
    </row>
    <row r="2756" spans="1:2" x14ac:dyDescent="0.25">
      <c r="A2756">
        <f ca="1">24926.4242024672*((RANDBETWEEN(1620,2416)))</f>
        <v>42773743.931433648</v>
      </c>
      <c r="B2756">
        <v>148652670.88885909</v>
      </c>
    </row>
    <row r="2757" spans="1:2" x14ac:dyDescent="0.25">
      <c r="A2757">
        <f ca="1">28329.3002597704*((RANDBETWEEN(1620,2416)))</f>
        <v>51927607.376159146</v>
      </c>
      <c r="B2757">
        <v>149844004.36408025</v>
      </c>
    </row>
    <row r="2758" spans="1:2" x14ac:dyDescent="0.25">
      <c r="A2758">
        <f ca="1">25984.0324124026*((RANDBETWEEN(1620,2416)))</f>
        <v>52825537.894414477</v>
      </c>
      <c r="B2758">
        <v>166211011.49724889</v>
      </c>
    </row>
    <row r="2759" spans="1:2" x14ac:dyDescent="0.25">
      <c r="A2759">
        <f ca="1">28683.1970430314*((RANDBETWEEN(1620,2416)))</f>
        <v>48531969.396809191</v>
      </c>
      <c r="B2759">
        <v>147238225.35791728</v>
      </c>
    </row>
    <row r="2760" spans="1:2" x14ac:dyDescent="0.25">
      <c r="A2760">
        <f ca="1">26329.8565728365*((RANDBETWEEN(1620,2416)))</f>
        <v>62480749.64734108</v>
      </c>
      <c r="B2760">
        <v>178791397.17819852</v>
      </c>
    </row>
    <row r="2761" spans="1:2" x14ac:dyDescent="0.25">
      <c r="A2761">
        <f ca="1">26019.855747901*((RANDBETWEEN(1620,2416)))</f>
        <v>48110713.277869008</v>
      </c>
      <c r="B2761">
        <v>156982700.7675274</v>
      </c>
    </row>
    <row r="2762" spans="1:2" x14ac:dyDescent="0.25">
      <c r="A2762">
        <f ca="1">25937.6880622925*((RANDBETWEEN(1620,2416)))</f>
        <v>55895717.77424036</v>
      </c>
      <c r="B2762">
        <v>166035325.32469761</v>
      </c>
    </row>
    <row r="2763" spans="1:2" x14ac:dyDescent="0.25">
      <c r="A2763">
        <f ca="1">28387.4635188037*((RANDBETWEEN(1620,2416)))</f>
        <v>53254881.561275765</v>
      </c>
      <c r="B2763">
        <v>175083172.90687969</v>
      </c>
    </row>
    <row r="2764" spans="1:2" x14ac:dyDescent="0.25">
      <c r="A2764">
        <f ca="1">27012.9831126871*((RANDBETWEEN(1620,2416)))</f>
        <v>47731941.160118043</v>
      </c>
      <c r="B2764">
        <v>151543177.85070223</v>
      </c>
    </row>
    <row r="2765" spans="1:2" x14ac:dyDescent="0.25">
      <c r="A2765">
        <f ca="1">29373.1996507254*((RANDBETWEEN(1620,2416)))</f>
        <v>70172573.965582997</v>
      </c>
      <c r="B2765">
        <v>170965564.4784314</v>
      </c>
    </row>
    <row r="2766" spans="1:2" x14ac:dyDescent="0.25">
      <c r="A2766">
        <f ca="1">26535.688002853*((RANDBETWEEN(1620,2416)))</f>
        <v>57184407.646148138</v>
      </c>
      <c r="B2766">
        <v>142927146.272917</v>
      </c>
    </row>
    <row r="2767" spans="1:2" x14ac:dyDescent="0.25">
      <c r="A2767">
        <f ca="1">29207.6498647009*((RANDBETWEEN(1620,2416)))</f>
        <v>57451447.283866741</v>
      </c>
      <c r="B2767">
        <v>163983386.67876178</v>
      </c>
    </row>
    <row r="2768" spans="1:2" x14ac:dyDescent="0.25">
      <c r="A2768">
        <f ca="1">31834.5081813839*((RANDBETWEEN(1620,2416)))</f>
        <v>60740241.610080406</v>
      </c>
      <c r="B2768">
        <v>174800253.14843428</v>
      </c>
    </row>
    <row r="2769" spans="1:2" x14ac:dyDescent="0.25">
      <c r="A2769">
        <f ca="1">31094.2807377926*((RANDBETWEEN(1620,2416)))</f>
        <v>64955952.461248673</v>
      </c>
      <c r="B2769">
        <v>195698914.16897351</v>
      </c>
    </row>
    <row r="2770" spans="1:2" x14ac:dyDescent="0.25">
      <c r="A2770">
        <f ca="1">29227.9286159479*((RANDBETWEEN(1620,2416)))</f>
        <v>48401449.78800977</v>
      </c>
      <c r="B2770">
        <v>170273385.17418766</v>
      </c>
    </row>
    <row r="2771" spans="1:2" x14ac:dyDescent="0.25">
      <c r="A2771">
        <f ca="1">28758.9174128415*((RANDBETWEEN(1620,2416)))</f>
        <v>49522855.784913011</v>
      </c>
      <c r="B2771">
        <v>155845019.4841024</v>
      </c>
    </row>
    <row r="2772" spans="1:2" x14ac:dyDescent="0.25">
      <c r="A2772">
        <f ca="1">25363.0774750211*((RANDBETWEEN(1620,2416)))</f>
        <v>58816976.664574042</v>
      </c>
      <c r="B2772">
        <v>157261353.91561019</v>
      </c>
    </row>
    <row r="2773" spans="1:2" x14ac:dyDescent="0.25">
      <c r="A2773">
        <f ca="1">30835.9397532285*((RANDBETWEEN(1620,2416)))</f>
        <v>66266434.529688008</v>
      </c>
      <c r="B2773">
        <v>196181736.2529214</v>
      </c>
    </row>
    <row r="2774" spans="1:2" x14ac:dyDescent="0.25">
      <c r="A2774">
        <f ca="1">27958.0834775343*((RANDBETWEEN(1620,2416)))</f>
        <v>48115861.664836489</v>
      </c>
      <c r="B2774">
        <v>154089528.00631016</v>
      </c>
    </row>
    <row r="2775" spans="1:2" x14ac:dyDescent="0.25">
      <c r="A2775">
        <f ca="1">27240.1831862169*((RANDBETWEEN(1620,2416)))</f>
        <v>49713334.314845756</v>
      </c>
      <c r="B2775">
        <v>155552480.07180262</v>
      </c>
    </row>
    <row r="2776" spans="1:2" x14ac:dyDescent="0.25">
      <c r="A2776">
        <f ca="1">33779.4511261933*((RANDBETWEEN(1620,2416)))</f>
        <v>77186045.823351786</v>
      </c>
      <c r="B2776">
        <v>187888499.45960405</v>
      </c>
    </row>
    <row r="2777" spans="1:2" x14ac:dyDescent="0.25">
      <c r="A2777">
        <f ca="1">28013.8669796789*((RANDBETWEEN(1620,2416)))</f>
        <v>49248378.150275566</v>
      </c>
      <c r="B2777">
        <v>153580757.25121382</v>
      </c>
    </row>
    <row r="2778" spans="1:2" x14ac:dyDescent="0.25">
      <c r="A2778">
        <f ca="1">28068.6647065299*((RANDBETWEEN(1620,2416)))</f>
        <v>65007027.460323296</v>
      </c>
      <c r="B2778">
        <v>170256732.94293997</v>
      </c>
    </row>
    <row r="2779" spans="1:2" x14ac:dyDescent="0.25">
      <c r="A2779">
        <f ca="1">26642.4604383145*((RANDBETWEEN(1620,2416)))</f>
        <v>46011529.176969059</v>
      </c>
      <c r="B2779">
        <v>156171314.90419888</v>
      </c>
    </row>
    <row r="2780" spans="1:2" x14ac:dyDescent="0.25">
      <c r="A2780">
        <f ca="1">28942.3302621268*((RANDBETWEEN(1620,2416)))</f>
        <v>65351781.731882423</v>
      </c>
      <c r="B2780">
        <v>148263689.99807221</v>
      </c>
    </row>
    <row r="2781" spans="1:2" x14ac:dyDescent="0.25">
      <c r="A2781">
        <f ca="1">31861.3388508584*((RANDBETWEEN(1620,2416)))</f>
        <v>60855157.205139607</v>
      </c>
      <c r="B2781">
        <v>178858816.73752278</v>
      </c>
    </row>
    <row r="2782" spans="1:2" x14ac:dyDescent="0.25">
      <c r="A2782">
        <f ca="1">28251.5503462763*((RANDBETWEEN(1620,2416)))</f>
        <v>46530303.420317002</v>
      </c>
      <c r="B2782">
        <v>150752445.29198104</v>
      </c>
    </row>
    <row r="2783" spans="1:2" x14ac:dyDescent="0.25">
      <c r="A2783">
        <f ca="1">26414.13605738*((RANDBETWEEN(1620,2416)))</f>
        <v>62126048.006957732</v>
      </c>
      <c r="B2783">
        <v>149032468.38377941</v>
      </c>
    </row>
    <row r="2784" spans="1:2" x14ac:dyDescent="0.25">
      <c r="A2784">
        <f ca="1">27253.8517193182*((RANDBETWEEN(1620,2416)))</f>
        <v>63174428.285379574</v>
      </c>
      <c r="B2784">
        <v>144788969.4600625</v>
      </c>
    </row>
    <row r="2785" spans="1:2" x14ac:dyDescent="0.25">
      <c r="A2785">
        <f ca="1">31603.1873040289*((RANDBETWEEN(1620,2416)))</f>
        <v>66745931.586109012</v>
      </c>
      <c r="B2785">
        <v>195183707.03466958</v>
      </c>
    </row>
    <row r="2786" spans="1:2" x14ac:dyDescent="0.25">
      <c r="A2786">
        <f ca="1">26842.6111081033*((RANDBETWEEN(1620,2416)))</f>
        <v>60503245.437664784</v>
      </c>
      <c r="B2786">
        <v>168674252.39361113</v>
      </c>
    </row>
    <row r="2787" spans="1:2" x14ac:dyDescent="0.25">
      <c r="A2787">
        <f ca="1">27410.5556443468*((RANDBETWEEN(1620,2416)))</f>
        <v>50791759.608974621</v>
      </c>
      <c r="B2787">
        <v>187261596.13224784</v>
      </c>
    </row>
    <row r="2788" spans="1:2" x14ac:dyDescent="0.25">
      <c r="A2788">
        <f ca="1">26142.348658644*((RANDBETWEEN(1620,2416)))</f>
        <v>56519757.799988359</v>
      </c>
      <c r="B2788">
        <v>157971045.18722713</v>
      </c>
    </row>
    <row r="2789" spans="1:2" x14ac:dyDescent="0.25">
      <c r="A2789">
        <f ca="1">26628.2218882255*((RANDBETWEEN(1620,2416)))</f>
        <v>57836497.941225782</v>
      </c>
      <c r="B2789">
        <v>178388509.14591038</v>
      </c>
    </row>
    <row r="2790" spans="1:2" x14ac:dyDescent="0.25">
      <c r="A2790">
        <f ca="1">25587.7125089154*((RANDBETWEEN(1620,2416)))</f>
        <v>49512223.704751313</v>
      </c>
      <c r="B2790">
        <v>143499501.13163531</v>
      </c>
    </row>
    <row r="2791" spans="1:2" x14ac:dyDescent="0.25">
      <c r="A2791">
        <f ca="1">27106.5570193906*((RANDBETWEEN(1620,2416)))</f>
        <v>64513605.706149571</v>
      </c>
      <c r="B2791">
        <v>184915966.85636196</v>
      </c>
    </row>
    <row r="2792" spans="1:2" x14ac:dyDescent="0.25">
      <c r="A2792">
        <f ca="1">27019.8448470559*((RANDBETWEEN(1620,2416)))</f>
        <v>47041549.878724307</v>
      </c>
      <c r="B2792">
        <v>162513541.81809181</v>
      </c>
    </row>
    <row r="2793" spans="1:2" x14ac:dyDescent="0.25">
      <c r="A2793">
        <f ca="1">26963.3929098112*((RANDBETWEEN(1620,2416)))</f>
        <v>60451926.903796777</v>
      </c>
      <c r="B2793">
        <v>172291081.56148666</v>
      </c>
    </row>
    <row r="2794" spans="1:2" x14ac:dyDescent="0.25">
      <c r="A2794">
        <f ca="1">26954.1921546555*((RANDBETWEEN(1620,2416)))</f>
        <v>46388164.698162064</v>
      </c>
      <c r="B2794">
        <v>189550637.35830233</v>
      </c>
    </row>
    <row r="2795" spans="1:2" x14ac:dyDescent="0.25">
      <c r="A2795">
        <f ca="1">27871.5776689704*((RANDBETWEEN(1620,2416)))</f>
        <v>54628292.231182083</v>
      </c>
      <c r="B2795">
        <v>154057395.09632152</v>
      </c>
    </row>
    <row r="2796" spans="1:2" x14ac:dyDescent="0.25">
      <c r="A2796">
        <f ca="1">27553.9657467364*((RANDBETWEEN(1620,2416)))</f>
        <v>58359299.451587759</v>
      </c>
      <c r="B2796">
        <v>158874250.29293224</v>
      </c>
    </row>
    <row r="2797" spans="1:2" x14ac:dyDescent="0.25">
      <c r="A2797">
        <f ca="1">27604.8254249184*((RANDBETWEEN(1620,2416)))</f>
        <v>66058347.241829649</v>
      </c>
      <c r="B2797">
        <v>149668884.00810167</v>
      </c>
    </row>
    <row r="2798" spans="1:2" x14ac:dyDescent="0.25">
      <c r="A2798">
        <f ca="1">28719.5573308249*((RANDBETWEEN(1620,2416)))</f>
        <v>58099664.48025874</v>
      </c>
      <c r="B2798">
        <v>153544050.03871784</v>
      </c>
    </row>
    <row r="2799" spans="1:2" x14ac:dyDescent="0.25">
      <c r="A2799">
        <f ca="1">27274.1227298365*((RANDBETWEEN(1620,2416)))</f>
        <v>58366622.641850159</v>
      </c>
      <c r="B2799">
        <v>159139509.14991179</v>
      </c>
    </row>
    <row r="2800" spans="1:2" x14ac:dyDescent="0.25">
      <c r="A2800">
        <f ca="1">26249.2841913024*((RANDBETWEEN(1620,2416)))</f>
        <v>49584897.837370209</v>
      </c>
      <c r="B2800">
        <v>145833128.34882027</v>
      </c>
    </row>
    <row r="2801" spans="1:2" x14ac:dyDescent="0.25">
      <c r="A2801">
        <f ca="1">32442.9144015815*((RANDBETWEEN(1620,2416)))</f>
        <v>55380054.883499704</v>
      </c>
      <c r="B2801">
        <v>172742854.55838373</v>
      </c>
    </row>
    <row r="2802" spans="1:2" x14ac:dyDescent="0.25">
      <c r="A2802">
        <f ca="1">27420.3442620859*((RANDBETWEEN(1620,2416)))</f>
        <v>65260419.34376435</v>
      </c>
      <c r="B2802">
        <v>190840044.71938425</v>
      </c>
    </row>
    <row r="2803" spans="1:2" x14ac:dyDescent="0.25">
      <c r="A2803">
        <f ca="1">28230.2674683441*((RANDBETWEEN(1620,2416)))</f>
        <v>50362797.163525835</v>
      </c>
      <c r="B2803">
        <v>165066361.98615763</v>
      </c>
    </row>
    <row r="2804" spans="1:2" x14ac:dyDescent="0.25">
      <c r="A2804">
        <f ca="1">34789.5111534607*((RANDBETWEEN(1620,2416)))</f>
        <v>83738353.346379861</v>
      </c>
      <c r="B2804">
        <v>175234165.69662902</v>
      </c>
    </row>
    <row r="2805" spans="1:2" x14ac:dyDescent="0.25">
      <c r="A2805">
        <f ca="1">24854.3493039992*((RANDBETWEEN(1620,2416)))</f>
        <v>42600354.707054712</v>
      </c>
      <c r="B2805">
        <v>150543954.28249204</v>
      </c>
    </row>
    <row r="2806" spans="1:2" x14ac:dyDescent="0.25">
      <c r="A2806">
        <f ca="1">30787.4099388853*((RANDBETWEEN(1620,2416)))</f>
        <v>70995767.319069594</v>
      </c>
      <c r="B2806">
        <v>164521478.07404602</v>
      </c>
    </row>
    <row r="2807" spans="1:2" x14ac:dyDescent="0.25">
      <c r="A2807">
        <f ca="1">25259.2754743233*((RANDBETWEEN(1620,2416)))</f>
        <v>52387737.333746612</v>
      </c>
      <c r="B2807">
        <v>145136279.09961128</v>
      </c>
    </row>
    <row r="2808" spans="1:2" x14ac:dyDescent="0.25">
      <c r="A2808">
        <f ca="1">26698.1109313406*((RANDBETWEEN(1620,2416)))</f>
        <v>49498297.666705504</v>
      </c>
      <c r="B2808">
        <v>148161614.76296261</v>
      </c>
    </row>
    <row r="2809" spans="1:2" x14ac:dyDescent="0.25">
      <c r="A2809">
        <f ca="1">33186.4075794448*((RANDBETWEEN(1620,2416)))</f>
        <v>73474706.380890891</v>
      </c>
      <c r="B2809">
        <v>189883957.80265069</v>
      </c>
    </row>
    <row r="2810" spans="1:2" x14ac:dyDescent="0.25">
      <c r="A2810">
        <f ca="1">27580.0446603383*((RANDBETWEEN(1620,2416)))</f>
        <v>50719702.130362205</v>
      </c>
      <c r="B2810">
        <v>148339039.82181528</v>
      </c>
    </row>
    <row r="2811" spans="1:2" x14ac:dyDescent="0.25">
      <c r="A2811">
        <f ca="1">26907.5278083556*((RANDBETWEEN(1620,2416)))</f>
        <v>52200603.948209815</v>
      </c>
      <c r="B2811">
        <v>191221634.26854146</v>
      </c>
    </row>
    <row r="2812" spans="1:2" x14ac:dyDescent="0.25">
      <c r="A2812">
        <f ca="1">27751.9908825029*((RANDBETWEEN(1620,2416)))</f>
        <v>62997019.303281501</v>
      </c>
      <c r="B2812">
        <v>187865769.40585744</v>
      </c>
    </row>
    <row r="2813" spans="1:2" x14ac:dyDescent="0.25">
      <c r="A2813">
        <f ca="1">26431.2955157392*((RANDBETWEEN(1620,2416)))</f>
        <v>63593697.010868408</v>
      </c>
      <c r="B2813">
        <v>167208688.97101474</v>
      </c>
    </row>
    <row r="2814" spans="1:2" x14ac:dyDescent="0.25">
      <c r="A2814">
        <f ca="1">28220.4950120519*((RANDBETWEEN(1620,2416)))</f>
        <v>62395514.471646838</v>
      </c>
      <c r="B2814">
        <v>180671988.74811125</v>
      </c>
    </row>
    <row r="2815" spans="1:2" x14ac:dyDescent="0.25">
      <c r="A2815">
        <f ca="1">27027.3811882481*((RANDBETWEEN(1620,2416)))</f>
        <v>45865465.87645708</v>
      </c>
      <c r="B2815">
        <v>172623085.95985168</v>
      </c>
    </row>
    <row r="2816" spans="1:2" x14ac:dyDescent="0.25">
      <c r="A2816">
        <f ca="1">27004.0969839674*((RANDBETWEEN(1620,2416)))</f>
        <v>59598042.043616012</v>
      </c>
      <c r="B2816">
        <v>152704003.25404531</v>
      </c>
    </row>
    <row r="2817" spans="1:2" x14ac:dyDescent="0.25">
      <c r="A2817">
        <f ca="1">28741.9930154767*((RANDBETWEEN(1620,2416)))</f>
        <v>56305564.317318872</v>
      </c>
      <c r="B2817">
        <v>184172954.26032114</v>
      </c>
    </row>
    <row r="2818" spans="1:2" x14ac:dyDescent="0.25">
      <c r="A2818">
        <f ca="1">27106.7188817561*((RANDBETWEEN(1620,2416)))</f>
        <v>47084370.697610378</v>
      </c>
      <c r="B2818">
        <v>177124455.31695482</v>
      </c>
    </row>
    <row r="2819" spans="1:2" x14ac:dyDescent="0.25">
      <c r="A2819">
        <f ca="1">31738.69223962*((RANDBETWEEN(1620,2416)))</f>
        <v>72205524.845135495</v>
      </c>
      <c r="B2819">
        <v>186338714.74678004</v>
      </c>
    </row>
    <row r="2820" spans="1:2" x14ac:dyDescent="0.25">
      <c r="A2820">
        <f ca="1">29914.698384502*((RANDBETWEEN(1620,2416)))</f>
        <v>49568655.223119773</v>
      </c>
      <c r="B2820">
        <v>152998760.68449187</v>
      </c>
    </row>
    <row r="2821" spans="1:2" x14ac:dyDescent="0.25">
      <c r="A2821">
        <f ca="1">29765.6580636772*((RANDBETWEEN(1620,2416)))</f>
        <v>54381857.282338239</v>
      </c>
      <c r="B2821">
        <v>167750623.42599753</v>
      </c>
    </row>
    <row r="2822" spans="1:2" x14ac:dyDescent="0.25">
      <c r="A2822">
        <f ca="1">26353.886723142*((RANDBETWEEN(1620,2416)))</f>
        <v>58321151.318313256</v>
      </c>
      <c r="B2822">
        <v>173338889.63407755</v>
      </c>
    </row>
    <row r="2823" spans="1:2" x14ac:dyDescent="0.25">
      <c r="A2823">
        <f ca="1">27264.4216768403*((RANDBETWEEN(1620,2416)))</f>
        <v>55837535.594168894</v>
      </c>
      <c r="B2823">
        <v>183682351.69023821</v>
      </c>
    </row>
    <row r="2824" spans="1:2" x14ac:dyDescent="0.25">
      <c r="A2824">
        <f ca="1">27630.7504943414*((RANDBETWEEN(1620,2416)))</f>
        <v>50343227.400690071</v>
      </c>
      <c r="B2824">
        <v>195264362.52180073</v>
      </c>
    </row>
    <row r="2825" spans="1:2" x14ac:dyDescent="0.25">
      <c r="A2825">
        <f ca="1">26959.6778965138*((RANDBETWEEN(1620,2416)))</f>
        <v>54674226.774129942</v>
      </c>
      <c r="B2825">
        <v>170672924.46844324</v>
      </c>
    </row>
    <row r="2826" spans="1:2" x14ac:dyDescent="0.25">
      <c r="A2826">
        <f ca="1">26919.4311153885*((RANDBETWEEN(1620,2416)))</f>
        <v>63556776.86343234</v>
      </c>
      <c r="B2826">
        <v>193806190.22083479</v>
      </c>
    </row>
    <row r="2827" spans="1:2" x14ac:dyDescent="0.25">
      <c r="A2827">
        <f ca="1">26527.8503252508*((RANDBETWEEN(1620,2416)))</f>
        <v>43028173.227556862</v>
      </c>
      <c r="B2827">
        <v>142909855.21162748</v>
      </c>
    </row>
    <row r="2828" spans="1:2" x14ac:dyDescent="0.25">
      <c r="A2828">
        <f ca="1">25033.4563168767*((RANDBETWEEN(1620,2416)))</f>
        <v>41755805.136550277</v>
      </c>
      <c r="B2828">
        <v>183435932.05161321</v>
      </c>
    </row>
    <row r="2829" spans="1:2" x14ac:dyDescent="0.25">
      <c r="A2829">
        <f ca="1">26932.9113589508*((RANDBETWEEN(1620,2416)))</f>
        <v>54108218.920132175</v>
      </c>
      <c r="B2829">
        <v>150166181.42237285</v>
      </c>
    </row>
    <row r="2830" spans="1:2" x14ac:dyDescent="0.25">
      <c r="A2830">
        <f ca="1">27206.9801782561*((RANDBETWEEN(1620,2416)))</f>
        <v>48101940.955156736</v>
      </c>
      <c r="B2830">
        <v>188830397.08185634</v>
      </c>
    </row>
    <row r="2831" spans="1:2" x14ac:dyDescent="0.25">
      <c r="A2831">
        <f ca="1">28431.8443027386*((RANDBETWEEN(1620,2416)))</f>
        <v>56579370.162449852</v>
      </c>
      <c r="B2831">
        <v>169922378.74319279</v>
      </c>
    </row>
    <row r="2832" spans="1:2" x14ac:dyDescent="0.25">
      <c r="A2832">
        <f ca="1">27403.5449725993*((RANDBETWEEN(1620,2416)))</f>
        <v>50230697.934774451</v>
      </c>
      <c r="B2832">
        <v>171350631.97238052</v>
      </c>
    </row>
    <row r="2833" spans="1:2" x14ac:dyDescent="0.25">
      <c r="A2833">
        <f ca="1">27944.212580829*((RANDBETWEEN(1620,2416)))</f>
        <v>62734757.243961044</v>
      </c>
      <c r="B2833">
        <v>163143752.28340003</v>
      </c>
    </row>
    <row r="2834" spans="1:2" x14ac:dyDescent="0.25">
      <c r="A2834">
        <f ca="1">32948.1917702771*((RANDBETWEEN(1620,2416)))</f>
        <v>60031605.405444816</v>
      </c>
      <c r="B2834">
        <v>151309691.36397907</v>
      </c>
    </row>
    <row r="2835" spans="1:2" x14ac:dyDescent="0.25">
      <c r="A2835">
        <f ca="1">25880.4634152524*((RANDBETWEEN(1620,2416)))</f>
        <v>43608580.854700372</v>
      </c>
      <c r="B2835">
        <v>152758864.99597222</v>
      </c>
    </row>
    <row r="2836" spans="1:2" x14ac:dyDescent="0.25">
      <c r="A2836">
        <f ca="1">26175.2361345145*((RANDBETWEEN(1620,2416)))</f>
        <v>48581238.265658975</v>
      </c>
      <c r="B2836">
        <v>146287121.48362583</v>
      </c>
    </row>
    <row r="2837" spans="1:2" x14ac:dyDescent="0.25">
      <c r="A2837">
        <f ca="1">29490.0215114586*((RANDBETWEEN(1620,2416)))</f>
        <v>50722836.999708876</v>
      </c>
      <c r="B2837">
        <v>157245859.590078</v>
      </c>
    </row>
    <row r="2838" spans="1:2" x14ac:dyDescent="0.25">
      <c r="A2838">
        <f ca="1">27558.8372450781*((RANDBETWEEN(1620,2416)))</f>
        <v>59058588.216202289</v>
      </c>
      <c r="B2838">
        <v>157878750.31093499</v>
      </c>
    </row>
    <row r="2839" spans="1:2" x14ac:dyDescent="0.25">
      <c r="A2839">
        <f ca="1">28489.0716114886*((RANDBETWEEN(1620,2416)))</f>
        <v>46978479.087344661</v>
      </c>
      <c r="B2839">
        <v>159090342.32762939</v>
      </c>
    </row>
    <row r="2840" spans="1:2" x14ac:dyDescent="0.25">
      <c r="A2840">
        <f ca="1">26196.2236199795*((RANDBETWEEN(1620,2416)))</f>
        <v>45869587.558584124</v>
      </c>
      <c r="B2840">
        <v>157150944.15476221</v>
      </c>
    </row>
    <row r="2841" spans="1:2" x14ac:dyDescent="0.25">
      <c r="A2841">
        <f ca="1">26204.4134387655*((RANDBETWEEN(1620,2416)))</f>
        <v>59405405.265681393</v>
      </c>
      <c r="B2841">
        <v>175211343.58023402</v>
      </c>
    </row>
    <row r="2842" spans="1:2" x14ac:dyDescent="0.25">
      <c r="A2842">
        <f ca="1">30201.3784595591*((RANDBETWEEN(1620,2416)))</f>
        <v>58681278.346923254</v>
      </c>
      <c r="B2842">
        <v>159071640.18944442</v>
      </c>
    </row>
    <row r="2843" spans="1:2" x14ac:dyDescent="0.25">
      <c r="A2843">
        <f ca="1">32684.0006822231*((RANDBETWEEN(1620,2416)))</f>
        <v>72068221.504301846</v>
      </c>
      <c r="B2843">
        <v>162349985.21200532</v>
      </c>
    </row>
    <row r="2844" spans="1:2" x14ac:dyDescent="0.25">
      <c r="A2844">
        <f ca="1">27832.358375435*((RANDBETWEEN(1620,2416)))</f>
        <v>54022607.606719278</v>
      </c>
      <c r="B2844">
        <v>155240023.28256664</v>
      </c>
    </row>
    <row r="2845" spans="1:2" x14ac:dyDescent="0.25">
      <c r="A2845">
        <f ca="1">28717.2721968369*((RANDBETWEEN(1620,2416)))</f>
        <v>54878707.16815532</v>
      </c>
      <c r="B2845">
        <v>150584386.00582632</v>
      </c>
    </row>
    <row r="2846" spans="1:2" x14ac:dyDescent="0.25">
      <c r="A2846">
        <f ca="1">29500.9377305066*((RANDBETWEEN(1620,2416)))</f>
        <v>49237065.072215565</v>
      </c>
      <c r="B2846">
        <v>156204522.7398347</v>
      </c>
    </row>
    <row r="2847" spans="1:2" x14ac:dyDescent="0.25">
      <c r="A2847">
        <f ca="1">27365.5961750416*((RANDBETWEEN(1620,2416)))</f>
        <v>46412051.112870611</v>
      </c>
      <c r="B2847">
        <v>170289322.26418042</v>
      </c>
    </row>
    <row r="2848" spans="1:2" x14ac:dyDescent="0.25">
      <c r="A2848">
        <f ca="1">28404.5368648542*((RANDBETWEEN(1620,2416)))</f>
        <v>57575996.225059457</v>
      </c>
      <c r="B2848">
        <v>169349360.83491862</v>
      </c>
    </row>
    <row r="2849" spans="1:2" x14ac:dyDescent="0.25">
      <c r="A2849">
        <f ca="1">29333.3224544378*((RANDBETWEEN(1620,2416)))</f>
        <v>54765313.022435308</v>
      </c>
      <c r="B2849">
        <v>150471691.22140601</v>
      </c>
    </row>
    <row r="2850" spans="1:2" x14ac:dyDescent="0.25">
      <c r="A2850">
        <f ca="1">28037.9757010659*((RANDBETWEEN(1620,2416)))</f>
        <v>58038609.701206483</v>
      </c>
      <c r="B2850">
        <v>166657365.24833789</v>
      </c>
    </row>
    <row r="2851" spans="1:2" x14ac:dyDescent="0.25">
      <c r="A2851">
        <f ca="1">28206.4405459305*((RANDBETWEEN(1620,2416)))</f>
        <v>64818400.374548294</v>
      </c>
      <c r="B2851">
        <v>173605514.8868894</v>
      </c>
    </row>
    <row r="2852" spans="1:2" x14ac:dyDescent="0.25">
      <c r="A2852">
        <f ca="1">28787.0362570176*((RANDBETWEEN(1620,2416)))</f>
        <v>49974294.942182608</v>
      </c>
      <c r="B2852">
        <v>167072331.86264467</v>
      </c>
    </row>
    <row r="2853" spans="1:2" x14ac:dyDescent="0.25">
      <c r="A2853">
        <f ca="1">25012.0714604375*((RANDBETWEEN(1620,2416)))</f>
        <v>49198744.562680475</v>
      </c>
      <c r="B2853">
        <v>148961013.46443823</v>
      </c>
    </row>
    <row r="2854" spans="1:2" x14ac:dyDescent="0.25">
      <c r="A2854">
        <f ca="1">32745.107681459*((RANDBETWEEN(1620,2416)))</f>
        <v>53472760.843822628</v>
      </c>
      <c r="B2854">
        <v>176911866.30880791</v>
      </c>
    </row>
    <row r="2855" spans="1:2" x14ac:dyDescent="0.25">
      <c r="A2855">
        <f ca="1">27990.7630499156*((RANDBETWEEN(1620,2416)))</f>
        <v>50439355.015947826</v>
      </c>
      <c r="B2855">
        <v>163762501.10492942</v>
      </c>
    </row>
    <row r="2856" spans="1:2" x14ac:dyDescent="0.25">
      <c r="A2856">
        <f ca="1">28957.787182136*((RANDBETWEEN(1620,2416)))</f>
        <v>62375073.590320975</v>
      </c>
      <c r="B2856">
        <v>169036699.20911041</v>
      </c>
    </row>
    <row r="2857" spans="1:2" x14ac:dyDescent="0.25">
      <c r="A2857">
        <f ca="1">25879.9667777097*((RANDBETWEEN(1620,2416)))</f>
        <v>42934864.884220369</v>
      </c>
      <c r="B2857">
        <v>156588961.57412764</v>
      </c>
    </row>
    <row r="2858" spans="1:2" x14ac:dyDescent="0.25">
      <c r="A2858">
        <f ca="1">26761.7921492323*((RANDBETWEEN(1620,2416)))</f>
        <v>54460247.023687802</v>
      </c>
      <c r="B2858">
        <v>163037736.11084571</v>
      </c>
    </row>
    <row r="2859" spans="1:2" x14ac:dyDescent="0.25">
      <c r="A2859">
        <f ca="1">27356.1701663341*((RANDBETWEEN(1620,2416)))</f>
        <v>62262643.298576467</v>
      </c>
      <c r="B2859">
        <v>183179314.43078312</v>
      </c>
    </row>
    <row r="2860" spans="1:2" x14ac:dyDescent="0.25">
      <c r="A2860">
        <f ca="1">30621.9320598943*((RANDBETWEEN(1620,2416)))</f>
        <v>49699395.733208403</v>
      </c>
      <c r="B2860">
        <v>166518384.82812059</v>
      </c>
    </row>
    <row r="2861" spans="1:2" x14ac:dyDescent="0.25">
      <c r="A2861">
        <f ca="1">27215.8274910942*((RANDBETWEEN(1620,2416)))</f>
        <v>52689842.022758283</v>
      </c>
      <c r="B2861">
        <v>202883393.39302397</v>
      </c>
    </row>
    <row r="2862" spans="1:2" x14ac:dyDescent="0.25">
      <c r="A2862">
        <f ca="1">26975.2805421385*((RANDBETWEEN(1620,2416)))</f>
        <v>63418884.554567561</v>
      </c>
      <c r="B2862">
        <v>145756549.78965008</v>
      </c>
    </row>
    <row r="2863" spans="1:2" x14ac:dyDescent="0.25">
      <c r="A2863">
        <f ca="1">29332.0668460983*((RANDBETWEEN(1620,2416)))</f>
        <v>65351844.933107108</v>
      </c>
      <c r="B2863">
        <v>178207551.91958511</v>
      </c>
    </row>
    <row r="2864" spans="1:2" x14ac:dyDescent="0.25">
      <c r="A2864">
        <f ca="1">25754.0209965418*((RANDBETWEEN(1620,2416)))</f>
        <v>46898072.23470255</v>
      </c>
      <c r="B2864">
        <v>147519070.69414428</v>
      </c>
    </row>
    <row r="2865" spans="1:2" x14ac:dyDescent="0.25">
      <c r="A2865">
        <f ca="1">25819.2694349425*((RANDBETWEEN(1620,2416)))</f>
        <v>43118179.956353918</v>
      </c>
      <c r="B2865">
        <v>184737846.5800758</v>
      </c>
    </row>
    <row r="2866" spans="1:2" x14ac:dyDescent="0.25">
      <c r="A2866">
        <f ca="1">27136.0821237705*((RANDBETWEEN(1620,2416)))</f>
        <v>62385852.802548409</v>
      </c>
      <c r="B2866">
        <v>187732516.79331014</v>
      </c>
    </row>
    <row r="2867" spans="1:2" x14ac:dyDescent="0.25">
      <c r="A2867">
        <f ca="1">28215.9234972077*((RANDBETWEEN(1620,2416)))</f>
        <v>65658453.978002258</v>
      </c>
      <c r="B2867">
        <v>169510815.69399399</v>
      </c>
    </row>
    <row r="2868" spans="1:2" x14ac:dyDescent="0.25">
      <c r="A2868">
        <f ca="1">31543.0955119356*((RANDBETWEEN(1620,2416)))</f>
        <v>74977938.031871021</v>
      </c>
      <c r="B2868">
        <v>148033424.60313839</v>
      </c>
    </row>
    <row r="2869" spans="1:2" x14ac:dyDescent="0.25">
      <c r="A2869">
        <f ca="1">27653.7073359786*((RANDBETWEEN(1620,2416)))</f>
        <v>66451858.728356488</v>
      </c>
      <c r="B2869">
        <v>144524967.85969543</v>
      </c>
    </row>
    <row r="2870" spans="1:2" x14ac:dyDescent="0.25">
      <c r="A2870">
        <f ca="1">25619.7734868845*((RANDBETWEEN(1620,2416)))</f>
        <v>46602367.972642988</v>
      </c>
      <c r="B2870">
        <v>149738510.97892085</v>
      </c>
    </row>
    <row r="2871" spans="1:2" x14ac:dyDescent="0.25">
      <c r="A2871">
        <f ca="1">25864.7058959448*((RANDBETWEEN(1620,2416)))</f>
        <v>44901129.435360156</v>
      </c>
      <c r="B2871">
        <v>158017899.68765116</v>
      </c>
    </row>
    <row r="2872" spans="1:2" x14ac:dyDescent="0.25">
      <c r="A2872">
        <f ca="1">28284.8394857717*((RANDBETWEEN(1620,2416)))</f>
        <v>49611608.458043575</v>
      </c>
      <c r="B2872">
        <v>186146817.75104949</v>
      </c>
    </row>
    <row r="2873" spans="1:2" x14ac:dyDescent="0.25">
      <c r="A2873">
        <f ca="1">26854.0340491603*((RANDBETWEEN(1620,2416)))</f>
        <v>50243897.705978885</v>
      </c>
      <c r="B2873">
        <v>146244466.22887272</v>
      </c>
    </row>
    <row r="2874" spans="1:2" x14ac:dyDescent="0.25">
      <c r="A2874">
        <f ca="1">26443.666391689*((RANDBETWEEN(1620,2416)))</f>
        <v>61745961.024593912</v>
      </c>
      <c r="B2874">
        <v>157131941.43219939</v>
      </c>
    </row>
    <row r="2875" spans="1:2" x14ac:dyDescent="0.25">
      <c r="A2875">
        <f ca="1">26123.9283857972*((RANDBETWEEN(1620,2416)))</f>
        <v>51202899.636162549</v>
      </c>
      <c r="B2875">
        <v>158105055.14765307</v>
      </c>
    </row>
    <row r="2876" spans="1:2" x14ac:dyDescent="0.25">
      <c r="A2876">
        <f ca="1">30599.663470437*((RANDBETWEEN(1620,2416)))</f>
        <v>57282570.016658083</v>
      </c>
      <c r="B2876">
        <v>166720409.60257721</v>
      </c>
    </row>
    <row r="2877" spans="1:2" x14ac:dyDescent="0.25">
      <c r="A2877">
        <f ca="1">30405.2949968663*((RANDBETWEEN(1620,2416)))</f>
        <v>68594345.512930453</v>
      </c>
      <c r="B2877">
        <v>154126458.1394529</v>
      </c>
    </row>
    <row r="2878" spans="1:2" x14ac:dyDescent="0.25">
      <c r="A2878">
        <f ca="1">32374.3956885424*((RANDBETWEEN(1620,2416)))</f>
        <v>71774035.241498411</v>
      </c>
      <c r="B2878">
        <v>185105823.95312318</v>
      </c>
    </row>
    <row r="2879" spans="1:2" x14ac:dyDescent="0.25">
      <c r="A2879">
        <f ca="1">27055.0748205447*((RANDBETWEEN(1620,2416)))</f>
        <v>50538879.764777571</v>
      </c>
      <c r="B2879">
        <v>201827829.78331918</v>
      </c>
    </row>
    <row r="2880" spans="1:2" x14ac:dyDescent="0.25">
      <c r="A2880">
        <f ca="1">26061.4295816754*((RANDBETWEEN(1620,2416)))</f>
        <v>54572633.544028252</v>
      </c>
      <c r="B2880">
        <v>174353618.83926469</v>
      </c>
    </row>
    <row r="2881" spans="1:2" x14ac:dyDescent="0.25">
      <c r="A2881">
        <f ca="1">26872.06723955*((RANDBETWEEN(1620,2416)))</f>
        <v>55329586.446233369</v>
      </c>
      <c r="B2881">
        <v>150250503.09482068</v>
      </c>
    </row>
    <row r="2882" spans="1:2" x14ac:dyDescent="0.25">
      <c r="A2882">
        <f ca="1">25611.786599772*((RANDBETWEEN(1620,2416)))</f>
        <v>50275937.095352419</v>
      </c>
      <c r="B2882">
        <v>145504432.3121644</v>
      </c>
    </row>
    <row r="2883" spans="1:2" x14ac:dyDescent="0.25">
      <c r="A2883">
        <f ca="1">27482.965005321*((RANDBETWEEN(1620,2416)))</f>
        <v>50211377.06472142</v>
      </c>
      <c r="B2883">
        <v>200900597.44897979</v>
      </c>
    </row>
    <row r="2884" spans="1:2" x14ac:dyDescent="0.25">
      <c r="A2884">
        <f ca="1">27641.5330782991*((RANDBETWEEN(1620,2416)))</f>
        <v>54205046.366544478</v>
      </c>
      <c r="B2884">
        <v>166483683.83636507</v>
      </c>
    </row>
    <row r="2885" spans="1:2" x14ac:dyDescent="0.25">
      <c r="A2885">
        <f ca="1">29709.1177493028*((RANDBETWEEN(1620,2416)))</f>
        <v>60844273.1505723</v>
      </c>
      <c r="B2885">
        <v>146295739.36907583</v>
      </c>
    </row>
    <row r="2886" spans="1:2" x14ac:dyDescent="0.25">
      <c r="A2886">
        <f ca="1">29664.1660080872*((RANDBETWEEN(1620,2416)))</f>
        <v>66091761.866018176</v>
      </c>
      <c r="B2886">
        <v>202445356.13390529</v>
      </c>
    </row>
    <row r="2887" spans="1:2" x14ac:dyDescent="0.25">
      <c r="A2887">
        <f ca="1">27348.8730986635*((RANDBETWEEN(1620,2416)))</f>
        <v>57678773.365081355</v>
      </c>
      <c r="B2887">
        <v>148001095.74762776</v>
      </c>
    </row>
    <row r="2888" spans="1:2" x14ac:dyDescent="0.25">
      <c r="A2888">
        <f ca="1">28023.7312068405*((RANDBETWEEN(1620,2416)))</f>
        <v>67621263.402106106</v>
      </c>
      <c r="B2888">
        <v>170879035.40697062</v>
      </c>
    </row>
    <row r="2889" spans="1:2" x14ac:dyDescent="0.25">
      <c r="A2889">
        <f ca="1">27687.556944802*((RANDBETWEEN(1620,2416)))</f>
        <v>55541239.231272846</v>
      </c>
      <c r="B2889">
        <v>150734629.66235608</v>
      </c>
    </row>
    <row r="2890" spans="1:2" x14ac:dyDescent="0.25">
      <c r="A2890">
        <f ca="1">29967.7590936509*((RANDBETWEEN(1620,2416)))</f>
        <v>52893094.8002939</v>
      </c>
      <c r="B2890">
        <v>194161098.99240875</v>
      </c>
    </row>
    <row r="2891" spans="1:2" x14ac:dyDescent="0.25">
      <c r="A2891">
        <f ca="1">26782.5348903227*((RANDBETWEEN(1620,2416)))</f>
        <v>64679821.76012928</v>
      </c>
      <c r="B2891">
        <v>146891353.47356459</v>
      </c>
    </row>
    <row r="2892" spans="1:2" x14ac:dyDescent="0.25">
      <c r="A2892">
        <f ca="1">28326.102294829*((RANDBETWEEN(1620,2416)))</f>
        <v>60277945.683396205</v>
      </c>
      <c r="B2892">
        <v>155641168.75583905</v>
      </c>
    </row>
    <row r="2893" spans="1:2" x14ac:dyDescent="0.25">
      <c r="A2893">
        <f ca="1">29107.6155700965*((RANDBETWEEN(1620,2416)))</f>
        <v>63250848.633819602</v>
      </c>
      <c r="B2893">
        <v>179787877.81685987</v>
      </c>
    </row>
    <row r="2894" spans="1:2" x14ac:dyDescent="0.25">
      <c r="A2894">
        <f ca="1">26124.0208572626*((RANDBETWEEN(1620,2416)))</f>
        <v>50210368.087658793</v>
      </c>
      <c r="B2894">
        <v>143509882.64215294</v>
      </c>
    </row>
    <row r="2895" spans="1:2" x14ac:dyDescent="0.25">
      <c r="A2895">
        <f ca="1">25976.3885715643*((RANDBETWEEN(1620,2416)))</f>
        <v>51744966.034556091</v>
      </c>
      <c r="B2895">
        <v>145625634.14649475</v>
      </c>
    </row>
    <row r="2896" spans="1:2" x14ac:dyDescent="0.25">
      <c r="A2896">
        <f ca="1">26651.1974102627*((RANDBETWEEN(1620,2416)))</f>
        <v>58392773.5258855</v>
      </c>
      <c r="B2896">
        <v>152482694.31461558</v>
      </c>
    </row>
    <row r="2897" spans="1:2" x14ac:dyDescent="0.25">
      <c r="A2897">
        <f ca="1">26769.7509960953*((RANDBETWEEN(1620,2416)))</f>
        <v>46766754.990178503</v>
      </c>
      <c r="B2897">
        <v>157431808.12252307</v>
      </c>
    </row>
    <row r="2898" spans="1:2" x14ac:dyDescent="0.25">
      <c r="A2898">
        <f ca="1">27221.3091739113*((RANDBETWEEN(1620,2416)))</f>
        <v>54224847.87443132</v>
      </c>
      <c r="B2898">
        <v>164201756.40041903</v>
      </c>
    </row>
    <row r="2899" spans="1:2" x14ac:dyDescent="0.25">
      <c r="A2899">
        <f ca="1">26286.5719877637*((RANDBETWEEN(1620,2416)))</f>
        <v>46842671.282194942</v>
      </c>
      <c r="B2899">
        <v>194896230.88563097</v>
      </c>
    </row>
    <row r="2900" spans="1:2" x14ac:dyDescent="0.25">
      <c r="A2900">
        <f ca="1">27512.5812923324*((RANDBETWEEN(1620,2416)))</f>
        <v>63829188.598211281</v>
      </c>
      <c r="B2900">
        <v>184099775.62883726</v>
      </c>
    </row>
    <row r="2901" spans="1:2" x14ac:dyDescent="0.25">
      <c r="A2901">
        <f ca="1">25767.0442522927*((RANDBETWEEN(1620,2416)))</f>
        <v>49884997.672438599</v>
      </c>
      <c r="B2901">
        <v>176446535.59256536</v>
      </c>
    </row>
    <row r="2902" spans="1:2" x14ac:dyDescent="0.25">
      <c r="A2902">
        <f ca="1">27196.5935564397*((RANDBETWEEN(1620,2416)))</f>
        <v>50340894.672969922</v>
      </c>
      <c r="B2902">
        <v>161601579.99542525</v>
      </c>
    </row>
    <row r="2903" spans="1:2" x14ac:dyDescent="0.25">
      <c r="A2903">
        <f ca="1">27274.2763118013*((RANDBETWEEN(1620,2416)))</f>
        <v>59212453.872920565</v>
      </c>
      <c r="B2903">
        <v>164534218.68240017</v>
      </c>
    </row>
    <row r="2904" spans="1:2" x14ac:dyDescent="0.25">
      <c r="A2904">
        <f ca="1">27209.2180926124*((RANDBETWEEN(1620,2416)))</f>
        <v>61737715.852137588</v>
      </c>
      <c r="B2904">
        <v>145031656.17719573</v>
      </c>
    </row>
    <row r="2905" spans="1:2" x14ac:dyDescent="0.25">
      <c r="A2905">
        <f ca="1">33457.6089969393*((RANDBETWEEN(1620,2416)))</f>
        <v>69625284.322630733</v>
      </c>
      <c r="B2905">
        <v>202757100.66750437</v>
      </c>
    </row>
    <row r="2906" spans="1:2" x14ac:dyDescent="0.25">
      <c r="A2906">
        <f ca="1">24388.3828972619*((RANDBETWEEN(1620,2416)))</f>
        <v>43313768.025537066</v>
      </c>
      <c r="B2906">
        <v>143945252.23025459</v>
      </c>
    </row>
    <row r="2907" spans="1:2" x14ac:dyDescent="0.25">
      <c r="A2907">
        <f ca="1">33002.4831925199*((RANDBETWEEN(1620,2416)))</f>
        <v>57292310.822214529</v>
      </c>
      <c r="B2907">
        <v>142940803.45608753</v>
      </c>
    </row>
    <row r="2908" spans="1:2" x14ac:dyDescent="0.25">
      <c r="A2908">
        <f ca="1">28699.7555626878*((RANDBETWEEN(1620,2416)))</f>
        <v>51114264.657146953</v>
      </c>
      <c r="B2908">
        <v>161164965.06256941</v>
      </c>
    </row>
    <row r="2909" spans="1:2" x14ac:dyDescent="0.25">
      <c r="A2909">
        <f ca="1">25911.2322753364*((RANDBETWEEN(1620,2416)))</f>
        <v>50267790.6141527</v>
      </c>
      <c r="B2909">
        <v>143273127.75829747</v>
      </c>
    </row>
    <row r="2910" spans="1:2" x14ac:dyDescent="0.25">
      <c r="A2910">
        <f ca="1">25346.7632614408*((RANDBETWEEN(1620,2416)))</f>
        <v>60908272.117242187</v>
      </c>
      <c r="B2910">
        <v>177805228.82218036</v>
      </c>
    </row>
    <row r="2911" spans="1:2" x14ac:dyDescent="0.25">
      <c r="A2911">
        <f ca="1">27143.4070343733*((RANDBETWEEN(1620,2416)))</f>
        <v>53499655.264749922</v>
      </c>
      <c r="B2911">
        <v>160781142.88954198</v>
      </c>
    </row>
    <row r="2912" spans="1:2" x14ac:dyDescent="0.25">
      <c r="A2912">
        <f ca="1">27345.1635185715*((RANDBETWEEN(1620,2416)))</f>
        <v>51983155.84880434</v>
      </c>
      <c r="B2912">
        <v>166290334.98365775</v>
      </c>
    </row>
    <row r="2913" spans="1:2" x14ac:dyDescent="0.25">
      <c r="A2913">
        <f ca="1">31452.5348495511*((RANDBETWEEN(1620,2416)))</f>
        <v>71931947.200923428</v>
      </c>
      <c r="B2913">
        <v>196188943.81598669</v>
      </c>
    </row>
    <row r="2914" spans="1:2" x14ac:dyDescent="0.25">
      <c r="A2914">
        <f ca="1">26921.9646365802*((RANDBETWEEN(1620,2416)))</f>
        <v>52659362.829150856</v>
      </c>
      <c r="B2914">
        <v>166109398.4832539</v>
      </c>
    </row>
    <row r="2915" spans="1:2" x14ac:dyDescent="0.25">
      <c r="A2915">
        <f ca="1">32315.794844246*((RANDBETWEEN(1620,2416)))</f>
        <v>76039065.268510729</v>
      </c>
      <c r="B2915">
        <v>179343492.55116811</v>
      </c>
    </row>
    <row r="2916" spans="1:2" x14ac:dyDescent="0.25">
      <c r="A2916">
        <f ca="1">28920.3170500273*((RANDBETWEEN(1620,2416)))</f>
        <v>56192176.028202951</v>
      </c>
      <c r="B2916">
        <v>144879577.05077982</v>
      </c>
    </row>
    <row r="2917" spans="1:2" x14ac:dyDescent="0.25">
      <c r="A2917">
        <f ca="1">26206.3130862807*((RANDBETWEEN(1620,2416)))</f>
        <v>58833172.87870007</v>
      </c>
      <c r="B2917">
        <v>148706503.55271989</v>
      </c>
    </row>
    <row r="2918" spans="1:2" x14ac:dyDescent="0.25">
      <c r="A2918">
        <f ca="1">27128.9502334365*((RANDBETWEEN(1620,2416)))</f>
        <v>44735638.934936859</v>
      </c>
      <c r="B2918">
        <v>177254083.29703739</v>
      </c>
    </row>
    <row r="2919" spans="1:2" x14ac:dyDescent="0.25">
      <c r="A2919">
        <f ca="1">27199.2753656366*((RANDBETWEEN(1620,2416)))</f>
        <v>49475481.890092969</v>
      </c>
      <c r="B2919">
        <v>167895645.27528813</v>
      </c>
    </row>
    <row r="2920" spans="1:2" x14ac:dyDescent="0.25">
      <c r="A2920">
        <f ca="1">26553.9946989356*((RANDBETWEEN(1620,2416)))</f>
        <v>52045829.609913774</v>
      </c>
      <c r="B2920">
        <v>151325052.75756499</v>
      </c>
    </row>
    <row r="2921" spans="1:2" x14ac:dyDescent="0.25">
      <c r="A2921">
        <f ca="1">27577.1069953173*((RANDBETWEEN(1620,2416)))</f>
        <v>51045225.048332267</v>
      </c>
      <c r="B2921">
        <v>145969744.50654879</v>
      </c>
    </row>
    <row r="2922" spans="1:2" x14ac:dyDescent="0.25">
      <c r="A2922">
        <f ca="1">26886.1873581248*((RANDBETWEEN(1620,2416)))</f>
        <v>45249453.323724069</v>
      </c>
      <c r="B2922">
        <v>156412989.30429021</v>
      </c>
    </row>
    <row r="2923" spans="1:2" x14ac:dyDescent="0.25">
      <c r="A2923">
        <f ca="1">26682.2330020555*((RANDBETWEEN(1620,2416)))</f>
        <v>46106898.627551876</v>
      </c>
      <c r="B2923">
        <v>190094975.50802243</v>
      </c>
    </row>
    <row r="2924" spans="1:2" x14ac:dyDescent="0.25">
      <c r="A2924">
        <f ca="1">27598.6378491213*((RANDBETWEEN(1620,2416)))</f>
        <v>61655356.954936966</v>
      </c>
      <c r="B2924">
        <v>184886023.86295545</v>
      </c>
    </row>
    <row r="2925" spans="1:2" x14ac:dyDescent="0.25">
      <c r="A2925">
        <f ca="1">28003.324529917*((RANDBETWEEN(1620,2416)))</f>
        <v>53346333.229491979</v>
      </c>
      <c r="B2925">
        <v>196840298.05469882</v>
      </c>
    </row>
    <row r="2926" spans="1:2" x14ac:dyDescent="0.25">
      <c r="A2926">
        <f ca="1">28587.7691814657*((RANDBETWEEN(1620,2416)))</f>
        <v>50514588.143649973</v>
      </c>
      <c r="B2926">
        <v>195270122.75222689</v>
      </c>
    </row>
    <row r="2927" spans="1:2" x14ac:dyDescent="0.25">
      <c r="A2927">
        <f ca="1">25803.7904892251*((RANDBETWEEN(1620,2416)))</f>
        <v>47582189.662131019</v>
      </c>
      <c r="B2927">
        <v>157725024.94395241</v>
      </c>
    </row>
    <row r="2928" spans="1:2" x14ac:dyDescent="0.25">
      <c r="A2928">
        <f ca="1">29125.0628248225*((RANDBETWEEN(1620,2416)))</f>
        <v>59881129.16783496</v>
      </c>
      <c r="B2928">
        <v>199960639.36653081</v>
      </c>
    </row>
    <row r="2929" spans="1:2" x14ac:dyDescent="0.25">
      <c r="A2929">
        <f ca="1">34600.3113045995*((RANDBETWEEN(1620,2416)))</f>
        <v>75601680.200550005</v>
      </c>
      <c r="B2929">
        <v>197225881.049346</v>
      </c>
    </row>
    <row r="2930" spans="1:2" x14ac:dyDescent="0.25">
      <c r="A2930">
        <f ca="1">27286.8672535025*((RANDBETWEEN(1620,2416)))</f>
        <v>56674823.285524733</v>
      </c>
      <c r="B2930">
        <v>181594622.14548397</v>
      </c>
    </row>
    <row r="2931" spans="1:2" x14ac:dyDescent="0.25">
      <c r="A2931">
        <f ca="1">26160.9426227159*((RANDBETWEEN(1620,2416)))</f>
        <v>46697282.581547849</v>
      </c>
      <c r="B2931">
        <v>147725001.76765898</v>
      </c>
    </row>
    <row r="2932" spans="1:2" x14ac:dyDescent="0.25">
      <c r="A2932">
        <f ca="1">26514.0694892897*((RANDBETWEEN(1620,2416)))</f>
        <v>43377017.684477963</v>
      </c>
      <c r="B2932">
        <v>159473643.36570135</v>
      </c>
    </row>
    <row r="2933" spans="1:2" x14ac:dyDescent="0.25">
      <c r="A2933">
        <f ca="1">27334.0604585175*((RANDBETWEEN(1620,2416)))</f>
        <v>63633692.747428857</v>
      </c>
      <c r="B2933">
        <v>144463204.2645911</v>
      </c>
    </row>
    <row r="2934" spans="1:2" x14ac:dyDescent="0.25">
      <c r="A2934">
        <f ca="1">26208.6823134787*((RANDBETWEEN(1620,2416)))</f>
        <v>51604895.475239627</v>
      </c>
      <c r="B2934">
        <v>161818144.34048718</v>
      </c>
    </row>
    <row r="2935" spans="1:2" x14ac:dyDescent="0.25">
      <c r="A2935">
        <f ca="1">29414.1391484638*((RANDBETWEEN(1620,2416)))</f>
        <v>53033692.884680197</v>
      </c>
      <c r="B2935">
        <v>154905112.96692473</v>
      </c>
    </row>
    <row r="2936" spans="1:2" x14ac:dyDescent="0.25">
      <c r="A2936">
        <f ca="1">32541.5326868943*((RANDBETWEEN(1620,2416)))</f>
        <v>71265956.584298551</v>
      </c>
      <c r="B2936">
        <v>183317787.65898168</v>
      </c>
    </row>
    <row r="2937" spans="1:2" x14ac:dyDescent="0.25">
      <c r="A2937">
        <f ca="1">30264.955253996*((RANDBETWEEN(1620,2416)))</f>
        <v>55838842.443622574</v>
      </c>
      <c r="B2937">
        <v>186609881.42932492</v>
      </c>
    </row>
    <row r="2938" spans="1:2" x14ac:dyDescent="0.25">
      <c r="A2938">
        <f ca="1">28665.588386641*((RANDBETWEEN(1620,2416)))</f>
        <v>54980598.52557753</v>
      </c>
      <c r="B2938">
        <v>175957394.81233409</v>
      </c>
    </row>
    <row r="2939" spans="1:2" x14ac:dyDescent="0.25">
      <c r="A2939">
        <f ca="1">26973.7742886368*((RANDBETWEEN(1620,2416)))</f>
        <v>46340944.227877937</v>
      </c>
      <c r="B2939">
        <v>161020484.22067428</v>
      </c>
    </row>
    <row r="2940" spans="1:2" x14ac:dyDescent="0.25">
      <c r="A2940">
        <f ca="1">26792.9088601955*((RANDBETWEEN(1620,2416)))</f>
        <v>47503827.409126677</v>
      </c>
      <c r="B2940">
        <v>199790215.18754283</v>
      </c>
    </row>
    <row r="2941" spans="1:2" x14ac:dyDescent="0.25">
      <c r="A2941">
        <f ca="1">28185.5286693806*((RANDBETWEEN(1620,2416)))</f>
        <v>56230129.695414394</v>
      </c>
      <c r="B2941">
        <v>196097585.9002834</v>
      </c>
    </row>
    <row r="2942" spans="1:2" x14ac:dyDescent="0.25">
      <c r="A2942">
        <f ca="1">27164.8862867817*((RANDBETWEEN(1620,2416)))</f>
        <v>51097151.105436295</v>
      </c>
      <c r="B2942">
        <v>157614597.0290435</v>
      </c>
    </row>
    <row r="2943" spans="1:2" x14ac:dyDescent="0.25">
      <c r="A2943">
        <f ca="1">26837.0826986577*((RANDBETWEEN(1620,2416)))</f>
        <v>60410273.154678583</v>
      </c>
      <c r="B2943">
        <v>149637636.12366876</v>
      </c>
    </row>
    <row r="2944" spans="1:2" x14ac:dyDescent="0.25">
      <c r="A2944">
        <f ca="1">31741.0706036052*((RANDBETWEEN(1620,2416)))</f>
        <v>56816516.380453236</v>
      </c>
      <c r="B2944">
        <v>144422263.46116194</v>
      </c>
    </row>
    <row r="2945" spans="1:2" x14ac:dyDescent="0.25">
      <c r="A2945">
        <f ca="1">28117.8340584067*((RANDBETWEEN(1620,2416)))</f>
        <v>55617075.767528459</v>
      </c>
      <c r="B2945">
        <v>144144998.2296392</v>
      </c>
    </row>
    <row r="2946" spans="1:2" x14ac:dyDescent="0.25">
      <c r="A2946">
        <f ca="1">31503.2339319686*((RANDBETWEEN(1620,2416)))</f>
        <v>52988439.473571204</v>
      </c>
      <c r="B2946">
        <v>188072325.14881086</v>
      </c>
    </row>
    <row r="2947" spans="1:2" x14ac:dyDescent="0.25">
      <c r="A2947">
        <f ca="1">26565.694504287*((RANDBETWEEN(1620,2416)))</f>
        <v>57302203.045747086</v>
      </c>
      <c r="B2947">
        <v>148402876.06287777</v>
      </c>
    </row>
    <row r="2948" spans="1:2" x14ac:dyDescent="0.25">
      <c r="A2948">
        <f ca="1">25607.6924958546*((RANDBETWEEN(1620,2416)))</f>
        <v>43789154.167911336</v>
      </c>
      <c r="B2948">
        <v>145655730.72275311</v>
      </c>
    </row>
    <row r="2949" spans="1:2" x14ac:dyDescent="0.25">
      <c r="A2949">
        <f ca="1">31968.9574165795*((RANDBETWEEN(1620,2416)))</f>
        <v>76949280.501706943</v>
      </c>
      <c r="B2949">
        <v>195514155.56702912</v>
      </c>
    </row>
    <row r="2950" spans="1:2" x14ac:dyDescent="0.25">
      <c r="A2950">
        <f ca="1">31721.6892074135*((RANDBETWEEN(1620,2416)))</f>
        <v>71944791.122413918</v>
      </c>
      <c r="B2950">
        <v>145979477.48018312</v>
      </c>
    </row>
    <row r="2951" spans="1:2" x14ac:dyDescent="0.25">
      <c r="A2951">
        <f ca="1">25256.2391821892*((RANDBETWEEN(1620,2416)))</f>
        <v>52053108.954491839</v>
      </c>
      <c r="B2951">
        <v>149533178.39149266</v>
      </c>
    </row>
    <row r="2952" spans="1:2" x14ac:dyDescent="0.25">
      <c r="A2952">
        <f ca="1">34304.5101873363*((RANDBETWEEN(1620,2416)))</f>
        <v>75469922.412139848</v>
      </c>
      <c r="B2952">
        <v>179690710.99942979</v>
      </c>
    </row>
    <row r="2953" spans="1:2" x14ac:dyDescent="0.25">
      <c r="A2953">
        <f ca="1">26891.338265179*((RANDBETWEEN(1620,2416)))</f>
        <v>55745744.223716065</v>
      </c>
      <c r="B2953">
        <v>156537222.03898796</v>
      </c>
    </row>
    <row r="2954" spans="1:2" x14ac:dyDescent="0.25">
      <c r="A2954">
        <f ca="1">26271.9222965772*((RANDBETWEEN(1620,2416)))</f>
        <v>55118492.97821904</v>
      </c>
      <c r="B2954">
        <v>179157685.07027635</v>
      </c>
    </row>
    <row r="2955" spans="1:2" x14ac:dyDescent="0.25">
      <c r="A2955">
        <f ca="1">27256.6438073033*((RANDBETWEEN(1620,2416)))</f>
        <v>47099480.49902004</v>
      </c>
      <c r="B2955">
        <v>154463896.31884658</v>
      </c>
    </row>
    <row r="2956" spans="1:2" x14ac:dyDescent="0.25">
      <c r="A2956">
        <f ca="1">29695.7617105486*((RANDBETWEEN(1620,2416)))</f>
        <v>52026974.516881071</v>
      </c>
      <c r="B2956">
        <v>182072879.60508591</v>
      </c>
    </row>
    <row r="2957" spans="1:2" x14ac:dyDescent="0.25">
      <c r="A2957">
        <f ca="1">28678.854230784*((RANDBETWEEN(1620,2416)))</f>
        <v>61831609.721570201</v>
      </c>
      <c r="B2957">
        <v>150069685.26496091</v>
      </c>
    </row>
    <row r="2958" spans="1:2" x14ac:dyDescent="0.25">
      <c r="A2958">
        <f ca="1">28813.4057453129*((RANDBETWEEN(1620,2416)))</f>
        <v>48665842.303833418</v>
      </c>
      <c r="B2958">
        <v>159702743.15202868</v>
      </c>
    </row>
    <row r="2959" spans="1:2" x14ac:dyDescent="0.25">
      <c r="A2959">
        <f ca="1">26340.9500679768*((RANDBETWEEN(1620,2416)))</f>
        <v>44990342.716104411</v>
      </c>
      <c r="B2959">
        <v>171415716.2761206</v>
      </c>
    </row>
    <row r="2960" spans="1:2" x14ac:dyDescent="0.25">
      <c r="A2960">
        <f ca="1">27491.6789607319*((RANDBETWEEN(1620,2416)))</f>
        <v>64028120.299544714</v>
      </c>
      <c r="B2960">
        <v>161400312.02210921</v>
      </c>
    </row>
    <row r="2961" spans="1:2" x14ac:dyDescent="0.25">
      <c r="A2961">
        <f ca="1">31965.9973125873*((RANDBETWEEN(1620,2416)))</f>
        <v>71507935.988257825</v>
      </c>
      <c r="B2961">
        <v>147995822.87162116</v>
      </c>
    </row>
    <row r="2962" spans="1:2" x14ac:dyDescent="0.25">
      <c r="A2962">
        <f ca="1">29522.7785708964*((RANDBETWEEN(1620,2416)))</f>
        <v>64979635.634543076</v>
      </c>
      <c r="B2962">
        <v>159818906.07733479</v>
      </c>
    </row>
    <row r="2963" spans="1:2" x14ac:dyDescent="0.25">
      <c r="A2963">
        <f ca="1">27708.65804044*((RANDBETWEEN(1620,2416)))</f>
        <v>62261354.616868764</v>
      </c>
      <c r="B2963">
        <v>173723537.40220803</v>
      </c>
    </row>
    <row r="2964" spans="1:2" x14ac:dyDescent="0.25">
      <c r="A2964">
        <f ca="1">26388.3941675986*((RANDBETWEEN(1620,2416)))</f>
        <v>51694864.174325608</v>
      </c>
      <c r="B2964">
        <v>180407201.36270574</v>
      </c>
    </row>
    <row r="2965" spans="1:2" x14ac:dyDescent="0.25">
      <c r="A2965">
        <f ca="1">29855.2816860115*((RANDBETWEEN(1620,2416)))</f>
        <v>63621605.272890411</v>
      </c>
      <c r="B2965">
        <v>197423602.37142378</v>
      </c>
    </row>
    <row r="2966" spans="1:2" x14ac:dyDescent="0.25">
      <c r="A2966">
        <f ca="1">24709.7837105462*((RANDBETWEEN(1620,2416)))</f>
        <v>47714592.345064707</v>
      </c>
      <c r="B2966">
        <v>162225482.61415294</v>
      </c>
    </row>
    <row r="2967" spans="1:2" x14ac:dyDescent="0.25">
      <c r="A2967">
        <f ca="1">30431.424985575*((RANDBETWEEN(1620,2416)))</f>
        <v>72670242.865553141</v>
      </c>
      <c r="B2967">
        <v>186296691.02282527</v>
      </c>
    </row>
    <row r="2968" spans="1:2" x14ac:dyDescent="0.25">
      <c r="A2968">
        <f ca="1">26228.2989577398*((RANDBETWEEN(1620,2416)))</f>
        <v>62318438.32358972</v>
      </c>
      <c r="B2968">
        <v>187418490.79569337</v>
      </c>
    </row>
    <row r="2969" spans="1:2" x14ac:dyDescent="0.25">
      <c r="A2969">
        <f ca="1">27478.8027375256*((RANDBETWEEN(1620,2416)))</f>
        <v>51165530.697272606</v>
      </c>
      <c r="B2969">
        <v>146401670.89886385</v>
      </c>
    </row>
    <row r="2970" spans="1:2" x14ac:dyDescent="0.25">
      <c r="A2970">
        <f ca="1">32853.6179838716*((RANDBETWEEN(1620,2416)))</f>
        <v>53649958.167662352</v>
      </c>
      <c r="B2970">
        <v>169678584.39901686</v>
      </c>
    </row>
    <row r="2971" spans="1:2" x14ac:dyDescent="0.25">
      <c r="A2971">
        <f ca="1">27721.4516274429*((RANDBETWEEN(1620,2416)))</f>
        <v>50896585.187985204</v>
      </c>
      <c r="B2971">
        <v>152622820.08027324</v>
      </c>
    </row>
    <row r="2972" spans="1:2" x14ac:dyDescent="0.25">
      <c r="A2972">
        <f ca="1">26164.6851916395*((RANDBETWEEN(1620,2416)))</f>
        <v>43668859.584846362</v>
      </c>
      <c r="B2972">
        <v>145596910.91946191</v>
      </c>
    </row>
    <row r="2973" spans="1:2" x14ac:dyDescent="0.25">
      <c r="A2973">
        <f ca="1">26165.5227739574*((RANDBETWEEN(1620,2416)))</f>
        <v>56439032.623426162</v>
      </c>
      <c r="B2973">
        <v>160561299.27873892</v>
      </c>
    </row>
    <row r="2974" spans="1:2" x14ac:dyDescent="0.25">
      <c r="A2974">
        <f ca="1">27582.1347951564*((RANDBETWEEN(1620,2416)))</f>
        <v>60046307.44905559</v>
      </c>
      <c r="B2974">
        <v>189396419.1446878</v>
      </c>
    </row>
    <row r="2975" spans="1:2" x14ac:dyDescent="0.25">
      <c r="A2975">
        <f ca="1">28997.3281623431*((RANDBETWEEN(1620,2416)))</f>
        <v>53703051.756659493</v>
      </c>
      <c r="B2975">
        <v>173267974.25351194</v>
      </c>
    </row>
    <row r="2976" spans="1:2" x14ac:dyDescent="0.25">
      <c r="A2976">
        <f ca="1">29589.2756940856*((RANDBETWEEN(1620,2416)))</f>
        <v>50213000.852863215</v>
      </c>
      <c r="B2976">
        <v>191982657.68879613</v>
      </c>
    </row>
    <row r="2977" spans="1:2" x14ac:dyDescent="0.25">
      <c r="A2977">
        <f ca="1">28204.2460262599*((RANDBETWEEN(1620,2416)))</f>
        <v>63967229.987557426</v>
      </c>
      <c r="B2977">
        <v>174911881.55072746</v>
      </c>
    </row>
    <row r="2978" spans="1:2" x14ac:dyDescent="0.25">
      <c r="A2978">
        <f ca="1">28143.1520872781*((RANDBETWEEN(1620,2416)))</f>
        <v>48293648.981769279</v>
      </c>
      <c r="B2978">
        <v>149874584.65463352</v>
      </c>
    </row>
    <row r="2979" spans="1:2" x14ac:dyDescent="0.25">
      <c r="A2979">
        <f ca="1">28976.9660229903*((RANDBETWEEN(1620,2416)))</f>
        <v>53491479.27844014</v>
      </c>
      <c r="B2979">
        <v>176996613.41782314</v>
      </c>
    </row>
    <row r="2980" spans="1:2" x14ac:dyDescent="0.25">
      <c r="A2980">
        <f ca="1">26633.2058874647*((RANDBETWEEN(1620,2416)))</f>
        <v>63253863.982728615</v>
      </c>
      <c r="B2980">
        <v>161455756.18954539</v>
      </c>
    </row>
    <row r="2981" spans="1:2" x14ac:dyDescent="0.25">
      <c r="A2981">
        <f ca="1">29580.0398696685*((RANDBETWEEN(1620,2416)))</f>
        <v>54013152.802014694</v>
      </c>
      <c r="B2981">
        <v>177300865.58832249</v>
      </c>
    </row>
    <row r="2982" spans="1:2" x14ac:dyDescent="0.25">
      <c r="A2982">
        <f ca="1">29323.7121851841*((RANDBETWEEN(1620,2416)))</f>
        <v>49146541.622368589</v>
      </c>
      <c r="B2982">
        <v>189308775.6985088</v>
      </c>
    </row>
    <row r="2983" spans="1:2" x14ac:dyDescent="0.25">
      <c r="A2983">
        <f ca="1">28008.9249129784*((RANDBETWEEN(1620,2416)))</f>
        <v>57474313.921431646</v>
      </c>
      <c r="B2983">
        <v>201369383.12302989</v>
      </c>
    </row>
    <row r="2984" spans="1:2" x14ac:dyDescent="0.25">
      <c r="A2984">
        <f ca="1">28365.0898006174*((RANDBETWEEN(1620,2416)))</f>
        <v>68189675.880684257</v>
      </c>
      <c r="B2984">
        <v>165096724.37970564</v>
      </c>
    </row>
    <row r="2985" spans="1:2" x14ac:dyDescent="0.25">
      <c r="A2985">
        <f ca="1">30026.02824187*((RANDBETWEEN(1620,2416)))</f>
        <v>67018095.035853945</v>
      </c>
      <c r="B2985">
        <v>197307909.52599195</v>
      </c>
    </row>
    <row r="2986" spans="1:2" x14ac:dyDescent="0.25">
      <c r="A2986">
        <f ca="1">30406.8943301011*((RANDBETWEEN(1620,2416)))</f>
        <v>64249767.719503582</v>
      </c>
      <c r="B2986">
        <v>184794390.78653377</v>
      </c>
    </row>
    <row r="2987" spans="1:2" x14ac:dyDescent="0.25">
      <c r="A2987">
        <f ca="1">30758.2336494142*((RANDBETWEEN(1620,2416)))</f>
        <v>69482849.814026713</v>
      </c>
      <c r="B2987">
        <v>170486770.46290797</v>
      </c>
    </row>
    <row r="2988" spans="1:2" x14ac:dyDescent="0.25">
      <c r="A2988">
        <f ca="1">27851.637913756*((RANDBETWEEN(1620,2416)))</f>
        <v>45843796.006042451</v>
      </c>
      <c r="B2988">
        <v>187416253.98797059</v>
      </c>
    </row>
    <row r="2989" spans="1:2" x14ac:dyDescent="0.25">
      <c r="A2989">
        <f ca="1">29757.9679509782*((RANDBETWEEN(1620,2416)))</f>
        <v>70556142.01176922</v>
      </c>
      <c r="B2989">
        <v>174716992.67603707</v>
      </c>
    </row>
    <row r="2990" spans="1:2" x14ac:dyDescent="0.25">
      <c r="A2990">
        <f ca="1">29233.1498255789*((RANDBETWEEN(1620,2416)))</f>
        <v>55718383.567553356</v>
      </c>
      <c r="B2990">
        <v>198653009.78884771</v>
      </c>
    </row>
    <row r="2991" spans="1:2" x14ac:dyDescent="0.25">
      <c r="A2991">
        <f ca="1">28076.1955345061*((RANDBETWEEN(1620,2416)))</f>
        <v>56433153.024357326</v>
      </c>
      <c r="B2991">
        <v>185026175.42101473</v>
      </c>
    </row>
    <row r="2992" spans="1:2" x14ac:dyDescent="0.25">
      <c r="A2992">
        <f ca="1">29690.8191365109*((RANDBETWEEN(1620,2416)))</f>
        <v>66537125.6849209</v>
      </c>
      <c r="B2992">
        <v>147377536.56441227</v>
      </c>
    </row>
    <row r="2993" spans="1:2" x14ac:dyDescent="0.25">
      <c r="A2993">
        <f ca="1">27369.3858169306*((RANDBETWEEN(1620,2416)))</f>
        <v>64400164.827237777</v>
      </c>
      <c r="B2993">
        <v>152421255.2705847</v>
      </c>
    </row>
    <row r="2994" spans="1:2" x14ac:dyDescent="0.25">
      <c r="A2994">
        <f ca="1">28714.4954923232*((RANDBETWEEN(1620,2416)))</f>
        <v>62109453.749895126</v>
      </c>
      <c r="B2994">
        <v>152730249.35035327</v>
      </c>
    </row>
    <row r="2995" spans="1:2" x14ac:dyDescent="0.25">
      <c r="A2995">
        <f ca="1">30128.0668208915*((RANDBETWEEN(1620,2416)))</f>
        <v>52362580.134709433</v>
      </c>
      <c r="B2995">
        <v>162700060.04345703</v>
      </c>
    </row>
    <row r="2996" spans="1:2" x14ac:dyDescent="0.25">
      <c r="A2996">
        <f ca="1">26183.4457563337*((RANDBETWEEN(1620,2416)))</f>
        <v>59410238.421121076</v>
      </c>
      <c r="B2996">
        <v>144915644.65879959</v>
      </c>
    </row>
    <row r="2997" spans="1:2" x14ac:dyDescent="0.25">
      <c r="A2997">
        <f ca="1">27149.3992608733*((RANDBETWEEN(1620,2416)))</f>
        <v>53348569.547616057</v>
      </c>
      <c r="B2997">
        <v>145161784.11470968</v>
      </c>
    </row>
    <row r="2998" spans="1:2" x14ac:dyDescent="0.25">
      <c r="A2998">
        <f ca="1">30832.8226030413*((RANDBETWEEN(1620,2416)))</f>
        <v>65704744.96708107</v>
      </c>
      <c r="B2998">
        <v>150240878.11290208</v>
      </c>
    </row>
    <row r="2999" spans="1:2" x14ac:dyDescent="0.25">
      <c r="A2999">
        <f ca="1">29494.1092880217*((RANDBETWEEN(1620,2416)))</f>
        <v>58958724.466755338</v>
      </c>
      <c r="B2999">
        <v>159200377.68112645</v>
      </c>
    </row>
    <row r="3000" spans="1:2" x14ac:dyDescent="0.25">
      <c r="A3000">
        <f ca="1">28211.2262471484*((RANDBETWEEN(1620,2416)))</f>
        <v>62262176.327456452</v>
      </c>
      <c r="B3000">
        <v>145638976.67018676</v>
      </c>
    </row>
    <row r="3001" spans="1:2" x14ac:dyDescent="0.25">
      <c r="A3001">
        <f ca="1">30591.2392201147*((RANDBETWEEN(1620,2416)))</f>
        <v>50659092.14850992</v>
      </c>
      <c r="B3001">
        <v>161554148.65627867</v>
      </c>
    </row>
    <row r="3002" spans="1:2" x14ac:dyDescent="0.25">
      <c r="A3002">
        <f ca="1">26499.0263290991*((RANDBETWEEN(1620,2416)))</f>
        <v>51434610.104781315</v>
      </c>
      <c r="B3002">
        <v>148552203.60023299</v>
      </c>
    </row>
    <row r="3003" spans="1:2" x14ac:dyDescent="0.25">
      <c r="A3003">
        <f ca="1">26342.0758870518*((RANDBETWEEN(1620,2416)))</f>
        <v>54132965.947891489</v>
      </c>
      <c r="B3003">
        <v>143292397.4363941</v>
      </c>
    </row>
    <row r="3004" spans="1:2" x14ac:dyDescent="0.25">
      <c r="A3004">
        <f ca="1">27560.7246528669*((RANDBETWEEN(1620,2416)))</f>
        <v>64436974.238402843</v>
      </c>
      <c r="B3004">
        <v>155823018.94310132</v>
      </c>
    </row>
    <row r="3005" spans="1:2" x14ac:dyDescent="0.25">
      <c r="A3005">
        <f ca="1">31816.5324555489*((RANDBETWEEN(1620,2416)))</f>
        <v>75087016.595095381</v>
      </c>
      <c r="B3005">
        <v>166771929.44846761</v>
      </c>
    </row>
    <row r="3006" spans="1:2" x14ac:dyDescent="0.25">
      <c r="A3006">
        <f ca="1">27271.7326720939*((RANDBETWEEN(1620,2416)))</f>
        <v>44398380.790168889</v>
      </c>
      <c r="B3006">
        <v>146397860.72915548</v>
      </c>
    </row>
    <row r="3007" spans="1:2" x14ac:dyDescent="0.25">
      <c r="A3007">
        <f ca="1">29193.3823537288*((RANDBETWEEN(1620,2416)))</f>
        <v>53336309.560262576</v>
      </c>
      <c r="B3007">
        <v>163501919.11928847</v>
      </c>
    </row>
    <row r="3008" spans="1:2" x14ac:dyDescent="0.25">
      <c r="A3008">
        <f ca="1">29764.3252978477*((RANDBETWEEN(1620,2416)))</f>
        <v>48396792.934300393</v>
      </c>
      <c r="B3008">
        <v>159832692.66314292</v>
      </c>
    </row>
    <row r="3009" spans="1:2" x14ac:dyDescent="0.25">
      <c r="A3009">
        <f ca="1">27405.1108867332*((RANDBETWEEN(1620,2416)))</f>
        <v>47849323.608236082</v>
      </c>
      <c r="B3009">
        <v>150506812.86795336</v>
      </c>
    </row>
    <row r="3010" spans="1:2" x14ac:dyDescent="0.25">
      <c r="A3010">
        <f ca="1">27512.0168318362*((RANDBETWEEN(1620,2416)))</f>
        <v>50154406.684437349</v>
      </c>
      <c r="B3010">
        <v>173313103.685287</v>
      </c>
    </row>
    <row r="3011" spans="1:2" x14ac:dyDescent="0.25">
      <c r="A3011">
        <f ca="1">30930.2018279307*((RANDBETWEEN(1620,2416)))</f>
        <v>67180398.370265543</v>
      </c>
      <c r="B3011">
        <v>185704670.57838652</v>
      </c>
    </row>
    <row r="3012" spans="1:2" x14ac:dyDescent="0.25">
      <c r="A3012">
        <f ca="1">28987.9770985143*((RANDBETWEEN(1620,2416)))</f>
        <v>69426205.150941789</v>
      </c>
      <c r="B3012">
        <v>159577144.50306958</v>
      </c>
    </row>
    <row r="3013" spans="1:2" x14ac:dyDescent="0.25">
      <c r="A3013">
        <f ca="1">27887.7792941806*((RANDBETWEEN(1620,2416)))</f>
        <v>52847341.762472153</v>
      </c>
      <c r="B3013">
        <v>162364732.3253068</v>
      </c>
    </row>
    <row r="3014" spans="1:2" x14ac:dyDescent="0.25">
      <c r="A3014">
        <f ca="1">25980.6250032855*((RANDBETWEEN(1620,2416)))</f>
        <v>47440621.255999379</v>
      </c>
      <c r="B3014">
        <v>151857503.54543251</v>
      </c>
    </row>
    <row r="3015" spans="1:2" x14ac:dyDescent="0.25">
      <c r="A3015">
        <f ca="1">27949.4185194733*((RANDBETWEEN(1620,2416)))</f>
        <v>57044763.198245011</v>
      </c>
      <c r="B3015">
        <v>149618227.9247725</v>
      </c>
    </row>
    <row r="3016" spans="1:2" x14ac:dyDescent="0.25">
      <c r="A3016">
        <f ca="1">31626.6464287537*((RANDBETWEEN(1620,2416)))</f>
        <v>53101139.353877462</v>
      </c>
      <c r="B3016">
        <v>156058504.08776376</v>
      </c>
    </row>
    <row r="3017" spans="1:2" x14ac:dyDescent="0.25">
      <c r="A3017">
        <f ca="1">30926.71493773*((RANDBETWEEN(1620,2416)))</f>
        <v>71131444.356779024</v>
      </c>
      <c r="B3017">
        <v>151937170.42536035</v>
      </c>
    </row>
    <row r="3018" spans="1:2" x14ac:dyDescent="0.25">
      <c r="A3018">
        <f ca="1">27310.0575892664*((RANDBETWEEN(1620,2416)))</f>
        <v>50086645.618714616</v>
      </c>
      <c r="B3018">
        <v>149606134.20360202</v>
      </c>
    </row>
    <row r="3019" spans="1:2" x14ac:dyDescent="0.25">
      <c r="A3019">
        <f ca="1">26791.5676503504*((RANDBETWEEN(1620,2416)))</f>
        <v>61674188.731106579</v>
      </c>
      <c r="B3019">
        <v>154548753.56184059</v>
      </c>
    </row>
    <row r="3020" spans="1:2" x14ac:dyDescent="0.25">
      <c r="A3020">
        <f ca="1">34038.5514424012*((RANDBETWEEN(1620,2416)))</f>
        <v>55823224.365538016</v>
      </c>
      <c r="B3020">
        <v>197710901.17909881</v>
      </c>
    </row>
    <row r="3021" spans="1:2" x14ac:dyDescent="0.25">
      <c r="A3021">
        <f ca="1">28827.8142509278*((RANDBETWEEN(1620,2416)))</f>
        <v>53850357.020733081</v>
      </c>
      <c r="B3021">
        <v>197279924.16773301</v>
      </c>
    </row>
    <row r="3022" spans="1:2" x14ac:dyDescent="0.25">
      <c r="A3022">
        <f ca="1">31726.3343196868*((RANDBETWEEN(1620,2416)))</f>
        <v>74556885.651264012</v>
      </c>
      <c r="B3022">
        <v>169321961.44810003</v>
      </c>
    </row>
    <row r="3023" spans="1:2" x14ac:dyDescent="0.25">
      <c r="A3023">
        <f ca="1">26589.6243585796*((RANDBETWEEN(1620,2416)))</f>
        <v>48898319.195427909</v>
      </c>
      <c r="B3023">
        <v>196645957.32449943</v>
      </c>
    </row>
    <row r="3024" spans="1:2" x14ac:dyDescent="0.25">
      <c r="A3024">
        <f ca="1">26766.8141558699*((RANDBETWEEN(1620,2416)))</f>
        <v>63357049.106944099</v>
      </c>
      <c r="B3024">
        <v>199452074.88435364</v>
      </c>
    </row>
    <row r="3025" spans="1:2" x14ac:dyDescent="0.25">
      <c r="A3025">
        <f ca="1">28893.0249875735*((RANDBETWEEN(1620,2416)))</f>
        <v>53018700.852197416</v>
      </c>
      <c r="B3025">
        <v>167496831.37075645</v>
      </c>
    </row>
    <row r="3026" spans="1:2" x14ac:dyDescent="0.25">
      <c r="A3026">
        <f ca="1">25650.3003805105*((RANDBETWEEN(1620,2416)))</f>
        <v>43092504.639257595</v>
      </c>
      <c r="B3026">
        <v>167156667.42795023</v>
      </c>
    </row>
    <row r="3027" spans="1:2" x14ac:dyDescent="0.25">
      <c r="A3027">
        <f ca="1">26502.5980117616*((RANDBETWEEN(1620,2416)))</f>
        <v>63208696.258051366</v>
      </c>
      <c r="B3027">
        <v>153098548.34393144</v>
      </c>
    </row>
    <row r="3028" spans="1:2" x14ac:dyDescent="0.25">
      <c r="A3028">
        <f ca="1">29987.319457659*((RANDBETWEEN(1620,2416)))</f>
        <v>51218341.633681618</v>
      </c>
      <c r="B3028">
        <v>146823332.78993127</v>
      </c>
    </row>
    <row r="3029" spans="1:2" x14ac:dyDescent="0.25">
      <c r="A3029">
        <f ca="1">26104.002473558*((RANDBETWEEN(1620,2416)))</f>
        <v>48814484.625553541</v>
      </c>
      <c r="B3029">
        <v>150299446.63326716</v>
      </c>
    </row>
    <row r="3030" spans="1:2" x14ac:dyDescent="0.25">
      <c r="A3030">
        <f ca="1">29909.401648644*((RANDBETWEEN(1620,2416)))</f>
        <v>70945100.710583478</v>
      </c>
      <c r="B3030">
        <v>164298385.99624509</v>
      </c>
    </row>
    <row r="3031" spans="1:2" x14ac:dyDescent="0.25">
      <c r="A3031">
        <f ca="1">26443.3866595925*((RANDBETWEEN(1620,2416)))</f>
        <v>51538160.599545777</v>
      </c>
      <c r="B3031">
        <v>156489102.78007823</v>
      </c>
    </row>
    <row r="3032" spans="1:2" x14ac:dyDescent="0.25">
      <c r="A3032">
        <f ca="1">28595.1337552894*((RANDBETWEEN(1620,2416)))</f>
        <v>55646130.287793219</v>
      </c>
      <c r="B3032">
        <v>153129302.89931682</v>
      </c>
    </row>
    <row r="3033" spans="1:2" x14ac:dyDescent="0.25">
      <c r="A3033">
        <f ca="1">27715.8255801128*((RANDBETWEEN(1620,2416)))</f>
        <v>49583611.962821767</v>
      </c>
      <c r="B3033">
        <v>146298603.64736018</v>
      </c>
    </row>
    <row r="3034" spans="1:2" x14ac:dyDescent="0.25">
      <c r="A3034">
        <f ca="1">27626.4751215567*((RANDBETWEEN(1620,2416)))</f>
        <v>46108586.977878079</v>
      </c>
      <c r="B3034">
        <v>170092700.13795054</v>
      </c>
    </row>
    <row r="3035" spans="1:2" x14ac:dyDescent="0.25">
      <c r="A3035">
        <f ca="1">26284.3319780074*((RANDBETWEEN(1620,2416)))</f>
        <v>50912751.041400306</v>
      </c>
      <c r="B3035">
        <v>178572273.09384778</v>
      </c>
    </row>
    <row r="3036" spans="1:2" x14ac:dyDescent="0.25">
      <c r="A3036">
        <f ca="1">25043.417970084*((RANDBETWEEN(1620,2416)))</f>
        <v>41121292.306877919</v>
      </c>
      <c r="B3036">
        <v>150014446.97673503</v>
      </c>
    </row>
    <row r="3037" spans="1:2" x14ac:dyDescent="0.25">
      <c r="A3037">
        <f ca="1">28471.740444394*((RANDBETWEEN(1620,2416)))</f>
        <v>50480395.807910576</v>
      </c>
      <c r="B3037">
        <v>172476612.51294833</v>
      </c>
    </row>
    <row r="3038" spans="1:2" x14ac:dyDescent="0.25">
      <c r="A3038">
        <f ca="1">26724.9279558837*((RANDBETWEEN(1620,2416)))</f>
        <v>50884262.828002609</v>
      </c>
      <c r="B3038">
        <v>194705039.12046784</v>
      </c>
    </row>
    <row r="3039" spans="1:2" x14ac:dyDescent="0.25">
      <c r="A3039">
        <f ca="1">25892.2300520865*((RANDBETWEEN(1620,2416)))</f>
        <v>42204334.984901026</v>
      </c>
      <c r="B3039">
        <v>144306941.56506574</v>
      </c>
    </row>
    <row r="3040" spans="1:2" x14ac:dyDescent="0.25">
      <c r="A3040">
        <f ca="1">27165.9835349019*((RANDBETWEEN(1620,2416)))</f>
        <v>52403182.238825835</v>
      </c>
      <c r="B3040">
        <v>190721428.51536402</v>
      </c>
    </row>
    <row r="3041" spans="1:2" x14ac:dyDescent="0.25">
      <c r="A3041">
        <f ca="1">28110.773430243*((RANDBETWEEN(1620,2416)))</f>
        <v>60747381.382755063</v>
      </c>
      <c r="B3041">
        <v>147078782.43576008</v>
      </c>
    </row>
    <row r="3042" spans="1:2" x14ac:dyDescent="0.25">
      <c r="A3042">
        <f ca="1">26795.3710261674*((RANDBETWEEN(1620,2416)))</f>
        <v>44507111.274464048</v>
      </c>
      <c r="B3042">
        <v>173173415.05800614</v>
      </c>
    </row>
    <row r="3043" spans="1:2" x14ac:dyDescent="0.25">
      <c r="A3043">
        <f ca="1">27119.7211449371*((RANDBETWEEN(1620,2416)))</f>
        <v>51608829.338815376</v>
      </c>
      <c r="B3043">
        <v>148557790.26076597</v>
      </c>
    </row>
    <row r="3044" spans="1:2" x14ac:dyDescent="0.25">
      <c r="A3044">
        <f ca="1">28883.8174332832*((RANDBETWEEN(1620,2416)))</f>
        <v>60482713.705295034</v>
      </c>
      <c r="B3044">
        <v>157460176.29753047</v>
      </c>
    </row>
    <row r="3045" spans="1:2" x14ac:dyDescent="0.25">
      <c r="A3045">
        <f ca="1">31924.4562664483*((RANDBETWEEN(1620,2416)))</f>
        <v>57432096.823340558</v>
      </c>
      <c r="B3045">
        <v>187422362.83032936</v>
      </c>
    </row>
    <row r="3046" spans="1:2" x14ac:dyDescent="0.25">
      <c r="A3046">
        <f ca="1">27060.2322311453*((RANDBETWEEN(1620,2416)))</f>
        <v>53849862.139979139</v>
      </c>
      <c r="B3046">
        <v>179994921.81418383</v>
      </c>
    </row>
    <row r="3047" spans="1:2" x14ac:dyDescent="0.25">
      <c r="A3047">
        <f ca="1">27835.0080318514*((RANDBETWEEN(1620,2416)))</f>
        <v>59733927.236353099</v>
      </c>
      <c r="B3047">
        <v>177766995.94866902</v>
      </c>
    </row>
    <row r="3048" spans="1:2" x14ac:dyDescent="0.25">
      <c r="A3048">
        <f ca="1">24776.8708826891*((RANDBETWEEN(1620,2416)))</f>
        <v>46208864.196215264</v>
      </c>
      <c r="B3048">
        <v>157663654.84222633</v>
      </c>
    </row>
    <row r="3049" spans="1:2" x14ac:dyDescent="0.25">
      <c r="A3049">
        <f ca="1">26839.9192681488*((RANDBETWEEN(1620,2416)))</f>
        <v>44715305.500735901</v>
      </c>
      <c r="B3049">
        <v>147370803.98595592</v>
      </c>
    </row>
    <row r="3050" spans="1:2" x14ac:dyDescent="0.25">
      <c r="A3050">
        <f ca="1">31292.0589032884*((RANDBETWEEN(1620,2416)))</f>
        <v>67653431.348909467</v>
      </c>
      <c r="B3050">
        <v>199543383.34121031</v>
      </c>
    </row>
    <row r="3051" spans="1:2" x14ac:dyDescent="0.25">
      <c r="A3051">
        <f ca="1">27227.200520686*((RANDBETWEEN(1620,2416)))</f>
        <v>59709250.741864406</v>
      </c>
      <c r="B3051">
        <v>165549004.53076023</v>
      </c>
    </row>
    <row r="3052" spans="1:2" x14ac:dyDescent="0.25">
      <c r="A3052">
        <f ca="1">25878.4152750367*((RANDBETWEEN(1620,2416)))</f>
        <v>46943445.308916494</v>
      </c>
      <c r="B3052">
        <v>151070644.21715641</v>
      </c>
    </row>
    <row r="3053" spans="1:2" x14ac:dyDescent="0.25">
      <c r="A3053">
        <f ca="1">27215.8645646244*((RANDBETWEEN(1620,2416)))</f>
        <v>64610462.476418234</v>
      </c>
      <c r="B3053">
        <v>159423803.69604826</v>
      </c>
    </row>
    <row r="3054" spans="1:2" x14ac:dyDescent="0.25">
      <c r="A3054">
        <f ca="1">26760.259181754*((RANDBETWEEN(1620,2416)))</f>
        <v>49827602.596425988</v>
      </c>
      <c r="B3054">
        <v>168445280.16511646</v>
      </c>
    </row>
    <row r="3055" spans="1:2" x14ac:dyDescent="0.25">
      <c r="A3055">
        <f ca="1">25952.9353898176*((RANDBETWEEN(1620,2416)))</f>
        <v>51853964.90885555</v>
      </c>
      <c r="B3055">
        <v>157950940.44268072</v>
      </c>
    </row>
    <row r="3056" spans="1:2" x14ac:dyDescent="0.25">
      <c r="A3056">
        <f ca="1">27087.4123524591*((RANDBETWEEN(1620,2416)))</f>
        <v>49488702.367942788</v>
      </c>
      <c r="B3056">
        <v>190460720.8849628</v>
      </c>
    </row>
    <row r="3057" spans="1:2" x14ac:dyDescent="0.25">
      <c r="A3057">
        <f ca="1">30676.1923257556*((RANDBETWEEN(1620,2416)))</f>
        <v>72518518.658086225</v>
      </c>
      <c r="B3057">
        <v>163648590.97462279</v>
      </c>
    </row>
    <row r="3058" spans="1:2" x14ac:dyDescent="0.25">
      <c r="A3058">
        <f ca="1">28602.6862166265*((RANDBETWEEN(1620,2416)))</f>
        <v>50884178.779378563</v>
      </c>
      <c r="B3058">
        <v>154898463.84894815</v>
      </c>
    </row>
    <row r="3059" spans="1:2" x14ac:dyDescent="0.25">
      <c r="A3059">
        <f ca="1">28471.6422539283*((RANDBETWEEN(1620,2416)))</f>
        <v>52985726.234560564</v>
      </c>
      <c r="B3059">
        <v>194392895.73906067</v>
      </c>
    </row>
    <row r="3060" spans="1:2" x14ac:dyDescent="0.25">
      <c r="A3060">
        <f ca="1">28987.8353889624*((RANDBETWEEN(1620,2416)))</f>
        <v>61686113.70771195</v>
      </c>
      <c r="B3060">
        <v>177009509.22810435</v>
      </c>
    </row>
    <row r="3061" spans="1:2" x14ac:dyDescent="0.25">
      <c r="A3061">
        <f ca="1">27300.9830414056*((RANDBETWEEN(1620,2416)))</f>
        <v>48404642.932412185</v>
      </c>
      <c r="B3061">
        <v>176706151.61043426</v>
      </c>
    </row>
    <row r="3062" spans="1:2" x14ac:dyDescent="0.25">
      <c r="A3062">
        <f ca="1">31855.4803078531*((RANDBETWEEN(1620,2416)))</f>
        <v>68489282.661884069</v>
      </c>
      <c r="B3062">
        <v>176044619.51390621</v>
      </c>
    </row>
    <row r="3063" spans="1:2" x14ac:dyDescent="0.25">
      <c r="A3063">
        <f ca="1">25596.2854882739*((RANDBETWEEN(1620,2416)))</f>
        <v>55927883.791878425</v>
      </c>
      <c r="B3063">
        <v>148345879.66866422</v>
      </c>
    </row>
    <row r="3064" spans="1:2" x14ac:dyDescent="0.25">
      <c r="A3064">
        <f ca="1">26753.8641552006*((RANDBETWEEN(1620,2416)))</f>
        <v>48772294.354930766</v>
      </c>
      <c r="B3064">
        <v>195348811.52452669</v>
      </c>
    </row>
    <row r="3065" spans="1:2" x14ac:dyDescent="0.25">
      <c r="A3065">
        <f ca="1">29646.1613178068*((RANDBETWEEN(1620,2416)))</f>
        <v>61901184.831580587</v>
      </c>
      <c r="B3065">
        <v>154851996.49852335</v>
      </c>
    </row>
    <row r="3066" spans="1:2" x14ac:dyDescent="0.25">
      <c r="A3066">
        <f ca="1">26905.8364157491*((RANDBETWEEN(1620,2416)))</f>
        <v>60834096.136008762</v>
      </c>
      <c r="B3066">
        <v>150091901.11942011</v>
      </c>
    </row>
    <row r="3067" spans="1:2" x14ac:dyDescent="0.25">
      <c r="A3067">
        <f ca="1">32032.5135241981*((RANDBETWEEN(1620,2416)))</f>
        <v>67844863.64425154</v>
      </c>
      <c r="B3067">
        <v>173112304.46776032</v>
      </c>
    </row>
    <row r="3068" spans="1:2" x14ac:dyDescent="0.25">
      <c r="A3068">
        <f ca="1">26942.7149730141*((RANDBETWEEN(1620,2416)))</f>
        <v>54074028.95083937</v>
      </c>
      <c r="B3068">
        <v>188377894.75725579</v>
      </c>
    </row>
    <row r="3069" spans="1:2" x14ac:dyDescent="0.25">
      <c r="A3069">
        <f ca="1">32845.8188031734*((RANDBETWEEN(1620,2416)))</f>
        <v>57315953.811537571</v>
      </c>
      <c r="B3069">
        <v>184475108.02163678</v>
      </c>
    </row>
    <row r="3070" spans="1:2" x14ac:dyDescent="0.25">
      <c r="A3070">
        <f ca="1">30023.4298276624*((RANDBETWEEN(1620,2416)))</f>
        <v>68033091.989482954</v>
      </c>
      <c r="B3070">
        <v>169910444.93986517</v>
      </c>
    </row>
    <row r="3071" spans="1:2" x14ac:dyDescent="0.25">
      <c r="A3071">
        <f ca="1">26383.8128094115*((RANDBETWEEN(1620,2416)))</f>
        <v>42952847.253721848</v>
      </c>
      <c r="B3071">
        <v>153642445.55484265</v>
      </c>
    </row>
    <row r="3072" spans="1:2" x14ac:dyDescent="0.25">
      <c r="A3072">
        <f ca="1">30704.7238612356*((RANDBETWEEN(1620,2416)))</f>
        <v>73322880.580630586</v>
      </c>
      <c r="B3072">
        <v>151348867.01950735</v>
      </c>
    </row>
    <row r="3073" spans="1:2" x14ac:dyDescent="0.25">
      <c r="A3073">
        <f ca="1">26866.4745910548*((RANDBETWEEN(1620,2416)))</f>
        <v>55855400.674802989</v>
      </c>
      <c r="B3073">
        <v>143177862.67265832</v>
      </c>
    </row>
    <row r="3074" spans="1:2" x14ac:dyDescent="0.25">
      <c r="A3074">
        <f ca="1">29281.91444659*((RANDBETWEEN(1620,2416)))</f>
        <v>48168749.264640473</v>
      </c>
      <c r="B3074">
        <v>173188538.16865015</v>
      </c>
    </row>
    <row r="3075" spans="1:2" x14ac:dyDescent="0.25">
      <c r="A3075">
        <f ca="1">28142.6617677214*((RANDBETWEEN(1620,2416)))</f>
        <v>47814382.343358733</v>
      </c>
      <c r="B3075">
        <v>145571586.95038071</v>
      </c>
    </row>
    <row r="3076" spans="1:2" x14ac:dyDescent="0.25">
      <c r="A3076">
        <f ca="1">26603.8591687981*((RANDBETWEEN(1620,2416)))</f>
        <v>60124721.721483737</v>
      </c>
      <c r="B3076">
        <v>191726359.1990824</v>
      </c>
    </row>
    <row r="3077" spans="1:2" x14ac:dyDescent="0.25">
      <c r="A3077">
        <f ca="1">25852.1405754208*((RANDBETWEEN(1620,2416)))</f>
        <v>55271876.550249614</v>
      </c>
      <c r="B3077">
        <v>160211712.82182622</v>
      </c>
    </row>
    <row r="3078" spans="1:2" x14ac:dyDescent="0.25">
      <c r="A3078">
        <f ca="1">28650.9453311834*((RANDBETWEEN(1620,2416)))</f>
        <v>59880475.742173381</v>
      </c>
      <c r="B3078">
        <v>151827711.61600155</v>
      </c>
    </row>
    <row r="3079" spans="1:2" x14ac:dyDescent="0.25">
      <c r="A3079">
        <f ca="1">29311.8604731263*((RANDBETWEEN(1620,2416)))</f>
        <v>69938099.088879302</v>
      </c>
      <c r="B3079">
        <v>162471218.13013154</v>
      </c>
    </row>
    <row r="3080" spans="1:2" x14ac:dyDescent="0.25">
      <c r="A3080">
        <f ca="1">28010.959087514*((RANDBETWEEN(1620,2416)))</f>
        <v>46778301.67614843</v>
      </c>
      <c r="B3080">
        <v>165004946.82838926</v>
      </c>
    </row>
    <row r="3081" spans="1:2" x14ac:dyDescent="0.25">
      <c r="A3081">
        <f ca="1">28010.022880439*((RANDBETWEEN(1620,2416)))</f>
        <v>58176817.5226717</v>
      </c>
      <c r="B3081">
        <v>157616363.29954195</v>
      </c>
    </row>
    <row r="3082" spans="1:2" x14ac:dyDescent="0.25">
      <c r="A3082">
        <f ca="1">26694.3573525676*((RANDBETWEEN(1620,2416)))</f>
        <v>44419410.634672508</v>
      </c>
      <c r="B3082">
        <v>156368498.24567038</v>
      </c>
    </row>
    <row r="3083" spans="1:2" x14ac:dyDescent="0.25">
      <c r="A3083">
        <f ca="1">30235.3062039249*((RANDBETWEEN(1620,2416)))</f>
        <v>66578144.261042587</v>
      </c>
      <c r="B3083">
        <v>202153760.96384865</v>
      </c>
    </row>
    <row r="3084" spans="1:2" x14ac:dyDescent="0.25">
      <c r="A3084">
        <f ca="1">26238.6020480678*((RANDBETWEEN(1620,2416)))</f>
        <v>52765828.718664259</v>
      </c>
      <c r="B3084">
        <v>161152760.45113131</v>
      </c>
    </row>
    <row r="3085" spans="1:2" x14ac:dyDescent="0.25">
      <c r="A3085">
        <f ca="1">31498.8879197355*((RANDBETWEEN(1620,2416)))</f>
        <v>55123053.85953708</v>
      </c>
      <c r="B3085">
        <v>196642537.14483172</v>
      </c>
    </row>
    <row r="3086" spans="1:2" x14ac:dyDescent="0.25">
      <c r="A3086">
        <f ca="1">27441.9532629964*((RANDBETWEEN(1620,2416)))</f>
        <v>51014591.115910225</v>
      </c>
      <c r="B3086">
        <v>194092318.23862633</v>
      </c>
    </row>
    <row r="3087" spans="1:2" x14ac:dyDescent="0.25">
      <c r="A3087">
        <f ca="1">25958.8989877234*((RANDBETWEEN(1620,2416)))</f>
        <v>55318413.742838465</v>
      </c>
      <c r="B3087">
        <v>144529915.46010032</v>
      </c>
    </row>
    <row r="3088" spans="1:2" x14ac:dyDescent="0.25">
      <c r="A3088">
        <f ca="1">25602.6779739346*((RANDBETWEEN(1620,2416)))</f>
        <v>45905601.607264794</v>
      </c>
      <c r="B3088">
        <v>178799998.98255545</v>
      </c>
    </row>
    <row r="3089" spans="1:2" x14ac:dyDescent="0.25">
      <c r="A3089">
        <f ca="1">31821.326142257*((RANDBETWEEN(1620,2416)))</f>
        <v>76466646.719843626</v>
      </c>
      <c r="B3089">
        <v>156302950.05459687</v>
      </c>
    </row>
    <row r="3090" spans="1:2" x14ac:dyDescent="0.25">
      <c r="A3090">
        <f ca="1">29673.5568249299*((RANDBETWEEN(1620,2416)))</f>
        <v>66023663.935469121</v>
      </c>
      <c r="B3090">
        <v>186908148.92079651</v>
      </c>
    </row>
    <row r="3091" spans="1:2" x14ac:dyDescent="0.25">
      <c r="A3091">
        <f ca="1">29147.2094306425*((RANDBETWEEN(1620,2416)))</f>
        <v>54563576.054162793</v>
      </c>
      <c r="B3091">
        <v>179673334.44447044</v>
      </c>
    </row>
    <row r="3092" spans="1:2" x14ac:dyDescent="0.25">
      <c r="A3092">
        <f ca="1">28039.4935781868*((RANDBETWEEN(1620,2416)))</f>
        <v>56471540.066468157</v>
      </c>
      <c r="B3092">
        <v>194214868.85624856</v>
      </c>
    </row>
    <row r="3093" spans="1:2" x14ac:dyDescent="0.25">
      <c r="A3093">
        <f ca="1">26706.4847727404*((RANDBETWEEN(1620,2416)))</f>
        <v>50875853.492070481</v>
      </c>
      <c r="B3093">
        <v>145214083.53730005</v>
      </c>
    </row>
    <row r="3094" spans="1:2" x14ac:dyDescent="0.25">
      <c r="A3094">
        <f ca="1">26352.3582450232*((RANDBETWEEN(1620,2416)))</f>
        <v>59793500.857957564</v>
      </c>
      <c r="B3094">
        <v>175150075.11143056</v>
      </c>
    </row>
    <row r="3095" spans="1:2" x14ac:dyDescent="0.25">
      <c r="A3095">
        <f ca="1">30578.5089904743*((RANDBETWEEN(1620,2416)))</f>
        <v>50454539.834282547</v>
      </c>
      <c r="B3095">
        <v>166091451.00051683</v>
      </c>
    </row>
    <row r="3096" spans="1:2" x14ac:dyDescent="0.25">
      <c r="A3096">
        <f ca="1">26254.9042672563*((RANDBETWEEN(1620,2416)))</f>
        <v>44922141.20127549</v>
      </c>
      <c r="B3096">
        <v>146718927.77622274</v>
      </c>
    </row>
    <row r="3097" spans="1:2" x14ac:dyDescent="0.25">
      <c r="A3097">
        <f ca="1">26728.7289991341*((RANDBETWEEN(1620,2416)))</f>
        <v>56317432.001175545</v>
      </c>
      <c r="B3097">
        <v>167198747.85126451</v>
      </c>
    </row>
    <row r="3098" spans="1:2" x14ac:dyDescent="0.25">
      <c r="A3098">
        <f ca="1">26376.4308850904*((RANDBETWEEN(1620,2416)))</f>
        <v>60006380.263580643</v>
      </c>
      <c r="B3098">
        <v>151840182.11456352</v>
      </c>
    </row>
    <row r="3099" spans="1:2" x14ac:dyDescent="0.25">
      <c r="A3099">
        <f ca="1">30153.9731535668*((RANDBETWEEN(1620,2416)))</f>
        <v>52890068.911356129</v>
      </c>
      <c r="B3099">
        <v>175640771.03149575</v>
      </c>
    </row>
    <row r="3100" spans="1:2" x14ac:dyDescent="0.25">
      <c r="A3100">
        <f ca="1">26531.0262245091*((RANDBETWEEN(1620,2416)))</f>
        <v>48684433.1219742</v>
      </c>
      <c r="B3100">
        <v>157763543.61232781</v>
      </c>
    </row>
    <row r="3101" spans="1:2" x14ac:dyDescent="0.25">
      <c r="A3101">
        <f ca="1">29483.3997258477*((RANDBETWEEN(1620,2416)))</f>
        <v>67575952.171642855</v>
      </c>
      <c r="B3101">
        <v>171857797.07356277</v>
      </c>
    </row>
    <row r="3102" spans="1:2" x14ac:dyDescent="0.25">
      <c r="A3102">
        <f ca="1">27977.9722569144*((RANDBETWEEN(1620,2416)))</f>
        <v>64461248.079930782</v>
      </c>
      <c r="B3102">
        <v>184193790.45368692</v>
      </c>
    </row>
    <row r="3103" spans="1:2" x14ac:dyDescent="0.25">
      <c r="A3103">
        <f ca="1">26137.0691001713*((RANDBETWEEN(1620,2416)))</f>
        <v>47909247.660613909</v>
      </c>
      <c r="B3103">
        <v>157819320.37915727</v>
      </c>
    </row>
    <row r="3104" spans="1:2" x14ac:dyDescent="0.25">
      <c r="A3104">
        <f ca="1">27435.5399869297*((RANDBETWEEN(1620,2416)))</f>
        <v>64336341.269350223</v>
      </c>
      <c r="B3104">
        <v>174131042.45427394</v>
      </c>
    </row>
    <row r="3105" spans="1:2" x14ac:dyDescent="0.25">
      <c r="A3105">
        <f ca="1">32126.2010725694*((RANDBETWEEN(1620,2416)))</f>
        <v>68782196.496371061</v>
      </c>
      <c r="B3105">
        <v>188493916.45235437</v>
      </c>
    </row>
    <row r="3106" spans="1:2" x14ac:dyDescent="0.25">
      <c r="A3106">
        <f ca="1">25140.3957924297*((RANDBETWEEN(1620,2416)))</f>
        <v>50758459.104915641</v>
      </c>
      <c r="B3106">
        <v>192359165.31235451</v>
      </c>
    </row>
    <row r="3107" spans="1:2" x14ac:dyDescent="0.25">
      <c r="A3107">
        <f ca="1">25893.3562298427*((RANDBETWEEN(1620,2416)))</f>
        <v>43086544.766458318</v>
      </c>
      <c r="B3107">
        <v>145093243.23308653</v>
      </c>
    </row>
    <row r="3108" spans="1:2" x14ac:dyDescent="0.25">
      <c r="A3108">
        <f ca="1">27570.0336343099*((RANDBETWEEN(1620,2416)))</f>
        <v>63990048.065233193</v>
      </c>
      <c r="B3108">
        <v>156751316.41410458</v>
      </c>
    </row>
    <row r="3109" spans="1:2" x14ac:dyDescent="0.25">
      <c r="A3109">
        <f ca="1">26660.3526376346*((RANDBETWEEN(1620,2416)))</f>
        <v>56786551.118161783</v>
      </c>
      <c r="B3109">
        <v>181341124.83471316</v>
      </c>
    </row>
    <row r="3110" spans="1:2" x14ac:dyDescent="0.25">
      <c r="A3110">
        <f ca="1">28058.2011492178*((RANDBETWEEN(1620,2416)))</f>
        <v>63523767.401829034</v>
      </c>
      <c r="B3110">
        <v>188604716.91036528</v>
      </c>
    </row>
    <row r="3111" spans="1:2" x14ac:dyDescent="0.25">
      <c r="A3111">
        <f ca="1">28709.2480078187*((RANDBETWEEN(1620,2416)))</f>
        <v>67725116.05044435</v>
      </c>
      <c r="B3111">
        <v>190396744.6749106</v>
      </c>
    </row>
    <row r="3112" spans="1:2" x14ac:dyDescent="0.25">
      <c r="A3112">
        <f ca="1">26763.350233071*((RANDBETWEEN(1620,2416)))</f>
        <v>58531446.959726341</v>
      </c>
      <c r="B3112">
        <v>176351172.03353003</v>
      </c>
    </row>
    <row r="3113" spans="1:2" x14ac:dyDescent="0.25">
      <c r="A3113">
        <f ca="1">29766.0791470597*((RANDBETWEEN(1620,2416)))</f>
        <v>64413795.274237216</v>
      </c>
      <c r="B3113">
        <v>182522827.42542389</v>
      </c>
    </row>
    <row r="3114" spans="1:2" x14ac:dyDescent="0.25">
      <c r="A3114">
        <f ca="1">28233.248902017*((RANDBETWEEN(1620,2416)))</f>
        <v>48052989.631232888</v>
      </c>
      <c r="B3114">
        <v>187676630.64651579</v>
      </c>
    </row>
    <row r="3115" spans="1:2" x14ac:dyDescent="0.25">
      <c r="A3115">
        <f ca="1">28198.3488227138*((RANDBETWEEN(1620,2416)))</f>
        <v>65984136.245150283</v>
      </c>
      <c r="B3115">
        <v>162308943.57733041</v>
      </c>
    </row>
    <row r="3116" spans="1:2" x14ac:dyDescent="0.25">
      <c r="A3116">
        <f ca="1">26642.1266773763*((RANDBETWEEN(1620,2416)))</f>
        <v>46250731.911925174</v>
      </c>
      <c r="B3116">
        <v>196122831.0383223</v>
      </c>
    </row>
    <row r="3117" spans="1:2" x14ac:dyDescent="0.25">
      <c r="A3117">
        <f ca="1">26211.9502387807*((RANDBETWEEN(1620,2416)))</f>
        <v>60680664.802777395</v>
      </c>
      <c r="B3117">
        <v>149119956.45474064</v>
      </c>
    </row>
    <row r="3118" spans="1:2" x14ac:dyDescent="0.25">
      <c r="A3118">
        <f ca="1">28695.6808539654*((RANDBETWEEN(1620,2416)))</f>
        <v>68238329.070729703</v>
      </c>
      <c r="B3118">
        <v>173081875.54558945</v>
      </c>
    </row>
    <row r="3119" spans="1:2" x14ac:dyDescent="0.25">
      <c r="A3119">
        <f ca="1">26522.3758664444*((RANDBETWEEN(1620,2416)))</f>
        <v>46493724.893877096</v>
      </c>
      <c r="B3119">
        <v>148879174.86640576</v>
      </c>
    </row>
    <row r="3120" spans="1:2" x14ac:dyDescent="0.25">
      <c r="A3120">
        <f ca="1">28120.0367976385*((RANDBETWEEN(1620,2416)))</f>
        <v>46510540.863294035</v>
      </c>
      <c r="B3120">
        <v>171093721.12317303</v>
      </c>
    </row>
    <row r="3121" spans="1:2" x14ac:dyDescent="0.25">
      <c r="A3121">
        <f ca="1">33646.8064042397*((RANDBETWEEN(1620,2416)))</f>
        <v>73282744.348434061</v>
      </c>
      <c r="B3121">
        <v>183897477.41166928</v>
      </c>
    </row>
    <row r="3122" spans="1:2" x14ac:dyDescent="0.25">
      <c r="A3122">
        <f ca="1">26036.145314294*((RANDBETWEEN(1620,2416)))</f>
        <v>58373037.794647083</v>
      </c>
      <c r="B3122">
        <v>143507345.82895982</v>
      </c>
    </row>
    <row r="3123" spans="1:2" x14ac:dyDescent="0.25">
      <c r="A3123">
        <f ca="1">31413.6755667712*((RANDBETWEEN(1620,2416)))</f>
        <v>64366621.2363142</v>
      </c>
      <c r="B3123">
        <v>173383643.0575043</v>
      </c>
    </row>
    <row r="3124" spans="1:2" x14ac:dyDescent="0.25">
      <c r="A3124">
        <f ca="1">27649.6446810099*((RANDBETWEEN(1620,2416)))</f>
        <v>50985944.791782208</v>
      </c>
      <c r="B3124">
        <v>187202997.23266578</v>
      </c>
    </row>
    <row r="3125" spans="1:2" x14ac:dyDescent="0.25">
      <c r="A3125">
        <f ca="1">26575.535677484*((RANDBETWEEN(1620,2416)))</f>
        <v>44700051.009528019</v>
      </c>
      <c r="B3125">
        <v>199756334.27409789</v>
      </c>
    </row>
    <row r="3126" spans="1:2" x14ac:dyDescent="0.25">
      <c r="A3126">
        <f ca="1">30918.1007493009*((RANDBETWEEN(1620,2416)))</f>
        <v>64556994.364540309</v>
      </c>
      <c r="B3126">
        <v>151405517.64793408</v>
      </c>
    </row>
    <row r="3127" spans="1:2" x14ac:dyDescent="0.25">
      <c r="A3127">
        <f ca="1">31694.2855809185*((RANDBETWEEN(1620,2416)))</f>
        <v>62089105.453019351</v>
      </c>
      <c r="B3127">
        <v>162214238.53469315</v>
      </c>
    </row>
    <row r="3128" spans="1:2" x14ac:dyDescent="0.25">
      <c r="A3128">
        <f ca="1">26920.9089341104*((RANDBETWEEN(1620,2416)))</f>
        <v>60383598.739209704</v>
      </c>
      <c r="B3128">
        <v>171762596.18602031</v>
      </c>
    </row>
    <row r="3129" spans="1:2" x14ac:dyDescent="0.25">
      <c r="A3129">
        <f ca="1">25979.4812901959*((RANDBETWEEN(1620,2416)))</f>
        <v>49542870.820403636</v>
      </c>
      <c r="B3129">
        <v>160557468.14998376</v>
      </c>
    </row>
    <row r="3130" spans="1:2" x14ac:dyDescent="0.25">
      <c r="A3130">
        <f ca="1">26565.5796965756*((RANDBETWEEN(1620,2416)))</f>
        <v>52307626.422557332</v>
      </c>
      <c r="B3130">
        <v>147754055.01695019</v>
      </c>
    </row>
    <row r="3131" spans="1:2" x14ac:dyDescent="0.25">
      <c r="A3131">
        <f ca="1">29376.9018593733*((RANDBETWEEN(1620,2416)))</f>
        <v>66391798.202183664</v>
      </c>
      <c r="B3131">
        <v>195774177.24009636</v>
      </c>
    </row>
    <row r="3132" spans="1:2" x14ac:dyDescent="0.25">
      <c r="A3132">
        <f ca="1">29091.9785865788*((RANDBETWEEN(1620,2416)))</f>
        <v>65864239.520014502</v>
      </c>
      <c r="B3132">
        <v>178391995.04793537</v>
      </c>
    </row>
    <row r="3133" spans="1:2" x14ac:dyDescent="0.25">
      <c r="A3133">
        <f ca="1">26649.4404518795*((RANDBETWEEN(1620,2416)))</f>
        <v>43918277.864697441</v>
      </c>
      <c r="B3133">
        <v>175954480.59418657</v>
      </c>
    </row>
    <row r="3134" spans="1:2" x14ac:dyDescent="0.25">
      <c r="A3134">
        <f ca="1">29722.4943839955*((RANDBETWEEN(1620,2416)))</f>
        <v>67202559.802213892</v>
      </c>
      <c r="B3134">
        <v>188868725.76390561</v>
      </c>
    </row>
    <row r="3135" spans="1:2" x14ac:dyDescent="0.25">
      <c r="A3135">
        <f ca="1">26263.9326826779*((RANDBETWEEN(1620,2416)))</f>
        <v>61352546.74673561</v>
      </c>
      <c r="B3135">
        <v>166223908.33464807</v>
      </c>
    </row>
    <row r="3136" spans="1:2" x14ac:dyDescent="0.25">
      <c r="A3136">
        <f ca="1">26115.2466355136*((RANDBETWEEN(1620,2416)))</f>
        <v>48966087.441587992</v>
      </c>
      <c r="B3136">
        <v>144073565.43020537</v>
      </c>
    </row>
    <row r="3137" spans="1:2" x14ac:dyDescent="0.25">
      <c r="A3137">
        <f ca="1">30053.6516787707*((RANDBETWEEN(1620,2416)))</f>
        <v>53104802.516387887</v>
      </c>
      <c r="B3137">
        <v>161393817.64514378</v>
      </c>
    </row>
    <row r="3138" spans="1:2" x14ac:dyDescent="0.25">
      <c r="A3138">
        <f ca="1">28643.2692074357*((RANDBETWEEN(1620,2416)))</f>
        <v>58031263.414264746</v>
      </c>
      <c r="B3138">
        <v>158673835.57179412</v>
      </c>
    </row>
    <row r="3139" spans="1:2" x14ac:dyDescent="0.25">
      <c r="A3139">
        <f ca="1">27164.3116593305*((RANDBETWEEN(1620,2416)))</f>
        <v>50688605.556310639</v>
      </c>
      <c r="B3139">
        <v>155442073.69770563</v>
      </c>
    </row>
    <row r="3140" spans="1:2" x14ac:dyDescent="0.25">
      <c r="A3140">
        <f ca="1">26956.7648418208*((RANDBETWEEN(1620,2416)))</f>
        <v>59466623.241056643</v>
      </c>
      <c r="B3140">
        <v>149898214.18689573</v>
      </c>
    </row>
    <row r="3141" spans="1:2" x14ac:dyDescent="0.25">
      <c r="A3141">
        <f ca="1">27969.1424800917*((RANDBETWEEN(1620,2416)))</f>
        <v>59406458.627714843</v>
      </c>
      <c r="B3141">
        <v>191378830.28972244</v>
      </c>
    </row>
    <row r="3142" spans="1:2" x14ac:dyDescent="0.25">
      <c r="A3142">
        <f ca="1">29108.983512864*((RANDBETWEEN(1620,2416)))</f>
        <v>49863688.757536083</v>
      </c>
      <c r="B3142">
        <v>178430221.43725801</v>
      </c>
    </row>
    <row r="3143" spans="1:2" x14ac:dyDescent="0.25">
      <c r="A3143">
        <f ca="1">28172.8374002544*((RANDBETWEEN(1620,2416)))</f>
        <v>60064489.337342411</v>
      </c>
      <c r="B3143">
        <v>177850343.77331984</v>
      </c>
    </row>
    <row r="3144" spans="1:2" x14ac:dyDescent="0.25">
      <c r="A3144">
        <f ca="1">30274.9150371049*((RANDBETWEEN(1620,2416)))</f>
        <v>54948970.792345427</v>
      </c>
      <c r="B3144">
        <v>183877191.0642167</v>
      </c>
    </row>
    <row r="3145" spans="1:2" x14ac:dyDescent="0.25">
      <c r="A3145">
        <f ca="1">29822.3484707384*((RANDBETWEEN(1620,2416)))</f>
        <v>58302691.260293625</v>
      </c>
      <c r="B3145">
        <v>148756982.92135131</v>
      </c>
    </row>
    <row r="3146" spans="1:2" x14ac:dyDescent="0.25">
      <c r="A3146">
        <f ca="1">27571.445879215*((RANDBETWEEN(1620,2416)))</f>
        <v>57707036.22519692</v>
      </c>
      <c r="B3146">
        <v>158884531.80638194</v>
      </c>
    </row>
    <row r="3147" spans="1:2" x14ac:dyDescent="0.25">
      <c r="A3147">
        <f ca="1">25601.844987121*((RANDBETWEEN(1620,2416)))</f>
        <v>52560587.758559354</v>
      </c>
      <c r="B3147">
        <v>143648569.05612588</v>
      </c>
    </row>
    <row r="3148" spans="1:2" x14ac:dyDescent="0.25">
      <c r="A3148">
        <f ca="1">27077.5618225899*((RANDBETWEEN(1620,2416)))</f>
        <v>50526730.360952727</v>
      </c>
      <c r="B3148">
        <v>194174322.6052953</v>
      </c>
    </row>
    <row r="3149" spans="1:2" x14ac:dyDescent="0.25">
      <c r="A3149">
        <f ca="1">27525.8359900427*((RANDBETWEEN(1620,2416)))</f>
        <v>64162723.69278954</v>
      </c>
      <c r="B3149">
        <v>198742545.17632377</v>
      </c>
    </row>
    <row r="3150" spans="1:2" x14ac:dyDescent="0.25">
      <c r="A3150">
        <f ca="1">28240.2889700993*((RANDBETWEEN(1620,2416)))</f>
        <v>53289425.286577344</v>
      </c>
      <c r="B3150">
        <v>158576656.98374525</v>
      </c>
    </row>
    <row r="3151" spans="1:2" x14ac:dyDescent="0.25">
      <c r="A3151">
        <f ca="1">27246.075475262*((RANDBETWEEN(1620,2416)))</f>
        <v>59641659.215348586</v>
      </c>
      <c r="B3151">
        <v>200454182.26990092</v>
      </c>
    </row>
    <row r="3152" spans="1:2" x14ac:dyDescent="0.25">
      <c r="A3152">
        <f ca="1">25718.1542736398*((RANDBETWEEN(1620,2416)))</f>
        <v>55422622.459693983</v>
      </c>
      <c r="B3152">
        <v>160519111.58002305</v>
      </c>
    </row>
    <row r="3153" spans="1:2" x14ac:dyDescent="0.25">
      <c r="A3153">
        <f ca="1">26348.0416799185*((RANDBETWEEN(1620,2416)))</f>
        <v>47215690.690413959</v>
      </c>
      <c r="B3153">
        <v>159930207.65151462</v>
      </c>
    </row>
    <row r="3154" spans="1:2" x14ac:dyDescent="0.25">
      <c r="A3154">
        <f ca="1">24895.8311820038*((RANDBETWEEN(1620,2416)))</f>
        <v>46704579.297439054</v>
      </c>
      <c r="B3154">
        <v>149432710.05860049</v>
      </c>
    </row>
    <row r="3155" spans="1:2" x14ac:dyDescent="0.25">
      <c r="A3155">
        <f ca="1">27787.8382918525*((RANDBETWEEN(1620,2416)))</f>
        <v>61022092.888908014</v>
      </c>
      <c r="B3155">
        <v>201148717.6039812</v>
      </c>
    </row>
    <row r="3156" spans="1:2" x14ac:dyDescent="0.25">
      <c r="A3156">
        <f ca="1">30057.8956754812*((RANDBETWEEN(1620,2416)))</f>
        <v>70726228.524407282</v>
      </c>
      <c r="B3156">
        <v>156443789.07285661</v>
      </c>
    </row>
    <row r="3157" spans="1:2" x14ac:dyDescent="0.25">
      <c r="A3157">
        <f ca="1">26893.5511414255*((RANDBETWEEN(1620,2416)))</f>
        <v>62258570.892399944</v>
      </c>
      <c r="B3157">
        <v>156019927.77794343</v>
      </c>
    </row>
    <row r="3158" spans="1:2" x14ac:dyDescent="0.25">
      <c r="A3158">
        <f ca="1">26617.8238416697*((RANDBETWEEN(1620,2416)))</f>
        <v>47912082.915005468</v>
      </c>
      <c r="B3158">
        <v>170053400.18205014</v>
      </c>
    </row>
    <row r="3159" spans="1:2" x14ac:dyDescent="0.25">
      <c r="A3159">
        <f ca="1">29535.5175042607*((RANDBETWEEN(1620,2416)))</f>
        <v>57210297.405752979</v>
      </c>
      <c r="B3159">
        <v>166623737.2610625</v>
      </c>
    </row>
    <row r="3160" spans="1:2" x14ac:dyDescent="0.25">
      <c r="A3160">
        <f ca="1">27182.3756165743*((RANDBETWEEN(1620,2416)))</f>
        <v>59991502.985779427</v>
      </c>
      <c r="B3160">
        <v>176815049.98338354</v>
      </c>
    </row>
    <row r="3161" spans="1:2" x14ac:dyDescent="0.25">
      <c r="A3161">
        <f ca="1">26922.1139841319*((RANDBETWEEN(1620,2416)))</f>
        <v>61624718.90967802</v>
      </c>
      <c r="B3161">
        <v>180446683.08634895</v>
      </c>
    </row>
    <row r="3162" spans="1:2" x14ac:dyDescent="0.25">
      <c r="A3162">
        <f ca="1">26930.3292276779*((RANDBETWEEN(1620,2416)))</f>
        <v>47693613.062217601</v>
      </c>
      <c r="B3162">
        <v>176099321.35588858</v>
      </c>
    </row>
    <row r="3163" spans="1:2" x14ac:dyDescent="0.25">
      <c r="A3163">
        <f ca="1">27128.9843406306*((RANDBETWEEN(1620,2416)))</f>
        <v>43976083.61616227</v>
      </c>
      <c r="B3163">
        <v>143787374.52852634</v>
      </c>
    </row>
    <row r="3164" spans="1:2" x14ac:dyDescent="0.25">
      <c r="A3164">
        <f ca="1">26301.4369423538*((RANDBETWEEN(1620,2416)))</f>
        <v>50472457.492377028</v>
      </c>
      <c r="B3164">
        <v>153952055.3315078</v>
      </c>
    </row>
    <row r="3165" spans="1:2" x14ac:dyDescent="0.25">
      <c r="A3165">
        <f ca="1">25916.4660869349*((RANDBETWEEN(1620,2416)))</f>
        <v>60152117.787775844</v>
      </c>
      <c r="B3165">
        <v>143078370.42797023</v>
      </c>
    </row>
    <row r="3166" spans="1:2" x14ac:dyDescent="0.25">
      <c r="A3166">
        <f ca="1">28099.1209609307*((RANDBETWEEN(1620,2416)))</f>
        <v>50718913.33447995</v>
      </c>
      <c r="B3166">
        <v>146797221.8570691</v>
      </c>
    </row>
    <row r="3167" spans="1:2" x14ac:dyDescent="0.25">
      <c r="A3167">
        <f ca="1">26230.1941296139*((RANDBETWEEN(1620,2416)))</f>
        <v>61011431.545481957</v>
      </c>
      <c r="B3167">
        <v>169709672.30639082</v>
      </c>
    </row>
    <row r="3168" spans="1:2" x14ac:dyDescent="0.25">
      <c r="A3168">
        <f ca="1">25751.3132335152*((RANDBETWEEN(1620,2416)))</f>
        <v>59897554.581156313</v>
      </c>
      <c r="B3168">
        <v>148697956.97140265</v>
      </c>
    </row>
    <row r="3169" spans="1:2" x14ac:dyDescent="0.25">
      <c r="A3169">
        <f ca="1">26480.7062098163*((RANDBETWEEN(1620,2416)))</f>
        <v>55530040.921984762</v>
      </c>
      <c r="B3169">
        <v>193538923.3799305</v>
      </c>
    </row>
    <row r="3170" spans="1:2" x14ac:dyDescent="0.25">
      <c r="A3170">
        <f ca="1">27281.0674025382*((RANDBETWEEN(1620,2416)))</f>
        <v>61245996.318698242</v>
      </c>
      <c r="B3170">
        <v>153452849.7609131</v>
      </c>
    </row>
    <row r="3171" spans="1:2" x14ac:dyDescent="0.25">
      <c r="A3171">
        <f ca="1">26503.802479609*((RANDBETWEEN(1620,2416)))</f>
        <v>52636551.724503383</v>
      </c>
      <c r="B3171">
        <v>171649636.45559692</v>
      </c>
    </row>
    <row r="3172" spans="1:2" x14ac:dyDescent="0.25">
      <c r="A3172">
        <f ca="1">28657.5871326253*((RANDBETWEEN(1620,2416)))</f>
        <v>53102508.95675467</v>
      </c>
      <c r="B3172">
        <v>182996577.77226827</v>
      </c>
    </row>
    <row r="3173" spans="1:2" x14ac:dyDescent="0.25">
      <c r="A3173">
        <f ca="1">27269.4855397835*((RANDBETWEEN(1620,2416)))</f>
        <v>62610738.799342819</v>
      </c>
      <c r="B3173">
        <v>162217122.95216992</v>
      </c>
    </row>
    <row r="3174" spans="1:2" x14ac:dyDescent="0.25">
      <c r="A3174">
        <f ca="1">28823.4481534209*((RANDBETWEEN(1620,2416)))</f>
        <v>64449230.071049169</v>
      </c>
      <c r="B3174">
        <v>165228214.09489888</v>
      </c>
    </row>
    <row r="3175" spans="1:2" x14ac:dyDescent="0.25">
      <c r="A3175">
        <f ca="1">26679.4207135955*((RANDBETWEEN(1620,2416)))</f>
        <v>60642323.282002531</v>
      </c>
      <c r="B3175">
        <v>159432172.15993884</v>
      </c>
    </row>
    <row r="3176" spans="1:2" x14ac:dyDescent="0.25">
      <c r="A3176">
        <f ca="1">27934.6039285592*((RANDBETWEEN(1620,2416)))</f>
        <v>64473065.867114633</v>
      </c>
      <c r="B3176">
        <v>144878120.19093832</v>
      </c>
    </row>
    <row r="3177" spans="1:2" x14ac:dyDescent="0.25">
      <c r="A3177">
        <f ca="1">29065.9507465284*((RANDBETWEEN(1620,2416)))</f>
        <v>63538168.331911147</v>
      </c>
      <c r="B3177">
        <v>185480828.8772223</v>
      </c>
    </row>
    <row r="3178" spans="1:2" x14ac:dyDescent="0.25">
      <c r="A3178">
        <f ca="1">30532.7166277538*((RANDBETWEEN(1620,2416)))</f>
        <v>54897824.496701285</v>
      </c>
      <c r="B3178">
        <v>145158945.90333563</v>
      </c>
    </row>
    <row r="3179" spans="1:2" x14ac:dyDescent="0.25">
      <c r="A3179">
        <f ca="1">28370.9519222352*((RANDBETWEEN(1620,2416)))</f>
        <v>66586624.16148603</v>
      </c>
      <c r="B3179">
        <v>143286680.85478154</v>
      </c>
    </row>
    <row r="3180" spans="1:2" x14ac:dyDescent="0.25">
      <c r="A3180">
        <f ca="1">26223.2815309267*((RANDBETWEEN(1620,2416)))</f>
        <v>46388985.028209262</v>
      </c>
      <c r="B3180">
        <v>179525653.17332408</v>
      </c>
    </row>
    <row r="3181" spans="1:2" x14ac:dyDescent="0.25">
      <c r="A3181">
        <f ca="1">25743.7651481172*((RANDBETWEEN(1620,2416)))</f>
        <v>49016128.842015214</v>
      </c>
      <c r="B3181">
        <v>148632960.60220221</v>
      </c>
    </row>
    <row r="3182" spans="1:2" x14ac:dyDescent="0.25">
      <c r="A3182">
        <f ca="1">29043.5192923309*((RANDBETWEEN(1620,2416)))</f>
        <v>63460089.653742939</v>
      </c>
      <c r="B3182">
        <v>167372473.90862006</v>
      </c>
    </row>
    <row r="3183" spans="1:2" x14ac:dyDescent="0.25">
      <c r="A3183">
        <f ca="1">26480.1271938427*((RANDBETWEEN(1620,2416)))</f>
        <v>63975987.300323904</v>
      </c>
      <c r="B3183">
        <v>156252366.02706242</v>
      </c>
    </row>
    <row r="3184" spans="1:2" x14ac:dyDescent="0.25">
      <c r="A3184">
        <f ca="1">28711.3681617422*((RANDBETWEEN(1620,2416)))</f>
        <v>55728765.60194166</v>
      </c>
      <c r="B3184">
        <v>148116574.52345777</v>
      </c>
    </row>
    <row r="3185" spans="1:2" x14ac:dyDescent="0.25">
      <c r="A3185">
        <f ca="1">30512.6762071676*((RANDBETWEEN(1620,2416)))</f>
        <v>65541228.49299603</v>
      </c>
      <c r="B3185">
        <v>168138671.66115829</v>
      </c>
    </row>
    <row r="3186" spans="1:2" x14ac:dyDescent="0.25">
      <c r="A3186">
        <f ca="1">27195.6499070993*((RANDBETWEEN(1620,2416)))</f>
        <v>59585668.946454644</v>
      </c>
      <c r="B3186">
        <v>144339016.74575576</v>
      </c>
    </row>
    <row r="3187" spans="1:2" x14ac:dyDescent="0.25">
      <c r="A3187">
        <f ca="1">31321.02841424*((RANDBETWEEN(1620,2416)))</f>
        <v>67622100.346344247</v>
      </c>
      <c r="B3187">
        <v>159657723.16164702</v>
      </c>
    </row>
    <row r="3188" spans="1:2" x14ac:dyDescent="0.25">
      <c r="A3188">
        <f ca="1">26410.0421226582*((RANDBETWEEN(1620,2416)))</f>
        <v>45425272.450972132</v>
      </c>
      <c r="B3188">
        <v>145060039.0140948</v>
      </c>
    </row>
    <row r="3189" spans="1:2" x14ac:dyDescent="0.25">
      <c r="A3189">
        <f ca="1">28736.8455650308*((RANDBETWEEN(1620,2416)))</f>
        <v>68077587.143557981</v>
      </c>
      <c r="B3189">
        <v>179884491.77966666</v>
      </c>
    </row>
    <row r="3190" spans="1:2" x14ac:dyDescent="0.25">
      <c r="A3190">
        <f ca="1">26874.9644117485*((RANDBETWEEN(1620,2416)))</f>
        <v>48428685.869970739</v>
      </c>
      <c r="B3190">
        <v>171134354.09261033</v>
      </c>
    </row>
    <row r="3191" spans="1:2" x14ac:dyDescent="0.25">
      <c r="A3191">
        <f ca="1">32831.4771751814*((RANDBETWEEN(1620,2416)))</f>
        <v>66122595.030815274</v>
      </c>
      <c r="B3191">
        <v>200705261.20029387</v>
      </c>
    </row>
    <row r="3192" spans="1:2" x14ac:dyDescent="0.25">
      <c r="A3192">
        <f ca="1">26643.1799529926*((RANDBETWEEN(1620,2416)))</f>
        <v>57762414.138088025</v>
      </c>
      <c r="B3192">
        <v>147704988.49498421</v>
      </c>
    </row>
    <row r="3193" spans="1:2" x14ac:dyDescent="0.25">
      <c r="A3193">
        <f ca="1">31719.8836379223*((RANDBETWEEN(1620,2416)))</f>
        <v>61441414.606655493</v>
      </c>
      <c r="B3193">
        <v>172500279.7669878</v>
      </c>
    </row>
    <row r="3194" spans="1:2" x14ac:dyDescent="0.25">
      <c r="A3194">
        <f ca="1">28593.0096249437*((RANDBETWEEN(1620,2416)))</f>
        <v>61732307.78025341</v>
      </c>
      <c r="B3194">
        <v>184454957.89802349</v>
      </c>
    </row>
    <row r="3195" spans="1:2" x14ac:dyDescent="0.25">
      <c r="A3195">
        <f ca="1">30531.4594842117*((RANDBETWEEN(1620,2416)))</f>
        <v>64177127.835812896</v>
      </c>
      <c r="B3195">
        <v>189942315.61578441</v>
      </c>
    </row>
    <row r="3196" spans="1:2" x14ac:dyDescent="0.25">
      <c r="A3196">
        <f ca="1">26905.6750888141*((RANDBETWEEN(1620,2416)))</f>
        <v>63981695.361199938</v>
      </c>
      <c r="B3196">
        <v>169477362.69518259</v>
      </c>
    </row>
    <row r="3197" spans="1:2" x14ac:dyDescent="0.25">
      <c r="A3197">
        <f ca="1">26587.0584962735*((RANDBETWEEN(1620,2416)))</f>
        <v>57906613.404883742</v>
      </c>
      <c r="B3197">
        <v>176704250.88595647</v>
      </c>
    </row>
    <row r="3198" spans="1:2" x14ac:dyDescent="0.25">
      <c r="A3198">
        <f ca="1">29961.2005556049*((RANDBETWEEN(1620,2416)))</f>
        <v>49166330.111747712</v>
      </c>
      <c r="B3198">
        <v>166614795.66745609</v>
      </c>
    </row>
    <row r="3199" spans="1:2" x14ac:dyDescent="0.25">
      <c r="A3199">
        <f ca="1">30122.9371743611*((RANDBETWEEN(1620,2416)))</f>
        <v>62595463.448322274</v>
      </c>
      <c r="B3199">
        <v>159409222.5083352</v>
      </c>
    </row>
    <row r="3200" spans="1:2" x14ac:dyDescent="0.25">
      <c r="A3200">
        <f ca="1">26738.6406976702*((RANDBETWEEN(1620,2416)))</f>
        <v>44840700.44999294</v>
      </c>
      <c r="B3200">
        <v>190160052.78073257</v>
      </c>
    </row>
    <row r="3201" spans="1:2" x14ac:dyDescent="0.25">
      <c r="A3201">
        <f ca="1">27830.8145191608*((RANDBETWEEN(1620,2416)))</f>
        <v>57081000.578798763</v>
      </c>
      <c r="B3201">
        <v>177286601.07134497</v>
      </c>
    </row>
    <row r="3202" spans="1:2" x14ac:dyDescent="0.25">
      <c r="A3202">
        <f ca="1">28480.1026090007*((RANDBETWEEN(1620,2416)))</f>
        <v>55792521.011032388</v>
      </c>
      <c r="B3202">
        <v>155007381.93835387</v>
      </c>
    </row>
    <row r="3203" spans="1:2" x14ac:dyDescent="0.25">
      <c r="A3203">
        <f ca="1">27124.4245142279*((RANDBETWEEN(1620,2416)))</f>
        <v>49610572.436522901</v>
      </c>
      <c r="B3203">
        <v>152491072.75240427</v>
      </c>
    </row>
    <row r="3204" spans="1:2" x14ac:dyDescent="0.25">
      <c r="A3204">
        <f ca="1">26892.077108623*((RANDBETWEEN(1620,2416)))</f>
        <v>54241319.528092518</v>
      </c>
      <c r="B3204">
        <v>153482999.87565228</v>
      </c>
    </row>
    <row r="3205" spans="1:2" x14ac:dyDescent="0.25">
      <c r="A3205">
        <f ca="1">27281.0665074735*((RANDBETWEEN(1620,2416)))</f>
        <v>53907387.418767706</v>
      </c>
      <c r="B3205">
        <v>198499660.17846978</v>
      </c>
    </row>
    <row r="3206" spans="1:2" x14ac:dyDescent="0.25">
      <c r="A3206">
        <f ca="1">32144.3676636264*((RANDBETWEEN(1620,2416)))</f>
        <v>52652474.233020015</v>
      </c>
      <c r="B3206">
        <v>167085659.66962451</v>
      </c>
    </row>
    <row r="3207" spans="1:2" x14ac:dyDescent="0.25">
      <c r="A3207">
        <f ca="1">27431.2289616902*((RANDBETWEEN(1620,2416)))</f>
        <v>51406123.074207455</v>
      </c>
      <c r="B3207">
        <v>181725369.93744928</v>
      </c>
    </row>
    <row r="3208" spans="1:2" x14ac:dyDescent="0.25">
      <c r="A3208">
        <f ca="1">30873.4740231101*((RANDBETWEEN(1620,2416)))</f>
        <v>70545888.142806545</v>
      </c>
      <c r="B3208">
        <v>196837308.19225153</v>
      </c>
    </row>
    <row r="3209" spans="1:2" x14ac:dyDescent="0.25">
      <c r="A3209">
        <f ca="1">28637.2676933928*((RANDBETWEEN(1620,2416)))</f>
        <v>69187638.747237056</v>
      </c>
      <c r="B3209">
        <v>197826707.23140702</v>
      </c>
    </row>
    <row r="3210" spans="1:2" x14ac:dyDescent="0.25">
      <c r="A3210">
        <f ca="1">26332.3784218944*((RANDBETWEEN(1620,2416)))</f>
        <v>55613983.227040902</v>
      </c>
      <c r="B3210">
        <v>166805795.74570987</v>
      </c>
    </row>
    <row r="3211" spans="1:2" x14ac:dyDescent="0.25">
      <c r="A3211">
        <f ca="1">29301.296166885*((RANDBETWEEN(1620,2416)))</f>
        <v>61239708.988789715</v>
      </c>
      <c r="B3211">
        <v>157787927.8706581</v>
      </c>
    </row>
    <row r="3212" spans="1:2" x14ac:dyDescent="0.25">
      <c r="A3212">
        <f ca="1">26227.6297282424*((RANDBETWEEN(1620,2416)))</f>
        <v>63103677.126151331</v>
      </c>
      <c r="B3212">
        <v>148826715.00308302</v>
      </c>
    </row>
    <row r="3213" spans="1:2" x14ac:dyDescent="0.25">
      <c r="A3213">
        <f ca="1">26045.7422692894*((RANDBETWEEN(1620,2416)))</f>
        <v>47064656.280606024</v>
      </c>
      <c r="B3213">
        <v>143190010.39000174</v>
      </c>
    </row>
    <row r="3214" spans="1:2" x14ac:dyDescent="0.25">
      <c r="A3214">
        <f ca="1">28214.8594115332*((RANDBETWEEN(1620,2416)))</f>
        <v>66841001.945922039</v>
      </c>
      <c r="B3214">
        <v>156653169.17743114</v>
      </c>
    </row>
    <row r="3215" spans="1:2" x14ac:dyDescent="0.25">
      <c r="A3215">
        <f ca="1">26105.9272300684*((RANDBETWEEN(1620,2416)))</f>
        <v>59756467.429626539</v>
      </c>
      <c r="B3215">
        <v>150513692.54188752</v>
      </c>
    </row>
    <row r="3216" spans="1:2" x14ac:dyDescent="0.25">
      <c r="A3216">
        <f ca="1">27647.308707957*((RANDBETWEEN(1620,2416)))</f>
        <v>52668123.088658147</v>
      </c>
      <c r="B3216">
        <v>164194207.69940084</v>
      </c>
    </row>
    <row r="3217" spans="1:2" x14ac:dyDescent="0.25">
      <c r="A3217">
        <f ca="1">26122.0225076807*((RANDBETWEEN(1620,2416)))</f>
        <v>55091345.468698606</v>
      </c>
      <c r="B3217">
        <v>146641361.5276666</v>
      </c>
    </row>
    <row r="3218" spans="1:2" x14ac:dyDescent="0.25">
      <c r="A3218">
        <f ca="1">29406.5875235346*((RANDBETWEEN(1620,2416)))</f>
        <v>61636207.44932846</v>
      </c>
      <c r="B3218">
        <v>197250992.32563403</v>
      </c>
    </row>
    <row r="3219" spans="1:2" x14ac:dyDescent="0.25">
      <c r="A3219">
        <f ca="1">26773.4376724489*((RANDBETWEEN(1620,2416)))</f>
        <v>56358086.300504945</v>
      </c>
      <c r="B3219">
        <v>145520045.41408753</v>
      </c>
    </row>
    <row r="3220" spans="1:2" x14ac:dyDescent="0.25">
      <c r="A3220">
        <f ca="1">25876.7312732585*((RANDBETWEEN(1620,2416)))</f>
        <v>60629181.373244703</v>
      </c>
      <c r="B3220">
        <v>172981858.74869153</v>
      </c>
    </row>
    <row r="3221" spans="1:2" x14ac:dyDescent="0.25">
      <c r="A3221">
        <f ca="1">26670.0617932287*((RANDBETWEEN(1620,2416)))</f>
        <v>55420388.406329282</v>
      </c>
      <c r="B3221">
        <v>146356240.33029306</v>
      </c>
    </row>
    <row r="3222" spans="1:2" x14ac:dyDescent="0.25">
      <c r="A3222">
        <f ca="1">27742.3223319237*((RANDBETWEEN(1620,2416)))</f>
        <v>49270364.46149651</v>
      </c>
      <c r="B3222">
        <v>160496682.01880908</v>
      </c>
    </row>
    <row r="3223" spans="1:2" x14ac:dyDescent="0.25">
      <c r="A3223">
        <f ca="1">25966.5535349174*((RANDBETWEEN(1620,2416)))</f>
        <v>51803274.302160122</v>
      </c>
      <c r="B3223">
        <v>144247537.31033161</v>
      </c>
    </row>
    <row r="3224" spans="1:2" x14ac:dyDescent="0.25">
      <c r="A3224">
        <f ca="1">27653.0831579957*((RANDBETWEEN(1620,2416)))</f>
        <v>63491478.930758163</v>
      </c>
      <c r="B3224">
        <v>161632231.38413441</v>
      </c>
    </row>
    <row r="3225" spans="1:2" x14ac:dyDescent="0.25">
      <c r="A3225">
        <f ca="1">28468.5843534589*((RANDBETWEEN(1620,2416)))</f>
        <v>62289262.565368034</v>
      </c>
      <c r="B3225">
        <v>146022832.55085286</v>
      </c>
    </row>
    <row r="3226" spans="1:2" x14ac:dyDescent="0.25">
      <c r="A3226">
        <f ca="1">26874.6850865125*((RANDBETWEEN(1620,2416)))</f>
        <v>54824357.5764855</v>
      </c>
      <c r="B3226">
        <v>156384403.64384612</v>
      </c>
    </row>
    <row r="3227" spans="1:2" x14ac:dyDescent="0.25">
      <c r="A3227">
        <f ca="1">25645.0187047049*((RANDBETWEEN(1620,2416)))</f>
        <v>55572755.533095591</v>
      </c>
      <c r="B3227">
        <v>163480329.56798229</v>
      </c>
    </row>
    <row r="3228" spans="1:2" x14ac:dyDescent="0.25">
      <c r="A3228">
        <f ca="1">27106.0219280674*((RANDBETWEEN(1620,2416)))</f>
        <v>47137372.132909179</v>
      </c>
      <c r="B3228">
        <v>145605937.59179497</v>
      </c>
    </row>
    <row r="3229" spans="1:2" x14ac:dyDescent="0.25">
      <c r="A3229">
        <f ca="1">27740.8433413503*((RANDBETWEEN(1620,2416)))</f>
        <v>64913573.418759659</v>
      </c>
      <c r="B3229">
        <v>156014516.4356586</v>
      </c>
    </row>
    <row r="3230" spans="1:2" x14ac:dyDescent="0.25">
      <c r="A3230">
        <f ca="1">26393.7674987629*((RANDBETWEEN(1620,2416)))</f>
        <v>45977942.982844986</v>
      </c>
      <c r="B3230">
        <v>186789024.89290768</v>
      </c>
    </row>
    <row r="3231" spans="1:2" x14ac:dyDescent="0.25">
      <c r="A3231">
        <f ca="1">26664.8898871865*((RANDBETWEEN(1620,2416)))</f>
        <v>44103727.873406433</v>
      </c>
      <c r="B3231">
        <v>146921199.34912831</v>
      </c>
    </row>
    <row r="3232" spans="1:2" x14ac:dyDescent="0.25">
      <c r="A3232">
        <f ca="1">29521.6683473601*((RANDBETWEEN(1620,2416)))</f>
        <v>54467478.100879408</v>
      </c>
      <c r="B3232">
        <v>148289387.5917547</v>
      </c>
    </row>
    <row r="3233" spans="1:2" x14ac:dyDescent="0.25">
      <c r="A3233">
        <f ca="1">26473.1033819316*((RANDBETWEEN(1620,2416)))</f>
        <v>53793346.072085038</v>
      </c>
      <c r="B3233">
        <v>145690352.05687973</v>
      </c>
    </row>
    <row r="3234" spans="1:2" x14ac:dyDescent="0.25">
      <c r="A3234">
        <f ca="1">29727.3869964856*((RANDBETWEEN(1620,2416)))</f>
        <v>63854427.268451028</v>
      </c>
      <c r="B3234">
        <v>152615800.76153815</v>
      </c>
    </row>
    <row r="3235" spans="1:2" x14ac:dyDescent="0.25">
      <c r="A3235">
        <f ca="1">26286.0837817539*((RANDBETWEEN(1620,2416)))</f>
        <v>45816644.031597033</v>
      </c>
      <c r="B3235">
        <v>163906204.40417883</v>
      </c>
    </row>
    <row r="3236" spans="1:2" x14ac:dyDescent="0.25">
      <c r="A3236">
        <f ca="1">27416.6405261818*((RANDBETWEEN(1620,2416)))</f>
        <v>46032539.443459325</v>
      </c>
      <c r="B3236">
        <v>199057534.29089832</v>
      </c>
    </row>
    <row r="3237" spans="1:2" x14ac:dyDescent="0.25">
      <c r="A3237">
        <f ca="1">27071.0954076676*((RANDBETWEEN(1620,2416)))</f>
        <v>62209377.246820092</v>
      </c>
      <c r="B3237">
        <v>160227626.88117179</v>
      </c>
    </row>
    <row r="3238" spans="1:2" x14ac:dyDescent="0.25">
      <c r="A3238">
        <f ca="1">27050.9511765124*((RANDBETWEEN(1620,2416)))</f>
        <v>60783487.293623313</v>
      </c>
      <c r="B3238">
        <v>179282988.69665852</v>
      </c>
    </row>
    <row r="3239" spans="1:2" x14ac:dyDescent="0.25">
      <c r="A3239">
        <f ca="1">27103.9029207899*((RANDBETWEEN(1620,2416)))</f>
        <v>44152257.857966706</v>
      </c>
      <c r="B3239">
        <v>152953365.1013279</v>
      </c>
    </row>
    <row r="3240" spans="1:2" x14ac:dyDescent="0.25">
      <c r="A3240">
        <f ca="1">26483.226515008*((RANDBETWEEN(1620,2416)))</f>
        <v>56938937.007267267</v>
      </c>
      <c r="B3240">
        <v>180850151.08077252</v>
      </c>
    </row>
    <row r="3241" spans="1:2" x14ac:dyDescent="0.25">
      <c r="A3241">
        <f ca="1">29816.9100777222*((RANDBETWEEN(1620,2416)))</f>
        <v>56503044.597283572</v>
      </c>
      <c r="B3241">
        <v>194892279.82010812</v>
      </c>
    </row>
    <row r="3242" spans="1:2" x14ac:dyDescent="0.25">
      <c r="A3242">
        <f ca="1">29279.0360512317*((RANDBETWEEN(1620,2416)))</f>
        <v>58704467.282719649</v>
      </c>
      <c r="B3242">
        <v>144712634.90020448</v>
      </c>
    </row>
    <row r="3243" spans="1:2" x14ac:dyDescent="0.25">
      <c r="A3243">
        <f ca="1">27178.7442700854*((RANDBETWEEN(1620,2416)))</f>
        <v>64277730.198752075</v>
      </c>
      <c r="B3243">
        <v>161152350.61139789</v>
      </c>
    </row>
    <row r="3244" spans="1:2" x14ac:dyDescent="0.25">
      <c r="A3244">
        <f ca="1">26069.86831078*((RANDBETWEEN(1620,2416)))</f>
        <v>50992662.41588562</v>
      </c>
      <c r="B3244">
        <v>157162601.46174315</v>
      </c>
    </row>
    <row r="3245" spans="1:2" x14ac:dyDescent="0.25">
      <c r="A3245">
        <f ca="1">28394.0906491272*((RANDBETWEEN(1620,2416)))</f>
        <v>56220299.485271879</v>
      </c>
      <c r="B3245">
        <v>201552579.09452528</v>
      </c>
    </row>
    <row r="3246" spans="1:2" x14ac:dyDescent="0.25">
      <c r="A3246">
        <f ca="1">25375.1636203997*((RANDBETWEEN(1620,2416)))</f>
        <v>49811446.186844595</v>
      </c>
      <c r="B3246">
        <v>169255889.06148958</v>
      </c>
    </row>
    <row r="3247" spans="1:2" x14ac:dyDescent="0.25">
      <c r="A3247">
        <f ca="1">28043.242276747*((RANDBETWEEN(1620,2416)))</f>
        <v>46804171.359890774</v>
      </c>
      <c r="B3247">
        <v>167117681.5484584</v>
      </c>
    </row>
    <row r="3248" spans="1:2" x14ac:dyDescent="0.25">
      <c r="A3248">
        <f ca="1">28365.9047807231*((RANDBETWEEN(1620,2416)))</f>
        <v>50009090.128414921</v>
      </c>
      <c r="B3248">
        <v>177544059.90071052</v>
      </c>
    </row>
    <row r="3249" spans="1:2" x14ac:dyDescent="0.25">
      <c r="A3249">
        <f ca="1">29792.1008124365*((RANDBETWEEN(1620,2416)))</f>
        <v>68253702.961292028</v>
      </c>
      <c r="B3249">
        <v>195076073.97243321</v>
      </c>
    </row>
    <row r="3250" spans="1:2" x14ac:dyDescent="0.25">
      <c r="A3250">
        <f ca="1">29195.9571659659*((RANDBETWEEN(1620,2416)))</f>
        <v>68435323.597024083</v>
      </c>
      <c r="B3250">
        <v>161935509.19304433</v>
      </c>
    </row>
    <row r="3251" spans="1:2" x14ac:dyDescent="0.25">
      <c r="A3251">
        <f ca="1">28448.3030965689*((RANDBETWEEN(1620,2416)))</f>
        <v>50211254.965444058</v>
      </c>
      <c r="B3251">
        <v>158498468.41283408</v>
      </c>
    </row>
    <row r="3252" spans="1:2" x14ac:dyDescent="0.25">
      <c r="A3252">
        <f ca="1">29028.3502522809*((RANDBETWEEN(1620,2416)))</f>
        <v>63223746.849467888</v>
      </c>
      <c r="B3252">
        <v>181846661.40474564</v>
      </c>
    </row>
    <row r="3253" spans="1:2" x14ac:dyDescent="0.25">
      <c r="A3253">
        <f ca="1">27057.9767718719*((RANDBETWEEN(1620,2416)))</f>
        <v>45944444.558638528</v>
      </c>
      <c r="B3253">
        <v>142909495.34883603</v>
      </c>
    </row>
    <row r="3254" spans="1:2" x14ac:dyDescent="0.25">
      <c r="A3254">
        <f ca="1">26524.7267613672*((RANDBETWEEN(1620,2416)))</f>
        <v>56285470.187621146</v>
      </c>
      <c r="B3254">
        <v>150240220.8297292</v>
      </c>
    </row>
    <row r="3255" spans="1:2" x14ac:dyDescent="0.25">
      <c r="A3255">
        <f ca="1">27107.6496581041*((RANDBETWEEN(1620,2416)))</f>
        <v>47004664.507152528</v>
      </c>
      <c r="B3255">
        <v>152461174.23928985</v>
      </c>
    </row>
    <row r="3256" spans="1:2" x14ac:dyDescent="0.25">
      <c r="A3256">
        <f ca="1">27153.2333266891*((RANDBETWEEN(1620,2416)))</f>
        <v>49038739.388000488</v>
      </c>
      <c r="B3256">
        <v>181919153.89873815</v>
      </c>
    </row>
    <row r="3257" spans="1:2" x14ac:dyDescent="0.25">
      <c r="A3257">
        <f ca="1">29241.5732425084*((RANDBETWEEN(1620,2416)))</f>
        <v>60149916.15983972</v>
      </c>
      <c r="B3257">
        <v>171204768.46666178</v>
      </c>
    </row>
    <row r="3258" spans="1:2" x14ac:dyDescent="0.25">
      <c r="A3258">
        <f ca="1">28119.5818292158*((RANDBETWEEN(1620,2416)))</f>
        <v>48140724.091617383</v>
      </c>
      <c r="B3258">
        <v>202446165.88591397</v>
      </c>
    </row>
    <row r="3259" spans="1:2" x14ac:dyDescent="0.25">
      <c r="A3259">
        <f ca="1">26181.7411135118*((RANDBETWEEN(1620,2416)))</f>
        <v>57626012.190839432</v>
      </c>
      <c r="B3259">
        <v>165281129.72481248</v>
      </c>
    </row>
    <row r="3260" spans="1:2" x14ac:dyDescent="0.25">
      <c r="A3260">
        <f ca="1">27208.2294188619*((RANDBETWEEN(1620,2416)))</f>
        <v>50552890.260245495</v>
      </c>
      <c r="B3260">
        <v>161067659.43886933</v>
      </c>
    </row>
    <row r="3261" spans="1:2" x14ac:dyDescent="0.25">
      <c r="A3261">
        <f ca="1">25597.7053113102*((RANDBETWEEN(1620,2416)))</f>
        <v>59335480.911617115</v>
      </c>
      <c r="B3261">
        <v>169788896.03218856</v>
      </c>
    </row>
    <row r="3262" spans="1:2" x14ac:dyDescent="0.25">
      <c r="A3262">
        <f ca="1">26852.38492907*((RANDBETWEEN(1620,2416)))</f>
        <v>50025993.122857399</v>
      </c>
      <c r="B3262">
        <v>180462041.64416727</v>
      </c>
    </row>
    <row r="3263" spans="1:2" x14ac:dyDescent="0.25">
      <c r="A3263">
        <f ca="1">26882.517399698*((RANDBETWEEN(1620,2416)))</f>
        <v>44974451.609694839</v>
      </c>
      <c r="B3263">
        <v>166305927.50565058</v>
      </c>
    </row>
    <row r="3264" spans="1:2" x14ac:dyDescent="0.25">
      <c r="A3264">
        <f ca="1">29799.7627630652*((RANDBETWEEN(1620,2416)))</f>
        <v>58318135.727318622</v>
      </c>
      <c r="B3264">
        <v>188870052.93373594</v>
      </c>
    </row>
    <row r="3265" spans="1:2" x14ac:dyDescent="0.25">
      <c r="A3265">
        <f ca="1">27492.5910382442*((RANDBETWEEN(1620,2416)))</f>
        <v>49349200.913648359</v>
      </c>
      <c r="B3265">
        <v>169452051.08134371</v>
      </c>
    </row>
    <row r="3266" spans="1:2" x14ac:dyDescent="0.25">
      <c r="A3266">
        <f ca="1">31070.1541283809*((RANDBETWEEN(1620,2416)))</f>
        <v>57324434.366862684</v>
      </c>
      <c r="B3266">
        <v>164793351.56890005</v>
      </c>
    </row>
    <row r="3267" spans="1:2" x14ac:dyDescent="0.25">
      <c r="A3267">
        <f ca="1">27896.4356161507*((RANDBETWEEN(1620,2416)))</f>
        <v>48372419.358405396</v>
      </c>
      <c r="B3267">
        <v>189879893.8212885</v>
      </c>
    </row>
    <row r="3268" spans="1:2" x14ac:dyDescent="0.25">
      <c r="A3268">
        <f ca="1">27991.2756008321*((RANDBETWEEN(1620,2416)))</f>
        <v>55450716.965248406</v>
      </c>
      <c r="B3268">
        <v>184516906.56377921</v>
      </c>
    </row>
    <row r="3269" spans="1:2" x14ac:dyDescent="0.25">
      <c r="A3269">
        <f ca="1">26967.1393277354*((RANDBETWEEN(1620,2416)))</f>
        <v>54473621.442025475</v>
      </c>
      <c r="B3269">
        <v>174637834.13544226</v>
      </c>
    </row>
    <row r="3270" spans="1:2" x14ac:dyDescent="0.25">
      <c r="A3270">
        <f ca="1">33084.067789074*((RANDBETWEEN(1620,2416)))</f>
        <v>68847945.069062904</v>
      </c>
      <c r="B3270">
        <v>178478692.1895842</v>
      </c>
    </row>
    <row r="3271" spans="1:2" x14ac:dyDescent="0.25">
      <c r="A3271">
        <f ca="1">24989.348298432*((RANDBETWEEN(1620,2416)))</f>
        <v>49079080.058120474</v>
      </c>
      <c r="B3271">
        <v>153233466.82298911</v>
      </c>
    </row>
    <row r="3272" spans="1:2" x14ac:dyDescent="0.25">
      <c r="A3272">
        <f ca="1">29622.2102673005*((RANDBETWEEN(1620,2416)))</f>
        <v>66916572.993831851</v>
      </c>
      <c r="B3272">
        <v>188545251.0814926</v>
      </c>
    </row>
    <row r="3273" spans="1:2" x14ac:dyDescent="0.25">
      <c r="A3273">
        <f ca="1">26689.0302986395*((RANDBETWEEN(1620,2416)))</f>
        <v>43956832.901859194</v>
      </c>
      <c r="B3273">
        <v>177228466.1258125</v>
      </c>
    </row>
    <row r="3274" spans="1:2" x14ac:dyDescent="0.25">
      <c r="A3274">
        <f ca="1">31832.7281100687*((RANDBETWEEN(1620,2416)))</f>
        <v>65288925.353750944</v>
      </c>
      <c r="B3274">
        <v>143058091.86437717</v>
      </c>
    </row>
    <row r="3275" spans="1:2" x14ac:dyDescent="0.25">
      <c r="A3275">
        <f ca="1">27526.7751413342*((RANDBETWEEN(1620,2416)))</f>
        <v>47758954.870214924</v>
      </c>
      <c r="B3275">
        <v>155265281.9243027</v>
      </c>
    </row>
    <row r="3276" spans="1:2" x14ac:dyDescent="0.25">
      <c r="A3276">
        <f ca="1">29493.2151382347*((RANDBETWEEN(1620,2416)))</f>
        <v>57275823.798451856</v>
      </c>
      <c r="B3276">
        <v>168942623.444848</v>
      </c>
    </row>
    <row r="3277" spans="1:2" x14ac:dyDescent="0.25">
      <c r="A3277">
        <f ca="1">29055.1620733433*((RANDBETWEEN(1620,2416)))</f>
        <v>59824578.709013797</v>
      </c>
      <c r="B3277">
        <v>184618475.14176455</v>
      </c>
    </row>
    <row r="3278" spans="1:2" x14ac:dyDescent="0.25">
      <c r="A3278">
        <f ca="1">28299.9844907811*((RANDBETWEEN(1620,2416)))</f>
        <v>67042663.258660376</v>
      </c>
      <c r="B3278">
        <v>191844919.98784822</v>
      </c>
    </row>
    <row r="3279" spans="1:2" x14ac:dyDescent="0.25">
      <c r="A3279">
        <f ca="1">27338.0587856554*((RANDBETWEEN(1620,2416)))</f>
        <v>49536562.519607633</v>
      </c>
      <c r="B3279">
        <v>157129412.34182301</v>
      </c>
    </row>
    <row r="3280" spans="1:2" x14ac:dyDescent="0.25">
      <c r="A3280">
        <f ca="1">27301.4681971609*((RANDBETWEEN(1620,2416)))</f>
        <v>57169274.404855005</v>
      </c>
      <c r="B3280">
        <v>188871550.47451758</v>
      </c>
    </row>
    <row r="3281" spans="1:2" x14ac:dyDescent="0.25">
      <c r="A3281">
        <f ca="1">27021.1960848792*((RANDBETWEEN(1620,2416)))</f>
        <v>58230677.562914699</v>
      </c>
      <c r="B3281">
        <v>147735035.65791076</v>
      </c>
    </row>
    <row r="3282" spans="1:2" x14ac:dyDescent="0.25">
      <c r="A3282">
        <f ca="1">25934.7943674263*((RANDBETWEEN(1620,2416)))</f>
        <v>54852090.087106712</v>
      </c>
      <c r="B3282">
        <v>156969599.94240147</v>
      </c>
    </row>
    <row r="3283" spans="1:2" x14ac:dyDescent="0.25">
      <c r="A3283">
        <f ca="1">26327.2790000839*((RANDBETWEEN(1620,2416)))</f>
        <v>53075794.464169092</v>
      </c>
      <c r="B3283">
        <v>158860343.90353736</v>
      </c>
    </row>
    <row r="3284" spans="1:2" x14ac:dyDescent="0.25">
      <c r="A3284">
        <f ca="1">30631.9699179905*((RANDBETWEEN(1620,2416)))</f>
        <v>64143345.008272149</v>
      </c>
      <c r="B3284">
        <v>193317335.07384205</v>
      </c>
    </row>
    <row r="3285" spans="1:2" x14ac:dyDescent="0.25">
      <c r="A3285">
        <f ca="1">26022.8754198156*((RANDBETWEEN(1620,2416)))</f>
        <v>61231825.862826183</v>
      </c>
      <c r="B3285">
        <v>146091760.85795981</v>
      </c>
    </row>
    <row r="3286" spans="1:2" x14ac:dyDescent="0.25">
      <c r="A3286">
        <f ca="1">27468.2031780886*((RANDBETWEEN(1620,2416)))</f>
        <v>65044705.125713818</v>
      </c>
      <c r="B3286">
        <v>198106903.23495817</v>
      </c>
    </row>
    <row r="3287" spans="1:2" x14ac:dyDescent="0.25">
      <c r="A3287">
        <f ca="1">32934.5468259616*((RANDBETWEEN(1620,2416)))</f>
        <v>71072752.050425187</v>
      </c>
      <c r="B3287">
        <v>160727476.07542029</v>
      </c>
    </row>
    <row r="3288" spans="1:2" x14ac:dyDescent="0.25">
      <c r="A3288">
        <f ca="1">25689.6193464737*((RANDBETWEEN(1620,2416)))</f>
        <v>49580965.338694252</v>
      </c>
      <c r="B3288">
        <v>188719523.69283888</v>
      </c>
    </row>
    <row r="3289" spans="1:2" x14ac:dyDescent="0.25">
      <c r="A3289">
        <f ca="1">26586.4638963321*((RANDBETWEEN(1620,2416)))</f>
        <v>62611122.475862131</v>
      </c>
      <c r="B3289">
        <v>197011668.03313947</v>
      </c>
    </row>
    <row r="3290" spans="1:2" x14ac:dyDescent="0.25">
      <c r="A3290">
        <f ca="1">27066.7106470267*((RANDBETWEEN(1620,2416)))</f>
        <v>56785958.937462054</v>
      </c>
      <c r="B3290">
        <v>152641433.81310147</v>
      </c>
    </row>
    <row r="3291" spans="1:2" x14ac:dyDescent="0.25">
      <c r="A3291">
        <f ca="1">27904.1225205148*((RANDBETWEEN(1620,2416)))</f>
        <v>46376651.629095599</v>
      </c>
      <c r="B3291">
        <v>171050033.8060284</v>
      </c>
    </row>
    <row r="3292" spans="1:2" x14ac:dyDescent="0.25">
      <c r="A3292">
        <f ca="1">28511.3845129436*((RANDBETWEEN(1620,2416)))</f>
        <v>55169529.032545857</v>
      </c>
      <c r="B3292">
        <v>198754791.79481444</v>
      </c>
    </row>
    <row r="3293" spans="1:2" x14ac:dyDescent="0.25">
      <c r="A3293">
        <f ca="1">27467.3488612699*((RANDBETWEEN(1620,2416)))</f>
        <v>44964050.08589875</v>
      </c>
      <c r="B3293">
        <v>148363895.3754971</v>
      </c>
    </row>
    <row r="3294" spans="1:2" x14ac:dyDescent="0.25">
      <c r="A3294">
        <f ca="1">25992.6186331705*((RANDBETWEEN(1620,2416)))</f>
        <v>44031495.964590773</v>
      </c>
      <c r="B3294">
        <v>155837587.56396121</v>
      </c>
    </row>
    <row r="3295" spans="1:2" x14ac:dyDescent="0.25">
      <c r="A3295">
        <f ca="1">31413.6231829648*((RANDBETWEEN(1620,2416)))</f>
        <v>53308918.541491352</v>
      </c>
      <c r="B3295">
        <v>155707042.68775523</v>
      </c>
    </row>
    <row r="3296" spans="1:2" x14ac:dyDescent="0.25">
      <c r="A3296">
        <f ca="1">28086.1423703399*((RANDBETWEEN(1620,2416)))</f>
        <v>66058606.855039544</v>
      </c>
      <c r="B3296">
        <v>174898507.42818594</v>
      </c>
    </row>
    <row r="3297" spans="1:2" x14ac:dyDescent="0.25">
      <c r="A3297">
        <f ca="1">28322.3360889353*((RANDBETWEEN(1620,2416)))</f>
        <v>61601080.993434265</v>
      </c>
      <c r="B3297">
        <v>159863185.00818521</v>
      </c>
    </row>
    <row r="3298" spans="1:2" x14ac:dyDescent="0.25">
      <c r="A3298">
        <f ca="1">33456.2218562056*((RANDBETWEEN(1620,2416)))</f>
        <v>67548111.927679121</v>
      </c>
      <c r="B3298">
        <v>154327561.6325849</v>
      </c>
    </row>
    <row r="3299" spans="1:2" x14ac:dyDescent="0.25">
      <c r="A3299">
        <f ca="1">30725.6762261191*((RANDBETWEEN(1620,2416)))</f>
        <v>65814398.476347037</v>
      </c>
      <c r="B3299">
        <v>175344271.64041498</v>
      </c>
    </row>
    <row r="3300" spans="1:2" x14ac:dyDescent="0.25">
      <c r="A3300">
        <f ca="1">28746.2935269861*((RANDBETWEEN(1620,2416)))</f>
        <v>65254086.306258447</v>
      </c>
      <c r="B3300">
        <v>188991382.14599702</v>
      </c>
    </row>
    <row r="3301" spans="1:2" x14ac:dyDescent="0.25">
      <c r="A3301">
        <f ca="1">33757.8153830465*((RANDBETWEEN(1620,2416)))</f>
        <v>74334709.473468319</v>
      </c>
      <c r="B3301">
        <v>169084520.37497985</v>
      </c>
    </row>
    <row r="3302" spans="1:2" x14ac:dyDescent="0.25">
      <c r="A3302">
        <f ca="1">26088.4487613388*((RANDBETWEEN(1620,2416)))</f>
        <v>59977343.702317968</v>
      </c>
      <c r="B3302">
        <v>165990848.30833861</v>
      </c>
    </row>
    <row r="3303" spans="1:2" x14ac:dyDescent="0.25">
      <c r="A3303">
        <f ca="1">27663.8112025562*((RANDBETWEEN(1620,2416)))</f>
        <v>58066339.714165419</v>
      </c>
      <c r="B3303">
        <v>172555584.5692082</v>
      </c>
    </row>
    <row r="3304" spans="1:2" x14ac:dyDescent="0.25">
      <c r="A3304">
        <f ca="1">32121.0192182706*((RANDBETWEEN(1620,2416)))</f>
        <v>73525012.990621418</v>
      </c>
      <c r="B3304">
        <v>183239939.00976676</v>
      </c>
    </row>
    <row r="3305" spans="1:2" x14ac:dyDescent="0.25">
      <c r="A3305">
        <f ca="1">27173.150250988*((RANDBETWEEN(1620,2416)))</f>
        <v>47960610.192993894</v>
      </c>
      <c r="B3305">
        <v>150741199.69364697</v>
      </c>
    </row>
    <row r="3306" spans="1:2" x14ac:dyDescent="0.25">
      <c r="A3306">
        <f ca="1">27913.4852662023*((RANDBETWEEN(1620,2416)))</f>
        <v>63028649.731084734</v>
      </c>
      <c r="B3306">
        <v>167832455.89770326</v>
      </c>
    </row>
    <row r="3307" spans="1:2" x14ac:dyDescent="0.25">
      <c r="A3307">
        <f ca="1">27158.6709666848*((RANDBETWEEN(1620,2416)))</f>
        <v>45029076.462763473</v>
      </c>
      <c r="B3307">
        <v>163277291.20269823</v>
      </c>
    </row>
    <row r="3308" spans="1:2" x14ac:dyDescent="0.25">
      <c r="A3308">
        <f ca="1">26637.010404992*((RANDBETWEEN(1620,2416)))</f>
        <v>56656921.131417885</v>
      </c>
      <c r="B3308">
        <v>183652551.54428536</v>
      </c>
    </row>
    <row r="3309" spans="1:2" x14ac:dyDescent="0.25">
      <c r="A3309">
        <f ca="1">27469.4148804737*((RANDBETWEEN(1620,2416)))</f>
        <v>52713807.155628994</v>
      </c>
      <c r="B3309">
        <v>177896394.63652977</v>
      </c>
    </row>
    <row r="3310" spans="1:2" x14ac:dyDescent="0.25">
      <c r="A3310">
        <f ca="1">26021.2612257799*((RANDBETWEEN(1620,2416)))</f>
        <v>59042241.721294545</v>
      </c>
      <c r="B3310">
        <v>173049562.69634515</v>
      </c>
    </row>
    <row r="3311" spans="1:2" x14ac:dyDescent="0.25">
      <c r="A3311">
        <f ca="1">30743.2045492887*((RANDBETWEEN(1620,2416)))</f>
        <v>57766481.348113395</v>
      </c>
      <c r="B3311">
        <v>178510661.04488641</v>
      </c>
    </row>
    <row r="3312" spans="1:2" x14ac:dyDescent="0.25">
      <c r="A3312">
        <f ca="1">29046.636120673*((RANDBETWEEN(1620,2416)))</f>
        <v>64948278.365824826</v>
      </c>
      <c r="B3312">
        <v>173956398.86475107</v>
      </c>
    </row>
    <row r="3313" spans="1:2" x14ac:dyDescent="0.25">
      <c r="A3313">
        <f ca="1">26984.027693*((RANDBETWEEN(1620,2416)))</f>
        <v>49407754.705883086</v>
      </c>
      <c r="B3313">
        <v>193327170.95361614</v>
      </c>
    </row>
    <row r="3314" spans="1:2" x14ac:dyDescent="0.25">
      <c r="A3314">
        <f ca="1">27925.4418846212*((RANDBETWEEN(1620,2416)))</f>
        <v>63865485.590128653</v>
      </c>
      <c r="B3314">
        <v>150064146.80008605</v>
      </c>
    </row>
    <row r="3315" spans="1:2" x14ac:dyDescent="0.25">
      <c r="A3315">
        <f ca="1">25936.2992450221*((RANDBETWEEN(1620,2416)))</f>
        <v>51768853.293064199</v>
      </c>
      <c r="B3315">
        <v>154290200.40284491</v>
      </c>
    </row>
    <row r="3316" spans="1:2" x14ac:dyDescent="0.25">
      <c r="A3316">
        <f ca="1">27460.5355247851*((RANDBETWEEN(1620,2416)))</f>
        <v>57914269.421771869</v>
      </c>
      <c r="B3316">
        <v>167235182.08803162</v>
      </c>
    </row>
    <row r="3317" spans="1:2" x14ac:dyDescent="0.25">
      <c r="A3317">
        <f ca="1">29875.2046393596*((RANDBETWEEN(1620,2416)))</f>
        <v>70834110.199921682</v>
      </c>
      <c r="B3317">
        <v>159354337.64757425</v>
      </c>
    </row>
    <row r="3318" spans="1:2" x14ac:dyDescent="0.25">
      <c r="A3318">
        <f ca="1">25637.4572302149*((RANDBETWEEN(1620,2416)))</f>
        <v>53633560.525609642</v>
      </c>
      <c r="B3318">
        <v>156566514.95781109</v>
      </c>
    </row>
    <row r="3319" spans="1:2" x14ac:dyDescent="0.25">
      <c r="A3319">
        <f ca="1">29418.100228751*((RANDBETWEEN(1620,2416)))</f>
        <v>62984152.589755908</v>
      </c>
      <c r="B3319">
        <v>148358704.80566698</v>
      </c>
    </row>
    <row r="3320" spans="1:2" x14ac:dyDescent="0.25">
      <c r="A3320">
        <f ca="1">26883.2133674328*((RANDBETWEEN(1620,2416)))</f>
        <v>54949288.12303257</v>
      </c>
      <c r="B3320">
        <v>188543643.87192595</v>
      </c>
    </row>
    <row r="3321" spans="1:2" x14ac:dyDescent="0.25">
      <c r="A3321">
        <f ca="1">26943.801752039*((RANDBETWEEN(1620,2416)))</f>
        <v>49819089.43952015</v>
      </c>
      <c r="B3321">
        <v>160703355.86408338</v>
      </c>
    </row>
    <row r="3322" spans="1:2" x14ac:dyDescent="0.25">
      <c r="A3322">
        <f ca="1">31245.5327011149*((RANDBETWEEN(1620,2416)))</f>
        <v>74833050.819170132</v>
      </c>
      <c r="B3322">
        <v>199063547.77383232</v>
      </c>
    </row>
    <row r="3323" spans="1:2" x14ac:dyDescent="0.25">
      <c r="A3323">
        <f ca="1">28482.4811223992*((RANDBETWEEN(1620,2416)))</f>
        <v>48477182.870323479</v>
      </c>
      <c r="B3323">
        <v>183463386.23941895</v>
      </c>
    </row>
    <row r="3324" spans="1:2" x14ac:dyDescent="0.25">
      <c r="A3324">
        <f ca="1">27513.297026953*((RANDBETWEEN(1620,2416)))</f>
        <v>54723947.786609545</v>
      </c>
      <c r="B3324">
        <v>162319218.94105196</v>
      </c>
    </row>
    <row r="3325" spans="1:2" x14ac:dyDescent="0.25">
      <c r="A3325">
        <f ca="1">28622.5599638583*((RANDBETWEEN(1620,2416)))</f>
        <v>61738861.842042394</v>
      </c>
      <c r="B3325">
        <v>158683492.34407061</v>
      </c>
    </row>
    <row r="3326" spans="1:2" x14ac:dyDescent="0.25">
      <c r="A3326">
        <f ca="1">26296.1074381059*((RANDBETWEEN(1620,2416)))</f>
        <v>56589223.206803955</v>
      </c>
      <c r="B3326">
        <v>196216463.61718544</v>
      </c>
    </row>
    <row r="3327" spans="1:2" x14ac:dyDescent="0.25">
      <c r="A3327">
        <f ca="1">26236.9871394393*((RANDBETWEEN(1620,2416)))</f>
        <v>49063165.950751528</v>
      </c>
      <c r="B3327">
        <v>150229713.6825974</v>
      </c>
    </row>
    <row r="3328" spans="1:2" x14ac:dyDescent="0.25">
      <c r="A3328">
        <f ca="1">26462.6654648179*((RANDBETWEEN(1620,2416)))</f>
        <v>62028487.849533141</v>
      </c>
      <c r="B3328">
        <v>145253384.34807599</v>
      </c>
    </row>
    <row r="3329" spans="1:2" x14ac:dyDescent="0.25">
      <c r="A3329">
        <f ca="1">30161.5056916829*((RANDBETWEEN(1620,2416)))</f>
        <v>50912621.607560664</v>
      </c>
      <c r="B3329">
        <v>189556965.11691695</v>
      </c>
    </row>
    <row r="3330" spans="1:2" x14ac:dyDescent="0.25">
      <c r="A3330">
        <f ca="1">30325.0686523935*((RANDBETWEEN(1620,2416)))</f>
        <v>56162027.144232839</v>
      </c>
      <c r="B3330">
        <v>198502336.271561</v>
      </c>
    </row>
    <row r="3331" spans="1:2" x14ac:dyDescent="0.25">
      <c r="A3331">
        <f ca="1">27265.4261282611*((RANDBETWEEN(1620,2416)))</f>
        <v>46405755.270300426</v>
      </c>
      <c r="B3331">
        <v>195655452.89127073</v>
      </c>
    </row>
    <row r="3332" spans="1:2" x14ac:dyDescent="0.25">
      <c r="A3332">
        <f ca="1">25618.732182542*((RANDBETWEEN(1620,2416)))</f>
        <v>57949572.196910068</v>
      </c>
      <c r="B3332">
        <v>162118163.31332064</v>
      </c>
    </row>
    <row r="3333" spans="1:2" x14ac:dyDescent="0.25">
      <c r="A3333">
        <f ca="1">26988.794022935*((RANDBETWEEN(1620,2416)))</f>
        <v>46933512.805883996</v>
      </c>
      <c r="B3333">
        <v>182301332.45225459</v>
      </c>
    </row>
    <row r="3334" spans="1:2" x14ac:dyDescent="0.25">
      <c r="A3334">
        <f ca="1">27315.4331584433*((RANDBETWEEN(1620,2416)))</f>
        <v>62989388.863370188</v>
      </c>
      <c r="B3334">
        <v>176551390.10089928</v>
      </c>
    </row>
    <row r="3335" spans="1:2" x14ac:dyDescent="0.25">
      <c r="A3335">
        <f ca="1">26658.9499117411*((RANDBETWEEN(1620,2416)))</f>
        <v>56970175.961390741</v>
      </c>
      <c r="B3335">
        <v>157971595.73502272</v>
      </c>
    </row>
    <row r="3336" spans="1:2" x14ac:dyDescent="0.25">
      <c r="A3336">
        <f ca="1">30391.2341139328*((RANDBETWEEN(1620,2416)))</f>
        <v>61116771.803118773</v>
      </c>
      <c r="B3336">
        <v>156802552.94465294</v>
      </c>
    </row>
    <row r="3337" spans="1:2" x14ac:dyDescent="0.25">
      <c r="A3337">
        <f ca="1">27037.6551462934*((RANDBETWEEN(1620,2416)))</f>
        <v>65241861.868005879</v>
      </c>
      <c r="B3337">
        <v>154338758.93036675</v>
      </c>
    </row>
    <row r="3338" spans="1:2" x14ac:dyDescent="0.25">
      <c r="A3338">
        <f ca="1">31578.5793779035*((RANDBETWEEN(1620,2416)))</f>
        <v>70041289.060190007</v>
      </c>
      <c r="B3338">
        <v>147049268.52313018</v>
      </c>
    </row>
    <row r="3339" spans="1:2" x14ac:dyDescent="0.25">
      <c r="A3339">
        <f ca="1">28114.1295259529*((RANDBETWEEN(1620,2416)))</f>
        <v>52517193.95448</v>
      </c>
      <c r="B3339">
        <v>171894129.9036622</v>
      </c>
    </row>
    <row r="3340" spans="1:2" x14ac:dyDescent="0.25">
      <c r="A3340">
        <f ca="1">30862.3594348072*((RANDBETWEEN(1620,2416)))</f>
        <v>57342263.829871707</v>
      </c>
      <c r="B3340">
        <v>169613856.14158666</v>
      </c>
    </row>
    <row r="3341" spans="1:2" x14ac:dyDescent="0.25">
      <c r="A3341">
        <f ca="1">26283.1263490719*((RANDBETWEEN(1620,2416)))</f>
        <v>45049278.56230931</v>
      </c>
      <c r="B3341">
        <v>153581457.45608702</v>
      </c>
    </row>
    <row r="3342" spans="1:2" x14ac:dyDescent="0.25">
      <c r="A3342">
        <f ca="1">27966.5642840542*((RANDBETWEEN(1620,2416)))</f>
        <v>63540034.053371221</v>
      </c>
      <c r="B3342">
        <v>200460810.98955184</v>
      </c>
    </row>
    <row r="3343" spans="1:2" x14ac:dyDescent="0.25">
      <c r="A3343">
        <f ca="1">28059.5458571392*((RANDBETWEEN(1620,2416)))</f>
        <v>61282048.15199206</v>
      </c>
      <c r="B3343">
        <v>182642880.24260378</v>
      </c>
    </row>
    <row r="3344" spans="1:2" x14ac:dyDescent="0.25">
      <c r="A3344">
        <f ca="1">31228.714358598*((RANDBETWEEN(1620,2416)))</f>
        <v>72044644.025285557</v>
      </c>
      <c r="B3344">
        <v>191219838.05276477</v>
      </c>
    </row>
    <row r="3345" spans="1:2" x14ac:dyDescent="0.25">
      <c r="A3345">
        <f ca="1">26707.5094751915*((RANDBETWEEN(1620,2416)))</f>
        <v>45589718.67415183</v>
      </c>
      <c r="B3345">
        <v>159748686.25264826</v>
      </c>
    </row>
    <row r="3346" spans="1:2" x14ac:dyDescent="0.25">
      <c r="A3346">
        <f ca="1">25852.4547769588*((RANDBETWEEN(1620,2416)))</f>
        <v>47801188.88259691</v>
      </c>
      <c r="B3346">
        <v>145898990.28009993</v>
      </c>
    </row>
    <row r="3347" spans="1:2" x14ac:dyDescent="0.25">
      <c r="A3347">
        <f ca="1">26610.2291143353*((RANDBETWEEN(1620,2416)))</f>
        <v>43640775.747509845</v>
      </c>
      <c r="B3347">
        <v>164823972.34858918</v>
      </c>
    </row>
    <row r="3348" spans="1:2" x14ac:dyDescent="0.25">
      <c r="A3348">
        <f ca="1">27695.6478414234*((RANDBETWEEN(1620,2416)))</f>
        <v>52926383.02496013</v>
      </c>
      <c r="B3348">
        <v>161464619.04241502</v>
      </c>
    </row>
    <row r="3349" spans="1:2" x14ac:dyDescent="0.25">
      <c r="A3349">
        <f ca="1">26540.7929989063*((RANDBETWEEN(1620,2416)))</f>
        <v>44721236.20315709</v>
      </c>
      <c r="B3349">
        <v>195743868.41948992</v>
      </c>
    </row>
    <row r="3350" spans="1:2" x14ac:dyDescent="0.25">
      <c r="A3350">
        <f ca="1">32232.421000477*((RANDBETWEEN(1620,2416)))</f>
        <v>53312424.334788911</v>
      </c>
      <c r="B3350">
        <v>181008418.70432794</v>
      </c>
    </row>
    <row r="3351" spans="1:2" x14ac:dyDescent="0.25">
      <c r="A3351">
        <f ca="1">27605.3102792137*((RANDBETWEEN(1620,2416)))</f>
        <v>60372813.58064042</v>
      </c>
      <c r="B3351">
        <v>160282601.74089959</v>
      </c>
    </row>
    <row r="3352" spans="1:2" x14ac:dyDescent="0.25">
      <c r="A3352">
        <f ca="1">25090.959939326*((RANDBETWEEN(1620,2416)))</f>
        <v>45113545.970908195</v>
      </c>
      <c r="B3352">
        <v>147474141.81009126</v>
      </c>
    </row>
    <row r="3353" spans="1:2" x14ac:dyDescent="0.25">
      <c r="A3353">
        <f ca="1">26598.3974397218*((RANDBETWEEN(1620,2416)))</f>
        <v>43701166.99346292</v>
      </c>
      <c r="B3353">
        <v>203208633.93433931</v>
      </c>
    </row>
    <row r="3354" spans="1:2" x14ac:dyDescent="0.25">
      <c r="A3354">
        <f ca="1">27260.6664681303*((RANDBETWEEN(1620,2416)))</f>
        <v>63162964.206657834</v>
      </c>
      <c r="B3354">
        <v>147885363.29631412</v>
      </c>
    </row>
    <row r="3355" spans="1:2" x14ac:dyDescent="0.25">
      <c r="A3355">
        <f ca="1">30189.5797141633*((RANDBETWEEN(1620,2416)))</f>
        <v>62462240.42860385</v>
      </c>
      <c r="B3355">
        <v>152498235.33732778</v>
      </c>
    </row>
    <row r="3356" spans="1:2" x14ac:dyDescent="0.25">
      <c r="A3356">
        <f ca="1">25855.9401795301*((RANDBETWEEN(1620,2416)))</f>
        <v>57141627.796761557</v>
      </c>
      <c r="B3356">
        <v>152083974.5951755</v>
      </c>
    </row>
    <row r="3357" spans="1:2" x14ac:dyDescent="0.25">
      <c r="A3357">
        <f ca="1">27127.5988225918*((RANDBETWEEN(1620,2416)))</f>
        <v>43946710.092598744</v>
      </c>
      <c r="B3357">
        <v>163410504.74070871</v>
      </c>
    </row>
    <row r="3358" spans="1:2" x14ac:dyDescent="0.25">
      <c r="A3358">
        <f ca="1">31116.726433231*((RANDBETWEEN(1620,2416)))</f>
        <v>59868581.657536365</v>
      </c>
      <c r="B3358">
        <v>168689301.67707485</v>
      </c>
    </row>
    <row r="3359" spans="1:2" x14ac:dyDescent="0.25">
      <c r="A3359">
        <f ca="1">28169.9642974472*((RANDBETWEEN(1620,2416)))</f>
        <v>57861106.666956626</v>
      </c>
      <c r="B3359">
        <v>189703948.25306696</v>
      </c>
    </row>
    <row r="3360" spans="1:2" x14ac:dyDescent="0.25">
      <c r="A3360">
        <f ca="1">31138.3889385219*((RANDBETWEEN(1620,2416)))</f>
        <v>70995526.779829875</v>
      </c>
      <c r="B3360">
        <v>198793110.12391758</v>
      </c>
    </row>
    <row r="3361" spans="1:2" x14ac:dyDescent="0.25">
      <c r="A3361">
        <f ca="1">30199.8894115676*((RANDBETWEEN(1620,2416)))</f>
        <v>64537163.672519997</v>
      </c>
      <c r="B3361">
        <v>199345292.15110666</v>
      </c>
    </row>
    <row r="3362" spans="1:2" x14ac:dyDescent="0.25">
      <c r="A3362">
        <f ca="1">26755.9472218643*((RANDBETWEEN(1620,2416)))</f>
        <v>63358083.021374688</v>
      </c>
      <c r="B3362">
        <v>164073962.33107501</v>
      </c>
    </row>
    <row r="3363" spans="1:2" x14ac:dyDescent="0.25">
      <c r="A3363">
        <f ca="1">29594.3757722239*((RANDBETWEEN(1620,2416)))</f>
        <v>48090860.629863873</v>
      </c>
      <c r="B3363">
        <v>182117605.14735359</v>
      </c>
    </row>
    <row r="3364" spans="1:2" x14ac:dyDescent="0.25">
      <c r="A3364">
        <f ca="1">32151.3306967339*((RANDBETWEEN(1620,2416)))</f>
        <v>65331503.975763209</v>
      </c>
      <c r="B3364">
        <v>152836225.01458856</v>
      </c>
    </row>
    <row r="3365" spans="1:2" x14ac:dyDescent="0.25">
      <c r="A3365">
        <f ca="1">29853.9620009386*((RANDBETWEEN(1620,2416)))</f>
        <v>70455350.32221511</v>
      </c>
      <c r="B3365">
        <v>167828394.4882412</v>
      </c>
    </row>
    <row r="3366" spans="1:2" x14ac:dyDescent="0.25">
      <c r="A3366">
        <f ca="1">28250.7568001326*((RANDBETWEEN(1620,2416)))</f>
        <v>64637731.5587034</v>
      </c>
      <c r="B3366">
        <v>162620240.56907201</v>
      </c>
    </row>
    <row r="3367" spans="1:2" x14ac:dyDescent="0.25">
      <c r="A3367">
        <f ca="1">26160.0270695701*((RANDBETWEEN(1620,2416)))</f>
        <v>56244058.1995757</v>
      </c>
      <c r="B3367">
        <v>151511885.11877602</v>
      </c>
    </row>
    <row r="3368" spans="1:2" x14ac:dyDescent="0.25">
      <c r="A3368">
        <f ca="1">28448.5213825308*((RANDBETWEEN(1620,2416)))</f>
        <v>46541780.981820427</v>
      </c>
      <c r="B3368">
        <v>155875766.84196222</v>
      </c>
    </row>
    <row r="3369" spans="1:2" x14ac:dyDescent="0.25">
      <c r="A3369">
        <f ca="1">31086.5326426459*((RANDBETWEEN(1620,2416)))</f>
        <v>65654756.941268079</v>
      </c>
      <c r="B3369">
        <v>200909795.33978668</v>
      </c>
    </row>
    <row r="3370" spans="1:2" x14ac:dyDescent="0.25">
      <c r="A3370">
        <f ca="1">26344.9313438577*((RANDBETWEEN(1620,2416)))</f>
        <v>56720637.183325693</v>
      </c>
      <c r="B3370">
        <v>163973828.02332839</v>
      </c>
    </row>
    <row r="3371" spans="1:2" x14ac:dyDescent="0.25">
      <c r="A3371">
        <f ca="1">27626.9007185427*((RANDBETWEEN(1620,2416)))</f>
        <v>66691338.334562093</v>
      </c>
      <c r="B3371">
        <v>174676135.24247015</v>
      </c>
    </row>
    <row r="3372" spans="1:2" x14ac:dyDescent="0.25">
      <c r="A3372">
        <f ca="1">32746.9264427689*((RANDBETWEEN(1620,2416)))</f>
        <v>68408329.338944137</v>
      </c>
      <c r="B3372">
        <v>156769267.236904</v>
      </c>
    </row>
    <row r="3373" spans="1:2" x14ac:dyDescent="0.25">
      <c r="A3373">
        <f ca="1">26947.6358470987*((RANDBETWEEN(1620,2416)))</f>
        <v>52844313.89616061</v>
      </c>
      <c r="B3373">
        <v>174103367.89146602</v>
      </c>
    </row>
    <row r="3374" spans="1:2" x14ac:dyDescent="0.25">
      <c r="A3374">
        <f ca="1">27095.2273232702*((RANDBETWEEN(1620,2416)))</f>
        <v>56195501.468462363</v>
      </c>
      <c r="B3374">
        <v>154377558.67474464</v>
      </c>
    </row>
    <row r="3375" spans="1:2" x14ac:dyDescent="0.25">
      <c r="A3375">
        <f ca="1">27567.4999465445*((RANDBETWEEN(1620,2416)))</f>
        <v>66437674.871172145</v>
      </c>
      <c r="B3375">
        <v>199711914.23313481</v>
      </c>
    </row>
    <row r="3376" spans="1:2" x14ac:dyDescent="0.25">
      <c r="A3376">
        <f ca="1">30940.8823519344*((RANDBETWEEN(1620,2416)))</f>
        <v>68008059.409551799</v>
      </c>
      <c r="B3376">
        <v>175517492.36512378</v>
      </c>
    </row>
    <row r="3377" spans="1:2" x14ac:dyDescent="0.25">
      <c r="A3377">
        <f ca="1">33128.9110363755*((RANDBETWEEN(1620,2416)))</f>
        <v>72320412.792407811</v>
      </c>
      <c r="B3377">
        <v>167259604.45417231</v>
      </c>
    </row>
    <row r="3378" spans="1:2" x14ac:dyDescent="0.25">
      <c r="A3378">
        <f ca="1">30034.7541843973*((RANDBETWEEN(1620,2416)))</f>
        <v>50428352.275603108</v>
      </c>
      <c r="B3378">
        <v>147180868.3742719</v>
      </c>
    </row>
    <row r="3379" spans="1:2" x14ac:dyDescent="0.25">
      <c r="A3379">
        <f ca="1">26446.6031405204*((RANDBETWEEN(1620,2416)))</f>
        <v>63128041.6964221</v>
      </c>
      <c r="B3379">
        <v>149972207.56335196</v>
      </c>
    </row>
    <row r="3380" spans="1:2" x14ac:dyDescent="0.25">
      <c r="A3380">
        <f ca="1">30977.3112420793*((RANDBETWEEN(1620,2416)))</f>
        <v>63782283.847441331</v>
      </c>
      <c r="B3380">
        <v>183236676.38019866</v>
      </c>
    </row>
    <row r="3381" spans="1:2" x14ac:dyDescent="0.25">
      <c r="A3381">
        <f ca="1">26568.1260114808*((RANDBETWEEN(1620,2416)))</f>
        <v>58317036.595200278</v>
      </c>
      <c r="B3381">
        <v>146618006.09434769</v>
      </c>
    </row>
    <row r="3382" spans="1:2" x14ac:dyDescent="0.25">
      <c r="A3382">
        <f ca="1">26937.4429902321*((RANDBETWEEN(1620,2416)))</f>
        <v>51585203.326294512</v>
      </c>
      <c r="B3382">
        <v>180029280.81300077</v>
      </c>
    </row>
    <row r="3383" spans="1:2" x14ac:dyDescent="0.25">
      <c r="A3383">
        <f ca="1">28151.9797622101*((RANDBETWEEN(1620,2416)))</f>
        <v>67789967.267401993</v>
      </c>
      <c r="B3383">
        <v>153961380.93013632</v>
      </c>
    </row>
    <row r="3384" spans="1:2" x14ac:dyDescent="0.25">
      <c r="A3384">
        <f ca="1">28182.6132092947*((RANDBETWEEN(1620,2416)))</f>
        <v>64650914.702121988</v>
      </c>
      <c r="B3384">
        <v>173896036.57698056</v>
      </c>
    </row>
    <row r="3385" spans="1:2" x14ac:dyDescent="0.25">
      <c r="A3385">
        <f ca="1">26398.8505981614*((RANDBETWEEN(1620,2416)))</f>
        <v>53800857.519052908</v>
      </c>
      <c r="B3385">
        <v>181436714.71431705</v>
      </c>
    </row>
    <row r="3386" spans="1:2" x14ac:dyDescent="0.25">
      <c r="A3386">
        <f ca="1">32912.1865732534*((RANDBETWEEN(1620,2416)))</f>
        <v>61512876.705410548</v>
      </c>
      <c r="B3386">
        <v>186705655.31259403</v>
      </c>
    </row>
    <row r="3387" spans="1:2" x14ac:dyDescent="0.25">
      <c r="A3387">
        <f ca="1">28178.1719084703*((RANDBETWEEN(1620,2416)))</f>
        <v>46973012.571419969</v>
      </c>
      <c r="B3387">
        <v>145840114.19550312</v>
      </c>
    </row>
    <row r="3388" spans="1:2" x14ac:dyDescent="0.25">
      <c r="A3388">
        <f ca="1">28886.7226930758*((RANDBETWEEN(1620,2416)))</f>
        <v>55953581.856488004</v>
      </c>
      <c r="B3388">
        <v>161871071.09386179</v>
      </c>
    </row>
    <row r="3389" spans="1:2" x14ac:dyDescent="0.25">
      <c r="A3389">
        <f ca="1">27194.8060263232*((RANDBETWEEN(1620,2416)))</f>
        <v>49712105.416118771</v>
      </c>
      <c r="B3389">
        <v>158415184.09548047</v>
      </c>
    </row>
    <row r="3390" spans="1:2" x14ac:dyDescent="0.25">
      <c r="A3390">
        <f ca="1">30863.207518536*((RANDBETWEEN(1620,2416)))</f>
        <v>53825433.91232682</v>
      </c>
      <c r="B3390">
        <v>168808043.94457006</v>
      </c>
    </row>
    <row r="3391" spans="1:2" x14ac:dyDescent="0.25">
      <c r="A3391">
        <f ca="1">29708.8724823447*((RANDBETWEEN(1620,2416)))</f>
        <v>68389824.45435755</v>
      </c>
      <c r="B3391">
        <v>165198253.51406798</v>
      </c>
    </row>
    <row r="3392" spans="1:2" x14ac:dyDescent="0.25">
      <c r="A3392">
        <f ca="1">26932.1167170186*((RANDBETWEEN(1620,2416)))</f>
        <v>57230748.023664579</v>
      </c>
      <c r="B3392">
        <v>154788135.25784069</v>
      </c>
    </row>
    <row r="3393" spans="1:2" x14ac:dyDescent="0.25">
      <c r="A3393">
        <f ca="1">29274.4432329248*((RANDBETWEEN(1620,2416)))</f>
        <v>54567562.186171755</v>
      </c>
      <c r="B3393">
        <v>196301001.95168206</v>
      </c>
    </row>
    <row r="3394" spans="1:2" x14ac:dyDescent="0.25">
      <c r="A3394">
        <f ca="1">26140.0200009987*((RANDBETWEEN(1620,2416)))</f>
        <v>61612027.142353959</v>
      </c>
      <c r="B3394">
        <v>153604303.06562534</v>
      </c>
    </row>
    <row r="3395" spans="1:2" x14ac:dyDescent="0.25">
      <c r="A3395">
        <f ca="1">27405.8500189721*((RANDBETWEEN(1620,2416)))</f>
        <v>55030946.838095918</v>
      </c>
      <c r="B3395">
        <v>163637631.93810353</v>
      </c>
    </row>
    <row r="3396" spans="1:2" x14ac:dyDescent="0.25">
      <c r="A3396">
        <f ca="1">27788.3870145109*((RANDBETWEEN(1620,2416)))</f>
        <v>66803282.382884212</v>
      </c>
      <c r="B3396">
        <v>186702994.86844325</v>
      </c>
    </row>
    <row r="3397" spans="1:2" x14ac:dyDescent="0.25">
      <c r="A3397">
        <f ca="1">28119.6311147454*((RANDBETWEEN(1620,2416)))</f>
        <v>62144384.763587236</v>
      </c>
      <c r="B3397">
        <v>191194673.26936379</v>
      </c>
    </row>
    <row r="3398" spans="1:2" x14ac:dyDescent="0.25">
      <c r="A3398">
        <f ca="1">30274.2350443488*((RANDBETWEEN(1620,2416)))</f>
        <v>65907009.691547282</v>
      </c>
      <c r="B3398">
        <v>155360028.50700894</v>
      </c>
    </row>
    <row r="3399" spans="1:2" x14ac:dyDescent="0.25">
      <c r="A3399">
        <f ca="1">27788.8626247985*((RANDBETWEEN(1620,2416)))</f>
        <v>46101723.09454079</v>
      </c>
      <c r="B3399">
        <v>153849982.77126223</v>
      </c>
    </row>
    <row r="3400" spans="1:2" x14ac:dyDescent="0.25">
      <c r="A3400">
        <f ca="1">26607.8467142378*((RANDBETWEEN(1620,2416)))</f>
        <v>47761084.852056935</v>
      </c>
      <c r="B3400">
        <v>142962913.29974869</v>
      </c>
    </row>
    <row r="3401" spans="1:2" x14ac:dyDescent="0.25">
      <c r="A3401">
        <f ca="1">26654.1788263933*((RANDBETWEEN(1620,2416)))</f>
        <v>62050928.307843603</v>
      </c>
      <c r="B3401">
        <v>168809175.23149931</v>
      </c>
    </row>
    <row r="3402" spans="1:2" x14ac:dyDescent="0.25">
      <c r="A3402">
        <f ca="1">26880.8577595291*((RANDBETWEEN(1620,2416)))</f>
        <v>51127391.458624303</v>
      </c>
      <c r="B3402">
        <v>143571237.99825501</v>
      </c>
    </row>
    <row r="3403" spans="1:2" x14ac:dyDescent="0.25">
      <c r="A3403">
        <f ca="1">25723.5926654464*((RANDBETWEEN(1620,2416)))</f>
        <v>55331447.823375247</v>
      </c>
      <c r="B3403">
        <v>156934714.53008845</v>
      </c>
    </row>
    <row r="3404" spans="1:2" x14ac:dyDescent="0.25">
      <c r="A3404">
        <f ca="1">30130.0258244605*((RANDBETWEEN(1620,2416)))</f>
        <v>49262592.222992934</v>
      </c>
      <c r="B3404">
        <v>191973846.82187381</v>
      </c>
    </row>
    <row r="3405" spans="1:2" x14ac:dyDescent="0.25">
      <c r="A3405">
        <f ca="1">28924.5889910726*((RANDBETWEEN(1620,2416)))</f>
        <v>55130266.616984442</v>
      </c>
      <c r="B3405">
        <v>197403187.19767064</v>
      </c>
    </row>
    <row r="3406" spans="1:2" x14ac:dyDescent="0.25">
      <c r="A3406">
        <f ca="1">29419.5813254321*((RANDBETWEEN(1620,2416)))</f>
        <v>57044568.190012909</v>
      </c>
      <c r="B3406">
        <v>197480405.01219758</v>
      </c>
    </row>
    <row r="3407" spans="1:2" x14ac:dyDescent="0.25">
      <c r="A3407">
        <f ca="1">30900.8701850585*((RANDBETWEEN(1620,2416)))</f>
        <v>62790568.216038786</v>
      </c>
      <c r="B3407">
        <v>166104412.02233708</v>
      </c>
    </row>
    <row r="3408" spans="1:2" x14ac:dyDescent="0.25">
      <c r="A3408">
        <f ca="1">26314.4000840167*((RANDBETWEEN(1620,2416)))</f>
        <v>45787056.146189064</v>
      </c>
      <c r="B3408">
        <v>158113398.10081673</v>
      </c>
    </row>
    <row r="3409" spans="1:2" x14ac:dyDescent="0.25">
      <c r="A3409">
        <f ca="1">27099.9039955561*((RANDBETWEEN(1620,2416)))</f>
        <v>47939730.168138683</v>
      </c>
      <c r="B3409">
        <v>197445373.71452039</v>
      </c>
    </row>
    <row r="3410" spans="1:2" x14ac:dyDescent="0.25">
      <c r="A3410">
        <f ca="1">27026.6719908815*((RANDBETWEEN(1620,2416)))</f>
        <v>60188398.52369301</v>
      </c>
      <c r="B3410">
        <v>151659666.06712595</v>
      </c>
    </row>
    <row r="3411" spans="1:2" x14ac:dyDescent="0.25">
      <c r="A3411">
        <f ca="1">26420.9972013849*((RANDBETWEEN(1620,2416)))</f>
        <v>47320005.987680323</v>
      </c>
      <c r="B3411">
        <v>168188152.98011875</v>
      </c>
    </row>
    <row r="3412" spans="1:2" x14ac:dyDescent="0.25">
      <c r="A3412">
        <f ca="1">27793.5886959994*((RANDBETWEEN(1620,2416)))</f>
        <v>53113547.998054802</v>
      </c>
      <c r="B3412">
        <v>174800024.6551792</v>
      </c>
    </row>
    <row r="3413" spans="1:2" x14ac:dyDescent="0.25">
      <c r="A3413">
        <f ca="1">26986.778688125*((RANDBETWEEN(1620,2416)))</f>
        <v>64309493.61380183</v>
      </c>
      <c r="B3413">
        <v>162669956.69269475</v>
      </c>
    </row>
    <row r="3414" spans="1:2" x14ac:dyDescent="0.25">
      <c r="A3414">
        <f ca="1">27685.1095501339*((RANDBETWEEN(1620,2416)))</f>
        <v>49251809.889688246</v>
      </c>
      <c r="B3414">
        <v>143892163.54707855</v>
      </c>
    </row>
    <row r="3415" spans="1:2" x14ac:dyDescent="0.25">
      <c r="A3415">
        <f ca="1">26417.117749122*((RANDBETWEEN(1620,2416)))</f>
        <v>45595945.234984532</v>
      </c>
      <c r="B3415">
        <v>148998620.50121635</v>
      </c>
    </row>
    <row r="3416" spans="1:2" x14ac:dyDescent="0.25">
      <c r="A3416">
        <f ca="1">28579.3075725702*((RANDBETWEEN(1620,2416)))</f>
        <v>53414725.853133701</v>
      </c>
      <c r="B3416">
        <v>154879435.15491757</v>
      </c>
    </row>
    <row r="3417" spans="1:2" x14ac:dyDescent="0.25">
      <c r="A3417">
        <f ca="1">27772.6086130328*((RANDBETWEEN(1620,2416)))</f>
        <v>55239718.531322308</v>
      </c>
      <c r="B3417">
        <v>143987698.62317073</v>
      </c>
    </row>
    <row r="3418" spans="1:2" x14ac:dyDescent="0.25">
      <c r="A3418">
        <f ca="1">31812.9546822724*((RANDBETWEEN(1620,2416)))</f>
        <v>69352241.207353741</v>
      </c>
      <c r="B3418">
        <v>155527383.42040822</v>
      </c>
    </row>
    <row r="3419" spans="1:2" x14ac:dyDescent="0.25">
      <c r="A3419">
        <f ca="1">25544.3849839767*((RANDBETWEEN(1620,2416)))</f>
        <v>59543961.39764972</v>
      </c>
      <c r="B3419">
        <v>151599011.25051519</v>
      </c>
    </row>
    <row r="3420" spans="1:2" x14ac:dyDescent="0.25">
      <c r="A3420">
        <f ca="1">26914.7506853268*((RANDBETWEEN(1620,2416)))</f>
        <v>43871043.617082626</v>
      </c>
      <c r="B3420">
        <v>201535918.91318929</v>
      </c>
    </row>
    <row r="3421" spans="1:2" x14ac:dyDescent="0.25">
      <c r="A3421">
        <f ca="1">26744.626550159*((RANDBETWEEN(1620,2416)))</f>
        <v>45198418.869768687</v>
      </c>
      <c r="B3421">
        <v>159062179.61219257</v>
      </c>
    </row>
    <row r="3422" spans="1:2" x14ac:dyDescent="0.25">
      <c r="A3422">
        <f ca="1">32541.0410012509*((RANDBETWEEN(1620,2416)))</f>
        <v>74258655.564854458</v>
      </c>
      <c r="B3422">
        <v>185676561.37716937</v>
      </c>
    </row>
    <row r="3423" spans="1:2" x14ac:dyDescent="0.25">
      <c r="A3423">
        <f ca="1">28139.6403620894*((RANDBETWEEN(1620,2416)))</f>
        <v>65480943.122581951</v>
      </c>
      <c r="B3423">
        <v>195582599.49092409</v>
      </c>
    </row>
    <row r="3424" spans="1:2" x14ac:dyDescent="0.25">
      <c r="A3424">
        <f ca="1">27956.4861218056*((RANDBETWEEN(1620,2416)))</f>
        <v>65306351.580537848</v>
      </c>
      <c r="B3424">
        <v>194903736.83654433</v>
      </c>
    </row>
    <row r="3425" spans="1:2" x14ac:dyDescent="0.25">
      <c r="A3425">
        <f ca="1">26934.7195805438*((RANDBETWEEN(1620,2416)))</f>
        <v>46543195.435179763</v>
      </c>
      <c r="B3425">
        <v>162130361.34640995</v>
      </c>
    </row>
    <row r="3426" spans="1:2" x14ac:dyDescent="0.25">
      <c r="A3426">
        <f ca="1">27450.8712238278*((RANDBETWEEN(1620,2416)))</f>
        <v>54682135.477865018</v>
      </c>
      <c r="B3426">
        <v>158863769.12904519</v>
      </c>
    </row>
    <row r="3427" spans="1:2" x14ac:dyDescent="0.25">
      <c r="A3427">
        <f ca="1">29209.2767433867*((RANDBETWEEN(1620,2416)))</f>
        <v>49860235.400961101</v>
      </c>
      <c r="B3427">
        <v>188953117.79862869</v>
      </c>
    </row>
    <row r="3428" spans="1:2" x14ac:dyDescent="0.25">
      <c r="A3428">
        <f ca="1">27048.2869216106*((RANDBETWEEN(1620,2416)))</f>
        <v>46874681.235151179</v>
      </c>
      <c r="B3428">
        <v>149206990.23869449</v>
      </c>
    </row>
    <row r="3429" spans="1:2" x14ac:dyDescent="0.25">
      <c r="A3429">
        <f ca="1">29095.7569903178*((RANDBETWEEN(1620,2416)))</f>
        <v>69975295.561714396</v>
      </c>
      <c r="B3429">
        <v>171282893.87948185</v>
      </c>
    </row>
    <row r="3430" spans="1:2" x14ac:dyDescent="0.25">
      <c r="A3430">
        <f ca="1">30075.7872700448*((RANDBETWEEN(1620,2416)))</f>
        <v>56422176.918604098</v>
      </c>
      <c r="B3430">
        <v>202582286.7518445</v>
      </c>
    </row>
    <row r="3431" spans="1:2" x14ac:dyDescent="0.25">
      <c r="A3431">
        <f ca="1">32954.7453886822*((RANDBETWEEN(1620,2416)))</f>
        <v>72599304.091266915</v>
      </c>
      <c r="B3431">
        <v>153251240.10847735</v>
      </c>
    </row>
    <row r="3432" spans="1:2" x14ac:dyDescent="0.25">
      <c r="A3432">
        <f ca="1">24780.8517451769*((RANDBETWEEN(1620,2416)))</f>
        <v>45745452.321596473</v>
      </c>
      <c r="B3432">
        <v>171428582.84484076</v>
      </c>
    </row>
    <row r="3433" spans="1:2" x14ac:dyDescent="0.25">
      <c r="A3433">
        <f ca="1">29154.6177070736*((RANDBETWEEN(1620,2416)))</f>
        <v>52740703.432096303</v>
      </c>
      <c r="B3433">
        <v>178362765.49995503</v>
      </c>
    </row>
    <row r="3434" spans="1:2" x14ac:dyDescent="0.25">
      <c r="A3434">
        <f ca="1">31267.665845475*((RANDBETWEEN(1620,2416)))</f>
        <v>55906586.531709328</v>
      </c>
      <c r="B3434">
        <v>153788172.01580188</v>
      </c>
    </row>
    <row r="3435" spans="1:2" x14ac:dyDescent="0.25">
      <c r="A3435">
        <f ca="1">28406.5419849073*((RANDBETWEEN(1620,2416)))</f>
        <v>49342163.427784055</v>
      </c>
      <c r="B3435">
        <v>150156011.51547909</v>
      </c>
    </row>
    <row r="3436" spans="1:2" x14ac:dyDescent="0.25">
      <c r="A3436">
        <f ca="1">27777.3450809751*((RANDBETWEEN(1620,2416)))</f>
        <v>60749053.692092493</v>
      </c>
      <c r="B3436">
        <v>146252038.71764374</v>
      </c>
    </row>
    <row r="3437" spans="1:2" x14ac:dyDescent="0.25">
      <c r="A3437">
        <f ca="1">28141.2267070114*((RANDBETWEEN(1620,2416)))</f>
        <v>53609036.876856737</v>
      </c>
      <c r="B3437">
        <v>152366184.47062618</v>
      </c>
    </row>
    <row r="3438" spans="1:2" x14ac:dyDescent="0.25">
      <c r="A3438">
        <f ca="1">30317.8815565527*((RANDBETWEEN(1620,2416)))</f>
        <v>51873895.343261659</v>
      </c>
      <c r="B3438">
        <v>178810834.58738405</v>
      </c>
    </row>
    <row r="3439" spans="1:2" x14ac:dyDescent="0.25">
      <c r="A3439">
        <f ca="1">29067.9292267221*((RANDBETWEEN(1620,2416)))</f>
        <v>59967137.994727619</v>
      </c>
      <c r="B3439">
        <v>154271657.38266292</v>
      </c>
    </row>
    <row r="3440" spans="1:2" x14ac:dyDescent="0.25">
      <c r="A3440">
        <f ca="1">26819.9138711365*((RANDBETWEEN(1620,2416)))</f>
        <v>51735613.857422315</v>
      </c>
      <c r="B3440">
        <v>183934925.79691505</v>
      </c>
    </row>
    <row r="3441" spans="1:2" x14ac:dyDescent="0.25">
      <c r="A3441">
        <f ca="1">28270.0901510451*((RANDBETWEEN(1620,2416)))</f>
        <v>56794611.113449529</v>
      </c>
      <c r="B3441">
        <v>152473769.29456747</v>
      </c>
    </row>
    <row r="3442" spans="1:2" x14ac:dyDescent="0.25">
      <c r="A3442">
        <f ca="1">33496.2310595466*((RANDBETWEEN(1620,2416)))</f>
        <v>56910096.570169717</v>
      </c>
      <c r="B3442">
        <v>174371572.38179681</v>
      </c>
    </row>
    <row r="3443" spans="1:2" x14ac:dyDescent="0.25">
      <c r="A3443">
        <f ca="1">25877.6166381869*((RANDBETWEEN(1620,2416)))</f>
        <v>59156231.634895258</v>
      </c>
      <c r="B3443">
        <v>161328566.67212069</v>
      </c>
    </row>
    <row r="3444" spans="1:2" x14ac:dyDescent="0.25">
      <c r="A3444">
        <f ca="1">28362.0139126667*((RANDBETWEEN(1620,2416)))</f>
        <v>47279477.192415431</v>
      </c>
      <c r="B3444">
        <v>171162153.2410076</v>
      </c>
    </row>
    <row r="3445" spans="1:2" x14ac:dyDescent="0.25">
      <c r="A3445">
        <f ca="1">29368.5376229681*((RANDBETWEEN(1620,2416)))</f>
        <v>49339143.206586368</v>
      </c>
      <c r="B3445">
        <v>189020243.80845428</v>
      </c>
    </row>
    <row r="3446" spans="1:2" x14ac:dyDescent="0.25">
      <c r="A3446">
        <f ca="1">26331.490135792*((RANDBETWEEN(1620,2416)))</f>
        <v>46633069.030487582</v>
      </c>
      <c r="B3446">
        <v>154289416.40249678</v>
      </c>
    </row>
    <row r="3447" spans="1:2" x14ac:dyDescent="0.25">
      <c r="A3447">
        <f ca="1">31717.570941012*((RANDBETWEEN(1620,2416)))</f>
        <v>68351365.377880856</v>
      </c>
      <c r="B3447">
        <v>169787945.71528065</v>
      </c>
    </row>
    <row r="3448" spans="1:2" x14ac:dyDescent="0.25">
      <c r="A3448">
        <f ca="1">25728.9639678565*((RANDBETWEEN(1620,2416)))</f>
        <v>51946778.251102351</v>
      </c>
      <c r="B3448">
        <v>145542135.14971763</v>
      </c>
    </row>
    <row r="3449" spans="1:2" x14ac:dyDescent="0.25">
      <c r="A3449">
        <f ca="1">27299.0913573745*((RANDBETWEEN(1620,2416)))</f>
        <v>54297892.709817886</v>
      </c>
      <c r="B3449">
        <v>178315816.17458504</v>
      </c>
    </row>
    <row r="3450" spans="1:2" x14ac:dyDescent="0.25">
      <c r="A3450">
        <f ca="1">29154.584517917*((RANDBETWEEN(1620,2416)))</f>
        <v>54344145.541397274</v>
      </c>
      <c r="B3450">
        <v>145618553.79596484</v>
      </c>
    </row>
    <row r="3451" spans="1:2" x14ac:dyDescent="0.25">
      <c r="A3451">
        <f ca="1">27675.9315095454*((RANDBETWEEN(1620,2416)))</f>
        <v>49650621.128124505</v>
      </c>
      <c r="B3451">
        <v>178497459.14295444</v>
      </c>
    </row>
    <row r="3452" spans="1:2" x14ac:dyDescent="0.25">
      <c r="A3452">
        <f ca="1">26834.6745188373*((RANDBETWEEN(1620,2416)))</f>
        <v>54420719.924202114</v>
      </c>
      <c r="B3452">
        <v>155446080.18450144</v>
      </c>
    </row>
    <row r="3453" spans="1:2" x14ac:dyDescent="0.25">
      <c r="A3453">
        <f ca="1">27421.3755650115*((RANDBETWEEN(1620,2416)))</f>
        <v>46726023.962779582</v>
      </c>
      <c r="B3453">
        <v>196533531.59027323</v>
      </c>
    </row>
    <row r="3454" spans="1:2" x14ac:dyDescent="0.25">
      <c r="A3454">
        <f ca="1">26745.3460922894*((RANDBETWEEN(1620,2416)))</f>
        <v>54132580.490793668</v>
      </c>
      <c r="B3454">
        <v>184279960.70072064</v>
      </c>
    </row>
    <row r="3455" spans="1:2" x14ac:dyDescent="0.25">
      <c r="A3455">
        <f ca="1">29668.0722710259*((RANDBETWEEN(1620,2416)))</f>
        <v>58535106.59073405</v>
      </c>
      <c r="B3455">
        <v>144548296.77269906</v>
      </c>
    </row>
    <row r="3456" spans="1:2" x14ac:dyDescent="0.25">
      <c r="A3456">
        <f ca="1">27618.0879431154*((RANDBETWEEN(1620,2416)))</f>
        <v>54600959.863539174</v>
      </c>
      <c r="B3456">
        <v>181335199.25496083</v>
      </c>
    </row>
    <row r="3457" spans="1:2" x14ac:dyDescent="0.25">
      <c r="A3457">
        <f ca="1">33223.8938779499*((RANDBETWEEN(1620,2416)))</f>
        <v>77777135.568280771</v>
      </c>
      <c r="B3457">
        <v>167317192.31888366</v>
      </c>
    </row>
    <row r="3458" spans="1:2" x14ac:dyDescent="0.25">
      <c r="A3458">
        <f ca="1">29323.2591075524*((RANDBETWEEN(1620,2416)))</f>
        <v>57356294.81437254</v>
      </c>
      <c r="B3458">
        <v>171065051.04564619</v>
      </c>
    </row>
    <row r="3459" spans="1:2" x14ac:dyDescent="0.25">
      <c r="A3459">
        <f ca="1">31179.7675745835*((RANDBETWEEN(1620,2416)))</f>
        <v>58306165.36447116</v>
      </c>
      <c r="B3459">
        <v>154341449.54479444</v>
      </c>
    </row>
    <row r="3460" spans="1:2" x14ac:dyDescent="0.25">
      <c r="A3460">
        <f ca="1">29093.4538263761*((RANDBETWEEN(1620,2416)))</f>
        <v>54695693.193587117</v>
      </c>
      <c r="B3460">
        <v>203450760.69767871</v>
      </c>
    </row>
    <row r="3461" spans="1:2" x14ac:dyDescent="0.25">
      <c r="A3461">
        <f ca="1">25419.7595863008*((RANDBETWEEN(1620,2416)))</f>
        <v>48043345.618108459</v>
      </c>
      <c r="B3461">
        <v>163513193.87340844</v>
      </c>
    </row>
    <row r="3462" spans="1:2" x14ac:dyDescent="0.25">
      <c r="A3462">
        <f ca="1">27458.2036718755*((RANDBETWEEN(1620,2416)))</f>
        <v>47914565.407422684</v>
      </c>
      <c r="B3462">
        <v>165140616.62957966</v>
      </c>
    </row>
    <row r="3463" spans="1:2" x14ac:dyDescent="0.25">
      <c r="A3463">
        <f ca="1">29440.6309394875*((RANDBETWEEN(1620,2416)))</f>
        <v>50785088.370615959</v>
      </c>
      <c r="B3463">
        <v>196629575.01369616</v>
      </c>
    </row>
    <row r="3464" spans="1:2" x14ac:dyDescent="0.25">
      <c r="A3464">
        <f ca="1">32287.5584218175*((RANDBETWEEN(1620,2416)))</f>
        <v>55179437.342886105</v>
      </c>
      <c r="B3464">
        <v>176316094.82994735</v>
      </c>
    </row>
    <row r="3465" spans="1:2" x14ac:dyDescent="0.25">
      <c r="A3465">
        <f ca="1">27438.5867095814*((RANDBETWEEN(1620,2416)))</f>
        <v>64151415.727001302</v>
      </c>
      <c r="B3465">
        <v>174263297.46237612</v>
      </c>
    </row>
    <row r="3466" spans="1:2" x14ac:dyDescent="0.25">
      <c r="A3466">
        <f ca="1">26390.9716520106*((RANDBETWEEN(1620,2416)))</f>
        <v>51990214.154460929</v>
      </c>
      <c r="B3466">
        <v>187298263.04516882</v>
      </c>
    </row>
    <row r="3467" spans="1:2" x14ac:dyDescent="0.25">
      <c r="A3467">
        <f ca="1">26111.0679492987*((RANDBETWEEN(1620,2416)))</f>
        <v>54937686.965324558</v>
      </c>
      <c r="B3467">
        <v>145054461.66763726</v>
      </c>
    </row>
    <row r="3468" spans="1:2" x14ac:dyDescent="0.25">
      <c r="A3468">
        <f ca="1">28552.3505398339*((RANDBETWEEN(1620,2416)))</f>
        <v>65270673.334060401</v>
      </c>
      <c r="B3468">
        <v>172438530.07084933</v>
      </c>
    </row>
    <row r="3469" spans="1:2" x14ac:dyDescent="0.25">
      <c r="A3469">
        <f ca="1">26413.7582782113*((RANDBETWEEN(1620,2416)))</f>
        <v>53857653.129272915</v>
      </c>
      <c r="B3469">
        <v>181284082.91117236</v>
      </c>
    </row>
    <row r="3470" spans="1:2" x14ac:dyDescent="0.25">
      <c r="A3470">
        <f ca="1">29255.401225869*((RANDBETWEEN(1620,2416)))</f>
        <v>54063981.465405822</v>
      </c>
      <c r="B3470">
        <v>202038955.27331468</v>
      </c>
    </row>
    <row r="3471" spans="1:2" x14ac:dyDescent="0.25">
      <c r="A3471">
        <f ca="1">26899.4402366763*((RANDBETWEEN(1620,2416)))</f>
        <v>55412846.887553096</v>
      </c>
      <c r="B3471">
        <v>171878860.16824555</v>
      </c>
    </row>
    <row r="3472" spans="1:2" x14ac:dyDescent="0.25">
      <c r="A3472">
        <f ca="1">28211.0276821902*((RANDBETWEEN(1620,2416)))</f>
        <v>63897977.700161017</v>
      </c>
      <c r="B3472">
        <v>144985462.14642876</v>
      </c>
    </row>
    <row r="3473" spans="1:2" x14ac:dyDescent="0.25">
      <c r="A3473">
        <f ca="1">27335.6853601287*((RANDBETWEEN(1620,2416)))</f>
        <v>51117731.623440638</v>
      </c>
      <c r="B3473">
        <v>189292822.33981854</v>
      </c>
    </row>
    <row r="3474" spans="1:2" x14ac:dyDescent="0.25">
      <c r="A3474">
        <f ca="1">28923.5800621239*((RANDBETWEEN(1620,2416)))</f>
        <v>51686437.571015395</v>
      </c>
      <c r="B3474">
        <v>155306794.66190684</v>
      </c>
    </row>
    <row r="3475" spans="1:2" x14ac:dyDescent="0.25">
      <c r="A3475">
        <f ca="1">26168.8685267935*((RANDBETWEEN(1620,2416)))</f>
        <v>47758185.061398111</v>
      </c>
      <c r="B3475">
        <v>167867404.14484152</v>
      </c>
    </row>
    <row r="3476" spans="1:2" x14ac:dyDescent="0.25">
      <c r="A3476">
        <f ca="1">26538.7671216979*((RANDBETWEEN(1620,2416)))</f>
        <v>61676094.790825941</v>
      </c>
      <c r="B3476">
        <v>154147950.73988357</v>
      </c>
    </row>
    <row r="3477" spans="1:2" x14ac:dyDescent="0.25">
      <c r="A3477">
        <f ca="1">29056.973258505*((RANDBETWEEN(1620,2416)))</f>
        <v>68516342.943554759</v>
      </c>
      <c r="B3477">
        <v>168169099.12498575</v>
      </c>
    </row>
    <row r="3478" spans="1:2" x14ac:dyDescent="0.25">
      <c r="A3478">
        <f ca="1">26673.1694745739*((RANDBETWEEN(1620,2416)))</f>
        <v>56360407.099774614</v>
      </c>
      <c r="B3478">
        <v>152766583.14560592</v>
      </c>
    </row>
    <row r="3479" spans="1:2" x14ac:dyDescent="0.25">
      <c r="A3479">
        <f ca="1">26285.9179771443*((RANDBETWEEN(1620,2416)))</f>
        <v>47078079.097065389</v>
      </c>
      <c r="B3479">
        <v>156735341.00188223</v>
      </c>
    </row>
    <row r="3480" spans="1:2" x14ac:dyDescent="0.25">
      <c r="A3480">
        <f ca="1">26887.8808056869*((RANDBETWEEN(1620,2416)))</f>
        <v>64826680.622511163</v>
      </c>
      <c r="B3480">
        <v>154871826.54508492</v>
      </c>
    </row>
    <row r="3481" spans="1:2" x14ac:dyDescent="0.25">
      <c r="A3481">
        <f ca="1">26523.8533284223*((RANDBETWEEN(1620,2416)))</f>
        <v>46469791.031395949</v>
      </c>
      <c r="B3481">
        <v>181992250.37611601</v>
      </c>
    </row>
    <row r="3482" spans="1:2" x14ac:dyDescent="0.25">
      <c r="A3482">
        <f ca="1">29516.8141098913*((RANDBETWEEN(1620,2416)))</f>
        <v>55993396.366463706</v>
      </c>
      <c r="B3482">
        <v>177728906.50079176</v>
      </c>
    </row>
    <row r="3483" spans="1:2" x14ac:dyDescent="0.25">
      <c r="A3483">
        <f ca="1">25968.9593242552*((RANDBETWEEN(1620,2416)))</f>
        <v>45211958.183528379</v>
      </c>
      <c r="B3483">
        <v>148224583.28261784</v>
      </c>
    </row>
    <row r="3484" spans="1:2" x14ac:dyDescent="0.25">
      <c r="A3484">
        <f ca="1">25925.9374802042*((RANDBETWEEN(1620,2416)))</f>
        <v>50529652.148918055</v>
      </c>
      <c r="B3484">
        <v>175778105.99038494</v>
      </c>
    </row>
    <row r="3485" spans="1:2" x14ac:dyDescent="0.25">
      <c r="A3485">
        <f ca="1">29102.7984797739*((RANDBETWEEN(1620,2416)))</f>
        <v>58845858.526102781</v>
      </c>
      <c r="B3485">
        <v>145363014.24080193</v>
      </c>
    </row>
    <row r="3486" spans="1:2" x14ac:dyDescent="0.25">
      <c r="A3486">
        <f ca="1">26025.6475581711*((RANDBETWEEN(1620,2416)))</f>
        <v>59130271.252164796</v>
      </c>
      <c r="B3486">
        <v>166596714.88321909</v>
      </c>
    </row>
    <row r="3487" spans="1:2" x14ac:dyDescent="0.25">
      <c r="A3487">
        <f ca="1">31073.6665203489*((RANDBETWEEN(1620,2416)))</f>
        <v>63732090.033235535</v>
      </c>
      <c r="B3487">
        <v>155107379.71225211</v>
      </c>
    </row>
    <row r="3488" spans="1:2" x14ac:dyDescent="0.25">
      <c r="A3488">
        <f ca="1">32882.7518632529*((RANDBETWEEN(1620,2416)))</f>
        <v>70204675.228045017</v>
      </c>
      <c r="B3488">
        <v>181968086.23612237</v>
      </c>
    </row>
    <row r="3489" spans="1:2" x14ac:dyDescent="0.25">
      <c r="A3489">
        <f ca="1">28946.8522540049*((RANDBETWEEN(1620,2416)))</f>
        <v>61743635.857792445</v>
      </c>
      <c r="B3489">
        <v>178009860.64434516</v>
      </c>
    </row>
    <row r="3490" spans="1:2" x14ac:dyDescent="0.25">
      <c r="A3490">
        <f ca="1">28267.4146668868*((RANDBETWEEN(1620,2416)))</f>
        <v>59955186.508466952</v>
      </c>
      <c r="B3490">
        <v>163965384.29103279</v>
      </c>
    </row>
    <row r="3491" spans="1:2" x14ac:dyDescent="0.25">
      <c r="A3491">
        <f ca="1">26283.4846360411*((RANDBETWEEN(1620,2416)))</f>
        <v>58007650.591742627</v>
      </c>
      <c r="B3491">
        <v>166233495.57006639</v>
      </c>
    </row>
    <row r="3492" spans="1:2" x14ac:dyDescent="0.25">
      <c r="A3492">
        <f ca="1">28241.10534935*((RANDBETWEEN(1620,2416)))</f>
        <v>53290965.794223383</v>
      </c>
      <c r="B3492">
        <v>173898460.52632645</v>
      </c>
    </row>
    <row r="3493" spans="1:2" x14ac:dyDescent="0.25">
      <c r="A3493">
        <f ca="1">30556.195959037*((RANDBETWEEN(1620,2416)))</f>
        <v>57781766.558539011</v>
      </c>
      <c r="B3493">
        <v>163696852.2177642</v>
      </c>
    </row>
    <row r="3494" spans="1:2" x14ac:dyDescent="0.25">
      <c r="A3494">
        <f ca="1">26020.066009996*((RANDBETWEEN(1620,2416)))</f>
        <v>53471235.650541715</v>
      </c>
      <c r="B3494">
        <v>142977574.91923702</v>
      </c>
    </row>
    <row r="3495" spans="1:2" x14ac:dyDescent="0.25">
      <c r="A3495">
        <f ca="1">29725.6340090187*((RANDBETWEEN(1620,2416)))</f>
        <v>49849888.23312439</v>
      </c>
      <c r="B3495">
        <v>171312051.57142457</v>
      </c>
    </row>
    <row r="3496" spans="1:2" x14ac:dyDescent="0.25">
      <c r="A3496">
        <f ca="1">27912.1806154149*((RANDBETWEEN(1620,2416)))</f>
        <v>51944568.125287034</v>
      </c>
      <c r="B3496">
        <v>170074415.29870972</v>
      </c>
    </row>
    <row r="3497" spans="1:2" x14ac:dyDescent="0.25">
      <c r="A3497">
        <f ca="1">26931.3971054872*((RANDBETWEEN(1620,2416)))</f>
        <v>51492831.265691429</v>
      </c>
      <c r="B3497">
        <v>182745143.06517726</v>
      </c>
    </row>
    <row r="3498" spans="1:2" x14ac:dyDescent="0.25">
      <c r="A3498">
        <f ca="1">27040.1734014554*((RANDBETWEEN(1620,2416)))</f>
        <v>45751973.395262495</v>
      </c>
      <c r="B3498">
        <v>153375473.23912627</v>
      </c>
    </row>
    <row r="3499" spans="1:2" x14ac:dyDescent="0.25">
      <c r="A3499">
        <f ca="1">28175.6939043471*((RANDBETWEEN(1620,2416)))</f>
        <v>52068682.335233502</v>
      </c>
      <c r="B3499">
        <v>185203634.46910179</v>
      </c>
    </row>
    <row r="3500" spans="1:2" x14ac:dyDescent="0.25">
      <c r="A3500">
        <f ca="1">26858.8470233768*((RANDBETWEEN(1620,2416)))</f>
        <v>53046222.871169128</v>
      </c>
      <c r="B3500">
        <v>165949392.77266806</v>
      </c>
    </row>
    <row r="3501" spans="1:2" x14ac:dyDescent="0.25">
      <c r="A3501">
        <f ca="1">26949.3727677901*((RANDBETWEEN(1620,2416)))</f>
        <v>49964137.111482844</v>
      </c>
      <c r="B3501">
        <v>200243639.59374657</v>
      </c>
    </row>
    <row r="3502" spans="1:2" x14ac:dyDescent="0.25">
      <c r="A3502">
        <f ca="1">26456.9151797989*((RANDBETWEEN(1620,2416)))</f>
        <v>59792628.306345485</v>
      </c>
      <c r="B3502">
        <v>147313110.33447304</v>
      </c>
    </row>
    <row r="3503" spans="1:2" x14ac:dyDescent="0.25">
      <c r="A3503">
        <f ca="1">27778.0597788754*((RANDBETWEEN(1620,2416)))</f>
        <v>55083892.541509919</v>
      </c>
      <c r="B3503">
        <v>161783863.75134027</v>
      </c>
    </row>
    <row r="3504" spans="1:2" x14ac:dyDescent="0.25">
      <c r="A3504">
        <f ca="1">30113.2635750417*((RANDBETWEEN(1620,2416)))</f>
        <v>72572965.215850577</v>
      </c>
      <c r="B3504">
        <v>160856586.98095387</v>
      </c>
    </row>
    <row r="3505" spans="1:2" x14ac:dyDescent="0.25">
      <c r="A3505">
        <f ca="1">26784.5357291401*((RANDBETWEEN(1620,2416)))</f>
        <v>57051061.103068434</v>
      </c>
      <c r="B3505">
        <v>197280625.07873416</v>
      </c>
    </row>
    <row r="3506" spans="1:2" x14ac:dyDescent="0.25">
      <c r="A3506">
        <f ca="1">30813.574205116*((RANDBETWEEN(1620,2416)))</f>
        <v>74291527.408534676</v>
      </c>
      <c r="B3506">
        <v>168151607.86785811</v>
      </c>
    </row>
    <row r="3507" spans="1:2" x14ac:dyDescent="0.25">
      <c r="A3507">
        <f ca="1">31813.0428294891*((RANDBETWEEN(1620,2416)))</f>
        <v>72183794.180110678</v>
      </c>
      <c r="B3507">
        <v>202313769.40326238</v>
      </c>
    </row>
    <row r="3508" spans="1:2" x14ac:dyDescent="0.25">
      <c r="A3508">
        <f ca="1">29073.3055027486*((RANDBETWEEN(1620,2416)))</f>
        <v>61722627.582335263</v>
      </c>
      <c r="B3508">
        <v>162717312.08244497</v>
      </c>
    </row>
    <row r="3509" spans="1:2" x14ac:dyDescent="0.25">
      <c r="A3509">
        <f ca="1">30104.5484092658*((RANDBETWEEN(1620,2416)))</f>
        <v>56295505.525327064</v>
      </c>
      <c r="B3509">
        <v>183073350.08469078</v>
      </c>
    </row>
    <row r="3510" spans="1:2" x14ac:dyDescent="0.25">
      <c r="A3510">
        <f ca="1">26513.0060712097*((RANDBETWEEN(1620,2416)))</f>
        <v>64002396.655900285</v>
      </c>
      <c r="B3510">
        <v>196467801.28558517</v>
      </c>
    </row>
    <row r="3511" spans="1:2" x14ac:dyDescent="0.25">
      <c r="A3511">
        <f ca="1">26801.6494909374*((RANDBETWEEN(1620,2416)))</f>
        <v>54541356.714057691</v>
      </c>
      <c r="B3511">
        <v>159682040.56659564</v>
      </c>
    </row>
    <row r="3512" spans="1:2" x14ac:dyDescent="0.25">
      <c r="A3512">
        <f ca="1">26360.5892287025*((RANDBETWEEN(1620,2416)))</f>
        <v>60787518.761388004</v>
      </c>
      <c r="B3512">
        <v>152645974.14731175</v>
      </c>
    </row>
    <row r="3513" spans="1:2" x14ac:dyDescent="0.25">
      <c r="A3513">
        <f ca="1">29937.6320069958*((RANDBETWEEN(1620,2416)))</f>
        <v>49546780.971577995</v>
      </c>
      <c r="B3513">
        <v>161468083.06550068</v>
      </c>
    </row>
    <row r="3514" spans="1:2" x14ac:dyDescent="0.25">
      <c r="A3514">
        <f ca="1">27207.0185874823*((RANDBETWEEN(1620,2416)))</f>
        <v>56046458.290213503</v>
      </c>
      <c r="B3514">
        <v>157330492.46265605</v>
      </c>
    </row>
    <row r="3515" spans="1:2" x14ac:dyDescent="0.25">
      <c r="A3515">
        <f ca="1">31160.9499942496*((RANDBETWEEN(1620,2416)))</f>
        <v>54687467.239908122</v>
      </c>
      <c r="B3515">
        <v>142904571.28258151</v>
      </c>
    </row>
    <row r="3516" spans="1:2" x14ac:dyDescent="0.25">
      <c r="A3516">
        <f ca="1">26736.911569283*((RANDBETWEEN(1620,2416)))</f>
        <v>52377609.764225334</v>
      </c>
      <c r="B3516">
        <v>156938763.05964652</v>
      </c>
    </row>
    <row r="3517" spans="1:2" x14ac:dyDescent="0.25">
      <c r="A3517">
        <f ca="1">26770.0385603729*((RANDBETWEEN(1620,2416)))</f>
        <v>61651398.804538772</v>
      </c>
      <c r="B3517">
        <v>160007497.49182379</v>
      </c>
    </row>
    <row r="3518" spans="1:2" x14ac:dyDescent="0.25">
      <c r="A3518">
        <f ca="1">26803.8161996966*((RANDBETWEEN(1620,2416)))</f>
        <v>57172539.953952819</v>
      </c>
      <c r="B3518">
        <v>163237211.42024612</v>
      </c>
    </row>
    <row r="3519" spans="1:2" x14ac:dyDescent="0.25">
      <c r="A3519">
        <f ca="1">27386.3808450478*((RANDBETWEEN(1620,2416)))</f>
        <v>49405031.044466265</v>
      </c>
      <c r="B3519">
        <v>168188025.33135018</v>
      </c>
    </row>
    <row r="3520" spans="1:2" x14ac:dyDescent="0.25">
      <c r="A3520">
        <f ca="1">26943.7456269122*((RANDBETWEEN(1620,2416)))</f>
        <v>53348616.34128622</v>
      </c>
      <c r="B3520">
        <v>172404284.17984137</v>
      </c>
    </row>
    <row r="3521" spans="1:2" x14ac:dyDescent="0.25">
      <c r="A3521">
        <f ca="1">31798.3899095593*((RANDBETWEEN(1620,2416)))</f>
        <v>74376433.99845928</v>
      </c>
      <c r="B3521">
        <v>185876171.24830741</v>
      </c>
    </row>
    <row r="3522" spans="1:2" x14ac:dyDescent="0.25">
      <c r="A3522">
        <f ca="1">30418.7140230827*((RANDBETWEEN(1620,2416)))</f>
        <v>63909718.162496768</v>
      </c>
      <c r="B3522">
        <v>172995839.48336112</v>
      </c>
    </row>
    <row r="3523" spans="1:2" x14ac:dyDescent="0.25">
      <c r="A3523">
        <f ca="1">26091.112154016*((RANDBETWEEN(1620,2416)))</f>
        <v>42293692.801660009</v>
      </c>
      <c r="B3523">
        <v>147889391.08862591</v>
      </c>
    </row>
    <row r="3524" spans="1:2" x14ac:dyDescent="0.25">
      <c r="A3524">
        <f ca="1">33947.0048145599*((RANDBETWEEN(1620,2416)))</f>
        <v>77942323.054229572</v>
      </c>
      <c r="B3524">
        <v>170994401.08393848</v>
      </c>
    </row>
    <row r="3525" spans="1:2" x14ac:dyDescent="0.25">
      <c r="A3525">
        <f ca="1">29917.0617780228*((RANDBETWEEN(1620,2416)))</f>
        <v>62377073.807177454</v>
      </c>
      <c r="B3525">
        <v>189240786.49791896</v>
      </c>
    </row>
    <row r="3526" spans="1:2" x14ac:dyDescent="0.25">
      <c r="A3526">
        <f ca="1">26966.8401621521*((RANDBETWEEN(1620,2416)))</f>
        <v>58086573.709275536</v>
      </c>
      <c r="B3526">
        <v>175964100.56074363</v>
      </c>
    </row>
    <row r="3527" spans="1:2" x14ac:dyDescent="0.25">
      <c r="A3527">
        <f ca="1">27043.5573534025*((RANDBETWEEN(1620,2416)))</f>
        <v>54790247.197993383</v>
      </c>
      <c r="B3527">
        <v>144809758.78937587</v>
      </c>
    </row>
    <row r="3528" spans="1:2" x14ac:dyDescent="0.25">
      <c r="A3528">
        <f ca="1">28505.1037625921*((RANDBETWEEN(1620,2416)))</f>
        <v>63024784.41909112</v>
      </c>
      <c r="B3528">
        <v>147690064.56147525</v>
      </c>
    </row>
    <row r="3529" spans="1:2" x14ac:dyDescent="0.25">
      <c r="A3529">
        <f ca="1">32249.8528672539*((RANDBETWEEN(1620,2416)))</f>
        <v>73239415.861533612</v>
      </c>
      <c r="B3529">
        <v>169190556.95373964</v>
      </c>
    </row>
    <row r="3530" spans="1:2" x14ac:dyDescent="0.25">
      <c r="A3530">
        <f ca="1">31286.9939937616*((RANDBETWEEN(1620,2416)))</f>
        <v>61416369.20975408</v>
      </c>
      <c r="B3530">
        <v>143891678.0274471</v>
      </c>
    </row>
    <row r="3531" spans="1:2" x14ac:dyDescent="0.25">
      <c r="A3531">
        <f ca="1">26092.7347548985*((RANDBETWEEN(1620,2416)))</f>
        <v>51220038.323865831</v>
      </c>
      <c r="B3531">
        <v>168276399.64321095</v>
      </c>
    </row>
    <row r="3532" spans="1:2" x14ac:dyDescent="0.25">
      <c r="A3532">
        <f ca="1">31190.9148185319*((RANDBETWEEN(1620,2416)))</f>
        <v>61976347.744422883</v>
      </c>
      <c r="B3532">
        <v>192324303.9178907</v>
      </c>
    </row>
    <row r="3533" spans="1:2" x14ac:dyDescent="0.25">
      <c r="A3533">
        <f ca="1">27079.8500979023*((RANDBETWEEN(1620,2416)))</f>
        <v>61877457.47370673</v>
      </c>
      <c r="B3533">
        <v>152086821.10302436</v>
      </c>
    </row>
    <row r="3534" spans="1:2" x14ac:dyDescent="0.25">
      <c r="A3534">
        <f ca="1">26071.2438805162*((RANDBETWEEN(1620,2416)))</f>
        <v>52455342.687598646</v>
      </c>
      <c r="B3534">
        <v>154226193.56712416</v>
      </c>
    </row>
    <row r="3535" spans="1:2" x14ac:dyDescent="0.25">
      <c r="A3535">
        <f ca="1">31292.9201686654*((RANDBETWEEN(1620,2416)))</f>
        <v>72599574.791303828</v>
      </c>
      <c r="B3535">
        <v>189335799.87572715</v>
      </c>
    </row>
    <row r="3536" spans="1:2" x14ac:dyDescent="0.25">
      <c r="A3536">
        <f ca="1">25591.4251750779*((RANDBETWEEN(1620,2416)))</f>
        <v>60242214.862133332</v>
      </c>
      <c r="B3536">
        <v>149450783.91442171</v>
      </c>
    </row>
    <row r="3537" spans="1:2" x14ac:dyDescent="0.25">
      <c r="A3537">
        <f ca="1">33252.9177991167*((RANDBETWEEN(1620,2416)))</f>
        <v>62947773.393727928</v>
      </c>
      <c r="B3537">
        <v>168126025.99230593</v>
      </c>
    </row>
    <row r="3538" spans="1:2" x14ac:dyDescent="0.25">
      <c r="A3538">
        <f ca="1">27225.4472105822*((RANDBETWEEN(1620,2416)))</f>
        <v>52871818.482950561</v>
      </c>
      <c r="B3538">
        <v>150867147.11317813</v>
      </c>
    </row>
    <row r="3539" spans="1:2" x14ac:dyDescent="0.25">
      <c r="A3539">
        <f ca="1">28797.1634352649*((RANDBETWEEN(1620,2416)))</f>
        <v>65427155.324921824</v>
      </c>
      <c r="B3539">
        <v>158260660.00180072</v>
      </c>
    </row>
    <row r="3540" spans="1:2" x14ac:dyDescent="0.25">
      <c r="A3540">
        <f ca="1">27107.3110049595*((RANDBETWEEN(1620,2416)))</f>
        <v>61018557.072163947</v>
      </c>
      <c r="B3540">
        <v>143262573.24955884</v>
      </c>
    </row>
    <row r="3541" spans="1:2" x14ac:dyDescent="0.25">
      <c r="A3541">
        <f ca="1">26329.3331411579*((RANDBETWEEN(1620,2416)))</f>
        <v>51184223.626410984</v>
      </c>
      <c r="B3541">
        <v>201558598.43692544</v>
      </c>
    </row>
    <row r="3542" spans="1:2" x14ac:dyDescent="0.25">
      <c r="A3542">
        <f ca="1">26125.2307081652*((RANDBETWEEN(1620,2416)))</f>
        <v>49742439.268346578</v>
      </c>
      <c r="B3542">
        <v>164411021.2240617</v>
      </c>
    </row>
    <row r="3543" spans="1:2" x14ac:dyDescent="0.25">
      <c r="A3543">
        <f ca="1">27858.4259580356*((RANDBETWEEN(1620,2416)))</f>
        <v>65578734.705215909</v>
      </c>
      <c r="B3543">
        <v>166778216.52119821</v>
      </c>
    </row>
    <row r="3544" spans="1:2" x14ac:dyDescent="0.25">
      <c r="A3544">
        <f ca="1">25857.7671890181*((RANDBETWEEN(1620,2416)))</f>
        <v>45794105.691751115</v>
      </c>
      <c r="B3544">
        <v>157689622.18018296</v>
      </c>
    </row>
    <row r="3545" spans="1:2" x14ac:dyDescent="0.25">
      <c r="A3545">
        <f ca="1">27464.9700951067*((RANDBETWEEN(1620,2416)))</f>
        <v>47102423.713107958</v>
      </c>
      <c r="B3545">
        <v>144675694.7515859</v>
      </c>
    </row>
    <row r="3546" spans="1:2" x14ac:dyDescent="0.25">
      <c r="A3546">
        <f ca="1">27942.1670569392*((RANDBETWEEN(1620,2416)))</f>
        <v>48451717.676732622</v>
      </c>
      <c r="B3546">
        <v>161455740.15126106</v>
      </c>
    </row>
    <row r="3547" spans="1:2" x14ac:dyDescent="0.25">
      <c r="A3547">
        <f ca="1">29945.5694978766*((RANDBETWEEN(1620,2416)))</f>
        <v>70222360.472520694</v>
      </c>
      <c r="B3547">
        <v>166830209.9187783</v>
      </c>
    </row>
    <row r="3548" spans="1:2" x14ac:dyDescent="0.25">
      <c r="A3548">
        <f ca="1">29826.3048916481*((RANDBETWEEN(1620,2416)))</f>
        <v>57833205.184905596</v>
      </c>
      <c r="B3548">
        <v>173246160.37786618</v>
      </c>
    </row>
    <row r="3549" spans="1:2" x14ac:dyDescent="0.25">
      <c r="A3549">
        <f ca="1">31156.6930962612*((RANDBETWEEN(1620,2416)))</f>
        <v>72626251.607384771</v>
      </c>
      <c r="B3549">
        <v>175375731.52277586</v>
      </c>
    </row>
    <row r="3550" spans="1:2" x14ac:dyDescent="0.25">
      <c r="A3550">
        <f ca="1">26453.8938609847*((RANDBETWEEN(1620,2416)))</f>
        <v>48728072.491933838</v>
      </c>
      <c r="B3550">
        <v>181627059.85799924</v>
      </c>
    </row>
    <row r="3551" spans="1:2" x14ac:dyDescent="0.25">
      <c r="A3551">
        <f ca="1">26360.679292051*((RANDBETWEEN(1620,2416)))</f>
        <v>59074282.293486305</v>
      </c>
      <c r="B3551">
        <v>151309986.48311883</v>
      </c>
    </row>
    <row r="3552" spans="1:2" x14ac:dyDescent="0.25">
      <c r="A3552">
        <f ca="1">25623.4492570212*((RANDBETWEEN(1620,2416)))</f>
        <v>57447773.234241508</v>
      </c>
      <c r="B3552">
        <v>199449959.63070691</v>
      </c>
    </row>
    <row r="3553" spans="1:2" x14ac:dyDescent="0.25">
      <c r="A3553">
        <f ca="1">33874.3420962167*((RANDBETWEEN(1620,2416)))</f>
        <v>65885595.377141528</v>
      </c>
      <c r="B3553">
        <v>200515747.5459668</v>
      </c>
    </row>
    <row r="3554" spans="1:2" x14ac:dyDescent="0.25">
      <c r="A3554">
        <f ca="1">32428.9251562151*((RANDBETWEEN(1620,2416)))</f>
        <v>65279426.339461036</v>
      </c>
      <c r="B3554">
        <v>196639239.66642594</v>
      </c>
    </row>
    <row r="3555" spans="1:2" x14ac:dyDescent="0.25">
      <c r="A3555">
        <f ca="1">26274.5810274274*((RANDBETWEEN(1620,2416)))</f>
        <v>58513491.948080853</v>
      </c>
      <c r="B3555">
        <v>180303320.54261658</v>
      </c>
    </row>
    <row r="3556" spans="1:2" x14ac:dyDescent="0.25">
      <c r="A3556">
        <f ca="1">27467.1722780525*((RANDBETWEEN(1620,2416)))</f>
        <v>59384026.465149567</v>
      </c>
      <c r="B3556">
        <v>161089370.06500283</v>
      </c>
    </row>
    <row r="3557" spans="1:2" x14ac:dyDescent="0.25">
      <c r="A3557">
        <f ca="1">29447.1109441416*((RANDBETWEEN(1620,2416)))</f>
        <v>50943501.933364995</v>
      </c>
      <c r="B3557">
        <v>153502916.32433555</v>
      </c>
    </row>
    <row r="3558" spans="1:2" x14ac:dyDescent="0.25">
      <c r="A3558">
        <f ca="1">32726.428660558*((RANDBETWEEN(1620,2416)))</f>
        <v>74747163.060714439</v>
      </c>
      <c r="B3558">
        <v>190146842.87277016</v>
      </c>
    </row>
    <row r="3559" spans="1:2" x14ac:dyDescent="0.25">
      <c r="A3559">
        <f ca="1">28964.6605409182*((RANDBETWEEN(1620,2416)))</f>
        <v>58624472.934818521</v>
      </c>
      <c r="B3559">
        <v>185415096.99299318</v>
      </c>
    </row>
    <row r="3560" spans="1:2" x14ac:dyDescent="0.25">
      <c r="A3560">
        <f ca="1">26866.5078988676*((RANDBETWEEN(1620,2416)))</f>
        <v>56419666.587621979</v>
      </c>
      <c r="B3560">
        <v>184201344.35434276</v>
      </c>
    </row>
    <row r="3561" spans="1:2" x14ac:dyDescent="0.25">
      <c r="A3561">
        <f ca="1">28536.4947443322*((RANDBETWEEN(1620,2416)))</f>
        <v>50338376.729002006</v>
      </c>
      <c r="B3561">
        <v>178217849.66508481</v>
      </c>
    </row>
    <row r="3562" spans="1:2" x14ac:dyDescent="0.25">
      <c r="A3562">
        <f ca="1">29281.7823944277*((RANDBETWEEN(1620,2416)))</f>
        <v>62106660.458581164</v>
      </c>
      <c r="B3562">
        <v>193478009.39614511</v>
      </c>
    </row>
    <row r="3563" spans="1:2" x14ac:dyDescent="0.25">
      <c r="A3563">
        <f ca="1">27984.8705171517*((RANDBETWEEN(1620,2416)))</f>
        <v>60559259.799116284</v>
      </c>
      <c r="B3563">
        <v>195347405.94815764</v>
      </c>
    </row>
    <row r="3564" spans="1:2" x14ac:dyDescent="0.25">
      <c r="A3564">
        <f ca="1">25856.6579865784*((RANDBETWEEN(1620,2416)))</f>
        <v>49980919.88805607</v>
      </c>
      <c r="B3564">
        <v>160015354.46860892</v>
      </c>
    </row>
    <row r="3565" spans="1:2" x14ac:dyDescent="0.25">
      <c r="A3565">
        <f ca="1">26520.686400982*((RANDBETWEEN(1620,2416)))</f>
        <v>60599768.426243931</v>
      </c>
      <c r="B3565">
        <v>167415763.86790013</v>
      </c>
    </row>
    <row r="3566" spans="1:2" x14ac:dyDescent="0.25">
      <c r="A3566">
        <f ca="1">26490.1239068927*((RANDBETWEEN(1620,2416)))</f>
        <v>51417330.503278762</v>
      </c>
      <c r="B3566">
        <v>175231830.68056503</v>
      </c>
    </row>
    <row r="3567" spans="1:2" x14ac:dyDescent="0.25">
      <c r="A3567">
        <f ca="1">27301.8333570058*((RANDBETWEEN(1620,2416)))</f>
        <v>51245541.2110999</v>
      </c>
      <c r="B3567">
        <v>157623690.48689383</v>
      </c>
    </row>
    <row r="3568" spans="1:2" x14ac:dyDescent="0.25">
      <c r="A3568">
        <f ca="1">28278.5762046409*((RANDBETWEEN(1620,2416)))</f>
        <v>64107532.255920984</v>
      </c>
      <c r="B3568">
        <v>146865629.51894426</v>
      </c>
    </row>
    <row r="3569" spans="1:2" x14ac:dyDescent="0.25">
      <c r="A3569">
        <f ca="1">26826.4549504474*((RANDBETWEEN(1620,2416)))</f>
        <v>47321866.532589301</v>
      </c>
      <c r="B3569">
        <v>158392714.16029805</v>
      </c>
    </row>
    <row r="3570" spans="1:2" x14ac:dyDescent="0.25">
      <c r="A3570">
        <f ca="1">32498.8190591034*((RANDBETWEEN(1620,2416)))</f>
        <v>61877751.488532953</v>
      </c>
      <c r="B3570">
        <v>201058929.44057101</v>
      </c>
    </row>
    <row r="3571" spans="1:2" x14ac:dyDescent="0.25">
      <c r="A3571">
        <f ca="1">27219.2739129241*((RANDBETWEEN(1620,2416)))</f>
        <v>44721267.03893429</v>
      </c>
      <c r="B3571">
        <v>186640235.34787887</v>
      </c>
    </row>
    <row r="3572" spans="1:2" x14ac:dyDescent="0.25">
      <c r="A3572">
        <f ca="1">27089.1021419207*((RANDBETWEEN(1620,2416)))</f>
        <v>62332024.028559513</v>
      </c>
      <c r="B3572">
        <v>152435113.47555304</v>
      </c>
    </row>
    <row r="3573" spans="1:2" x14ac:dyDescent="0.25">
      <c r="A3573">
        <f ca="1">28563.9874695473*((RANDBETWEEN(1620,2416)))</f>
        <v>66668346.753923446</v>
      </c>
      <c r="B3573">
        <v>171139956.17374972</v>
      </c>
    </row>
    <row r="3574" spans="1:2" x14ac:dyDescent="0.25">
      <c r="A3574">
        <f ca="1">28455.3735577145*((RANDBETWEEN(1620,2416)))</f>
        <v>59927016.712546833</v>
      </c>
      <c r="B3574">
        <v>168671427.09026951</v>
      </c>
    </row>
    <row r="3575" spans="1:2" x14ac:dyDescent="0.25">
      <c r="A3575">
        <f ca="1">33428.3703853398*((RANDBETWEEN(1620,2416)))</f>
        <v>63647617.213687025</v>
      </c>
      <c r="B3575">
        <v>165101375.561214</v>
      </c>
    </row>
    <row r="3576" spans="1:2" x14ac:dyDescent="0.25">
      <c r="A3576">
        <f ca="1">29474.2501804977*((RANDBETWEEN(1620,2416)))</f>
        <v>57474787.851970419</v>
      </c>
      <c r="B3576">
        <v>155555578.06233656</v>
      </c>
    </row>
    <row r="3577" spans="1:2" x14ac:dyDescent="0.25">
      <c r="A3577">
        <f ca="1">25580.0014263977*((RANDBETWEEN(1620,2416)))</f>
        <v>48985702.731551632</v>
      </c>
      <c r="B3577">
        <v>154143962.68231842</v>
      </c>
    </row>
    <row r="3578" spans="1:2" x14ac:dyDescent="0.25">
      <c r="A3578">
        <f ca="1">26201.7189451365*((RANDBETWEEN(1620,2416)))</f>
        <v>54289961.654322736</v>
      </c>
      <c r="B3578">
        <v>152781167.13840809</v>
      </c>
    </row>
    <row r="3579" spans="1:2" x14ac:dyDescent="0.25">
      <c r="A3579">
        <f ca="1">26740.4027374498*((RANDBETWEEN(1620,2416)))</f>
        <v>53133180.23931282</v>
      </c>
      <c r="B3579">
        <v>167729111.44441095</v>
      </c>
    </row>
    <row r="3580" spans="1:2" x14ac:dyDescent="0.25">
      <c r="A3580">
        <f ca="1">26974.8122318316*((RANDBETWEEN(1620,2416)))</f>
        <v>56970803.433628306</v>
      </c>
      <c r="B3580">
        <v>151060251.16914439</v>
      </c>
    </row>
    <row r="3581" spans="1:2" x14ac:dyDescent="0.25">
      <c r="A3581">
        <f ca="1">26889.3246300884*((RANDBETWEEN(1620,2416)))</f>
        <v>62275675.843284644</v>
      </c>
      <c r="B3581">
        <v>176567153.57013842</v>
      </c>
    </row>
    <row r="3582" spans="1:2" x14ac:dyDescent="0.25">
      <c r="A3582">
        <f ca="1">27119.833131901*((RANDBETWEEN(1620,2416)))</f>
        <v>60070430.387160748</v>
      </c>
      <c r="B3582">
        <v>162800467.9137612</v>
      </c>
    </row>
    <row r="3583" spans="1:2" x14ac:dyDescent="0.25">
      <c r="A3583">
        <f ca="1">27298.0105677272*((RANDBETWEEN(1620,2416)))</f>
        <v>48426670.747148097</v>
      </c>
      <c r="B3583">
        <v>145838410.9120979</v>
      </c>
    </row>
    <row r="3584" spans="1:2" x14ac:dyDescent="0.25">
      <c r="A3584">
        <f ca="1">26815.7181539609*((RANDBETWEEN(1620,2416)))</f>
        <v>54248197.825462885</v>
      </c>
      <c r="B3584">
        <v>144621978.84394455</v>
      </c>
    </row>
    <row r="3585" spans="1:2" x14ac:dyDescent="0.25">
      <c r="A3585">
        <f ca="1">27944.0292044455*((RANDBETWEEN(1620,2416)))</f>
        <v>65333140.279993467</v>
      </c>
      <c r="B3585">
        <v>182336034.20390943</v>
      </c>
    </row>
    <row r="3586" spans="1:2" x14ac:dyDescent="0.25">
      <c r="A3586">
        <f ca="1">25873.8704122664*((RANDBETWEEN(1620,2416)))</f>
        <v>44244318.404975563</v>
      </c>
      <c r="B3586">
        <v>156730951.26378506</v>
      </c>
    </row>
    <row r="3587" spans="1:2" x14ac:dyDescent="0.25">
      <c r="A3587">
        <f ca="1">30784.2851356481*((RANDBETWEEN(1620,2416)))</f>
        <v>68864445.848444879</v>
      </c>
      <c r="B3587">
        <v>161166579.66491112</v>
      </c>
    </row>
    <row r="3588" spans="1:2" x14ac:dyDescent="0.25">
      <c r="A3588">
        <f ca="1">26746.1045326103*((RANDBETWEEN(1620,2416)))</f>
        <v>57102933.177122995</v>
      </c>
      <c r="B3588">
        <v>144235833.18526581</v>
      </c>
    </row>
    <row r="3589" spans="1:2" x14ac:dyDescent="0.25">
      <c r="A3589">
        <f ca="1">26994.4589629191*((RANDBETWEEN(1620,2416)))</f>
        <v>59981687.815606177</v>
      </c>
      <c r="B3589">
        <v>150204849.0225893</v>
      </c>
    </row>
    <row r="3590" spans="1:2" x14ac:dyDescent="0.25">
      <c r="A3590">
        <f ca="1">31078.4075426604*((RANDBETWEEN(1620,2416)))</f>
        <v>65917302.397982799</v>
      </c>
      <c r="B3590">
        <v>151670436.97259253</v>
      </c>
    </row>
    <row r="3591" spans="1:2" x14ac:dyDescent="0.25">
      <c r="A3591">
        <f ca="1">31179.3981916753*((RANDBETWEEN(1620,2416)))</f>
        <v>72710356.582986906</v>
      </c>
      <c r="B3591">
        <v>161602531.38504928</v>
      </c>
    </row>
    <row r="3592" spans="1:2" x14ac:dyDescent="0.25">
      <c r="A3592">
        <f ca="1">30571.7217039537*((RANDBETWEEN(1620,2416)))</f>
        <v>49740191.212332606</v>
      </c>
      <c r="B3592">
        <v>166794144.83039343</v>
      </c>
    </row>
    <row r="3593" spans="1:2" x14ac:dyDescent="0.25">
      <c r="A3593">
        <f ca="1">27932.1779710713*((RANDBETWEEN(1620,2416)))</f>
        <v>66534447.927091889</v>
      </c>
      <c r="B3593">
        <v>197081430.89819139</v>
      </c>
    </row>
    <row r="3594" spans="1:2" x14ac:dyDescent="0.25">
      <c r="A3594">
        <f ca="1">31210.3520317574*((RANDBETWEEN(1620,2416)))</f>
        <v>63388224.976499222</v>
      </c>
      <c r="B3594">
        <v>188610122.49176192</v>
      </c>
    </row>
    <row r="3595" spans="1:2" x14ac:dyDescent="0.25">
      <c r="A3595">
        <f ca="1">27527.7225658885*((RANDBETWEEN(1620,2416)))</f>
        <v>45283103.620886512</v>
      </c>
      <c r="B3595">
        <v>170325880.47053593</v>
      </c>
    </row>
    <row r="3596" spans="1:2" x14ac:dyDescent="0.25">
      <c r="A3596">
        <f ca="1">27275.4743862938*((RANDBETWEEN(1620,2416)))</f>
        <v>53050797.681341462</v>
      </c>
      <c r="B3596">
        <v>173651284.76967433</v>
      </c>
    </row>
    <row r="3597" spans="1:2" x14ac:dyDescent="0.25">
      <c r="A3597">
        <f ca="1">25771.3100248526*((RANDBETWEEN(1620,2416)))</f>
        <v>62186171.089969359</v>
      </c>
      <c r="B3597">
        <v>156690555.80135268</v>
      </c>
    </row>
    <row r="3598" spans="1:2" x14ac:dyDescent="0.25">
      <c r="A3598">
        <f ca="1">26094.5778943664*((RANDBETWEEN(1620,2416)))</f>
        <v>58712800.262324348</v>
      </c>
      <c r="B3598">
        <v>155174262.58032462</v>
      </c>
    </row>
    <row r="3599" spans="1:2" x14ac:dyDescent="0.25">
      <c r="A3599">
        <f ca="1">25101.3733869618*((RANDBETWEEN(1620,2416)))</f>
        <v>44730647.375566058</v>
      </c>
      <c r="B3599">
        <v>149107333.98330194</v>
      </c>
    </row>
    <row r="3600" spans="1:2" x14ac:dyDescent="0.25">
      <c r="A3600">
        <f ca="1">26121.7276354864*((RANDBETWEEN(1620,2416)))</f>
        <v>49317821.775798328</v>
      </c>
      <c r="B3600">
        <v>149623231.38386232</v>
      </c>
    </row>
    <row r="3601" spans="1:2" x14ac:dyDescent="0.25">
      <c r="A3601">
        <f ca="1">27377.6000040368*((RANDBETWEEN(1620,2416)))</f>
        <v>58642819.208646841</v>
      </c>
      <c r="B3601">
        <v>194904364.69309869</v>
      </c>
    </row>
    <row r="3602" spans="1:2" x14ac:dyDescent="0.25">
      <c r="A3602">
        <f ca="1">30324.1574240551*((RANDBETWEEN(1620,2416)))</f>
        <v>64438834.526117176</v>
      </c>
      <c r="B3602">
        <v>171286504.43648949</v>
      </c>
    </row>
    <row r="3603" spans="1:2" x14ac:dyDescent="0.25">
      <c r="A3603">
        <f ca="1">28017.191228643*((RANDBETWEEN(1620,2416)))</f>
        <v>57743431.122233137</v>
      </c>
      <c r="B3603">
        <v>153409039.4806456</v>
      </c>
    </row>
    <row r="3604" spans="1:2" x14ac:dyDescent="0.25">
      <c r="A3604">
        <f ca="1">32138.8595732385*((RANDBETWEEN(1620,2416)))</f>
        <v>64084885.989037618</v>
      </c>
      <c r="B3604">
        <v>187727159.91573882</v>
      </c>
    </row>
    <row r="3605" spans="1:2" x14ac:dyDescent="0.25">
      <c r="A3605">
        <f ca="1">26318.9334253305*((RANDBETWEEN(1620,2416)))</f>
        <v>62665380.485711858</v>
      </c>
      <c r="B3605">
        <v>154328414.91905287</v>
      </c>
    </row>
    <row r="3606" spans="1:2" x14ac:dyDescent="0.25">
      <c r="A3606">
        <f ca="1">30122.9097666762*((RANDBETWEEN(1620,2416)))</f>
        <v>60697663.179852515</v>
      </c>
      <c r="B3606">
        <v>149150322.70158479</v>
      </c>
    </row>
    <row r="3607" spans="1:2" x14ac:dyDescent="0.25">
      <c r="A3607">
        <f ca="1">25622.8608059327*((RANDBETWEEN(1620,2416)))</f>
        <v>49785218.545927264</v>
      </c>
      <c r="B3607">
        <v>143143665.46053261</v>
      </c>
    </row>
    <row r="3608" spans="1:2" x14ac:dyDescent="0.25">
      <c r="A3608">
        <f ca="1">25717.1247511897*((RANDBETWEEN(1620,2416)))</f>
        <v>48219608.908480704</v>
      </c>
      <c r="B3608">
        <v>144178649.58986059</v>
      </c>
    </row>
    <row r="3609" spans="1:2" x14ac:dyDescent="0.25">
      <c r="A3609">
        <f ca="1">26768.8551355949*((RANDBETWEEN(1620,2416)))</f>
        <v>54421082.490664415</v>
      </c>
      <c r="B3609">
        <v>154441519.33439317</v>
      </c>
    </row>
    <row r="3610" spans="1:2" x14ac:dyDescent="0.25">
      <c r="A3610">
        <f ca="1">27016.0180104943*((RANDBETWEEN(1620,2416)))</f>
        <v>51897770.598159589</v>
      </c>
      <c r="B3610">
        <v>178955499.33873612</v>
      </c>
    </row>
    <row r="3611" spans="1:2" x14ac:dyDescent="0.25">
      <c r="A3611">
        <f ca="1">29114.423809397*((RANDBETWEEN(1620,2416)))</f>
        <v>51678102.26167959</v>
      </c>
      <c r="B3611">
        <v>168573088.83801353</v>
      </c>
    </row>
    <row r="3612" spans="1:2" x14ac:dyDescent="0.25">
      <c r="A3612">
        <f ca="1">26850.1351462758*((RANDBETWEEN(1620,2416)))</f>
        <v>54290973.265769623</v>
      </c>
      <c r="B3612">
        <v>173908688.3916975</v>
      </c>
    </row>
    <row r="3613" spans="1:2" x14ac:dyDescent="0.25">
      <c r="A3613">
        <f ca="1">26046.1234528687*((RANDBETWEEN(1620,2416)))</f>
        <v>51102494.214528292</v>
      </c>
      <c r="B3613">
        <v>185724165.37215465</v>
      </c>
    </row>
    <row r="3614" spans="1:2" x14ac:dyDescent="0.25">
      <c r="A3614">
        <f ca="1">28501.5495060845*((RANDBETWEEN(1620,2416)))</f>
        <v>67776684.725469008</v>
      </c>
      <c r="B3614">
        <v>153091361.4081246</v>
      </c>
    </row>
    <row r="3615" spans="1:2" x14ac:dyDescent="0.25">
      <c r="A3615">
        <f ca="1">27030.9940754952*((RANDBETWEEN(1620,2416)))</f>
        <v>49007192.258872867</v>
      </c>
      <c r="B3615">
        <v>149421005.42199522</v>
      </c>
    </row>
    <row r="3616" spans="1:2" x14ac:dyDescent="0.25">
      <c r="A3616">
        <f ca="1">29281.9526906708*((RANDBETWEEN(1620,2416)))</f>
        <v>54874379.342317127</v>
      </c>
      <c r="B3616">
        <v>153388111.489804</v>
      </c>
    </row>
    <row r="3617" spans="1:2" x14ac:dyDescent="0.25">
      <c r="A3617">
        <f ca="1">28513.5444627481*((RANDBETWEEN(1620,2416)))</f>
        <v>62273581.106641822</v>
      </c>
      <c r="B3617">
        <v>193516515.08522612</v>
      </c>
    </row>
    <row r="3618" spans="1:2" x14ac:dyDescent="0.25">
      <c r="A3618">
        <f ca="1">27312.9869874303*((RANDBETWEEN(1620,2416)))</f>
        <v>54134340.209086791</v>
      </c>
      <c r="B3618">
        <v>143620677.20858759</v>
      </c>
    </row>
    <row r="3619" spans="1:2" x14ac:dyDescent="0.25">
      <c r="A3619">
        <f ca="1">26830.7105176149*((RANDBETWEEN(1620,2416)))</f>
        <v>62703370.47966601</v>
      </c>
      <c r="B3619">
        <v>154000194.79453117</v>
      </c>
    </row>
    <row r="3620" spans="1:2" x14ac:dyDescent="0.25">
      <c r="A3620">
        <f ca="1">27566.0165767674*((RANDBETWEEN(1620,2416)))</f>
        <v>61031160.700963035</v>
      </c>
      <c r="B3620">
        <v>143789582.30072692</v>
      </c>
    </row>
    <row r="3621" spans="1:2" x14ac:dyDescent="0.25">
      <c r="A3621">
        <f ca="1">26108.9830709253*((RANDBETWEEN(1620,2416)))</f>
        <v>50390337.326885767</v>
      </c>
      <c r="B3621">
        <v>147008213.8269698</v>
      </c>
    </row>
    <row r="3622" spans="1:2" x14ac:dyDescent="0.25">
      <c r="A3622">
        <f ca="1">29774.2605805157*((RANDBETWEEN(1620,2416)))</f>
        <v>48293850.661596477</v>
      </c>
      <c r="B3622">
        <v>169225526.28938571</v>
      </c>
    </row>
    <row r="3623" spans="1:2" x14ac:dyDescent="0.25">
      <c r="A3623">
        <f ca="1">26557.9442091642*((RANDBETWEEN(1620,2416)))</f>
        <v>50645999.606876068</v>
      </c>
      <c r="B3623">
        <v>156843136.63198715</v>
      </c>
    </row>
    <row r="3624" spans="1:2" x14ac:dyDescent="0.25">
      <c r="A3624">
        <f ca="1">26057.8598904297*((RANDBETWEEN(1620,2416)))</f>
        <v>47711941.459376827</v>
      </c>
      <c r="B3624">
        <v>163159112.49559289</v>
      </c>
    </row>
    <row r="3625" spans="1:2" x14ac:dyDescent="0.25">
      <c r="A3625">
        <f ca="1">31064.6529770637*((RANDBETWEEN(1620,2416)))</f>
        <v>73312581.025870442</v>
      </c>
      <c r="B3625">
        <v>202969576.18378627</v>
      </c>
    </row>
    <row r="3626" spans="1:2" x14ac:dyDescent="0.25">
      <c r="A3626">
        <f ca="1">27307.034267107*((RANDBETWEEN(1620,2416)))</f>
        <v>61986967.786332786</v>
      </c>
      <c r="B3626">
        <v>183089956.93333972</v>
      </c>
    </row>
    <row r="3627" spans="1:2" x14ac:dyDescent="0.25">
      <c r="A3627">
        <f ca="1">29814.5912098688*((RANDBETWEEN(1620,2416)))</f>
        <v>69974845.569562033</v>
      </c>
      <c r="B3627">
        <v>155007960.76778537</v>
      </c>
    </row>
    <row r="3628" spans="1:2" x14ac:dyDescent="0.25">
      <c r="A3628">
        <f ca="1">26155.2403020854*((RANDBETWEEN(1620,2416)))</f>
        <v>43522319.862670034</v>
      </c>
      <c r="B3628">
        <v>145158509.59529033</v>
      </c>
    </row>
    <row r="3629" spans="1:2" x14ac:dyDescent="0.25">
      <c r="A3629">
        <f ca="1">27278.0014755668*((RANDBETWEEN(1620,2416)))</f>
        <v>60911777.294940561</v>
      </c>
      <c r="B3629">
        <v>146339635.50737491</v>
      </c>
    </row>
    <row r="3630" spans="1:2" x14ac:dyDescent="0.25">
      <c r="A3630">
        <f ca="1">25603.8195309484*((RANDBETWEEN(1620,2416)))</f>
        <v>56686856.441519856</v>
      </c>
      <c r="B3630">
        <v>155600055.7657755</v>
      </c>
    </row>
    <row r="3631" spans="1:2" x14ac:dyDescent="0.25">
      <c r="A3631">
        <f ca="1">30844.0680727462*((RANDBETWEEN(1620,2416)))</f>
        <v>61256319.192473918</v>
      </c>
      <c r="B3631">
        <v>155639906.63572431</v>
      </c>
    </row>
    <row r="3632" spans="1:2" x14ac:dyDescent="0.25">
      <c r="A3632">
        <f ca="1">30236.0431158089*((RANDBETWEEN(1620,2416)))</f>
        <v>64584188.095367782</v>
      </c>
      <c r="B3632">
        <v>153239192.05735749</v>
      </c>
    </row>
    <row r="3633" spans="1:2" x14ac:dyDescent="0.25">
      <c r="A3633">
        <f ca="1">33250.3329452024*((RANDBETWEEN(1620,2416)))</f>
        <v>62610376.935816087</v>
      </c>
      <c r="B3633">
        <v>183426844.33392167</v>
      </c>
    </row>
    <row r="3634" spans="1:2" x14ac:dyDescent="0.25">
      <c r="A3634">
        <f ca="1">30043.8545296372*((RANDBETWEEN(1620,2416)))</f>
        <v>60898893.131574601</v>
      </c>
      <c r="B3634">
        <v>165151867.40327525</v>
      </c>
    </row>
    <row r="3635" spans="1:2" x14ac:dyDescent="0.25">
      <c r="A3635">
        <f ca="1">28909.3546680795*((RANDBETWEEN(1620,2416)))</f>
        <v>69440269.912726879</v>
      </c>
      <c r="B3635">
        <v>191186023.24858814</v>
      </c>
    </row>
    <row r="3636" spans="1:2" x14ac:dyDescent="0.25">
      <c r="A3636">
        <f ca="1">26263.9712646423*((RANDBETWEEN(1620,2416)))</f>
        <v>45252822.488978609</v>
      </c>
      <c r="B3636">
        <v>144731113.12671059</v>
      </c>
    </row>
    <row r="3637" spans="1:2" x14ac:dyDescent="0.25">
      <c r="A3637">
        <f ca="1">29434.3495606933*((RANDBETWEEN(1620,2416)))</f>
        <v>66197852.161999322</v>
      </c>
      <c r="B3637">
        <v>174783926.64597037</v>
      </c>
    </row>
    <row r="3638" spans="1:2" x14ac:dyDescent="0.25">
      <c r="A3638">
        <f ca="1">28309.9876368184*((RANDBETWEEN(1620,2416)))</f>
        <v>67066360.711622864</v>
      </c>
      <c r="B3638">
        <v>191107882.49651226</v>
      </c>
    </row>
    <row r="3639" spans="1:2" x14ac:dyDescent="0.25">
      <c r="A3639">
        <f ca="1">32785.7307755238*((RANDBETWEEN(1620,2416)))</f>
        <v>54653813.202798195</v>
      </c>
      <c r="B3639">
        <v>196831462.26267782</v>
      </c>
    </row>
    <row r="3640" spans="1:2" x14ac:dyDescent="0.25">
      <c r="A3640">
        <f ca="1">30043.5665947412*((RANDBETWEEN(1620,2416)))</f>
        <v>56511948.764708139</v>
      </c>
      <c r="B3640">
        <v>160825782.08291274</v>
      </c>
    </row>
    <row r="3641" spans="1:2" x14ac:dyDescent="0.25">
      <c r="A3641">
        <f ca="1">27252.443549462*((RANDBETWEEN(1620,2416)))</f>
        <v>65351359.63160979</v>
      </c>
      <c r="B3641">
        <v>162188617.73675013</v>
      </c>
    </row>
    <row r="3642" spans="1:2" x14ac:dyDescent="0.25">
      <c r="A3642">
        <f ca="1">26371.0555450096*((RANDBETWEEN(1620,2416)))</f>
        <v>49102905.424807854</v>
      </c>
      <c r="B3642">
        <v>158788310.46987325</v>
      </c>
    </row>
    <row r="3643" spans="1:2" x14ac:dyDescent="0.25">
      <c r="A3643">
        <f ca="1">29118.1939734938*((RANDBETWEEN(1620,2416)))</f>
        <v>51597439.72103107</v>
      </c>
      <c r="B3643">
        <v>159434424.48636466</v>
      </c>
    </row>
    <row r="3644" spans="1:2" x14ac:dyDescent="0.25">
      <c r="A3644">
        <f ca="1">28021.9543036715*((RANDBETWEEN(1620,2416)))</f>
        <v>61396101.879344262</v>
      </c>
      <c r="B3644">
        <v>168301119.75154537</v>
      </c>
    </row>
    <row r="3645" spans="1:2" x14ac:dyDescent="0.25">
      <c r="A3645">
        <f ca="1">28231.6854134056*((RANDBETWEEN(1620,2416)))</f>
        <v>57395016.445453666</v>
      </c>
      <c r="B3645">
        <v>176374093.61639246</v>
      </c>
    </row>
    <row r="3646" spans="1:2" x14ac:dyDescent="0.25">
      <c r="A3646">
        <f ca="1">30235.2265841863*((RANDBETWEEN(1620,2416)))</f>
        <v>55602581.688318647</v>
      </c>
      <c r="B3646">
        <v>188441650.16547614</v>
      </c>
    </row>
    <row r="3647" spans="1:2" x14ac:dyDescent="0.25">
      <c r="A3647">
        <f ca="1">28442.3953106844*((RANDBETWEEN(1620,2416)))</f>
        <v>51224753.954542562</v>
      </c>
      <c r="B3647">
        <v>149315933.80455813</v>
      </c>
    </row>
    <row r="3648" spans="1:2" x14ac:dyDescent="0.25">
      <c r="A3648">
        <f ca="1">28526.7488477429*((RANDBETWEEN(1620,2416)))</f>
        <v>61903044.999602072</v>
      </c>
      <c r="B3648">
        <v>151713601.52151909</v>
      </c>
    </row>
    <row r="3649" spans="1:2" x14ac:dyDescent="0.25">
      <c r="A3649">
        <f ca="1">30488.7995231206*((RANDBETWEEN(1620,2416)))</f>
        <v>65947273.368509866</v>
      </c>
      <c r="B3649">
        <v>200881804.78287864</v>
      </c>
    </row>
    <row r="3650" spans="1:2" x14ac:dyDescent="0.25">
      <c r="A3650">
        <f ca="1">36770.8776125054*((RANDBETWEEN(1620,2416)))</f>
        <v>74718423.308610991</v>
      </c>
      <c r="B3650">
        <v>190401043.71246943</v>
      </c>
    </row>
    <row r="3651" spans="1:2" x14ac:dyDescent="0.25">
      <c r="A3651">
        <f ca="1">26770.4725631217*((RANDBETWEEN(1620,2416)))</f>
        <v>64597150.294812717</v>
      </c>
      <c r="B3651">
        <v>163944324.10908541</v>
      </c>
    </row>
    <row r="3652" spans="1:2" x14ac:dyDescent="0.25">
      <c r="A3652">
        <f ca="1">31600.4587867309*((RANDBETWEEN(1620,2416)))</f>
        <v>56027613.428873859</v>
      </c>
      <c r="B3652">
        <v>172529943.85521588</v>
      </c>
    </row>
    <row r="3653" spans="1:2" x14ac:dyDescent="0.25">
      <c r="A3653">
        <f ca="1">26297.3143927685*((RANDBETWEEN(1620,2416)))</f>
        <v>45757327.043417215</v>
      </c>
      <c r="B3653">
        <v>176793534.32778913</v>
      </c>
    </row>
    <row r="3654" spans="1:2" x14ac:dyDescent="0.25">
      <c r="A3654">
        <f ca="1">27870.7889457025*((RANDBETWEEN(1620,2416)))</f>
        <v>47324599.629802808</v>
      </c>
      <c r="B3654">
        <v>172693037.52851093</v>
      </c>
    </row>
    <row r="3655" spans="1:2" x14ac:dyDescent="0.25">
      <c r="A3655">
        <f ca="1">29641.5139520074*((RANDBETWEEN(1620,2416)))</f>
        <v>69835406.870929495</v>
      </c>
      <c r="B3655">
        <v>164466721.1883176</v>
      </c>
    </row>
    <row r="3656" spans="1:2" x14ac:dyDescent="0.25">
      <c r="A3656">
        <f ca="1">25204.0279158729*((RANDBETWEEN(1620,2416)))</f>
        <v>51718665.283371143</v>
      </c>
      <c r="B3656">
        <v>166804061.60934451</v>
      </c>
    </row>
    <row r="3657" spans="1:2" x14ac:dyDescent="0.25">
      <c r="A3657">
        <f ca="1">26625.1026945329*((RANDBETWEEN(1620,2416)))</f>
        <v>48670687.725606203</v>
      </c>
      <c r="B3657">
        <v>154974795.37984851</v>
      </c>
    </row>
    <row r="3658" spans="1:2" x14ac:dyDescent="0.25">
      <c r="A3658">
        <f ca="1">27550.2617939094*((RANDBETWEEN(1620,2416)))</f>
        <v>44824275.938690647</v>
      </c>
      <c r="B3658">
        <v>159304276.66662782</v>
      </c>
    </row>
    <row r="3659" spans="1:2" x14ac:dyDescent="0.25">
      <c r="A3659">
        <f ca="1">26171.7722615741*((RANDBETWEEN(1620,2416)))</f>
        <v>58441567.460094936</v>
      </c>
      <c r="B3659">
        <v>143252562.10214603</v>
      </c>
    </row>
    <row r="3660" spans="1:2" x14ac:dyDescent="0.25">
      <c r="A3660">
        <f ca="1">29923.9341745972*((RANDBETWEEN(1620,2416)))</f>
        <v>60177031.625114903</v>
      </c>
      <c r="B3660">
        <v>167674119.98674029</v>
      </c>
    </row>
    <row r="3661" spans="1:2" x14ac:dyDescent="0.25">
      <c r="A3661">
        <f ca="1">30488.3218549193*((RANDBETWEEN(1620,2416)))</f>
        <v>69787768.725910261</v>
      </c>
      <c r="B3661">
        <v>155385852.38835812</v>
      </c>
    </row>
    <row r="3662" spans="1:2" x14ac:dyDescent="0.25">
      <c r="A3662">
        <f ca="1">26388.0237904509*((RANDBETWEEN(1620,2416)))</f>
        <v>60850782.860779747</v>
      </c>
      <c r="B3662">
        <v>145970739.20404974</v>
      </c>
    </row>
    <row r="3663" spans="1:2" x14ac:dyDescent="0.25">
      <c r="A3663">
        <f ca="1">29521.3076293321*((RANDBETWEEN(1620,2416)))</f>
        <v>58097933.414525732</v>
      </c>
      <c r="B3663">
        <v>153882350.00258118</v>
      </c>
    </row>
    <row r="3664" spans="1:2" x14ac:dyDescent="0.25">
      <c r="A3664">
        <f ca="1">31864.764401431*((RANDBETWEEN(1620,2416)))</f>
        <v>76029327.86181429</v>
      </c>
      <c r="B3664">
        <v>148775663.64585561</v>
      </c>
    </row>
    <row r="3665" spans="1:2" x14ac:dyDescent="0.25">
      <c r="A3665">
        <f ca="1">28397.004751647*((RANDBETWEEN(1620,2416)))</f>
        <v>67130519.232893467</v>
      </c>
      <c r="B3665">
        <v>168082104.49657354</v>
      </c>
    </row>
    <row r="3666" spans="1:2" x14ac:dyDescent="0.25">
      <c r="A3666">
        <f ca="1">26409.7042530186*((RANDBETWEEN(1620,2416)))</f>
        <v>47326190.021409392</v>
      </c>
      <c r="B3666">
        <v>152849010.09035927</v>
      </c>
    </row>
    <row r="3667" spans="1:2" x14ac:dyDescent="0.25">
      <c r="A3667">
        <f ca="1">25683.2303657657*((RANDBETWEEN(1620,2416)))</f>
        <v>43918323.925459407</v>
      </c>
      <c r="B3667">
        <v>160653449.08335266</v>
      </c>
    </row>
    <row r="3668" spans="1:2" x14ac:dyDescent="0.25">
      <c r="A3668">
        <f ca="1">26841.6037805494*((RANDBETWEEN(1620,2416)))</f>
        <v>56528417.561837025</v>
      </c>
      <c r="B3668">
        <v>176089496.57111454</v>
      </c>
    </row>
    <row r="3669" spans="1:2" x14ac:dyDescent="0.25">
      <c r="A3669">
        <f ca="1">27494.0867396575*((RANDBETWEEN(1620,2416)))</f>
        <v>62823988.200117387</v>
      </c>
      <c r="B3669">
        <v>175536190.30344385</v>
      </c>
    </row>
    <row r="3670" spans="1:2" x14ac:dyDescent="0.25">
      <c r="A3670">
        <f ca="1">27306.3163027153*((RANDBETWEEN(1620,2416)))</f>
        <v>55814110.522750169</v>
      </c>
      <c r="B3670">
        <v>176349226.41303968</v>
      </c>
    </row>
    <row r="3671" spans="1:2" x14ac:dyDescent="0.25">
      <c r="A3671">
        <f ca="1">28076.3656758852*((RANDBETWEEN(1620,2416)))</f>
        <v>67355201.256448671</v>
      </c>
      <c r="B3671">
        <v>157769512.55934638</v>
      </c>
    </row>
    <row r="3672" spans="1:2" x14ac:dyDescent="0.25">
      <c r="A3672">
        <f ca="1">28330.219831928*((RANDBETWEEN(1620,2416)))</f>
        <v>49152931.408395082</v>
      </c>
      <c r="B3672">
        <v>154817035.29992685</v>
      </c>
    </row>
    <row r="3673" spans="1:2" x14ac:dyDescent="0.25">
      <c r="A3673">
        <f ca="1">30111.4026492499*((RANDBETWEEN(1620,2416)))</f>
        <v>62601606.10779053</v>
      </c>
      <c r="B3673">
        <v>176623997.93573686</v>
      </c>
    </row>
    <row r="3674" spans="1:2" x14ac:dyDescent="0.25">
      <c r="A3674">
        <f ca="1">27580.3364766101*((RANDBETWEEN(1620,2416)))</f>
        <v>47079634.365573391</v>
      </c>
      <c r="B3674">
        <v>194570841.49966308</v>
      </c>
    </row>
    <row r="3675" spans="1:2" x14ac:dyDescent="0.25">
      <c r="A3675">
        <f ca="1">30619.8846827043*((RANDBETWEEN(1620,2416)))</f>
        <v>55850669.661252595</v>
      </c>
      <c r="B3675">
        <v>202284388.24614063</v>
      </c>
    </row>
    <row r="3676" spans="1:2" x14ac:dyDescent="0.25">
      <c r="A3676">
        <f ca="1">29527.3392808268*((RANDBETWEEN(1620,2416)))</f>
        <v>62332213.221825413</v>
      </c>
      <c r="B3676">
        <v>163029341.20586634</v>
      </c>
    </row>
    <row r="3677" spans="1:2" x14ac:dyDescent="0.25">
      <c r="A3677">
        <f ca="1">27419.7777326441*((RANDBETWEEN(1620,2416)))</f>
        <v>54373419.243833281</v>
      </c>
      <c r="B3677">
        <v>174831454.24128866</v>
      </c>
    </row>
    <row r="3678" spans="1:2" x14ac:dyDescent="0.25">
      <c r="A3678">
        <f ca="1">26330.6899554479*((RANDBETWEEN(1620,2416)))</f>
        <v>57163927.893277429</v>
      </c>
      <c r="B3678">
        <v>146966686.65556931</v>
      </c>
    </row>
    <row r="3679" spans="1:2" x14ac:dyDescent="0.25">
      <c r="A3679">
        <f ca="1">33505.9752781968*((RANDBETWEEN(1620,2416)))</f>
        <v>69156332.974198118</v>
      </c>
      <c r="B3679">
        <v>190086370.02447292</v>
      </c>
    </row>
    <row r="3680" spans="1:2" x14ac:dyDescent="0.25">
      <c r="A3680">
        <f ca="1">26144.6318409092*((RANDBETWEEN(1620,2416)))</f>
        <v>47478651.423091076</v>
      </c>
      <c r="B3680">
        <v>157334184.96587145</v>
      </c>
    </row>
    <row r="3681" spans="1:2" x14ac:dyDescent="0.25">
      <c r="A3681">
        <f ca="1">27096.3503583363*((RANDBETWEEN(1620,2416)))</f>
        <v>51239198.527614027</v>
      </c>
      <c r="B3681">
        <v>165753072.25808123</v>
      </c>
    </row>
    <row r="3682" spans="1:2" x14ac:dyDescent="0.25">
      <c r="A3682">
        <f ca="1">26585.4170390444*((RANDBETWEEN(1620,2416)))</f>
        <v>43600083.944032855</v>
      </c>
      <c r="B3682">
        <v>152441083.14368451</v>
      </c>
    </row>
    <row r="3683" spans="1:2" x14ac:dyDescent="0.25">
      <c r="A3683">
        <f ca="1">25592.2368759544*((RANDBETWEEN(1620,2416)))</f>
        <v>61830844.29230576</v>
      </c>
      <c r="B3683">
        <v>147863000.06134835</v>
      </c>
    </row>
    <row r="3684" spans="1:2" x14ac:dyDescent="0.25">
      <c r="A3684">
        <f ca="1">25925.5615574002*((RANDBETWEEN(1620,2416)))</f>
        <v>59162131.473987155</v>
      </c>
      <c r="B3684">
        <v>154282090.96080646</v>
      </c>
    </row>
    <row r="3685" spans="1:2" x14ac:dyDescent="0.25">
      <c r="A3685">
        <f ca="1">32005.0298418864*((RANDBETWEEN(1620,2416)))</f>
        <v>59945420.89385324</v>
      </c>
      <c r="B3685">
        <v>157035283.95183375</v>
      </c>
    </row>
    <row r="3686" spans="1:2" x14ac:dyDescent="0.25">
      <c r="A3686">
        <f ca="1">29340.2478484632*((RANDBETWEEN(1620,2416)))</f>
        <v>53516612.075596906</v>
      </c>
      <c r="B3686">
        <v>199977054.23203176</v>
      </c>
    </row>
    <row r="3687" spans="1:2" x14ac:dyDescent="0.25">
      <c r="A3687">
        <f ca="1">28544.4236680524*((RANDBETWEEN(1620,2416)))</f>
        <v>65680718.860188559</v>
      </c>
      <c r="B3687">
        <v>179578953.57909155</v>
      </c>
    </row>
    <row r="3688" spans="1:2" x14ac:dyDescent="0.25">
      <c r="A3688">
        <f ca="1">27581.5886236336*((RANDBETWEEN(1620,2416)))</f>
        <v>56735327.798814356</v>
      </c>
      <c r="B3688">
        <v>186409557.41166055</v>
      </c>
    </row>
    <row r="3689" spans="1:2" x14ac:dyDescent="0.25">
      <c r="A3689">
        <f ca="1">26603.4590690591*((RANDBETWEEN(1620,2416)))</f>
        <v>56718574.735234059</v>
      </c>
      <c r="B3689">
        <v>152532806.42201144</v>
      </c>
    </row>
    <row r="3690" spans="1:2" x14ac:dyDescent="0.25">
      <c r="A3690">
        <f ca="1">25602.5293166635*((RANDBETWEEN(1620,2416)))</f>
        <v>57247255.552059576</v>
      </c>
      <c r="B3690">
        <v>152227994.6162799</v>
      </c>
    </row>
    <row r="3691" spans="1:2" x14ac:dyDescent="0.25">
      <c r="A3691">
        <f ca="1">26480.4316228553*((RANDBETWEEN(1620,2416)))</f>
        <v>57012369.284007557</v>
      </c>
      <c r="B3691">
        <v>163943841.5314095</v>
      </c>
    </row>
    <row r="3692" spans="1:2" x14ac:dyDescent="0.25">
      <c r="A3692">
        <f ca="1">28762.408363634*((RANDBETWEEN(1620,2416)))</f>
        <v>62328138.923994936</v>
      </c>
      <c r="B3692">
        <v>164731764.88827461</v>
      </c>
    </row>
    <row r="3693" spans="1:2" x14ac:dyDescent="0.25">
      <c r="A3693">
        <f ca="1">28355.3298350237*((RANDBETWEEN(1620,2416)))</f>
        <v>62069817.008866772</v>
      </c>
      <c r="B3693">
        <v>192349119.61282942</v>
      </c>
    </row>
    <row r="3694" spans="1:2" x14ac:dyDescent="0.25">
      <c r="A3694">
        <f ca="1">28854.703441083*((RANDBETWEEN(1620,2416)))</f>
        <v>68501065.969131067</v>
      </c>
      <c r="B3694">
        <v>147738327.22821754</v>
      </c>
    </row>
    <row r="3695" spans="1:2" x14ac:dyDescent="0.25">
      <c r="A3695">
        <f ca="1">29144.0319369897*((RANDBETWEEN(1620,2416)))</f>
        <v>69654236.329405338</v>
      </c>
      <c r="B3695">
        <v>191762407.11886209</v>
      </c>
    </row>
    <row r="3696" spans="1:2" x14ac:dyDescent="0.25">
      <c r="A3696">
        <f ca="1">26095.4380021752*((RANDBETWEEN(1620,2416)))</f>
        <v>62446383.139205173</v>
      </c>
      <c r="B3696">
        <v>156375295.21689814</v>
      </c>
    </row>
    <row r="3697" spans="1:2" x14ac:dyDescent="0.25">
      <c r="A3697">
        <f ca="1">28003.8820307891*((RANDBETWEEN(1620,2416)))</f>
        <v>55027628.190500595</v>
      </c>
      <c r="B3697">
        <v>152843443.07883486</v>
      </c>
    </row>
    <row r="3698" spans="1:2" x14ac:dyDescent="0.25">
      <c r="A3698">
        <f ca="1">28195.8145060786*((RANDBETWEEN(1620,2416)))</f>
        <v>52416019.166800164</v>
      </c>
      <c r="B3698">
        <v>166876703.27914456</v>
      </c>
    </row>
    <row r="3699" spans="1:2" x14ac:dyDescent="0.25">
      <c r="A3699">
        <f ca="1">26830.7586550893*((RANDBETWEEN(1620,2416)))</f>
        <v>63749882.564492151</v>
      </c>
      <c r="B3699">
        <v>148207582.38770956</v>
      </c>
    </row>
    <row r="3700" spans="1:2" x14ac:dyDescent="0.25">
      <c r="A3700">
        <f ca="1">30762.5044959854*((RANDBETWEEN(1620,2416)))</f>
        <v>59463921.190739796</v>
      </c>
      <c r="B3700">
        <v>191095019.24038127</v>
      </c>
    </row>
    <row r="3701" spans="1:2" x14ac:dyDescent="0.25">
      <c r="A3701">
        <f ca="1">26200.2163146285*((RANDBETWEEN(1620,2416)))</f>
        <v>49387407.753074758</v>
      </c>
      <c r="B3701">
        <v>173509519.73286366</v>
      </c>
    </row>
    <row r="3702" spans="1:2" x14ac:dyDescent="0.25">
      <c r="A3702">
        <f ca="1">27132.5979843516*((RANDBETWEEN(1620,2416)))</f>
        <v>52148853.325923726</v>
      </c>
      <c r="B3702">
        <v>151743669.51765153</v>
      </c>
    </row>
    <row r="3703" spans="1:2" x14ac:dyDescent="0.25">
      <c r="A3703">
        <f ca="1">28470.0686530091*((RANDBETWEEN(1620,2416)))</f>
        <v>68356634.835874856</v>
      </c>
      <c r="B3703">
        <v>165941801.01856294</v>
      </c>
    </row>
    <row r="3704" spans="1:2" x14ac:dyDescent="0.25">
      <c r="A3704">
        <f ca="1">27616.1666123914*((RANDBETWEEN(1620,2416)))</f>
        <v>52332635.730481781</v>
      </c>
      <c r="B3704">
        <v>181381388.05166847</v>
      </c>
    </row>
    <row r="3705" spans="1:2" x14ac:dyDescent="0.25">
      <c r="A3705">
        <f ca="1">28963.0957624258*((RANDBETWEEN(1620,2416)))</f>
        <v>58215822.482475832</v>
      </c>
      <c r="B3705">
        <v>143432693.92486501</v>
      </c>
    </row>
    <row r="3706" spans="1:2" x14ac:dyDescent="0.25">
      <c r="A3706">
        <f ca="1">26821.9341905729*((RANDBETWEEN(1620,2416)))</f>
        <v>47367535.780551791</v>
      </c>
      <c r="B3706">
        <v>186871820.33997887</v>
      </c>
    </row>
    <row r="3707" spans="1:2" x14ac:dyDescent="0.25">
      <c r="A3707">
        <f ca="1">27315.0043174911*((RANDBETWEEN(1620,2416)))</f>
        <v>58426794.235113434</v>
      </c>
      <c r="B3707">
        <v>175830073.27049068</v>
      </c>
    </row>
    <row r="3708" spans="1:2" x14ac:dyDescent="0.25">
      <c r="A3708">
        <f ca="1">27381.1470912*((RANDBETWEEN(1620,2416)))</f>
        <v>60649240.807007901</v>
      </c>
      <c r="B3708">
        <v>153439208.9394221</v>
      </c>
    </row>
    <row r="3709" spans="1:2" x14ac:dyDescent="0.25">
      <c r="A3709">
        <f ca="1">26987.7303276739*((RANDBETWEEN(1620,2416)))</f>
        <v>51060785.779959098</v>
      </c>
      <c r="B3709">
        <v>150039518.71027574</v>
      </c>
    </row>
    <row r="3710" spans="1:2" x14ac:dyDescent="0.25">
      <c r="A3710">
        <f ca="1">27955.8955560903*((RANDBETWEEN(1620,2416)))</f>
        <v>48978729.014270224</v>
      </c>
      <c r="B3710">
        <v>150823431.14953396</v>
      </c>
    </row>
    <row r="3711" spans="1:2" x14ac:dyDescent="0.25">
      <c r="A3711">
        <f ca="1">26208.8450185651*((RANDBETWEEN(1620,2416)))</f>
        <v>60621058.527941003</v>
      </c>
      <c r="B3711">
        <v>155334018.88708323</v>
      </c>
    </row>
    <row r="3712" spans="1:2" x14ac:dyDescent="0.25">
      <c r="A3712">
        <f ca="1">28201.8240432779*((RANDBETWEEN(1620,2416)))</f>
        <v>53329649.265838563</v>
      </c>
      <c r="B3712">
        <v>148941648.24361798</v>
      </c>
    </row>
    <row r="3713" spans="1:2" x14ac:dyDescent="0.25">
      <c r="A3713">
        <f ca="1">28460.406712353*((RANDBETWEEN(1620,2416)))</f>
        <v>48297310.190863125</v>
      </c>
      <c r="B3713">
        <v>183591956.67967704</v>
      </c>
    </row>
    <row r="3714" spans="1:2" x14ac:dyDescent="0.25">
      <c r="A3714">
        <f ca="1">27299.8932394833*((RANDBETWEEN(1620,2416)))</f>
        <v>58640170.678410187</v>
      </c>
      <c r="B3714">
        <v>158253979.39163041</v>
      </c>
    </row>
    <row r="3715" spans="1:2" x14ac:dyDescent="0.25">
      <c r="A3715">
        <f ca="1">26795.2898587134*((RANDBETWEEN(1620,2416)))</f>
        <v>62004300.733062714</v>
      </c>
      <c r="B3715">
        <v>202291311.8098034</v>
      </c>
    </row>
    <row r="3716" spans="1:2" x14ac:dyDescent="0.25">
      <c r="A3716">
        <f ca="1">27779.1937794629*((RANDBETWEEN(1620,2416)))</f>
        <v>49724756.865238532</v>
      </c>
      <c r="B3716">
        <v>147355078.93680257</v>
      </c>
    </row>
    <row r="3717" spans="1:2" x14ac:dyDescent="0.25">
      <c r="A3717">
        <f ca="1">27205.6004903406*((RANDBETWEEN(1620,2416)))</f>
        <v>48480380.073787004</v>
      </c>
      <c r="B3717">
        <v>144548408.89707178</v>
      </c>
    </row>
    <row r="3718" spans="1:2" x14ac:dyDescent="0.25">
      <c r="A3718">
        <f ca="1">29090.6253028255*((RANDBETWEEN(1620,2416)))</f>
        <v>59781234.997306332</v>
      </c>
      <c r="B3718">
        <v>197630240.47658741</v>
      </c>
    </row>
    <row r="3719" spans="1:2" x14ac:dyDescent="0.25">
      <c r="A3719">
        <f ca="1">25933.338535968*((RANDBETWEEN(1620,2416)))</f>
        <v>56223477.945978664</v>
      </c>
      <c r="B3719">
        <v>166888455.61628255</v>
      </c>
    </row>
    <row r="3720" spans="1:2" x14ac:dyDescent="0.25">
      <c r="A3720">
        <f ca="1">27918.3133170404*((RANDBETWEEN(1620,2416)))</f>
        <v>57679235.313005522</v>
      </c>
      <c r="B3720">
        <v>154075233.09619951</v>
      </c>
    </row>
    <row r="3721" spans="1:2" x14ac:dyDescent="0.25">
      <c r="A3721">
        <f ca="1">28077.6783695941*((RANDBETWEEN(1620,2416)))</f>
        <v>48462072.865919448</v>
      </c>
      <c r="B3721">
        <v>185378603.42819273</v>
      </c>
    </row>
    <row r="3722" spans="1:2" x14ac:dyDescent="0.25">
      <c r="A3722">
        <f ca="1">30231.6639609564*((RANDBETWEEN(1620,2416)))</f>
        <v>66902672.345596492</v>
      </c>
      <c r="B3722">
        <v>187948529.57524085</v>
      </c>
    </row>
    <row r="3723" spans="1:2" x14ac:dyDescent="0.25">
      <c r="A3723">
        <f ca="1">31180.3662764129*((RANDBETWEEN(1620,2416)))</f>
        <v>75300584.557537213</v>
      </c>
      <c r="B3723">
        <v>154338908.25714803</v>
      </c>
    </row>
    <row r="3724" spans="1:2" x14ac:dyDescent="0.25">
      <c r="A3724">
        <f ca="1">29815.8110643514*((RANDBETWEEN(1620,2416)))</f>
        <v>66280547.9960531</v>
      </c>
      <c r="B3724">
        <v>195248152.59008074</v>
      </c>
    </row>
    <row r="3725" spans="1:2" x14ac:dyDescent="0.25">
      <c r="A3725">
        <f ca="1">31791.258128362*((RANDBETWEEN(1620,2416)))</f>
        <v>53695434.978803381</v>
      </c>
      <c r="B3725">
        <v>182401871.60771698</v>
      </c>
    </row>
    <row r="3726" spans="1:2" x14ac:dyDescent="0.25">
      <c r="A3726">
        <f ca="1">28095.2490601394*((RANDBETWEEN(1620,2416)))</f>
        <v>57960498.811067544</v>
      </c>
      <c r="B3726">
        <v>186183291.3905322</v>
      </c>
    </row>
    <row r="3727" spans="1:2" x14ac:dyDescent="0.25">
      <c r="A3727">
        <f ca="1">30395.2350873161*((RANDBETWEEN(1620,2416)))</f>
        <v>54833004.097518191</v>
      </c>
      <c r="B3727">
        <v>171278131.0614883</v>
      </c>
    </row>
    <row r="3728" spans="1:2" x14ac:dyDescent="0.25">
      <c r="A3728">
        <f ca="1">27062.3914846159*((RANDBETWEEN(1620,2416)))</f>
        <v>50796108.816624105</v>
      </c>
      <c r="B3728">
        <v>186133234.28452325</v>
      </c>
    </row>
    <row r="3729" spans="1:2" x14ac:dyDescent="0.25">
      <c r="A3729">
        <f ca="1">26742.2787294451*((RANDBETWEEN(1620,2416)))</f>
        <v>47788452.089518376</v>
      </c>
      <c r="B3729">
        <v>162518982.09843799</v>
      </c>
    </row>
    <row r="3730" spans="1:2" x14ac:dyDescent="0.25">
      <c r="A3730">
        <f ca="1">28777.1914619856*((RANDBETWEEN(1620,2416)))</f>
        <v>56662289.988649726</v>
      </c>
      <c r="B3730">
        <v>155880177.56162214</v>
      </c>
    </row>
    <row r="3731" spans="1:2" x14ac:dyDescent="0.25">
      <c r="A3731">
        <f ca="1">26835.8975601083*((RANDBETWEEN(1620,2416)))</f>
        <v>62715492.597973041</v>
      </c>
      <c r="B3731">
        <v>175575993.5103423</v>
      </c>
    </row>
    <row r="3732" spans="1:2" x14ac:dyDescent="0.25">
      <c r="A3732">
        <f ca="1">27586.2435725133*((RANDBETWEEN(1620,2416)))</f>
        <v>55889729.477911964</v>
      </c>
      <c r="B3732">
        <v>147636644.18301216</v>
      </c>
    </row>
    <row r="3733" spans="1:2" x14ac:dyDescent="0.25">
      <c r="A3733">
        <f ca="1">27363.2707241859*((RANDBETWEEN(1620,2416)))</f>
        <v>47694180.872256055</v>
      </c>
      <c r="B3733">
        <v>150498816.55534747</v>
      </c>
    </row>
    <row r="3734" spans="1:2" x14ac:dyDescent="0.25">
      <c r="A3734">
        <f ca="1">26468.589474339*((RANDBETWEEN(1620,2416)))</f>
        <v>56563375.706662387</v>
      </c>
      <c r="B3734">
        <v>156703653.55404854</v>
      </c>
    </row>
    <row r="3735" spans="1:2" x14ac:dyDescent="0.25">
      <c r="A3735">
        <f ca="1">27437.519473508*((RANDBETWEEN(1620,2416)))</f>
        <v>50100910.558625616</v>
      </c>
      <c r="B3735">
        <v>160015914.61031333</v>
      </c>
    </row>
    <row r="3736" spans="1:2" x14ac:dyDescent="0.25">
      <c r="A3736">
        <f ca="1">30589.238188877*((RANDBETWEEN(1620,2416)))</f>
        <v>63931507.814752959</v>
      </c>
      <c r="B3736">
        <v>186295515.68639132</v>
      </c>
    </row>
    <row r="3737" spans="1:2" x14ac:dyDescent="0.25">
      <c r="A3737">
        <f ca="1">33015.3715740639*((RANDBETWEEN(1620,2416)))</f>
        <v>66195820.005998194</v>
      </c>
      <c r="B3737">
        <v>168740237.89060047</v>
      </c>
    </row>
    <row r="3738" spans="1:2" x14ac:dyDescent="0.25">
      <c r="A3738">
        <f ca="1">25803.7913883022*((RANDBETWEEN(1620,2416)))</f>
        <v>51194722.114391573</v>
      </c>
      <c r="B3738">
        <v>167957184.55833358</v>
      </c>
    </row>
    <row r="3739" spans="1:2" x14ac:dyDescent="0.25">
      <c r="A3739">
        <f ca="1">28762.9213393946*((RANDBETWEEN(1620,2416)))</f>
        <v>60718526.947462015</v>
      </c>
      <c r="B3739">
        <v>191370769.96303588</v>
      </c>
    </row>
    <row r="3740" spans="1:2" x14ac:dyDescent="0.25">
      <c r="A3740">
        <f ca="1">27776.353640804*((RANDBETWEEN(1620,2416)))</f>
        <v>62580124.752731323</v>
      </c>
      <c r="B3740">
        <v>184896950.33889347</v>
      </c>
    </row>
    <row r="3741" spans="1:2" x14ac:dyDescent="0.25">
      <c r="A3741">
        <f ca="1">30970.7591769139*((RANDBETWEEN(1620,2416)))</f>
        <v>55778337.277621873</v>
      </c>
      <c r="B3741">
        <v>202429456.49670017</v>
      </c>
    </row>
    <row r="3742" spans="1:2" x14ac:dyDescent="0.25">
      <c r="A3742">
        <f ca="1">27855.4419155008*((RANDBETWEEN(1620,2416)))</f>
        <v>64708191.569708444</v>
      </c>
      <c r="B3742">
        <v>158466119.88874173</v>
      </c>
    </row>
    <row r="3743" spans="1:2" x14ac:dyDescent="0.25">
      <c r="A3743">
        <f ca="1">27170.0327264778*((RANDBETWEEN(1620,2416)))</f>
        <v>64257127.398119926</v>
      </c>
      <c r="B3743">
        <v>177709487.31667781</v>
      </c>
    </row>
    <row r="3744" spans="1:2" x14ac:dyDescent="0.25">
      <c r="A3744">
        <f ca="1">25552.5627149628*((RANDBETWEEN(1620,2416)))</f>
        <v>53813697.077711634</v>
      </c>
      <c r="B3744">
        <v>147593949.54391414</v>
      </c>
    </row>
    <row r="3745" spans="1:2" x14ac:dyDescent="0.25">
      <c r="A3745">
        <f ca="1">29343.0413706012*((RANDBETWEEN(1620,2416)))</f>
        <v>69895124.544772074</v>
      </c>
      <c r="B3745">
        <v>169822194.8820374</v>
      </c>
    </row>
    <row r="3746" spans="1:2" x14ac:dyDescent="0.25">
      <c r="A3746">
        <f ca="1">28082.6572120775*((RANDBETWEEN(1620,2416)))</f>
        <v>55407082.679428905</v>
      </c>
      <c r="B3746">
        <v>200450286.25472441</v>
      </c>
    </row>
    <row r="3747" spans="1:2" x14ac:dyDescent="0.25">
      <c r="A3747">
        <f ca="1">28695.2358666523*((RANDBETWEEN(1620,2416)))</f>
        <v>66601642.446500011</v>
      </c>
      <c r="B3747">
        <v>156075318.67751759</v>
      </c>
    </row>
    <row r="3748" spans="1:2" x14ac:dyDescent="0.25">
      <c r="A3748">
        <f ca="1">32025.947869075*((RANDBETWEEN(1620,2416)))</f>
        <v>62610728.084041603</v>
      </c>
      <c r="B3748">
        <v>193054129.8594251</v>
      </c>
    </row>
    <row r="3749" spans="1:2" x14ac:dyDescent="0.25">
      <c r="A3749">
        <f ca="1">25791.4777904499*((RANDBETWEEN(1620,2416)))</f>
        <v>55993298.283066817</v>
      </c>
      <c r="B3749">
        <v>146739302.35007209</v>
      </c>
    </row>
    <row r="3750" spans="1:2" x14ac:dyDescent="0.25">
      <c r="A3750">
        <f ca="1">30375.6324354355*((RANDBETWEEN(1620,2416)))</f>
        <v>71899121.974675775</v>
      </c>
      <c r="B3750">
        <v>174193741.19329372</v>
      </c>
    </row>
    <row r="3751" spans="1:2" x14ac:dyDescent="0.25">
      <c r="A3751">
        <f ca="1">27400.7799062399*((RANDBETWEEN(1620,2416)))</f>
        <v>47759559.376576215</v>
      </c>
      <c r="B3751">
        <v>172830479.23900804</v>
      </c>
    </row>
    <row r="3752" spans="1:2" x14ac:dyDescent="0.25">
      <c r="A3752">
        <f ca="1">30893.5467963728*((RANDBETWEEN(1620,2416)))</f>
        <v>61200116.203614429</v>
      </c>
      <c r="B3752">
        <v>175975854.29289225</v>
      </c>
    </row>
    <row r="3753" spans="1:2" x14ac:dyDescent="0.25">
      <c r="A3753">
        <f ca="1">27644.9631273308*((RANDBETWEEN(1620,2416)))</f>
        <v>65048598.238609299</v>
      </c>
      <c r="B3753">
        <v>152801960.04425347</v>
      </c>
    </row>
    <row r="3754" spans="1:2" x14ac:dyDescent="0.25">
      <c r="A3754">
        <f ca="1">33990.1945762148*((RANDBETWEEN(1620,2416)))</f>
        <v>61692203.155829854</v>
      </c>
      <c r="B3754">
        <v>183854481.96166176</v>
      </c>
    </row>
    <row r="3755" spans="1:2" x14ac:dyDescent="0.25">
      <c r="A3755">
        <f ca="1">26158.146770269*((RANDBETWEEN(1620,2416)))</f>
        <v>52342451.687308215</v>
      </c>
      <c r="B3755">
        <v>186075523.95171002</v>
      </c>
    </row>
    <row r="3756" spans="1:2" x14ac:dyDescent="0.25">
      <c r="A3756">
        <f ca="1">26892.6122668892*((RANDBETWEEN(1620,2416)))</f>
        <v>49616869.632410564</v>
      </c>
      <c r="B3756">
        <v>180659496.11173999</v>
      </c>
    </row>
    <row r="3757" spans="1:2" x14ac:dyDescent="0.25">
      <c r="A3757">
        <f ca="1">30650.2588660024*((RANDBETWEEN(1620,2416)))</f>
        <v>69851939.95561941</v>
      </c>
      <c r="B3757">
        <v>144540124.11793876</v>
      </c>
    </row>
    <row r="3758" spans="1:2" x14ac:dyDescent="0.25">
      <c r="A3758">
        <f ca="1">31896.8857926882*((RANDBETWEEN(1620,2416)))</f>
        <v>59264413.802814603</v>
      </c>
      <c r="B3758">
        <v>144287693.4779903</v>
      </c>
    </row>
    <row r="3759" spans="1:2" x14ac:dyDescent="0.25">
      <c r="A3759">
        <f ca="1">29362.883013441*((RANDBETWEEN(1620,2416)))</f>
        <v>68121888.591183186</v>
      </c>
      <c r="B3759">
        <v>144789713.42297614</v>
      </c>
    </row>
    <row r="3760" spans="1:2" x14ac:dyDescent="0.25">
      <c r="A3760">
        <f ca="1">26743.1174335258*((RANDBETWEEN(1620,2416)))</f>
        <v>60091784.873132363</v>
      </c>
      <c r="B3760">
        <v>147891436.30361962</v>
      </c>
    </row>
    <row r="3761" spans="1:2" x14ac:dyDescent="0.25">
      <c r="A3761">
        <f ca="1">25972.4497404861*((RANDBETWEEN(1620,2416)))</f>
        <v>49529461.655107044</v>
      </c>
      <c r="B3761">
        <v>146424632.48353812</v>
      </c>
    </row>
    <row r="3762" spans="1:2" x14ac:dyDescent="0.25">
      <c r="A3762">
        <f ca="1">32487.6591243703*((RANDBETWEEN(1620,2416)))</f>
        <v>75241418.532041609</v>
      </c>
      <c r="B3762">
        <v>163951271.31530914</v>
      </c>
    </row>
    <row r="3763" spans="1:2" x14ac:dyDescent="0.25">
      <c r="A3763">
        <f ca="1">29098.3373113913*((RANDBETWEEN(1620,2416)))</f>
        <v>59942574.86146608</v>
      </c>
      <c r="B3763">
        <v>153631195.63384062</v>
      </c>
    </row>
    <row r="3764" spans="1:2" x14ac:dyDescent="0.25">
      <c r="A3764">
        <f ca="1">28256.6417462916*((RANDBETWEEN(1620,2416)))</f>
        <v>63379647.436932042</v>
      </c>
      <c r="B3764">
        <v>164742290.0175449</v>
      </c>
    </row>
    <row r="3765" spans="1:2" x14ac:dyDescent="0.25">
      <c r="A3765">
        <f ca="1">28468.8426524728*((RANDBETWEEN(1620,2416)))</f>
        <v>46347275.83822576</v>
      </c>
      <c r="B3765">
        <v>143425902.67390788</v>
      </c>
    </row>
    <row r="3766" spans="1:2" x14ac:dyDescent="0.25">
      <c r="A3766">
        <f ca="1">26501.4973054858*((RANDBETWEEN(1620,2416)))</f>
        <v>49690307.44778578</v>
      </c>
      <c r="B3766">
        <v>153099129.43186319</v>
      </c>
    </row>
    <row r="3767" spans="1:2" x14ac:dyDescent="0.25">
      <c r="A3767">
        <f ca="1">27950.4824485545*((RANDBETWEEN(1620,2416)))</f>
        <v>49276700.556801759</v>
      </c>
      <c r="B3767">
        <v>152706364.3889817</v>
      </c>
    </row>
    <row r="3768" spans="1:2" x14ac:dyDescent="0.25">
      <c r="A3768">
        <f ca="1">28219.060966194*((RANDBETWEEN(1620,2416)))</f>
        <v>51923072.177797005</v>
      </c>
      <c r="B3768">
        <v>200438797.26357284</v>
      </c>
    </row>
    <row r="3769" spans="1:2" x14ac:dyDescent="0.25">
      <c r="A3769">
        <f ca="1">28111.9671902086*((RANDBETWEEN(1620,2416)))</f>
        <v>63223814.210779108</v>
      </c>
      <c r="B3769">
        <v>163026464.54449067</v>
      </c>
    </row>
    <row r="3770" spans="1:2" x14ac:dyDescent="0.25">
      <c r="A3770">
        <f ca="1">27180.2946872708*((RANDBETWEEN(1620,2416)))</f>
        <v>45146469.475556836</v>
      </c>
      <c r="B3770">
        <v>150041683.41883591</v>
      </c>
    </row>
    <row r="3771" spans="1:2" x14ac:dyDescent="0.25">
      <c r="A3771">
        <f ca="1">28602.2957135842*((RANDBETWEEN(1620,2416)))</f>
        <v>53858122.828679048</v>
      </c>
      <c r="B3771">
        <v>149176550.3654947</v>
      </c>
    </row>
    <row r="3772" spans="1:2" x14ac:dyDescent="0.25">
      <c r="A3772">
        <f ca="1">25204.5970461848*((RANDBETWEEN(1620,2416)))</f>
        <v>56710343.353915744</v>
      </c>
      <c r="B3772">
        <v>157823666.85805413</v>
      </c>
    </row>
    <row r="3773" spans="1:2" x14ac:dyDescent="0.25">
      <c r="A3773">
        <f ca="1">26504.4440664143*((RANDBETWEEN(1620,2416)))</f>
        <v>48953708.190667354</v>
      </c>
      <c r="B3773">
        <v>144544406.9254784</v>
      </c>
    </row>
    <row r="3774" spans="1:2" x14ac:dyDescent="0.25">
      <c r="A3774">
        <f ca="1">27653.1407095774*((RANDBETWEEN(1620,2416)))</f>
        <v>52043210.815424666</v>
      </c>
      <c r="B3774">
        <v>189946954.16322443</v>
      </c>
    </row>
    <row r="3775" spans="1:2" x14ac:dyDescent="0.25">
      <c r="A3775">
        <f ca="1">26017.5158715149*((RANDBETWEEN(1620,2416)))</f>
        <v>51618751.489085659</v>
      </c>
      <c r="B3775">
        <v>180468709.10062954</v>
      </c>
    </row>
    <row r="3776" spans="1:2" x14ac:dyDescent="0.25">
      <c r="A3776">
        <f ca="1">29260.7145115695*((RANDBETWEEN(1620,2416)))</f>
        <v>70576843.401905581</v>
      </c>
      <c r="B3776">
        <v>164810495.94928285</v>
      </c>
    </row>
    <row r="3777" spans="1:2" x14ac:dyDescent="0.25">
      <c r="A3777">
        <f ca="1">26641.9576030587*((RANDBETWEEN(1620,2416)))</f>
        <v>54456161.340652063</v>
      </c>
      <c r="B3777">
        <v>147376450.38928533</v>
      </c>
    </row>
    <row r="3778" spans="1:2" x14ac:dyDescent="0.25">
      <c r="A3778">
        <f ca="1">30716.34702119*((RANDBETWEEN(1620,2416)))</f>
        <v>56518078.518989541</v>
      </c>
      <c r="B3778">
        <v>189498495.59225804</v>
      </c>
    </row>
    <row r="3779" spans="1:2" x14ac:dyDescent="0.25">
      <c r="A3779">
        <f ca="1">27707.0651628552*((RANDBETWEEN(1620,2416)))</f>
        <v>52283231.962307803</v>
      </c>
      <c r="B3779">
        <v>199282843.29059932</v>
      </c>
    </row>
    <row r="3780" spans="1:2" x14ac:dyDescent="0.25">
      <c r="A3780">
        <f ca="1">26516.0140255578*((RANDBETWEEN(1620,2416)))</f>
        <v>51414551.195556529</v>
      </c>
      <c r="B3780">
        <v>185178287.8221435</v>
      </c>
    </row>
    <row r="3781" spans="1:2" x14ac:dyDescent="0.25">
      <c r="A3781">
        <f ca="1">26255.6416134432*((RANDBETWEEN(1620,2416)))</f>
        <v>56817208.451491013</v>
      </c>
      <c r="B3781">
        <v>158250637.58062473</v>
      </c>
    </row>
    <row r="3782" spans="1:2" x14ac:dyDescent="0.25">
      <c r="A3782">
        <f ca="1">25951.3125519736*((RANDBETWEEN(1620,2416)))</f>
        <v>61271048.935209617</v>
      </c>
      <c r="B3782">
        <v>155710064.04493523</v>
      </c>
    </row>
    <row r="3783" spans="1:2" x14ac:dyDescent="0.25">
      <c r="A3783">
        <f ca="1">29174.8850024727*((RANDBETWEEN(1620,2416)))</f>
        <v>48897107.264144219</v>
      </c>
      <c r="B3783">
        <v>197611797.24456379</v>
      </c>
    </row>
    <row r="3784" spans="1:2" x14ac:dyDescent="0.25">
      <c r="A3784">
        <f ca="1">31840.9858538422*((RANDBETWEEN(1620,2416)))</f>
        <v>65815317.759891808</v>
      </c>
      <c r="B3784">
        <v>144444005.42577291</v>
      </c>
    </row>
    <row r="3785" spans="1:2" x14ac:dyDescent="0.25">
      <c r="A3785">
        <f ca="1">27514.5767095889*((RANDBETWEEN(1620,2416)))</f>
        <v>63090924.39508725</v>
      </c>
      <c r="B3785">
        <v>158468470.77920753</v>
      </c>
    </row>
    <row r="3786" spans="1:2" x14ac:dyDescent="0.25">
      <c r="A3786">
        <f ca="1">32046.9705732927*((RANDBETWEEN(1620,2416)))</f>
        <v>59447130.413457923</v>
      </c>
      <c r="B3786">
        <v>152285459.14372742</v>
      </c>
    </row>
    <row r="3787" spans="1:2" x14ac:dyDescent="0.25">
      <c r="A3787">
        <f ca="1">26379.4071360644*((RANDBETWEEN(1620,2416)))</f>
        <v>48881041.423127361</v>
      </c>
      <c r="B3787">
        <v>152717519.41248447</v>
      </c>
    </row>
    <row r="3788" spans="1:2" x14ac:dyDescent="0.25">
      <c r="A3788">
        <f ca="1">33116.7086374214*((RANDBETWEEN(1620,2416)))</f>
        <v>73519093.175075695</v>
      </c>
      <c r="B3788">
        <v>199164353.13619566</v>
      </c>
    </row>
    <row r="3789" spans="1:2" x14ac:dyDescent="0.25">
      <c r="A3789">
        <f ca="1">27589.2636906648*((RANDBETWEEN(1620,2416)))</f>
        <v>65055483.782587662</v>
      </c>
      <c r="B3789">
        <v>143861872.00535536</v>
      </c>
    </row>
    <row r="3790" spans="1:2" x14ac:dyDescent="0.25">
      <c r="A3790">
        <f ca="1">26108.621931072*((RANDBETWEEN(1620,2416)))</f>
        <v>48901448.876897827</v>
      </c>
      <c r="B3790">
        <v>185916567.08700049</v>
      </c>
    </row>
    <row r="3791" spans="1:2" x14ac:dyDescent="0.25">
      <c r="A3791">
        <f ca="1">25313.3313746143*((RANDBETWEEN(1620,2416)))</f>
        <v>52550475.933699265</v>
      </c>
      <c r="B3791">
        <v>165296761.16653529</v>
      </c>
    </row>
    <row r="3792" spans="1:2" x14ac:dyDescent="0.25">
      <c r="A3792">
        <f ca="1">29502.4734865347*((RANDBETWEEN(1620,2416)))</f>
        <v>66705092.553054929</v>
      </c>
      <c r="B3792">
        <v>195039682.10346258</v>
      </c>
    </row>
    <row r="3793" spans="1:2" x14ac:dyDescent="0.25">
      <c r="A3793">
        <f ca="1">26130.7289579739*((RANDBETWEEN(1620,2416)))</f>
        <v>61224297.948532917</v>
      </c>
      <c r="B3793">
        <v>178065047.27601749</v>
      </c>
    </row>
    <row r="3794" spans="1:2" x14ac:dyDescent="0.25">
      <c r="A3794">
        <f ca="1">25929.1465068896*((RANDBETWEEN(1620,2416)))</f>
        <v>47631842.133156262</v>
      </c>
      <c r="B3794">
        <v>156409751.54008564</v>
      </c>
    </row>
    <row r="3795" spans="1:2" x14ac:dyDescent="0.25">
      <c r="A3795">
        <f ca="1">27203.0926615463*((RANDBETWEEN(1620,2416)))</f>
        <v>64172095.588587821</v>
      </c>
      <c r="B3795">
        <v>170754346.52522361</v>
      </c>
    </row>
    <row r="3796" spans="1:2" x14ac:dyDescent="0.25">
      <c r="A3796">
        <f ca="1">27284.8309881507*((RANDBETWEEN(1620,2416)))</f>
        <v>49603822.736458056</v>
      </c>
      <c r="B3796">
        <v>156458811.52371252</v>
      </c>
    </row>
    <row r="3797" spans="1:2" x14ac:dyDescent="0.25">
      <c r="A3797">
        <f ca="1">28705.8145606968*((RANDBETWEEN(1620,2416)))</f>
        <v>64932552.536296137</v>
      </c>
      <c r="B3797">
        <v>165143047.6480408</v>
      </c>
    </row>
    <row r="3798" spans="1:2" x14ac:dyDescent="0.25">
      <c r="A3798">
        <f ca="1">27337.30936989*((RANDBETWEEN(1620,2416)))</f>
        <v>53963848.69616279</v>
      </c>
      <c r="B3798">
        <v>197001599.51716852</v>
      </c>
    </row>
    <row r="3799" spans="1:2" x14ac:dyDescent="0.25">
      <c r="A3799">
        <f ca="1">26260.4429933068*((RANDBETWEEN(1620,2416)))</f>
        <v>45246743.277467549</v>
      </c>
      <c r="B3799">
        <v>163319393.41339922</v>
      </c>
    </row>
    <row r="3800" spans="1:2" x14ac:dyDescent="0.25">
      <c r="A3800">
        <f ca="1">30520.6882425557*((RANDBETWEEN(1620,2416)))</f>
        <v>59027011.0611028</v>
      </c>
      <c r="B3800">
        <v>197443730.51959407</v>
      </c>
    </row>
    <row r="3801" spans="1:2" x14ac:dyDescent="0.25">
      <c r="A3801">
        <f ca="1">27727.51309811*((RANDBETWEEN(1620,2416)))</f>
        <v>57395952.113087721</v>
      </c>
      <c r="B3801">
        <v>144520159.4068872</v>
      </c>
    </row>
    <row r="3802" spans="1:2" x14ac:dyDescent="0.25">
      <c r="A3802">
        <f ca="1">30476.1494628676*((RANDBETWEEN(1620,2416)))</f>
        <v>67748480.255954608</v>
      </c>
      <c r="B3802">
        <v>146710815.18055052</v>
      </c>
    </row>
    <row r="3803" spans="1:2" x14ac:dyDescent="0.25">
      <c r="A3803">
        <f ca="1">26927.5385719507*((RANDBETWEEN(1620,2416)))</f>
        <v>59886845.784018427</v>
      </c>
      <c r="B3803">
        <v>158133744.16525304</v>
      </c>
    </row>
    <row r="3804" spans="1:2" x14ac:dyDescent="0.25">
      <c r="A3804">
        <f ca="1">29712.9592958925*((RANDBETWEEN(1620,2416)))</f>
        <v>53780456.325565413</v>
      </c>
      <c r="B3804">
        <v>164708047.1393548</v>
      </c>
    </row>
    <row r="3805" spans="1:2" x14ac:dyDescent="0.25">
      <c r="A3805">
        <f ca="1">27052.9387530165*((RANDBETWEEN(1620,2416)))</f>
        <v>47613172.205309018</v>
      </c>
      <c r="B3805">
        <v>160186520.06689304</v>
      </c>
    </row>
    <row r="3806" spans="1:2" x14ac:dyDescent="0.25">
      <c r="A3806">
        <f ca="1">28656.0993160354*((RANDBETWEEN(1620,2416)))</f>
        <v>67341833.392683074</v>
      </c>
      <c r="B3806">
        <v>150717036.40236941</v>
      </c>
    </row>
    <row r="3807" spans="1:2" x14ac:dyDescent="0.25">
      <c r="A3807">
        <f ca="1">27450.5010093437*((RANDBETWEEN(1620,2416)))</f>
        <v>58497017.650911443</v>
      </c>
      <c r="B3807">
        <v>177295554.4237808</v>
      </c>
    </row>
    <row r="3808" spans="1:2" x14ac:dyDescent="0.25">
      <c r="A3808">
        <f ca="1">25804.7156995372*((RANDBETWEEN(1620,2416)))</f>
        <v>44487329.86600215</v>
      </c>
      <c r="B3808">
        <v>150651100.19870961</v>
      </c>
    </row>
    <row r="3809" spans="1:2" x14ac:dyDescent="0.25">
      <c r="A3809">
        <f ca="1">26065.6306744627*((RANDBETWEEN(1620,2416)))</f>
        <v>57135862.438422285</v>
      </c>
      <c r="B3809">
        <v>149049542.50484407</v>
      </c>
    </row>
    <row r="3810" spans="1:2" x14ac:dyDescent="0.25">
      <c r="A3810">
        <f ca="1">27077.9915103234*((RANDBETWEEN(1620,2416)))</f>
        <v>60979636.881248377</v>
      </c>
      <c r="B3810">
        <v>145887926.48102438</v>
      </c>
    </row>
    <row r="3811" spans="1:2" x14ac:dyDescent="0.25">
      <c r="A3811">
        <f ca="1">27220.5233212973*((RANDBETWEEN(1620,2416)))</f>
        <v>44505555.630321063</v>
      </c>
      <c r="B3811">
        <v>172594664.39307505</v>
      </c>
    </row>
    <row r="3812" spans="1:2" x14ac:dyDescent="0.25">
      <c r="A3812">
        <f ca="1">31303.331504535*((RANDBETWEEN(1620,2416)))</f>
        <v>65611782.833505362</v>
      </c>
      <c r="B3812">
        <v>182278509.31590521</v>
      </c>
    </row>
    <row r="3813" spans="1:2" x14ac:dyDescent="0.25">
      <c r="A3813">
        <f ca="1">25954.7659760821*((RANDBETWEEN(1620,2416)))</f>
        <v>59228775.957419299</v>
      </c>
      <c r="B3813">
        <v>171116482.7311655</v>
      </c>
    </row>
    <row r="3814" spans="1:2" x14ac:dyDescent="0.25">
      <c r="A3814">
        <f ca="1">30295.1883153817*((RANDBETWEEN(1620,2416)))</f>
        <v>72920518.27512373</v>
      </c>
      <c r="B3814">
        <v>189280886.19407803</v>
      </c>
    </row>
    <row r="3815" spans="1:2" x14ac:dyDescent="0.25">
      <c r="A3815">
        <f ca="1">28484.0150594204*((RANDBETWEEN(1620,2416)))</f>
        <v>59075847.233237877</v>
      </c>
      <c r="B3815">
        <v>148905826.88165578</v>
      </c>
    </row>
    <row r="3816" spans="1:2" x14ac:dyDescent="0.25">
      <c r="A3816">
        <f ca="1">27408.4997936215*((RANDBETWEEN(1620,2416)))</f>
        <v>62765464.527393222</v>
      </c>
      <c r="B3816">
        <v>150785354.75404128</v>
      </c>
    </row>
    <row r="3817" spans="1:2" x14ac:dyDescent="0.25">
      <c r="A3817">
        <f ca="1">27400.5046877049*((RANDBETWEEN(1620,2416)))</f>
        <v>46800062.006599933</v>
      </c>
      <c r="B3817">
        <v>197312041.69989607</v>
      </c>
    </row>
    <row r="3818" spans="1:2" x14ac:dyDescent="0.25">
      <c r="A3818">
        <f ca="1">28482.8402461651*((RANDBETWEEN(1620,2416)))</f>
        <v>59813964.516946606</v>
      </c>
      <c r="B3818">
        <v>152845178.18551153</v>
      </c>
    </row>
    <row r="3819" spans="1:2" x14ac:dyDescent="0.25">
      <c r="A3819">
        <f ca="1">29489.8412294564*((RANDBETWEEN(1620,2416)))</f>
        <v>69684494.82520546</v>
      </c>
      <c r="B3819">
        <v>159394135.23952499</v>
      </c>
    </row>
    <row r="3820" spans="1:2" x14ac:dyDescent="0.25">
      <c r="A3820">
        <f ca="1">30834.8028057785*((RANDBETWEEN(1620,2416)))</f>
        <v>57291063.6131365</v>
      </c>
      <c r="B3820">
        <v>183848496.71033758</v>
      </c>
    </row>
    <row r="3821" spans="1:2" x14ac:dyDescent="0.25">
      <c r="A3821">
        <f ca="1">33331.2401171856*((RANDBETWEEN(1620,2416)))</f>
        <v>69762285.56526953</v>
      </c>
      <c r="B3821">
        <v>182974903.12879407</v>
      </c>
    </row>
    <row r="3822" spans="1:2" x14ac:dyDescent="0.25">
      <c r="A3822">
        <f ca="1">27648.3498730535*((RANDBETWEEN(1620,2416)))</f>
        <v>56872655.688870966</v>
      </c>
      <c r="B3822">
        <v>147471197.1048941</v>
      </c>
    </row>
    <row r="3823" spans="1:2" x14ac:dyDescent="0.25">
      <c r="A3823">
        <f ca="1">31897.533789877*((RANDBETWEEN(1620,2416)))</f>
        <v>76107515.62264657</v>
      </c>
      <c r="B3823">
        <v>197580458.04035279</v>
      </c>
    </row>
    <row r="3824" spans="1:2" x14ac:dyDescent="0.25">
      <c r="A3824">
        <f ca="1">25892.2361030168*((RANDBETWEEN(1620,2416)))</f>
        <v>53674605.441553764</v>
      </c>
      <c r="B3824">
        <v>158058172.00781101</v>
      </c>
    </row>
    <row r="3825" spans="1:2" x14ac:dyDescent="0.25">
      <c r="A3825">
        <f ca="1">26507.7439772495*((RANDBETWEEN(1620,2416)))</f>
        <v>60861780.171764791</v>
      </c>
      <c r="B3825">
        <v>153891475.47194615</v>
      </c>
    </row>
    <row r="3826" spans="1:2" x14ac:dyDescent="0.25">
      <c r="A3826">
        <f ca="1">26024.8482102829*((RANDBETWEEN(1620,2416)))</f>
        <v>57645038.785776585</v>
      </c>
      <c r="B3826">
        <v>148789977.78372309</v>
      </c>
    </row>
    <row r="3827" spans="1:2" x14ac:dyDescent="0.25">
      <c r="A3827">
        <f ca="1">26592.0123618314*((RANDBETWEEN(1620,2416)))</f>
        <v>49088854.819940805</v>
      </c>
      <c r="B3827">
        <v>196579553.49020603</v>
      </c>
    </row>
    <row r="3828" spans="1:2" x14ac:dyDescent="0.25">
      <c r="A3828">
        <f ca="1">26977.2904159684*((RANDBETWEEN(1620,2416)))</f>
        <v>52281988.826146699</v>
      </c>
      <c r="B3828">
        <v>173659092.0828869</v>
      </c>
    </row>
    <row r="3829" spans="1:2" x14ac:dyDescent="0.25">
      <c r="A3829">
        <f ca="1">26486.7799061286*((RANDBETWEEN(1620,2416)))</f>
        <v>52099496.075354919</v>
      </c>
      <c r="B3829">
        <v>153317611.52264842</v>
      </c>
    </row>
    <row r="3830" spans="1:2" x14ac:dyDescent="0.25">
      <c r="A3830">
        <f ca="1">27720.507069991*((RANDBETWEEN(1620,2416)))</f>
        <v>53001609.517822705</v>
      </c>
      <c r="B3830">
        <v>164572565.03591642</v>
      </c>
    </row>
    <row r="3831" spans="1:2" x14ac:dyDescent="0.25">
      <c r="A3831">
        <f ca="1">26555.0953510014*((RANDBETWEEN(1620,2416)))</f>
        <v>55287708.520784892</v>
      </c>
      <c r="B3831">
        <v>158403645.01312616</v>
      </c>
    </row>
    <row r="3832" spans="1:2" x14ac:dyDescent="0.25">
      <c r="A3832">
        <f ca="1">26862.2035302253*((RANDBETWEEN(1620,2416)))</f>
        <v>46122403.461396836</v>
      </c>
      <c r="B3832">
        <v>161760535.13668042</v>
      </c>
    </row>
    <row r="3833" spans="1:2" x14ac:dyDescent="0.25">
      <c r="A3833">
        <f ca="1">29840.5935889391*((RANDBETWEEN(1620,2416)))</f>
        <v>52400082.342177026</v>
      </c>
      <c r="B3833">
        <v>185397761.39601654</v>
      </c>
    </row>
    <row r="3834" spans="1:2" x14ac:dyDescent="0.25">
      <c r="A3834">
        <f ca="1">28784.6777040245*((RANDBETWEEN(1620,2416)))</f>
        <v>60678100.600083657</v>
      </c>
      <c r="B3834">
        <v>179941776.4225477</v>
      </c>
    </row>
    <row r="3835" spans="1:2" x14ac:dyDescent="0.25">
      <c r="A3835">
        <f ca="1">32040.5369935892*((RANDBETWEEN(1620,2416)))</f>
        <v>75006897.101992339</v>
      </c>
      <c r="B3835">
        <v>159609472.54171121</v>
      </c>
    </row>
    <row r="3836" spans="1:2" x14ac:dyDescent="0.25">
      <c r="A3836">
        <f ca="1">26416.8470637845*((RANDBETWEEN(1620,2416)))</f>
        <v>62238091.682276398</v>
      </c>
      <c r="B3836">
        <v>157228155.1407181</v>
      </c>
    </row>
    <row r="3837" spans="1:2" x14ac:dyDescent="0.25">
      <c r="A3837">
        <f ca="1">27025.6150808784*((RANDBETWEEN(1620,2416)))</f>
        <v>51537847.959235065</v>
      </c>
      <c r="B3837">
        <v>157264930.48557088</v>
      </c>
    </row>
    <row r="3838" spans="1:2" x14ac:dyDescent="0.25">
      <c r="A3838">
        <f ca="1">26565.490769849*((RANDBETWEEN(1620,2416)))</f>
        <v>48986764.979601622</v>
      </c>
      <c r="B3838">
        <v>166921955.96110231</v>
      </c>
    </row>
    <row r="3839" spans="1:2" x14ac:dyDescent="0.25">
      <c r="A3839">
        <f ca="1">28186.9892290177*((RANDBETWEEN(1620,2416)))</f>
        <v>60038287.057807602</v>
      </c>
      <c r="B3839">
        <v>190060904.83757234</v>
      </c>
    </row>
    <row r="3840" spans="1:2" x14ac:dyDescent="0.25">
      <c r="A3840">
        <f ca="1">27319.7311275874*((RANDBETWEEN(1620,2416)))</f>
        <v>60649803.103243925</v>
      </c>
      <c r="B3840">
        <v>182572417.86309272</v>
      </c>
    </row>
    <row r="3841" spans="1:2" x14ac:dyDescent="0.25">
      <c r="A3841">
        <f ca="1">27722.8315887737*((RANDBETWEEN(1620,2416)))</f>
        <v>50427830.659979351</v>
      </c>
      <c r="B3841">
        <v>160805548.6415543</v>
      </c>
    </row>
    <row r="3842" spans="1:2" x14ac:dyDescent="0.25">
      <c r="A3842">
        <f ca="1">27888.9701879832*((RANDBETWEEN(1620,2416)))</f>
        <v>64897633.627437003</v>
      </c>
      <c r="B3842">
        <v>178756720.9734064</v>
      </c>
    </row>
    <row r="3843" spans="1:2" x14ac:dyDescent="0.25">
      <c r="A3843">
        <f ca="1">26311.3893138441*((RANDBETWEEN(1620,2416)))</f>
        <v>62831597.681459732</v>
      </c>
      <c r="B3843">
        <v>152757775.57497135</v>
      </c>
    </row>
    <row r="3844" spans="1:2" x14ac:dyDescent="0.25">
      <c r="A3844">
        <f ca="1">26977.9815460461*((RANDBETWEEN(1620,2416)))</f>
        <v>56545849.320512526</v>
      </c>
      <c r="B3844">
        <v>199963145.65777156</v>
      </c>
    </row>
    <row r="3845" spans="1:2" x14ac:dyDescent="0.25">
      <c r="A3845">
        <f ca="1">26378.005981586*((RANDBETWEEN(1620,2416)))</f>
        <v>44842610.168696254</v>
      </c>
      <c r="B3845">
        <v>154754984.39485544</v>
      </c>
    </row>
    <row r="3846" spans="1:2" x14ac:dyDescent="0.25">
      <c r="A3846">
        <f ca="1">27543.3107317667*((RANDBETWEEN(1620,2416)))</f>
        <v>44620163.385461971</v>
      </c>
      <c r="B3846">
        <v>158373812.69427031</v>
      </c>
    </row>
    <row r="3847" spans="1:2" x14ac:dyDescent="0.25">
      <c r="A3847">
        <f ca="1">26937.437557629*((RANDBETWEEN(1620,2416)))</f>
        <v>60555359.62955004</v>
      </c>
      <c r="B3847">
        <v>150739875.644113</v>
      </c>
    </row>
    <row r="3848" spans="1:2" x14ac:dyDescent="0.25">
      <c r="A3848">
        <f ca="1">26798.6583341259*((RANDBETWEEN(1620,2416)))</f>
        <v>49229135.3597892</v>
      </c>
      <c r="B3848">
        <v>153973789.54028943</v>
      </c>
    </row>
    <row r="3849" spans="1:2" x14ac:dyDescent="0.25">
      <c r="A3849">
        <f ca="1">29783.2233860129*((RANDBETWEEN(1620,2416)))</f>
        <v>71181903.892570943</v>
      </c>
      <c r="B3849">
        <v>160710781.55571064</v>
      </c>
    </row>
    <row r="3850" spans="1:2" x14ac:dyDescent="0.25">
      <c r="A3850">
        <f ca="1">25771.3549267155*((RANDBETWEEN(1620,2416)))</f>
        <v>49584086.879000694</v>
      </c>
      <c r="B3850">
        <v>162990079.01552764</v>
      </c>
    </row>
    <row r="3851" spans="1:2" x14ac:dyDescent="0.25">
      <c r="A3851">
        <f ca="1">28389.9686483935*((RANDBETWEEN(1620,2416)))</f>
        <v>63252850.148620732</v>
      </c>
      <c r="B3851">
        <v>146319270.03724968</v>
      </c>
    </row>
    <row r="3852" spans="1:2" x14ac:dyDescent="0.25">
      <c r="A3852">
        <f ca="1">28857.7075616938*((RANDBETWEEN(1620,2416)))</f>
        <v>52578743.177406155</v>
      </c>
      <c r="B3852">
        <v>164807244.37772486</v>
      </c>
    </row>
    <row r="3853" spans="1:2" x14ac:dyDescent="0.25">
      <c r="A3853">
        <f ca="1">31359.7357296344*((RANDBETWEEN(1620,2416)))</f>
        <v>69712692.526977256</v>
      </c>
      <c r="B3853">
        <v>149746690.43453977</v>
      </c>
    </row>
    <row r="3854" spans="1:2" x14ac:dyDescent="0.25">
      <c r="A3854">
        <f ca="1">31998.3445000834*((RANDBETWEEN(1620,2416)))</f>
        <v>68252468.818677932</v>
      </c>
      <c r="B3854">
        <v>166067623.34450123</v>
      </c>
    </row>
    <row r="3855" spans="1:2" x14ac:dyDescent="0.25">
      <c r="A3855">
        <f ca="1">31393.9608349002*((RANDBETWEEN(1620,2416)))</f>
        <v>69757380.975148216</v>
      </c>
      <c r="B3855">
        <v>155713605.58619082</v>
      </c>
    </row>
    <row r="3856" spans="1:2" x14ac:dyDescent="0.25">
      <c r="A3856">
        <f ca="1">26562.7220476451*((RANDBETWEEN(1620,2416)))</f>
        <v>62209895.035584785</v>
      </c>
      <c r="B3856">
        <v>183390147.98146984</v>
      </c>
    </row>
    <row r="3857" spans="1:2" x14ac:dyDescent="0.25">
      <c r="A3857">
        <f ca="1">31859.7783879097*((RANDBETWEEN(1620,2416)))</f>
        <v>73819106.524786904</v>
      </c>
      <c r="B3857">
        <v>158697782.27131924</v>
      </c>
    </row>
    <row r="3858" spans="1:2" x14ac:dyDescent="0.25">
      <c r="A3858">
        <f ca="1">27999.5203874403*((RANDBETWEEN(1620,2416)))</f>
        <v>58686994.732074827</v>
      </c>
      <c r="B3858">
        <v>193389581.6975444</v>
      </c>
    </row>
    <row r="3859" spans="1:2" x14ac:dyDescent="0.25">
      <c r="A3859">
        <f ca="1">26895.6886931217*((RANDBETWEEN(1620,2416)))</f>
        <v>62317310.701963015</v>
      </c>
      <c r="B3859">
        <v>154557015.3206563</v>
      </c>
    </row>
    <row r="3860" spans="1:2" x14ac:dyDescent="0.25">
      <c r="A3860">
        <f ca="1">27382.4309179604*((RANDBETWEEN(1620,2416)))</f>
        <v>52382590.346058302</v>
      </c>
      <c r="B3860">
        <v>160780867.52257365</v>
      </c>
    </row>
    <row r="3861" spans="1:2" x14ac:dyDescent="0.25">
      <c r="A3861">
        <f ca="1">24634.7885559372*((RANDBETWEEN(1620,2416)))</f>
        <v>55132656.788187429</v>
      </c>
      <c r="B3861">
        <v>163366496.44177586</v>
      </c>
    </row>
    <row r="3862" spans="1:2" x14ac:dyDescent="0.25">
      <c r="A3862">
        <f ca="1">30828.4619265886*((RANDBETWEEN(1620,2416)))</f>
        <v>69086583.177485123</v>
      </c>
      <c r="B3862">
        <v>190353880.77457541</v>
      </c>
    </row>
    <row r="3863" spans="1:2" x14ac:dyDescent="0.25">
      <c r="A3863">
        <f ca="1">29041.6793432711*((RANDBETWEEN(1620,2416)))</f>
        <v>66766820.810180262</v>
      </c>
      <c r="B3863">
        <v>162118836.87124869</v>
      </c>
    </row>
    <row r="3864" spans="1:2" x14ac:dyDescent="0.25">
      <c r="A3864">
        <f ca="1">33316.0964346736*((RANDBETWEEN(1620,2416)))</f>
        <v>80091895.828955263</v>
      </c>
      <c r="B3864">
        <v>201671876.72596112</v>
      </c>
    </row>
    <row r="3865" spans="1:2" x14ac:dyDescent="0.25">
      <c r="A3865">
        <f ca="1">28639.9037478432*((RANDBETWEEN(1620,2416)))</f>
        <v>66330017.080004819</v>
      </c>
      <c r="B3865">
        <v>167647201.54746327</v>
      </c>
    </row>
    <row r="3866" spans="1:2" x14ac:dyDescent="0.25">
      <c r="A3866">
        <f ca="1">25693.0071040333*((RANDBETWEEN(1620,2416)))</f>
        <v>55985062.479688488</v>
      </c>
      <c r="B3866">
        <v>162566176.06070668</v>
      </c>
    </row>
    <row r="3867" spans="1:2" x14ac:dyDescent="0.25">
      <c r="A3867">
        <f ca="1">32013.0469115188*((RANDBETWEEN(1620,2416)))</f>
        <v>57559458.346910879</v>
      </c>
      <c r="B3867">
        <v>194931824.75950938</v>
      </c>
    </row>
    <row r="3868" spans="1:2" x14ac:dyDescent="0.25">
      <c r="A3868">
        <f ca="1">31160.2726153338*((RANDBETWEEN(1620,2416)))</f>
        <v>55870368.799293473</v>
      </c>
      <c r="B3868">
        <v>143034626.87439278</v>
      </c>
    </row>
    <row r="3869" spans="1:2" x14ac:dyDescent="0.25">
      <c r="A3869">
        <f ca="1">30578.5644648408*((RANDBETWEEN(1620,2416)))</f>
        <v>73847233.182590485</v>
      </c>
      <c r="B3869">
        <v>198083614.803628</v>
      </c>
    </row>
    <row r="3870" spans="1:2" x14ac:dyDescent="0.25">
      <c r="A3870">
        <f ca="1">25771.8162955665*((RANDBETWEEN(1620,2416)))</f>
        <v>44662557.64021679</v>
      </c>
      <c r="B3870">
        <v>169379495.60852221</v>
      </c>
    </row>
    <row r="3871" spans="1:2" x14ac:dyDescent="0.25">
      <c r="A3871">
        <f ca="1">27985.7826863269*((RANDBETWEEN(1620,2416)))</f>
        <v>46344456.128557391</v>
      </c>
      <c r="B3871">
        <v>173281190.53120941</v>
      </c>
    </row>
    <row r="3872" spans="1:2" x14ac:dyDescent="0.25">
      <c r="A3872">
        <f ca="1">27627.4157028145*((RANDBETWEEN(1620,2416)))</f>
        <v>52906501.070889764</v>
      </c>
      <c r="B3872">
        <v>169247369.22862738</v>
      </c>
    </row>
    <row r="3873" spans="1:2" x14ac:dyDescent="0.25">
      <c r="A3873">
        <f ca="1">29227.4578152256*((RANDBETWEEN(1620,2416)))</f>
        <v>55765989.511450469</v>
      </c>
      <c r="B3873">
        <v>156602786.05481017</v>
      </c>
    </row>
    <row r="3874" spans="1:2" x14ac:dyDescent="0.25">
      <c r="A3874">
        <f ca="1">28976.2186622157*((RANDBETWEEN(1620,2416)))</f>
        <v>48593118.696535803</v>
      </c>
      <c r="B3874">
        <v>197933510.1962139</v>
      </c>
    </row>
    <row r="3875" spans="1:2" x14ac:dyDescent="0.25">
      <c r="A3875">
        <f ca="1">28784.6770380302*((RANDBETWEEN(1620,2416)))</f>
        <v>63930767.701465003</v>
      </c>
      <c r="B3875">
        <v>195849477.25370011</v>
      </c>
    </row>
    <row r="3876" spans="1:2" x14ac:dyDescent="0.25">
      <c r="A3876">
        <f ca="1">31160.434955365*((RANDBETWEEN(1620,2416)))</f>
        <v>58519296.846175432</v>
      </c>
      <c r="B3876">
        <v>155288635.14724991</v>
      </c>
    </row>
    <row r="3877" spans="1:2" x14ac:dyDescent="0.25">
      <c r="A3877">
        <f ca="1">27043.0396640981*((RANDBETWEEN(1620,2416)))</f>
        <v>61306570.918510459</v>
      </c>
      <c r="B3877">
        <v>162439476.21508735</v>
      </c>
    </row>
    <row r="3878" spans="1:2" x14ac:dyDescent="0.25">
      <c r="A3878">
        <f ca="1">28696.2902833473*((RANDBETWEEN(1620,2416)))</f>
        <v>65197971.523765042</v>
      </c>
      <c r="B3878">
        <v>196981416.57804778</v>
      </c>
    </row>
    <row r="3879" spans="1:2" x14ac:dyDescent="0.25">
      <c r="A3879">
        <f ca="1">30044.2371239429*((RANDBETWEEN(1620,2416)))</f>
        <v>56633386.978632323</v>
      </c>
      <c r="B3879">
        <v>162559610.06181133</v>
      </c>
    </row>
    <row r="3880" spans="1:2" x14ac:dyDescent="0.25">
      <c r="A3880">
        <f ca="1">28575.6452296963*((RANDBETWEEN(1620,2416)))</f>
        <v>57779954.654445931</v>
      </c>
      <c r="B3880">
        <v>183998313.33399525</v>
      </c>
    </row>
    <row r="3881" spans="1:2" x14ac:dyDescent="0.25">
      <c r="A3881">
        <f ca="1">26349.3271060295*((RANDBETWEEN(1620,2416)))</f>
        <v>48614508.510624453</v>
      </c>
      <c r="B3881">
        <v>192295015.75201729</v>
      </c>
    </row>
    <row r="3882" spans="1:2" x14ac:dyDescent="0.25">
      <c r="A3882">
        <f ca="1">27164.3881348718*((RANDBETWEEN(1620,2416)))</f>
        <v>56175954.662914909</v>
      </c>
      <c r="B3882">
        <v>147337341.84119421</v>
      </c>
    </row>
    <row r="3883" spans="1:2" x14ac:dyDescent="0.25">
      <c r="A3883">
        <f ca="1">26444.8144599541*((RANDBETWEEN(1620,2416)))</f>
        <v>55084548.520084321</v>
      </c>
      <c r="B3883">
        <v>188085515.91758335</v>
      </c>
    </row>
    <row r="3884" spans="1:2" x14ac:dyDescent="0.25">
      <c r="A3884">
        <f ca="1">26020.6913086603*((RANDBETWEEN(1620,2416)))</f>
        <v>49153085.882059224</v>
      </c>
      <c r="B3884">
        <v>199397087.70941594</v>
      </c>
    </row>
    <row r="3885" spans="1:2" x14ac:dyDescent="0.25">
      <c r="A3885">
        <f ca="1">27918.823005419*((RANDBETWEEN(1620,2416)))</f>
        <v>51454390.798987307</v>
      </c>
      <c r="B3885">
        <v>183018116.09777629</v>
      </c>
    </row>
    <row r="3886" spans="1:2" x14ac:dyDescent="0.25">
      <c r="A3886">
        <f ca="1">31587.9813277314*((RANDBETWEEN(1620,2416)))</f>
        <v>52846692.761294663</v>
      </c>
      <c r="B3886">
        <v>158813591.00234511</v>
      </c>
    </row>
    <row r="3887" spans="1:2" x14ac:dyDescent="0.25">
      <c r="A3887">
        <f ca="1">26647.8074068081*((RANDBETWEEN(1620,2416)))</f>
        <v>61716321.954167657</v>
      </c>
      <c r="B3887">
        <v>154054629.17667183</v>
      </c>
    </row>
    <row r="3888" spans="1:2" x14ac:dyDescent="0.25">
      <c r="A3888">
        <f ca="1">29105.3764140515*((RANDBETWEEN(1620,2416)))</f>
        <v>50264985.067066893</v>
      </c>
      <c r="B3888">
        <v>160380437.80985183</v>
      </c>
    </row>
    <row r="3889" spans="1:2" x14ac:dyDescent="0.25">
      <c r="A3889">
        <f ca="1">28150.6551151958*((RANDBETWEEN(1620,2416)))</f>
        <v>62438153.04550419</v>
      </c>
      <c r="B3889">
        <v>180443294.80962771</v>
      </c>
    </row>
    <row r="3890" spans="1:2" x14ac:dyDescent="0.25">
      <c r="A3890">
        <f ca="1">27262.3539486686*((RANDBETWEEN(1620,2416)))</f>
        <v>64666303.566241801</v>
      </c>
      <c r="B3890">
        <v>202075242.71271133</v>
      </c>
    </row>
    <row r="3891" spans="1:2" x14ac:dyDescent="0.25">
      <c r="A3891">
        <f ca="1">28201.0188721066*((RANDBETWEEN(1620,2416)))</f>
        <v>45685650.572812736</v>
      </c>
      <c r="B3891">
        <v>177888381.62969625</v>
      </c>
    </row>
    <row r="3892" spans="1:2" x14ac:dyDescent="0.25">
      <c r="A3892">
        <f ca="1">27443.822487408*((RANDBETWEEN(1620,2416)))</f>
        <v>50661296.311755158</v>
      </c>
      <c r="B3892">
        <v>154063085.43828964</v>
      </c>
    </row>
    <row r="3893" spans="1:2" x14ac:dyDescent="0.25">
      <c r="A3893">
        <f ca="1">26710.1593742504*((RANDBETWEEN(1620,2416)))</f>
        <v>50722592.651701488</v>
      </c>
      <c r="B3893">
        <v>159753494.27833137</v>
      </c>
    </row>
    <row r="3894" spans="1:2" x14ac:dyDescent="0.25">
      <c r="A3894">
        <f ca="1">27050.6424294601*((RANDBETWEEN(1620,2416)))</f>
        <v>49123966.651899479</v>
      </c>
      <c r="B3894">
        <v>146227703.39741993</v>
      </c>
    </row>
    <row r="3895" spans="1:2" x14ac:dyDescent="0.25">
      <c r="A3895">
        <f ca="1">25911.3366524248*((RANDBETWEEN(1620,2416)))</f>
        <v>61928094.599295296</v>
      </c>
      <c r="B3895">
        <v>174501484.2237756</v>
      </c>
    </row>
    <row r="3896" spans="1:2" x14ac:dyDescent="0.25">
      <c r="A3896">
        <f ca="1">28208.0035471239*((RANDBETWEEN(1620,2416)))</f>
        <v>51423190.466406792</v>
      </c>
      <c r="B3896">
        <v>148936127.73253393</v>
      </c>
    </row>
    <row r="3897" spans="1:2" x14ac:dyDescent="0.25">
      <c r="A3897">
        <f ca="1">28189.7173146636*((RANDBETWEEN(1620,2416)))</f>
        <v>67711700.989821881</v>
      </c>
      <c r="B3897">
        <v>190144282.35890618</v>
      </c>
    </row>
    <row r="3898" spans="1:2" x14ac:dyDescent="0.25">
      <c r="A3898">
        <f ca="1">27683.9084385109*((RANDBETWEEN(1620,2416)))</f>
        <v>57416426.101471648</v>
      </c>
      <c r="B3898">
        <v>157452070.4965587</v>
      </c>
    </row>
    <row r="3899" spans="1:2" x14ac:dyDescent="0.25">
      <c r="A3899">
        <f ca="1">27851.0325243129*((RANDBETWEEN(1620,2416)))</f>
        <v>57178169.772414356</v>
      </c>
      <c r="B3899">
        <v>171075795.33413768</v>
      </c>
    </row>
    <row r="3900" spans="1:2" x14ac:dyDescent="0.25">
      <c r="A3900">
        <f ca="1">26968.73474588*((RANDBETWEEN(1620,2416)))</f>
        <v>44929912.086636104</v>
      </c>
      <c r="B3900">
        <v>145965070.34120378</v>
      </c>
    </row>
    <row r="3901" spans="1:2" x14ac:dyDescent="0.25">
      <c r="A3901">
        <f ca="1">27524.8382016351*((RANDBETWEEN(1620,2416)))</f>
        <v>61738212.086267643</v>
      </c>
      <c r="B3901">
        <v>173834857.89983127</v>
      </c>
    </row>
    <row r="3902" spans="1:2" x14ac:dyDescent="0.25">
      <c r="A3902">
        <f ca="1">27667.9962742133*((RANDBETWEEN(1620,2416)))</f>
        <v>66209515.084192485</v>
      </c>
      <c r="B3902">
        <v>172831702.72750434</v>
      </c>
    </row>
    <row r="3903" spans="1:2" x14ac:dyDescent="0.25">
      <c r="A3903">
        <f ca="1">26037.9338339974*((RANDBETWEEN(1620,2416)))</f>
        <v>53247574.690524697</v>
      </c>
      <c r="B3903">
        <v>172089723.52286524</v>
      </c>
    </row>
    <row r="3904" spans="1:2" x14ac:dyDescent="0.25">
      <c r="A3904">
        <f ca="1">25886.320190715*((RANDBETWEEN(1620,2416)))</f>
        <v>61454124.132757463</v>
      </c>
      <c r="B3904">
        <v>165577097.31666914</v>
      </c>
    </row>
    <row r="3905" spans="1:2" x14ac:dyDescent="0.25">
      <c r="A3905">
        <f ca="1">33113.9854538204*((RANDBETWEEN(1620,2416)))</f>
        <v>58942894.107800253</v>
      </c>
      <c r="B3905">
        <v>187154169.02936381</v>
      </c>
    </row>
    <row r="3906" spans="1:2" x14ac:dyDescent="0.25">
      <c r="A3906">
        <f ca="1">31262.3683699629*((RANDBETWEEN(1620,2416)))</f>
        <v>61274242.005127355</v>
      </c>
      <c r="B3906">
        <v>197388142.85738885</v>
      </c>
    </row>
    <row r="3907" spans="1:2" x14ac:dyDescent="0.25">
      <c r="A3907">
        <f ca="1">25564.0360521166*((RANDBETWEEN(1620,2416)))</f>
        <v>51971685.293953165</v>
      </c>
      <c r="B3907">
        <v>168799623.81435469</v>
      </c>
    </row>
    <row r="3908" spans="1:2" x14ac:dyDescent="0.25">
      <c r="A3908">
        <f ca="1">28264.6820943781*((RANDBETWEEN(1620,2416)))</f>
        <v>55681423.725924946</v>
      </c>
      <c r="B3908">
        <v>156796612.82513559</v>
      </c>
    </row>
    <row r="3909" spans="1:2" x14ac:dyDescent="0.25">
      <c r="A3909">
        <f ca="1">27904.708528907*((RANDBETWEEN(1620,2416)))</f>
        <v>54414181.631368607</v>
      </c>
      <c r="B3909">
        <v>194987737.04041362</v>
      </c>
    </row>
    <row r="3910" spans="1:2" x14ac:dyDescent="0.25">
      <c r="A3910">
        <f ca="1">30360.5804126366*((RANDBETWEEN(1620,2416)))</f>
        <v>64212627.572726406</v>
      </c>
      <c r="B3910">
        <v>184209321.00159171</v>
      </c>
    </row>
    <row r="3911" spans="1:2" x14ac:dyDescent="0.25">
      <c r="A3911">
        <f ca="1">28328.095322852*((RANDBETWEEN(1620,2416)))</f>
        <v>60508811.609611802</v>
      </c>
      <c r="B3911">
        <v>151419498.13888717</v>
      </c>
    </row>
    <row r="3912" spans="1:2" x14ac:dyDescent="0.25">
      <c r="A3912">
        <f ca="1">29116.3249293833*((RANDBETWEEN(1620,2416)))</f>
        <v>50342125.802903786</v>
      </c>
      <c r="B3912">
        <v>161858855.81300434</v>
      </c>
    </row>
    <row r="3913" spans="1:2" x14ac:dyDescent="0.25">
      <c r="A3913">
        <f ca="1">27335.0081838183*((RANDBETWEEN(1620,2416)))</f>
        <v>54013976.171225011</v>
      </c>
      <c r="B3913">
        <v>171698054.70623913</v>
      </c>
    </row>
    <row r="3914" spans="1:2" x14ac:dyDescent="0.25">
      <c r="A3914">
        <f ca="1">27072.0034132669*((RANDBETWEEN(1620,2416)))</f>
        <v>54929094.925518557</v>
      </c>
      <c r="B3914">
        <v>168895362.24318615</v>
      </c>
    </row>
    <row r="3915" spans="1:2" x14ac:dyDescent="0.25">
      <c r="A3915">
        <f ca="1">31369.0756330937*((RANDBETWEEN(1620,2416)))</f>
        <v>73685958.662137121</v>
      </c>
      <c r="B3915">
        <v>167128650.35992774</v>
      </c>
    </row>
    <row r="3916" spans="1:2" x14ac:dyDescent="0.25">
      <c r="A3916">
        <f ca="1">29399.5058343278*((RANDBETWEEN(1620,2416)))</f>
        <v>48714981.167481221</v>
      </c>
      <c r="B3916">
        <v>186722181.23810732</v>
      </c>
    </row>
    <row r="3917" spans="1:2" x14ac:dyDescent="0.25">
      <c r="A3917">
        <f ca="1">28425.3874521667*((RANDBETWEEN(1620,2416)))</f>
        <v>52615392.173960648</v>
      </c>
      <c r="B3917">
        <v>192131380.4418278</v>
      </c>
    </row>
    <row r="3918" spans="1:2" x14ac:dyDescent="0.25">
      <c r="A3918">
        <f ca="1">32357.0809074156*((RANDBETWEEN(1620,2416)))</f>
        <v>78109993.310501218</v>
      </c>
      <c r="B3918">
        <v>202697559.61849016</v>
      </c>
    </row>
    <row r="3919" spans="1:2" x14ac:dyDescent="0.25">
      <c r="A3919">
        <f ca="1">25455.9724938986*((RANDBETWEEN(1620,2416)))</f>
        <v>51242872.630217783</v>
      </c>
      <c r="B3919">
        <v>147294126.46054286</v>
      </c>
    </row>
    <row r="3920" spans="1:2" x14ac:dyDescent="0.25">
      <c r="A3920">
        <f ca="1">28272.9417666446*((RANDBETWEEN(1620,2416)))</f>
        <v>61069554.215952314</v>
      </c>
      <c r="B3920">
        <v>182912679.3291702</v>
      </c>
    </row>
    <row r="3921" spans="1:2" x14ac:dyDescent="0.25">
      <c r="A3921">
        <f ca="1">30522.5258832944*((RANDBETWEEN(1620,2416)))</f>
        <v>63975214.251385108</v>
      </c>
      <c r="B3921">
        <v>152998176.49918705</v>
      </c>
    </row>
    <row r="3922" spans="1:2" x14ac:dyDescent="0.25">
      <c r="A3922">
        <f ca="1">29342.6125031506*((RANDBETWEEN(1620,2416)))</f>
        <v>61003291.394050106</v>
      </c>
      <c r="B3922">
        <v>144792821.82653588</v>
      </c>
    </row>
    <row r="3923" spans="1:2" x14ac:dyDescent="0.25">
      <c r="A3923">
        <f ca="1">26747.4564263149*((RANDBETWEEN(1620,2416)))</f>
        <v>47022028.397461601</v>
      </c>
      <c r="B3923">
        <v>150823698.52644616</v>
      </c>
    </row>
    <row r="3924" spans="1:2" x14ac:dyDescent="0.25">
      <c r="A3924">
        <f ca="1">31747.9405674138*((RANDBETWEEN(1620,2416)))</f>
        <v>61622752.641350202</v>
      </c>
      <c r="B3924">
        <v>186759951.4580794</v>
      </c>
    </row>
    <row r="3925" spans="1:2" x14ac:dyDescent="0.25">
      <c r="A3925">
        <f ca="1">26728.9507743215*((RANDBETWEEN(1620,2416)))</f>
        <v>51185940.732825726</v>
      </c>
      <c r="B3925">
        <v>161919822.94275507</v>
      </c>
    </row>
    <row r="3926" spans="1:2" x14ac:dyDescent="0.25">
      <c r="A3926">
        <f ca="1">26339.6400656052*((RANDBETWEEN(1620,2416)))</f>
        <v>46436785.435661964</v>
      </c>
      <c r="B3926">
        <v>171685266.63163412</v>
      </c>
    </row>
    <row r="3927" spans="1:2" x14ac:dyDescent="0.25">
      <c r="A3927">
        <f ca="1">28326.3123295745*((RANDBETWEEN(1620,2416)))</f>
        <v>64838928.922395967</v>
      </c>
      <c r="B3927">
        <v>183918739.03400716</v>
      </c>
    </row>
    <row r="3928" spans="1:2" x14ac:dyDescent="0.25">
      <c r="A3928">
        <f ca="1">28504.3437613274*((RANDBETWEEN(1620,2416)))</f>
        <v>50452688.45754955</v>
      </c>
      <c r="B3928">
        <v>188524443.41365862</v>
      </c>
    </row>
    <row r="3929" spans="1:2" x14ac:dyDescent="0.25">
      <c r="A3929">
        <f ca="1">29434.7412106096*((RANDBETWEEN(1620,2416)))</f>
        <v>67170079.442611113</v>
      </c>
      <c r="B3929">
        <v>175656316.89776516</v>
      </c>
    </row>
    <row r="3930" spans="1:2" x14ac:dyDescent="0.25">
      <c r="A3930">
        <f ca="1">26118.4066115517*((RANDBETWEEN(1620,2416)))</f>
        <v>47901157.7255859</v>
      </c>
      <c r="B3930">
        <v>169144962.46066484</v>
      </c>
    </row>
    <row r="3931" spans="1:2" x14ac:dyDescent="0.25">
      <c r="A3931">
        <f ca="1">32183.0256243341*((RANDBETWEEN(1620,2416)))</f>
        <v>65041894.786779255</v>
      </c>
      <c r="B3931">
        <v>190893633.07768989</v>
      </c>
    </row>
    <row r="3932" spans="1:2" x14ac:dyDescent="0.25">
      <c r="A3932">
        <f ca="1">27092.4657710559*((RANDBETWEEN(1620,2416)))</f>
        <v>63667294.56198132</v>
      </c>
      <c r="B3932">
        <v>159468214.90863815</v>
      </c>
    </row>
    <row r="3933" spans="1:2" x14ac:dyDescent="0.25">
      <c r="A3933">
        <f ca="1">28419.0833951395*((RANDBETWEEN(1620,2416)))</f>
        <v>60589485.798437364</v>
      </c>
      <c r="B3933">
        <v>187881698.33207726</v>
      </c>
    </row>
    <row r="3934" spans="1:2" x14ac:dyDescent="0.25">
      <c r="A3934">
        <f ca="1">27519.9360023895*((RANDBETWEEN(1620,2416)))</f>
        <v>55012352.06877654</v>
      </c>
      <c r="B3934">
        <v>149730838.83317173</v>
      </c>
    </row>
    <row r="3935" spans="1:2" x14ac:dyDescent="0.25">
      <c r="A3935">
        <f ca="1">27421.4320251818*((RANDBETWEEN(1620,2416)))</f>
        <v>50811913.542661875</v>
      </c>
      <c r="B3935">
        <v>172772085.29178402</v>
      </c>
    </row>
    <row r="3936" spans="1:2" x14ac:dyDescent="0.25">
      <c r="A3936">
        <f ca="1">26548.6175729777*((RANDBETWEEN(1620,2416)))</f>
        <v>62176862.355913669</v>
      </c>
      <c r="B3936">
        <v>144351685.80216932</v>
      </c>
    </row>
    <row r="3937" spans="1:2" x14ac:dyDescent="0.25">
      <c r="A3937">
        <f ca="1">27019.3423886089*((RANDBETWEEN(1620,2416)))</f>
        <v>51958195.413294904</v>
      </c>
      <c r="B3937">
        <v>146803436.87177229</v>
      </c>
    </row>
    <row r="3938" spans="1:2" x14ac:dyDescent="0.25">
      <c r="A3938">
        <f ca="1">28680.715482823*((RANDBETWEEN(1620,2416)))</f>
        <v>46892969.814415634</v>
      </c>
      <c r="B3938">
        <v>185684249.55483684</v>
      </c>
    </row>
    <row r="3939" spans="1:2" x14ac:dyDescent="0.25">
      <c r="A3939">
        <f ca="1">27038.2567623423*((RANDBETWEEN(1620,2416)))</f>
        <v>57780754.701125562</v>
      </c>
      <c r="B3939">
        <v>156233181.91026047</v>
      </c>
    </row>
    <row r="3940" spans="1:2" x14ac:dyDescent="0.25">
      <c r="A3940">
        <f ca="1">27696.5768416305*((RANDBETWEEN(1620,2416)))</f>
        <v>46114800.441314779</v>
      </c>
      <c r="B3940">
        <v>175082962.89760819</v>
      </c>
    </row>
    <row r="3941" spans="1:2" x14ac:dyDescent="0.25">
      <c r="A3941">
        <f ca="1">28106.8517666373*((RANDBETWEEN(1620,2416)))</f>
        <v>65657605.726864636</v>
      </c>
      <c r="B3941">
        <v>167275876.1836786</v>
      </c>
    </row>
    <row r="3942" spans="1:2" x14ac:dyDescent="0.25">
      <c r="A3942">
        <f ca="1">27093.7699370497*((RANDBETWEEN(1620,2416)))</f>
        <v>46628378.061662607</v>
      </c>
      <c r="B3942">
        <v>151191577.04799187</v>
      </c>
    </row>
    <row r="3943" spans="1:2" x14ac:dyDescent="0.25">
      <c r="A3943">
        <f ca="1">29926.5604398767*((RANDBETWEEN(1620,2416)))</f>
        <v>65269828.319371179</v>
      </c>
      <c r="B3943">
        <v>166225546.83731288</v>
      </c>
    </row>
    <row r="3944" spans="1:2" x14ac:dyDescent="0.25">
      <c r="A3944">
        <f ca="1">29518.7846351061*((RANDBETWEEN(1620,2416)))</f>
        <v>59155644.40875268</v>
      </c>
      <c r="B3944">
        <v>167578972.17439574</v>
      </c>
    </row>
    <row r="3945" spans="1:2" x14ac:dyDescent="0.25">
      <c r="A3945">
        <f ca="1">25756.3066381235*((RANDBETWEEN(1620,2416)))</f>
        <v>56638118.297233656</v>
      </c>
      <c r="B3945">
        <v>152426748.12389925</v>
      </c>
    </row>
    <row r="3946" spans="1:2" x14ac:dyDescent="0.25">
      <c r="A3946">
        <f ca="1">26441.4066624387*((RANDBETWEEN(1620,2416)))</f>
        <v>48096918.718975998</v>
      </c>
      <c r="B3946">
        <v>165545576.63264692</v>
      </c>
    </row>
    <row r="3947" spans="1:2" x14ac:dyDescent="0.25">
      <c r="A3947">
        <f ca="1">28501.0140214093*((RANDBETWEEN(1620,2416)))</f>
        <v>57600549.337268136</v>
      </c>
      <c r="B3947">
        <v>163139153.2992903</v>
      </c>
    </row>
    <row r="3948" spans="1:2" x14ac:dyDescent="0.25">
      <c r="A3948">
        <f ca="1">27056.0001551918*((RANDBETWEEN(1620,2416)))</f>
        <v>45318800.25994622</v>
      </c>
      <c r="B3948">
        <v>144095798.70547444</v>
      </c>
    </row>
    <row r="3949" spans="1:2" x14ac:dyDescent="0.25">
      <c r="A3949">
        <f ca="1">27129.6053957982*((RANDBETWEEN(1620,2416)))</f>
        <v>57243467.385134265</v>
      </c>
      <c r="B3949">
        <v>189712795.28588557</v>
      </c>
    </row>
    <row r="3950" spans="1:2" x14ac:dyDescent="0.25">
      <c r="A3950">
        <f ca="1">26956.6564054366*((RANDBETWEEN(1620,2416)))</f>
        <v>58981164.215095297</v>
      </c>
      <c r="B3950">
        <v>189481420.85779563</v>
      </c>
    </row>
    <row r="3951" spans="1:2" x14ac:dyDescent="0.25">
      <c r="A3951">
        <f ca="1">27215.5960199298*((RANDBETWEEN(1620,2416)))</f>
        <v>65208568.063751772</v>
      </c>
      <c r="B3951">
        <v>149317355.60723126</v>
      </c>
    </row>
    <row r="3952" spans="1:2" x14ac:dyDescent="0.25">
      <c r="A3952">
        <f ca="1">26805.7732281514*((RANDBETWEEN(1620,2416)))</f>
        <v>62189393.88931118</v>
      </c>
      <c r="B3952">
        <v>159232000.77362043</v>
      </c>
    </row>
    <row r="3953" spans="1:2" x14ac:dyDescent="0.25">
      <c r="A3953">
        <f ca="1">28519.0230932141*((RANDBETWEEN(1620,2416)))</f>
        <v>56667298.88621635</v>
      </c>
      <c r="B3953">
        <v>159403143.4360311</v>
      </c>
    </row>
    <row r="3954" spans="1:2" x14ac:dyDescent="0.25">
      <c r="A3954">
        <f ca="1">32859.6605649456*((RANDBETWEEN(1620,2416)))</f>
        <v>64700671.652377881</v>
      </c>
      <c r="B3954">
        <v>197834847.28211451</v>
      </c>
    </row>
    <row r="3955" spans="1:2" x14ac:dyDescent="0.25">
      <c r="A3955">
        <f ca="1">30547.6682714618*((RANDBETWEEN(1620,2416)))</f>
        <v>50586938.657540672</v>
      </c>
      <c r="B3955">
        <v>173706927.91057104</v>
      </c>
    </row>
    <row r="3956" spans="1:2" x14ac:dyDescent="0.25">
      <c r="A3956">
        <f ca="1">30519.2828695637*((RANDBETWEEN(1620,2416)))</f>
        <v>58963254.50399714</v>
      </c>
      <c r="B3956">
        <v>173773928.14251703</v>
      </c>
    </row>
    <row r="3957" spans="1:2" x14ac:dyDescent="0.25">
      <c r="A3957">
        <f ca="1">31402.4120740832*((RANDBETWEEN(1620,2416)))</f>
        <v>53289893.289719164</v>
      </c>
      <c r="B3957">
        <v>187222558.99078211</v>
      </c>
    </row>
    <row r="3958" spans="1:2" x14ac:dyDescent="0.25">
      <c r="A3958">
        <f ca="1">26490.3270410456*((RANDBETWEEN(1620,2416)))</f>
        <v>58782035.704080202</v>
      </c>
      <c r="B3958">
        <v>179952914.09058213</v>
      </c>
    </row>
    <row r="3959" spans="1:2" x14ac:dyDescent="0.25">
      <c r="A3959">
        <f ca="1">29386.0419673509*((RANDBETWEEN(1620,2416)))</f>
        <v>55275144.940587036</v>
      </c>
      <c r="B3959">
        <v>168230690.79339871</v>
      </c>
    </row>
    <row r="3960" spans="1:2" x14ac:dyDescent="0.25">
      <c r="A3960">
        <f ca="1">27357.5344713499*((RANDBETWEEN(1620,2416)))</f>
        <v>57396107.320891999</v>
      </c>
      <c r="B3960">
        <v>171394282.88781565</v>
      </c>
    </row>
    <row r="3961" spans="1:2" x14ac:dyDescent="0.25">
      <c r="A3961">
        <f ca="1">27079.6553501164*((RANDBETWEEN(1620,2416)))</f>
        <v>48337184.799957715</v>
      </c>
      <c r="B3961">
        <v>160942972.99558368</v>
      </c>
    </row>
    <row r="3962" spans="1:2" x14ac:dyDescent="0.25">
      <c r="A3962">
        <f ca="1">26516.5009663013*((RANDBETWEEN(1620,2416)))</f>
        <v>62499392.777572155</v>
      </c>
      <c r="B3962">
        <v>179590807.22919229</v>
      </c>
    </row>
    <row r="3963" spans="1:2" x14ac:dyDescent="0.25">
      <c r="A3963">
        <f ca="1">25919.969831276*((RANDBETWEEN(1620,2416)))</f>
        <v>52565698.817827724</v>
      </c>
      <c r="B3963">
        <v>153923177.02544868</v>
      </c>
    </row>
    <row r="3964" spans="1:2" x14ac:dyDescent="0.25">
      <c r="A3964">
        <f ca="1">26794.3473354421*((RANDBETWEEN(1620,2416)))</f>
        <v>48015470.425112277</v>
      </c>
      <c r="B3964">
        <v>200339560.38878065</v>
      </c>
    </row>
    <row r="3965" spans="1:2" x14ac:dyDescent="0.25">
      <c r="A3965">
        <f ca="1">26294.0999269603*((RANDBETWEEN(1620,2416)))</f>
        <v>62711428.32580021</v>
      </c>
      <c r="B3965">
        <v>173892094.69849452</v>
      </c>
    </row>
    <row r="3966" spans="1:2" x14ac:dyDescent="0.25">
      <c r="A3966">
        <f ca="1">28746.7234123202*((RANDBETWEEN(1620,2416)))</f>
        <v>60626839.676583372</v>
      </c>
      <c r="B3966">
        <v>158759356.47710067</v>
      </c>
    </row>
    <row r="3967" spans="1:2" x14ac:dyDescent="0.25">
      <c r="A3967">
        <f ca="1">29573.6834595149*((RANDBETWEEN(1620,2416)))</f>
        <v>66511214.100448988</v>
      </c>
      <c r="B3967">
        <v>148906357.6090298</v>
      </c>
    </row>
    <row r="3968" spans="1:2" x14ac:dyDescent="0.25">
      <c r="A3968">
        <f ca="1">31551.5168567138*((RANDBETWEEN(1620,2416)))</f>
        <v>65848015.679961763</v>
      </c>
      <c r="B3968">
        <v>185370221.83128661</v>
      </c>
    </row>
    <row r="3969" spans="1:2" x14ac:dyDescent="0.25">
      <c r="A3969">
        <f ca="1">31224.5455235836*((RANDBETWEEN(1620,2416)))</f>
        <v>59076840.130620167</v>
      </c>
      <c r="B3969">
        <v>181513174.36891276</v>
      </c>
    </row>
    <row r="3970" spans="1:2" x14ac:dyDescent="0.25">
      <c r="A3970">
        <f ca="1">26516.2183576797*((RANDBETWEEN(1620,2416)))</f>
        <v>59820588.614925496</v>
      </c>
      <c r="B3970">
        <v>170213145.13510913</v>
      </c>
    </row>
    <row r="3971" spans="1:2" x14ac:dyDescent="0.25">
      <c r="A3971">
        <f ca="1">31591.3138896702*((RANDBETWEEN(1620,2416)))</f>
        <v>67826550.921121821</v>
      </c>
      <c r="B3971">
        <v>171667668.01187623</v>
      </c>
    </row>
    <row r="3972" spans="1:2" x14ac:dyDescent="0.25">
      <c r="A3972">
        <f ca="1">29157.8808705747*((RANDBETWEEN(1620,2416)))</f>
        <v>56974499.221102893</v>
      </c>
      <c r="B3972">
        <v>163100584.29499525</v>
      </c>
    </row>
    <row r="3973" spans="1:2" x14ac:dyDescent="0.25">
      <c r="A3973">
        <f ca="1">31983.2043185736*((RANDBETWEEN(1620,2416)))</f>
        <v>57185969.321609512</v>
      </c>
      <c r="B3973">
        <v>201691431.30423364</v>
      </c>
    </row>
    <row r="3974" spans="1:2" x14ac:dyDescent="0.25">
      <c r="A3974">
        <f ca="1">26070.8130035262*((RANDBETWEEN(1620,2416)))</f>
        <v>51020581.047900803</v>
      </c>
      <c r="B3974">
        <v>158343992.55956718</v>
      </c>
    </row>
    <row r="3975" spans="1:2" x14ac:dyDescent="0.25">
      <c r="A3975">
        <f ca="1">26617.3211504608*((RANDBETWEEN(1620,2416)))</f>
        <v>46234286.838350385</v>
      </c>
      <c r="B3975">
        <v>165111170.43772382</v>
      </c>
    </row>
    <row r="3976" spans="1:2" x14ac:dyDescent="0.25">
      <c r="A3976">
        <f ca="1">26665.1701818401*((RANDBETWEEN(1620,2416)))</f>
        <v>53810313.426953368</v>
      </c>
      <c r="B3976">
        <v>149069792.64991787</v>
      </c>
    </row>
    <row r="3977" spans="1:2" x14ac:dyDescent="0.25">
      <c r="A3977">
        <f ca="1">29772.3040976398*((RANDBETWEEN(1620,2416)))</f>
        <v>53530602.767556444</v>
      </c>
      <c r="B3977">
        <v>143259129.41129428</v>
      </c>
    </row>
    <row r="3978" spans="1:2" x14ac:dyDescent="0.25">
      <c r="A3978">
        <f ca="1">33352.7693602976*((RANDBETWEEN(1620,2416)))</f>
        <v>76311136.29636088</v>
      </c>
      <c r="B3978">
        <v>189942721.21966666</v>
      </c>
    </row>
    <row r="3979" spans="1:2" x14ac:dyDescent="0.25">
      <c r="A3979">
        <f ca="1">26283.7393951278*((RANDBETWEEN(1620,2416)))</f>
        <v>46706204.905142173</v>
      </c>
      <c r="B3979">
        <v>143636472.88386056</v>
      </c>
    </row>
    <row r="3980" spans="1:2" x14ac:dyDescent="0.25">
      <c r="A3980">
        <f ca="1">26685.3011797437*((RANDBETWEEN(1620,2416)))</f>
        <v>60762430.786276467</v>
      </c>
      <c r="B3980">
        <v>186765259.81785357</v>
      </c>
    </row>
    <row r="3981" spans="1:2" x14ac:dyDescent="0.25">
      <c r="A3981">
        <f ca="1">29906.2130738092*((RANDBETWEEN(1620,2416)))</f>
        <v>52096623.174575709</v>
      </c>
      <c r="B3981">
        <v>194928302.89409095</v>
      </c>
    </row>
    <row r="3982" spans="1:2" x14ac:dyDescent="0.25">
      <c r="A3982">
        <f ca="1">27877.2365932763*((RANDBETWEEN(1620,2416)))</f>
        <v>48478514.43570745</v>
      </c>
      <c r="B3982">
        <v>153361225.81800908</v>
      </c>
    </row>
    <row r="3983" spans="1:2" x14ac:dyDescent="0.25">
      <c r="A3983">
        <f ca="1">28623.6759778993*((RANDBETWEEN(1620,2416)))</f>
        <v>62142000.548019335</v>
      </c>
      <c r="B3983">
        <v>172517025.80208138</v>
      </c>
    </row>
    <row r="3984" spans="1:2" x14ac:dyDescent="0.25">
      <c r="A3984">
        <f ca="1">25790.5646714323*((RANDBETWEEN(1620,2416)))</f>
        <v>61355753.353337429</v>
      </c>
      <c r="B3984">
        <v>176403352.81713372</v>
      </c>
    </row>
    <row r="3985" spans="1:2" x14ac:dyDescent="0.25">
      <c r="A3985">
        <f ca="1">26778.2533986153*((RANDBETWEEN(1620,2416)))</f>
        <v>54145628.372000217</v>
      </c>
      <c r="B3985">
        <v>152335431.48918319</v>
      </c>
    </row>
    <row r="3986" spans="1:2" x14ac:dyDescent="0.25">
      <c r="A3986">
        <f ca="1">30961.4008040311*((RANDBETWEEN(1620,2416)))</f>
        <v>56535517.868160725</v>
      </c>
      <c r="B3986">
        <v>156760600.07249722</v>
      </c>
    </row>
    <row r="3987" spans="1:2" x14ac:dyDescent="0.25">
      <c r="A3987">
        <f ca="1">25110.2763599822*((RANDBETWEEN(1620,2416)))</f>
        <v>41055301.848570921</v>
      </c>
      <c r="B3987">
        <v>146951192.42956722</v>
      </c>
    </row>
    <row r="3988" spans="1:2" x14ac:dyDescent="0.25">
      <c r="A3988">
        <f ca="1">26695.3150489369*((RANDBETWEEN(1620,2416)))</f>
        <v>50614317.332784407</v>
      </c>
      <c r="B3988">
        <v>143219202.87504947</v>
      </c>
    </row>
    <row r="3989" spans="1:2" x14ac:dyDescent="0.25">
      <c r="A3989">
        <f ca="1">25614.7663846369*((RANDBETWEEN(1620,2416)))</f>
        <v>49615802.487041682</v>
      </c>
      <c r="B3989">
        <v>146646323.14434221</v>
      </c>
    </row>
    <row r="3990" spans="1:2" x14ac:dyDescent="0.25">
      <c r="A3990">
        <f ca="1">26084.9178677419*((RANDBETWEEN(1620,2416)))</f>
        <v>45779030.857886963</v>
      </c>
      <c r="B3990">
        <v>142899044.76066974</v>
      </c>
    </row>
    <row r="3991" spans="1:2" x14ac:dyDescent="0.25">
      <c r="A3991">
        <f ca="1">28174.5220326071*((RANDBETWEEN(1620,2416)))</f>
        <v>54855794.397486009</v>
      </c>
      <c r="B3991">
        <v>185597332.96715167</v>
      </c>
    </row>
    <row r="3992" spans="1:2" x14ac:dyDescent="0.25">
      <c r="A3992">
        <f ca="1">26452.3488043722*((RANDBETWEEN(1620,2416)))</f>
        <v>48169727.172761738</v>
      </c>
      <c r="B3992">
        <v>147212571.22077554</v>
      </c>
    </row>
    <row r="3993" spans="1:2" x14ac:dyDescent="0.25">
      <c r="A3993">
        <f ca="1">26773.6455892263*((RANDBETWEEN(1620,2416)))</f>
        <v>63132256.299395591</v>
      </c>
      <c r="B3993">
        <v>146554338.9279176</v>
      </c>
    </row>
    <row r="3994" spans="1:2" x14ac:dyDescent="0.25">
      <c r="A3994">
        <f ca="1">28149.1837161164*((RANDBETWEEN(1620,2416)))</f>
        <v>50978171.709886797</v>
      </c>
      <c r="B3994">
        <v>175817176.60095945</v>
      </c>
    </row>
    <row r="3995" spans="1:2" x14ac:dyDescent="0.25">
      <c r="A3995">
        <f ca="1">25793.773135062*((RANDBETWEEN(1620,2416)))</f>
        <v>52593503.42239143</v>
      </c>
      <c r="B3995">
        <v>146502292.87781972</v>
      </c>
    </row>
    <row r="3996" spans="1:2" x14ac:dyDescent="0.25">
      <c r="A3996">
        <f ca="1">25763.6762034723*((RANDBETWEEN(1620,2416)))</f>
        <v>61394840.392874397</v>
      </c>
      <c r="B3996">
        <v>155317643.77602151</v>
      </c>
    </row>
    <row r="3997" spans="1:2" x14ac:dyDescent="0.25">
      <c r="A3997">
        <f ca="1">29044.0634810856*((RANDBETWEEN(1620,2416)))</f>
        <v>51669388.93285121</v>
      </c>
      <c r="B3997">
        <v>196531092.78227955</v>
      </c>
    </row>
    <row r="3998" spans="1:2" x14ac:dyDescent="0.25">
      <c r="A3998">
        <f ca="1">28288.8821781367*((RANDBETWEEN(1620,2416)))</f>
        <v>49788432.633520551</v>
      </c>
      <c r="B3998">
        <v>181784996.53100866</v>
      </c>
    </row>
    <row r="3999" spans="1:2" x14ac:dyDescent="0.25">
      <c r="A3999">
        <f ca="1">34108.4520346658*((RANDBETWEEN(1620,2416)))</f>
        <v>79916103.117222041</v>
      </c>
      <c r="B3999">
        <v>194225115.45126471</v>
      </c>
    </row>
    <row r="4000" spans="1:2" x14ac:dyDescent="0.25">
      <c r="A4000">
        <f ca="1">28789.5223740266*((RANDBETWEEN(1620,2416)))</f>
        <v>53922775.406551808</v>
      </c>
      <c r="B4000">
        <v>165559717.56167829</v>
      </c>
    </row>
    <row r="4001" spans="1:2" x14ac:dyDescent="0.25">
      <c r="A4001">
        <f ca="1">29448.2255899917*((RANDBETWEEN(1620,2416)))</f>
        <v>54125838.634404726</v>
      </c>
      <c r="B4001">
        <v>147307567.05590975</v>
      </c>
    </row>
    <row r="4002" spans="1:2" x14ac:dyDescent="0.25">
      <c r="A4002">
        <f ca="1">26665.8670428362*((RANDBETWEEN(1620,2416)))</f>
        <v>63544761.163078733</v>
      </c>
      <c r="B4002">
        <v>161229249.72674453</v>
      </c>
    </row>
    <row r="4003" spans="1:2" x14ac:dyDescent="0.25">
      <c r="A4003">
        <f ca="1">27358.2440189026*((RANDBETWEEN(1620,2416)))</f>
        <v>47302403.908682659</v>
      </c>
      <c r="B4003">
        <v>170357262.67008066</v>
      </c>
    </row>
    <row r="4004" spans="1:2" x14ac:dyDescent="0.25">
      <c r="A4004">
        <f ca="1">27136.8005377939*((RANDBETWEEN(1620,2416)))</f>
        <v>47652221.744366005</v>
      </c>
      <c r="B4004">
        <v>159072378.44555849</v>
      </c>
    </row>
    <row r="4005" spans="1:2" x14ac:dyDescent="0.25">
      <c r="A4005">
        <f ca="1">26269.2518913646*((RANDBETWEEN(1620,2416)))</f>
        <v>56163660.543737531</v>
      </c>
      <c r="B4005">
        <v>199739800.71711874</v>
      </c>
    </row>
    <row r="4006" spans="1:2" x14ac:dyDescent="0.25">
      <c r="A4006">
        <f ca="1">28382.3208754391*((RANDBETWEEN(1620,2416)))</f>
        <v>65846984.431018807</v>
      </c>
      <c r="B4006">
        <v>201995511.82131767</v>
      </c>
    </row>
    <row r="4007" spans="1:2" x14ac:dyDescent="0.25">
      <c r="A4007">
        <f ca="1">25216.6780110971*((RANDBETWEEN(1620,2416)))</f>
        <v>57544459.22132355</v>
      </c>
      <c r="B4007">
        <v>173848601.15275794</v>
      </c>
    </row>
    <row r="4008" spans="1:2" x14ac:dyDescent="0.25">
      <c r="A4008">
        <f ca="1">27837.6480916918*((RANDBETWEEN(1620,2416)))</f>
        <v>50024253.620770134</v>
      </c>
      <c r="B4008">
        <v>169372371.78994206</v>
      </c>
    </row>
    <row r="4009" spans="1:2" x14ac:dyDescent="0.25">
      <c r="A4009">
        <f ca="1">26714.4149256924*((RANDBETWEEN(1620,2416)))</f>
        <v>49688811.761787832</v>
      </c>
      <c r="B4009">
        <v>146254952.27449757</v>
      </c>
    </row>
    <row r="4010" spans="1:2" x14ac:dyDescent="0.25">
      <c r="A4010">
        <f ca="1">30700.1822787015*((RANDBETWEEN(1620,2416)))</f>
        <v>57255839.949778371</v>
      </c>
      <c r="B4010">
        <v>164004745.71197572</v>
      </c>
    </row>
    <row r="4011" spans="1:2" x14ac:dyDescent="0.25">
      <c r="A4011">
        <f ca="1">26683.522856139*((RANDBETWEEN(1620,2416)))</f>
        <v>58410231.532088339</v>
      </c>
      <c r="B4011">
        <v>143026169.65756494</v>
      </c>
    </row>
    <row r="4012" spans="1:2" x14ac:dyDescent="0.25">
      <c r="A4012">
        <f ca="1">27214.710199955*((RANDBETWEEN(1620,2416)))</f>
        <v>46210577.919523545</v>
      </c>
      <c r="B4012">
        <v>183707765.2889564</v>
      </c>
    </row>
    <row r="4013" spans="1:2" x14ac:dyDescent="0.25">
      <c r="A4013">
        <f ca="1">28506.9254405771*((RANDBETWEEN(1620,2416)))</f>
        <v>60862285.815632112</v>
      </c>
      <c r="B4013">
        <v>159994755.95228168</v>
      </c>
    </row>
    <row r="4014" spans="1:2" x14ac:dyDescent="0.25">
      <c r="A4014">
        <f ca="1">26568.277189644*((RANDBETWEEN(1620,2416)))</f>
        <v>43279723.541930035</v>
      </c>
      <c r="B4014">
        <v>148299881.25276738</v>
      </c>
    </row>
    <row r="4015" spans="1:2" x14ac:dyDescent="0.25">
      <c r="A4015">
        <f ca="1">26693.016396078*((RANDBETWEEN(1620,2416)))</f>
        <v>51037047.34930113</v>
      </c>
      <c r="B4015">
        <v>157654052.36521703</v>
      </c>
    </row>
    <row r="4016" spans="1:2" x14ac:dyDescent="0.25">
      <c r="A4016">
        <f ca="1">28152.2544837775*((RANDBETWEEN(1620,2416)))</f>
        <v>47155026.260327339</v>
      </c>
      <c r="B4016">
        <v>164643828.45633382</v>
      </c>
    </row>
    <row r="4017" spans="1:2" x14ac:dyDescent="0.25">
      <c r="A4017">
        <f ca="1">28327.5294412535*((RANDBETWEEN(1620,2416)))</f>
        <v>62887115.359582715</v>
      </c>
      <c r="B4017">
        <v>158435759.95187709</v>
      </c>
    </row>
    <row r="4018" spans="1:2" x14ac:dyDescent="0.25">
      <c r="A4018">
        <f ca="1">26244.9081081932*((RANDBETWEEN(1620,2416)))</f>
        <v>58893573.794785552</v>
      </c>
      <c r="B4018">
        <v>191160002.06957933</v>
      </c>
    </row>
    <row r="4019" spans="1:2" x14ac:dyDescent="0.25">
      <c r="A4019">
        <f ca="1">25541.3528081711*((RANDBETWEEN(1620,2416)))</f>
        <v>55961104.002702907</v>
      </c>
      <c r="B4019">
        <v>198620950.73166135</v>
      </c>
    </row>
    <row r="4020" spans="1:2" x14ac:dyDescent="0.25">
      <c r="A4020">
        <f ca="1">29412.2926802083*((RANDBETWEEN(1620,2416)))</f>
        <v>64618807.018417574</v>
      </c>
      <c r="B4020">
        <v>172701640.73118305</v>
      </c>
    </row>
    <row r="4021" spans="1:2" x14ac:dyDescent="0.25">
      <c r="A4021">
        <f ca="1">30910.1035947289*((RANDBETWEEN(1620,2416)))</f>
        <v>71371429.200228944</v>
      </c>
      <c r="B4021">
        <v>189493144.49070406</v>
      </c>
    </row>
    <row r="4022" spans="1:2" x14ac:dyDescent="0.25">
      <c r="A4022">
        <f ca="1">30995.2145252918*((RANDBETWEEN(1620,2416)))</f>
        <v>70545108.259564027</v>
      </c>
      <c r="B4022">
        <v>195842794.64042595</v>
      </c>
    </row>
    <row r="4023" spans="1:2" x14ac:dyDescent="0.25">
      <c r="A4023">
        <f ca="1">29177.3372186594*((RANDBETWEEN(1620,2416)))</f>
        <v>67137052.940135181</v>
      </c>
      <c r="B4023">
        <v>164933571.88451046</v>
      </c>
    </row>
    <row r="4024" spans="1:2" x14ac:dyDescent="0.25">
      <c r="A4024">
        <f ca="1">28585.0473202335*((RANDBETWEEN(1620,2416)))</f>
        <v>65288248.079413287</v>
      </c>
      <c r="B4024">
        <v>168659558.06401157</v>
      </c>
    </row>
    <row r="4025" spans="1:2" x14ac:dyDescent="0.25">
      <c r="A4025">
        <f ca="1">25130.1646103167*((RANDBETWEEN(1620,2416)))</f>
        <v>53502120.455364153</v>
      </c>
      <c r="B4025">
        <v>164799749.18709254</v>
      </c>
    </row>
    <row r="4026" spans="1:2" x14ac:dyDescent="0.25">
      <c r="A4026">
        <f ca="1">32008.9182906203*((RANDBETWEEN(1620,2416)))</f>
        <v>63537702.806881376</v>
      </c>
      <c r="B4026">
        <v>170432979.89122871</v>
      </c>
    </row>
    <row r="4027" spans="1:2" x14ac:dyDescent="0.25">
      <c r="A4027">
        <f ca="1">29812.8376480338*((RANDBETWEEN(1620,2416)))</f>
        <v>68032895.512813196</v>
      </c>
      <c r="B4027">
        <v>166480354.68589073</v>
      </c>
    </row>
    <row r="4028" spans="1:2" x14ac:dyDescent="0.25">
      <c r="A4028">
        <f ca="1">29925.9501627544*((RANDBETWEEN(1620,2416)))</f>
        <v>69547908.178241178</v>
      </c>
      <c r="B4028">
        <v>153802298.84562483</v>
      </c>
    </row>
    <row r="4029" spans="1:2" x14ac:dyDescent="0.25">
      <c r="A4029">
        <f ca="1">27741.2076896774*((RANDBETWEEN(1620,2416)))</f>
        <v>52541847.364249006</v>
      </c>
      <c r="B4029">
        <v>165461808.04788321</v>
      </c>
    </row>
    <row r="4030" spans="1:2" x14ac:dyDescent="0.25">
      <c r="A4030">
        <f ca="1">27686.6346121782*((RANDBETWEEN(1620,2416)))</f>
        <v>45212274.321687028</v>
      </c>
      <c r="B4030">
        <v>171853967.23000672</v>
      </c>
    </row>
    <row r="4031" spans="1:2" x14ac:dyDescent="0.25">
      <c r="A4031">
        <f ca="1">31084.6655652609*((RANDBETWEEN(1620,2416)))</f>
        <v>50636920.205810077</v>
      </c>
      <c r="B4031">
        <v>167000720.63397124</v>
      </c>
    </row>
    <row r="4032" spans="1:2" x14ac:dyDescent="0.25">
      <c r="A4032">
        <f ca="1">30679.1793811128*((RANDBETWEEN(1620,2416)))</f>
        <v>55345239.603527531</v>
      </c>
      <c r="B4032">
        <v>169937556.59426489</v>
      </c>
    </row>
    <row r="4033" spans="1:2" x14ac:dyDescent="0.25">
      <c r="A4033">
        <f ca="1">27569.4615330568*((RANDBETWEEN(1620,2416)))</f>
        <v>61397190.83411748</v>
      </c>
      <c r="B4033">
        <v>165073513.35076225</v>
      </c>
    </row>
    <row r="4034" spans="1:2" x14ac:dyDescent="0.25">
      <c r="A4034">
        <f ca="1">32016.0968578976*((RANDBETWEEN(1620,2416)))</f>
        <v>66145256.108416341</v>
      </c>
      <c r="B4034">
        <v>158280455.51377034</v>
      </c>
    </row>
    <row r="4035" spans="1:2" x14ac:dyDescent="0.25">
      <c r="A4035">
        <f ca="1">34457.1034487623*((RANDBETWEEN(1620,2416)))</f>
        <v>65227296.828506969</v>
      </c>
      <c r="B4035">
        <v>200005466.53028539</v>
      </c>
    </row>
    <row r="4036" spans="1:2" x14ac:dyDescent="0.25">
      <c r="A4036">
        <f ca="1">28735.6195771996*((RANDBETWEEN(1620,2416)))</f>
        <v>66781579.897412069</v>
      </c>
      <c r="B4036">
        <v>182755094.52363718</v>
      </c>
    </row>
    <row r="4037" spans="1:2" x14ac:dyDescent="0.25">
      <c r="A4037">
        <f ca="1">27766.0351245418*((RANDBETWEEN(1620,2416)))</f>
        <v>53394085.544493943</v>
      </c>
      <c r="B4037">
        <v>152123335.0237028</v>
      </c>
    </row>
    <row r="4038" spans="1:2" x14ac:dyDescent="0.25">
      <c r="A4038">
        <f ca="1">30284.9472828695*((RANDBETWEEN(1620,2416)))</f>
        <v>54634044.89829661</v>
      </c>
      <c r="B4038">
        <v>190143832.41491511</v>
      </c>
    </row>
    <row r="4039" spans="1:2" x14ac:dyDescent="0.25">
      <c r="A4039">
        <f ca="1">26649.7463785186*((RANDBETWEEN(1620,2416)))</f>
        <v>50128172.937993407</v>
      </c>
      <c r="B4039">
        <v>148035233.35863504</v>
      </c>
    </row>
    <row r="4040" spans="1:2" x14ac:dyDescent="0.25">
      <c r="A4040">
        <f ca="1">27848.0681081207*((RANDBETWEEN(1620,2416)))</f>
        <v>48594878.848670609</v>
      </c>
      <c r="B4040">
        <v>174411735.60576808</v>
      </c>
    </row>
    <row r="4041" spans="1:2" x14ac:dyDescent="0.25">
      <c r="A4041">
        <f ca="1">30352.9869079093*((RANDBETWEEN(1620,2416)))</f>
        <v>70449282.613257393</v>
      </c>
      <c r="B4041">
        <v>180952245.03115064</v>
      </c>
    </row>
    <row r="4042" spans="1:2" x14ac:dyDescent="0.25">
      <c r="A4042">
        <f ca="1">26143.6227554324*((RANDBETWEEN(1620,2416)))</f>
        <v>52208814.64259845</v>
      </c>
      <c r="B4042">
        <v>165665140.0877896</v>
      </c>
    </row>
    <row r="4043" spans="1:2" x14ac:dyDescent="0.25">
      <c r="A4043">
        <f ca="1">28200.0837115965*((RANDBETWEEN(1620,2416)))</f>
        <v>64380791.113574751</v>
      </c>
      <c r="B4043">
        <v>156073812.99008209</v>
      </c>
    </row>
    <row r="4044" spans="1:2" x14ac:dyDescent="0.25">
      <c r="A4044">
        <f ca="1">27738.217674122*((RANDBETWEEN(1620,2416)))</f>
        <v>46461514.604154348</v>
      </c>
      <c r="B4044">
        <v>155462391.63824907</v>
      </c>
    </row>
    <row r="4045" spans="1:2" x14ac:dyDescent="0.25">
      <c r="A4045">
        <f ca="1">27858.6714670358*((RANDBETWEEN(1620,2416)))</f>
        <v>57890319.308500357</v>
      </c>
      <c r="B4045">
        <v>198610157.91321468</v>
      </c>
    </row>
    <row r="4046" spans="1:2" x14ac:dyDescent="0.25">
      <c r="A4046">
        <f ca="1">31672.4065610682*((RANDBETWEEN(1620,2416)))</f>
        <v>64896761.04362867</v>
      </c>
      <c r="B4046">
        <v>186749527.42502004</v>
      </c>
    </row>
    <row r="4047" spans="1:2" x14ac:dyDescent="0.25">
      <c r="A4047">
        <f ca="1">27096.4617708507*((RANDBETWEEN(1620,2416)))</f>
        <v>45684634.545654245</v>
      </c>
      <c r="B4047">
        <v>162051815.75773939</v>
      </c>
    </row>
    <row r="4048" spans="1:2" x14ac:dyDescent="0.25">
      <c r="A4048">
        <f ca="1">25857.7534094082*((RANDBETWEEN(1620,2416)))</f>
        <v>47112826.711941689</v>
      </c>
      <c r="B4048">
        <v>185897890.95511526</v>
      </c>
    </row>
    <row r="4049" spans="1:2" x14ac:dyDescent="0.25">
      <c r="A4049">
        <f ca="1">27606.2094885604*((RANDBETWEEN(1620,2416)))</f>
        <v>61451422.321535438</v>
      </c>
      <c r="B4049">
        <v>186264197.50268036</v>
      </c>
    </row>
    <row r="4050" spans="1:2" x14ac:dyDescent="0.25">
      <c r="A4050">
        <f ca="1">30948.3174443723*((RANDBETWEEN(1620,2416)))</f>
        <v>56883007.462756328</v>
      </c>
      <c r="B4050">
        <v>185164622.55953854</v>
      </c>
    </row>
    <row r="4051" spans="1:2" x14ac:dyDescent="0.25">
      <c r="A4051">
        <f ca="1">26870.7618358747*((RANDBETWEEN(1620,2416)))</f>
        <v>63710576.312858805</v>
      </c>
      <c r="B4051">
        <v>160027208.70111483</v>
      </c>
    </row>
    <row r="4052" spans="1:2" x14ac:dyDescent="0.25">
      <c r="A4052">
        <f ca="1">30944.2969976432*((RANDBETWEEN(1620,2416)))</f>
        <v>51707920.283061713</v>
      </c>
      <c r="B4052">
        <v>200696239.60496804</v>
      </c>
    </row>
    <row r="4053" spans="1:2" x14ac:dyDescent="0.25">
      <c r="A4053">
        <f ca="1">26966.4903148836*((RANDBETWEEN(1620,2416)))</f>
        <v>44602574.980817415</v>
      </c>
      <c r="B4053">
        <v>166994113.84181005</v>
      </c>
    </row>
    <row r="4054" spans="1:2" x14ac:dyDescent="0.25">
      <c r="A4054">
        <f ca="1">27375.8993888744*((RANDBETWEEN(1620,2416)))</f>
        <v>55490948.061248355</v>
      </c>
      <c r="B4054">
        <v>186772337.79288259</v>
      </c>
    </row>
    <row r="4055" spans="1:2" x14ac:dyDescent="0.25">
      <c r="A4055">
        <f ca="1">27169.4081584845*((RANDBETWEEN(1620,2416)))</f>
        <v>60696457.82605432</v>
      </c>
      <c r="B4055">
        <v>149963737.9882113</v>
      </c>
    </row>
    <row r="4056" spans="1:2" x14ac:dyDescent="0.25">
      <c r="A4056">
        <f ca="1">26352.1761950689*((RANDBETWEEN(1620,2416)))</f>
        <v>42716877.61220663</v>
      </c>
      <c r="B4056">
        <v>143183305.45707801</v>
      </c>
    </row>
    <row r="4057" spans="1:2" x14ac:dyDescent="0.25">
      <c r="A4057">
        <f ca="1">27759.6212041718*((RANDBETWEEN(1620,2416)))</f>
        <v>49023491.046567336</v>
      </c>
      <c r="B4057">
        <v>163824508.59728166</v>
      </c>
    </row>
    <row r="4058" spans="1:2" x14ac:dyDescent="0.25">
      <c r="A4058">
        <f ca="1">27015.2281166566*((RANDBETWEEN(1620,2416)))</f>
        <v>63863999.267776281</v>
      </c>
      <c r="B4058">
        <v>154780752.91611704</v>
      </c>
    </row>
    <row r="4059" spans="1:2" x14ac:dyDescent="0.25">
      <c r="A4059">
        <f ca="1">27746.4887171488*((RANDBETWEEN(1620,2416)))</f>
        <v>64316360.84635096</v>
      </c>
      <c r="B4059">
        <v>155665450.29460543</v>
      </c>
    </row>
    <row r="4060" spans="1:2" x14ac:dyDescent="0.25">
      <c r="A4060">
        <f ca="1">27872.6602458746*((RANDBETWEEN(1620,2416)))</f>
        <v>64608826.449937269</v>
      </c>
      <c r="B4060">
        <v>179208057.05927333</v>
      </c>
    </row>
    <row r="4061" spans="1:2" x14ac:dyDescent="0.25">
      <c r="A4061">
        <f ca="1">32467.2986121605*((RANDBETWEEN(1620,2416)))</f>
        <v>64609924.238199465</v>
      </c>
      <c r="B4061">
        <v>188468462.82373941</v>
      </c>
    </row>
    <row r="4062" spans="1:2" x14ac:dyDescent="0.25">
      <c r="A4062">
        <f ca="1">28399.6948974514*((RANDBETWEEN(1620,2416)))</f>
        <v>48591877.969539322</v>
      </c>
      <c r="B4062">
        <v>155478937.26647219</v>
      </c>
    </row>
    <row r="4063" spans="1:2" x14ac:dyDescent="0.25">
      <c r="A4063">
        <f ca="1">31357.2811324895*((RANDBETWEEN(1620,2416)))</f>
        <v>72498033.978315756</v>
      </c>
      <c r="B4063">
        <v>151441622.78925413</v>
      </c>
    </row>
    <row r="4064" spans="1:2" x14ac:dyDescent="0.25">
      <c r="A4064">
        <f ca="1">29769.8127055353*((RANDBETWEEN(1620,2416)))</f>
        <v>67994252.219442695</v>
      </c>
      <c r="B4064">
        <v>171387593.96266657</v>
      </c>
    </row>
    <row r="4065" spans="1:2" x14ac:dyDescent="0.25">
      <c r="A4065">
        <f ca="1">26267.7217542446*((RANDBETWEEN(1620,2416)))</f>
        <v>57079759.37197347</v>
      </c>
      <c r="B4065">
        <v>149614622.3824141</v>
      </c>
    </row>
    <row r="4066" spans="1:2" x14ac:dyDescent="0.25">
      <c r="A4066">
        <f ca="1">28317.2739796258*((RANDBETWEEN(1620,2416)))</f>
        <v>58984881.699560598</v>
      </c>
      <c r="B4066">
        <v>184307523.20503807</v>
      </c>
    </row>
    <row r="4067" spans="1:2" x14ac:dyDescent="0.25">
      <c r="A4067">
        <f ca="1">27617.113614154*((RANDBETWEEN(1620,2416)))</f>
        <v>46341516.644550391</v>
      </c>
      <c r="B4067">
        <v>148349749.77674165</v>
      </c>
    </row>
    <row r="4068" spans="1:2" x14ac:dyDescent="0.25">
      <c r="A4068">
        <f ca="1">26346.7908314059*((RANDBETWEEN(1620,2416)))</f>
        <v>47476917.078193448</v>
      </c>
      <c r="B4068">
        <v>158286333.06004322</v>
      </c>
    </row>
    <row r="4069" spans="1:2" x14ac:dyDescent="0.25">
      <c r="A4069">
        <f ca="1">27280.1771921446*((RANDBETWEEN(1620,2416)))</f>
        <v>51941457.373843364</v>
      </c>
      <c r="B4069">
        <v>197874792.54994464</v>
      </c>
    </row>
    <row r="4070" spans="1:2" x14ac:dyDescent="0.25">
      <c r="A4070">
        <f ca="1">26481.5549428807*((RANDBETWEEN(1620,2416)))</f>
        <v>43694565.655753233</v>
      </c>
      <c r="B4070">
        <v>163196654.04493856</v>
      </c>
    </row>
    <row r="4071" spans="1:2" x14ac:dyDescent="0.25">
      <c r="A4071">
        <f ca="1">25842.6058137642*((RANDBETWEEN(1620,2416)))</f>
        <v>51891952.474038564</v>
      </c>
      <c r="B4071">
        <v>159940659.83441424</v>
      </c>
    </row>
    <row r="4072" spans="1:2" x14ac:dyDescent="0.25">
      <c r="A4072">
        <f ca="1">26528.7716791097*((RANDBETWEEN(1620,2416)))</f>
        <v>49476159.181539528</v>
      </c>
      <c r="B4072">
        <v>158943508.16567588</v>
      </c>
    </row>
    <row r="4073" spans="1:2" x14ac:dyDescent="0.25">
      <c r="A4073">
        <f ca="1">29613.5723968162*((RANDBETWEEN(1620,2416)))</f>
        <v>65623676.431344613</v>
      </c>
      <c r="B4073">
        <v>159186728.97755978</v>
      </c>
    </row>
    <row r="4074" spans="1:2" x14ac:dyDescent="0.25">
      <c r="A4074">
        <f ca="1">31214.3714920661*((RANDBETWEEN(1620,2416)))</f>
        <v>62740886.699052922</v>
      </c>
      <c r="B4074">
        <v>188900128.69582555</v>
      </c>
    </row>
    <row r="4075" spans="1:2" x14ac:dyDescent="0.25">
      <c r="A4075">
        <f ca="1">26702.9900154213*((RANDBETWEEN(1620,2416)))</f>
        <v>62992353.446378753</v>
      </c>
      <c r="B4075">
        <v>144595719.08163345</v>
      </c>
    </row>
    <row r="4076" spans="1:2" x14ac:dyDescent="0.25">
      <c r="A4076">
        <f ca="1">26190.2345821823*((RANDBETWEEN(1620,2416)))</f>
        <v>63066084.873895004</v>
      </c>
      <c r="B4076">
        <v>171678874.99732313</v>
      </c>
    </row>
    <row r="4077" spans="1:2" x14ac:dyDescent="0.25">
      <c r="A4077">
        <f ca="1">28131.584289585*((RANDBETWEEN(1620,2416)))</f>
        <v>62508380.291457944</v>
      </c>
      <c r="B4077">
        <v>175557210.5279645</v>
      </c>
    </row>
    <row r="4078" spans="1:2" x14ac:dyDescent="0.25">
      <c r="A4078">
        <f ca="1">27971.751024085*((RANDBETWEEN(1620,2416)))</f>
        <v>59635773.183349282</v>
      </c>
      <c r="B4078">
        <v>181089780.90454859</v>
      </c>
    </row>
    <row r="4079" spans="1:2" x14ac:dyDescent="0.25">
      <c r="A4079">
        <f ca="1">26141.6158529194*((RANDBETWEEN(1620,2416)))</f>
        <v>44074764.328022137</v>
      </c>
      <c r="B4079">
        <v>190400664.40967718</v>
      </c>
    </row>
    <row r="4080" spans="1:2" x14ac:dyDescent="0.25">
      <c r="A4080">
        <f ca="1">27895.2552959455*((RANDBETWEEN(1620,2416)))</f>
        <v>63852239.372419178</v>
      </c>
      <c r="B4080">
        <v>147901387.58449256</v>
      </c>
    </row>
    <row r="4081" spans="1:2" x14ac:dyDescent="0.25">
      <c r="A4081">
        <f ca="1">26203.507163074*((RANDBETWEEN(1620,2416)))</f>
        <v>50048698.681471422</v>
      </c>
      <c r="B4081">
        <v>169683172.63483351</v>
      </c>
    </row>
    <row r="4082" spans="1:2" x14ac:dyDescent="0.25">
      <c r="A4082">
        <f ca="1">26211.3496243829*((RANDBETWEEN(1620,2416)))</f>
        <v>52684812.745009534</v>
      </c>
      <c r="B4082">
        <v>189157477.93021998</v>
      </c>
    </row>
    <row r="4083" spans="1:2" x14ac:dyDescent="0.25">
      <c r="A4083">
        <f ca="1">27644.1842535647*((RANDBETWEEN(1620,2416)))</f>
        <v>66788349.156612396</v>
      </c>
      <c r="B4083">
        <v>182035968.03649777</v>
      </c>
    </row>
    <row r="4084" spans="1:2" x14ac:dyDescent="0.25">
      <c r="A4084">
        <f ca="1">27177.4942784655*((RANDBETWEEN(1620,2416)))</f>
        <v>62453881.851913728</v>
      </c>
      <c r="B4084">
        <v>167554108.07036975</v>
      </c>
    </row>
    <row r="4085" spans="1:2" x14ac:dyDescent="0.25">
      <c r="A4085">
        <f ca="1">31307.3375712006*((RANDBETWEEN(1620,2416)))</f>
        <v>59076945.996855468</v>
      </c>
      <c r="B4085">
        <v>173670240.457706</v>
      </c>
    </row>
    <row r="4086" spans="1:2" x14ac:dyDescent="0.25">
      <c r="A4086">
        <f ca="1">25103.1892941648*((RANDBETWEEN(1620,2416)))</f>
        <v>58992494.841287367</v>
      </c>
      <c r="B4086">
        <v>175130482.87656319</v>
      </c>
    </row>
    <row r="4087" spans="1:2" x14ac:dyDescent="0.25">
      <c r="A4087">
        <f ca="1">27134.7705211704*((RANDBETWEEN(1620,2416)))</f>
        <v>52261568.023774266</v>
      </c>
      <c r="B4087">
        <v>177702685.76266354</v>
      </c>
    </row>
    <row r="4088" spans="1:2" x14ac:dyDescent="0.25">
      <c r="A4088">
        <f ca="1">32101.2242483201*((RANDBETWEEN(1620,2416)))</f>
        <v>64202448.496640123</v>
      </c>
      <c r="B4088">
        <v>179195884.18175507</v>
      </c>
    </row>
    <row r="4089" spans="1:2" x14ac:dyDescent="0.25">
      <c r="A4089">
        <f ca="1">27368.8141540811*((RANDBETWEEN(1620,2416)))</f>
        <v>65301990.571637452</v>
      </c>
      <c r="B4089">
        <v>196363543.89273593</v>
      </c>
    </row>
    <row r="4090" spans="1:2" x14ac:dyDescent="0.25">
      <c r="A4090">
        <f ca="1">27488.8694263984*((RANDBETWEEN(1620,2416)))</f>
        <v>61355156.559721179</v>
      </c>
      <c r="B4090">
        <v>161265086.91070235</v>
      </c>
    </row>
    <row r="4091" spans="1:2" x14ac:dyDescent="0.25">
      <c r="A4091">
        <f ca="1">25989.6213496966*((RANDBETWEEN(1620,2416)))</f>
        <v>61075610.171786934</v>
      </c>
      <c r="B4091">
        <v>146981279.08596316</v>
      </c>
    </row>
    <row r="4092" spans="1:2" x14ac:dyDescent="0.25">
      <c r="A4092">
        <f ca="1">26124.8289916238*((RANDBETWEEN(1620,2416)))</f>
        <v>54966640.198376484</v>
      </c>
      <c r="B4092">
        <v>146171706.57996219</v>
      </c>
    </row>
    <row r="4093" spans="1:2" x14ac:dyDescent="0.25">
      <c r="A4093">
        <f ca="1">30379.1325725963*((RANDBETWEEN(1620,2416)))</f>
        <v>67077124.720292695</v>
      </c>
      <c r="B4093">
        <v>147683025.35779339</v>
      </c>
    </row>
    <row r="4094" spans="1:2" x14ac:dyDescent="0.25">
      <c r="A4094">
        <f ca="1">28847.2923900586*((RANDBETWEEN(1620,2416)))</f>
        <v>57896515.826847576</v>
      </c>
      <c r="B4094">
        <v>145724819.39640832</v>
      </c>
    </row>
    <row r="4095" spans="1:2" x14ac:dyDescent="0.25">
      <c r="A4095">
        <f ca="1">27680.4041853896*((RANDBETWEEN(1620,2416)))</f>
        <v>65547197.111002631</v>
      </c>
      <c r="B4095">
        <v>162806870.61066771</v>
      </c>
    </row>
    <row r="4096" spans="1:2" x14ac:dyDescent="0.25">
      <c r="A4096">
        <f ca="1">26258.5448968323*((RANDBETWEEN(1620,2416)))</f>
        <v>49050961.867282718</v>
      </c>
      <c r="B4096">
        <v>158745283.79598686</v>
      </c>
    </row>
    <row r="4097" spans="1:2" x14ac:dyDescent="0.25">
      <c r="A4097">
        <f ca="1">27025.6451031824*((RANDBETWEEN(1620,2416)))</f>
        <v>52375700.209967442</v>
      </c>
      <c r="B4097">
        <v>163232073.22436175</v>
      </c>
    </row>
    <row r="4098" spans="1:2" x14ac:dyDescent="0.25">
      <c r="A4098">
        <f ca="1">27325.0507718413*((RANDBETWEEN(1620,2416)))</f>
        <v>52054221.720357701</v>
      </c>
      <c r="B4098">
        <v>169715543.97878861</v>
      </c>
    </row>
    <row r="4099" spans="1:2" x14ac:dyDescent="0.25">
      <c r="A4099">
        <f ca="1">31967.8015449042*((RANDBETWEEN(1620,2416)))</f>
        <v>73462007.950189844</v>
      </c>
      <c r="B4099">
        <v>163161018.8624233</v>
      </c>
    </row>
    <row r="4100" spans="1:2" x14ac:dyDescent="0.25">
      <c r="A4100">
        <f ca="1">27651.1873467642*((RANDBETWEEN(1620,2416)))</f>
        <v>64178405.8318398</v>
      </c>
      <c r="B4100">
        <v>150244841.54697299</v>
      </c>
    </row>
    <row r="4101" spans="1:2" x14ac:dyDescent="0.25">
      <c r="A4101">
        <f ca="1">27184.2866431408*((RANDBETWEEN(1620,2416)))</f>
        <v>60403484.921058774</v>
      </c>
      <c r="B4101">
        <v>146003503.51348323</v>
      </c>
    </row>
    <row r="4102" spans="1:2" x14ac:dyDescent="0.25">
      <c r="A4102">
        <f ca="1">26933.8646181212*((RANDBETWEEN(1620,2416)))</f>
        <v>59496906.941429734</v>
      </c>
      <c r="B4102">
        <v>145601308.91099834</v>
      </c>
    </row>
    <row r="4103" spans="1:2" x14ac:dyDescent="0.25">
      <c r="A4103">
        <f ca="1">27228.5172517288*((RANDBETWEEN(1620,2416)))</f>
        <v>50890098.743481085</v>
      </c>
      <c r="B4103">
        <v>157617454.90671173</v>
      </c>
    </row>
    <row r="4104" spans="1:2" x14ac:dyDescent="0.25">
      <c r="A4104">
        <f ca="1">26479.6652290177*((RANDBETWEEN(1620,2416)))</f>
        <v>61326904.670404926</v>
      </c>
      <c r="B4104">
        <v>145821155.43162578</v>
      </c>
    </row>
    <row r="4105" spans="1:2" x14ac:dyDescent="0.25">
      <c r="A4105">
        <f ca="1">29973.5494364029*((RANDBETWEEN(1620,2416)))</f>
        <v>54551859.974253409</v>
      </c>
      <c r="B4105">
        <v>201131971.8148841</v>
      </c>
    </row>
    <row r="4106" spans="1:2" x14ac:dyDescent="0.25">
      <c r="A4106">
        <f ca="1">26897.0790965271*((RANDBETWEEN(1620,2416)))</f>
        <v>48683713.164714113</v>
      </c>
      <c r="B4106">
        <v>149316013.885804</v>
      </c>
    </row>
    <row r="4107" spans="1:2" x14ac:dyDescent="0.25">
      <c r="A4107">
        <f ca="1">28630.0668082723*((RANDBETWEEN(1620,2416)))</f>
        <v>56029040.743788898</v>
      </c>
      <c r="B4107">
        <v>192927091.21819663</v>
      </c>
    </row>
    <row r="4108" spans="1:2" x14ac:dyDescent="0.25">
      <c r="A4108">
        <f ca="1">28912.4787380045*((RANDBETWEEN(1620,2416)))</f>
        <v>46953865.470519327</v>
      </c>
      <c r="B4108">
        <v>143422291.34055188</v>
      </c>
    </row>
    <row r="4109" spans="1:2" x14ac:dyDescent="0.25">
      <c r="A4109">
        <f ca="1">32041.4549711665*((RANDBETWEEN(1620,2416)))</f>
        <v>74977004.632529631</v>
      </c>
      <c r="B4109">
        <v>155311041.69254744</v>
      </c>
    </row>
    <row r="4110" spans="1:2" x14ac:dyDescent="0.25">
      <c r="A4110">
        <f ca="1">25910.9832685671*((RANDBETWEEN(1620,2416)))</f>
        <v>55345860.261659242</v>
      </c>
      <c r="B4110">
        <v>177607708.21921477</v>
      </c>
    </row>
    <row r="4111" spans="1:2" x14ac:dyDescent="0.25">
      <c r="A4111">
        <f ca="1">28035.3922757826*((RANDBETWEEN(1620,2416)))</f>
        <v>46566786.570074938</v>
      </c>
      <c r="B4111">
        <v>170829682.84378359</v>
      </c>
    </row>
    <row r="4112" spans="1:2" x14ac:dyDescent="0.25">
      <c r="A4112">
        <f ca="1">28608.6360246566*((RANDBETWEEN(1620,2416)))</f>
        <v>51981891.656801119</v>
      </c>
      <c r="B4112">
        <v>191573610.36739889</v>
      </c>
    </row>
    <row r="4113" spans="1:2" x14ac:dyDescent="0.25">
      <c r="A4113">
        <f ca="1">32002.9592541968*((RANDBETWEEN(1620,2416)))</f>
        <v>76551078.536038816</v>
      </c>
      <c r="B4113">
        <v>189099007.78433493</v>
      </c>
    </row>
    <row r="4114" spans="1:2" x14ac:dyDescent="0.25">
      <c r="A4114">
        <f ca="1">27307.3774408041*((RANDBETWEEN(1620,2416)))</f>
        <v>63544267.304751173</v>
      </c>
      <c r="B4114">
        <v>172847953.73862392</v>
      </c>
    </row>
    <row r="4115" spans="1:2" x14ac:dyDescent="0.25">
      <c r="A4115">
        <f ca="1">27328.6727171726*((RANDBETWEEN(1620,2416)))</f>
        <v>45146967.328769095</v>
      </c>
      <c r="B4115">
        <v>144732283.18907598</v>
      </c>
    </row>
    <row r="4116" spans="1:2" x14ac:dyDescent="0.25">
      <c r="A4116">
        <f ca="1">26861.4739876164*((RANDBETWEEN(1620,2416)))</f>
        <v>48108899.911820933</v>
      </c>
      <c r="B4116">
        <v>157702247.18344539</v>
      </c>
    </row>
    <row r="4117" spans="1:2" x14ac:dyDescent="0.25">
      <c r="A4117">
        <f ca="1">25728.960442703*((RANDBETWEEN(1620,2416)))</f>
        <v>48756380.038922109</v>
      </c>
      <c r="B4117">
        <v>152147476.17229438</v>
      </c>
    </row>
    <row r="4118" spans="1:2" x14ac:dyDescent="0.25">
      <c r="A4118">
        <f ca="1">27264.7458921538*((RANDBETWEEN(1620,2416)))</f>
        <v>47222539.885210387</v>
      </c>
      <c r="B4118">
        <v>152287524.66981846</v>
      </c>
    </row>
    <row r="4119" spans="1:2" x14ac:dyDescent="0.25">
      <c r="A4119">
        <f ca="1">28379.5767167276*((RANDBETWEEN(1620,2416)))</f>
        <v>67231217.241927758</v>
      </c>
      <c r="B4119">
        <v>160218580.82378501</v>
      </c>
    </row>
    <row r="4120" spans="1:2" x14ac:dyDescent="0.25">
      <c r="A4120">
        <f ca="1">32279.7042528036*((RANDBETWEEN(1620,2416)))</f>
        <v>67658260.113876402</v>
      </c>
      <c r="B4120">
        <v>171913948.05270284</v>
      </c>
    </row>
    <row r="4121" spans="1:2" x14ac:dyDescent="0.25">
      <c r="A4121">
        <f ca="1">26707.848269321*((RANDBETWEEN(1620,2416)))</f>
        <v>47967295.491700441</v>
      </c>
      <c r="B4121">
        <v>150887174.18930703</v>
      </c>
    </row>
    <row r="4122" spans="1:2" x14ac:dyDescent="0.25">
      <c r="A4122">
        <f ca="1">27022.4675177829*((RANDBETWEEN(1620,2416)))</f>
        <v>59584540.876711331</v>
      </c>
      <c r="B4122">
        <v>152890504.97005379</v>
      </c>
    </row>
    <row r="4123" spans="1:2" x14ac:dyDescent="0.25">
      <c r="A4123">
        <f ca="1">25818.4731821873*((RANDBETWEEN(1620,2416)))</f>
        <v>44640140.132001787</v>
      </c>
      <c r="B4123">
        <v>143756617.42843497</v>
      </c>
    </row>
    <row r="4124" spans="1:2" x14ac:dyDescent="0.25">
      <c r="A4124">
        <f ca="1">26169.7173208356*((RANDBETWEEN(1620,2416)))</f>
        <v>61001611.074867763</v>
      </c>
      <c r="B4124">
        <v>166886967.25856042</v>
      </c>
    </row>
    <row r="4125" spans="1:2" x14ac:dyDescent="0.25">
      <c r="A4125">
        <f ca="1">28256.0124863265*((RANDBETWEEN(1620,2416)))</f>
        <v>50013142.100797854</v>
      </c>
      <c r="B4125">
        <v>193304758.19137353</v>
      </c>
    </row>
    <row r="4126" spans="1:2" x14ac:dyDescent="0.25">
      <c r="A4126">
        <f ca="1">28253.9710702103*((RANDBETWEEN(1620,2416)))</f>
        <v>49048893.777885057</v>
      </c>
      <c r="B4126">
        <v>169139745.0460538</v>
      </c>
    </row>
    <row r="4127" spans="1:2" x14ac:dyDescent="0.25">
      <c r="A4127">
        <f ca="1">28566.299114807*((RANDBETWEEN(1620,2416)))</f>
        <v>56218476.657940172</v>
      </c>
      <c r="B4127">
        <v>171770410.53675839</v>
      </c>
    </row>
    <row r="4128" spans="1:2" x14ac:dyDescent="0.25">
      <c r="A4128">
        <f ca="1">28673.7340900678*((RANDBETWEEN(1620,2416)))</f>
        <v>53161103.002985723</v>
      </c>
      <c r="B4128">
        <v>146824602.76962399</v>
      </c>
    </row>
    <row r="4129" spans="1:2" x14ac:dyDescent="0.25">
      <c r="A4129">
        <f ca="1">26915.7679991041*((RANDBETWEEN(1620,2416)))</f>
        <v>51732106.094278075</v>
      </c>
      <c r="B4129">
        <v>166405920.58450884</v>
      </c>
    </row>
    <row r="4130" spans="1:2" x14ac:dyDescent="0.25">
      <c r="A4130">
        <f ca="1">27721.2458474059*((RANDBETWEEN(1620,2416)))</f>
        <v>49925963.77117797</v>
      </c>
      <c r="B4130">
        <v>146195536.86689276</v>
      </c>
    </row>
    <row r="4131" spans="1:2" x14ac:dyDescent="0.25">
      <c r="A4131">
        <f ca="1">28224.0751748456*((RANDBETWEEN(1620,2416)))</f>
        <v>65733871.082215473</v>
      </c>
      <c r="B4131">
        <v>154773705.23853451</v>
      </c>
    </row>
    <row r="4132" spans="1:2" x14ac:dyDescent="0.25">
      <c r="A4132">
        <f ca="1">27653.9220748636*((RANDBETWEEN(1620,2416)))</f>
        <v>49749405.812679641</v>
      </c>
      <c r="B4132">
        <v>145919177.40914321</v>
      </c>
    </row>
    <row r="4133" spans="1:2" x14ac:dyDescent="0.25">
      <c r="A4133">
        <f ca="1">27352.9883808767*((RANDBETWEEN(1620,2416)))</f>
        <v>65291583.265152752</v>
      </c>
      <c r="B4133">
        <v>154515936.6143117</v>
      </c>
    </row>
    <row r="4134" spans="1:2" x14ac:dyDescent="0.25">
      <c r="A4134">
        <f ca="1">27966.2905013197*((RANDBETWEEN(1620,2416)))</f>
        <v>52380862.108971819</v>
      </c>
      <c r="B4134">
        <v>144119527.88542032</v>
      </c>
    </row>
    <row r="4135" spans="1:2" x14ac:dyDescent="0.25">
      <c r="A4135">
        <f ca="1">26824.1670620948*((RANDBETWEEN(1620,2416)))</f>
        <v>43964809.814773299</v>
      </c>
      <c r="B4135">
        <v>153953657.91533554</v>
      </c>
    </row>
    <row r="4136" spans="1:2" x14ac:dyDescent="0.25">
      <c r="A4136">
        <f ca="1">27013.8992203549*((RANDBETWEEN(1620,2416)))</f>
        <v>45464392.387857333</v>
      </c>
      <c r="B4136">
        <v>153249893.21385753</v>
      </c>
    </row>
    <row r="4137" spans="1:2" x14ac:dyDescent="0.25">
      <c r="A4137">
        <f ca="1">26120.372269055*((RANDBETWEEN(1620,2416)))</f>
        <v>57490939.364189945</v>
      </c>
      <c r="B4137">
        <v>144150830.03467944</v>
      </c>
    </row>
    <row r="4138" spans="1:2" x14ac:dyDescent="0.25">
      <c r="A4138">
        <f ca="1">27024.3126735807*((RANDBETWEEN(1620,2416)))</f>
        <v>60669581.952188633</v>
      </c>
      <c r="B4138">
        <v>143933000.75546187</v>
      </c>
    </row>
    <row r="4139" spans="1:2" x14ac:dyDescent="0.25">
      <c r="A4139">
        <f ca="1">26454.6284818258*((RANDBETWEEN(1620,2416)))</f>
        <v>48967517.319859557</v>
      </c>
      <c r="B4139">
        <v>153273616.0555836</v>
      </c>
    </row>
    <row r="4140" spans="1:2" x14ac:dyDescent="0.25">
      <c r="A4140">
        <f ca="1">26638.1050899841*((RANDBETWEEN(1620,2416)))</f>
        <v>62972480.432722524</v>
      </c>
      <c r="B4140">
        <v>162141918.32896334</v>
      </c>
    </row>
    <row r="4141" spans="1:2" x14ac:dyDescent="0.25">
      <c r="A4141">
        <f ca="1">24951.2062519043*((RANDBETWEEN(1620,2416)))</f>
        <v>50576095.072610013</v>
      </c>
      <c r="B4141">
        <v>143934978.26062104</v>
      </c>
    </row>
    <row r="4142" spans="1:2" x14ac:dyDescent="0.25">
      <c r="A4142">
        <f ca="1">30243.0266408264*((RANDBETWEEN(1620,2416)))</f>
        <v>59004144.976252325</v>
      </c>
      <c r="B4142">
        <v>168134459.00086528</v>
      </c>
    </row>
    <row r="4143" spans="1:2" x14ac:dyDescent="0.25">
      <c r="A4143">
        <f ca="1">26037.3973001241*((RANDBETWEEN(1620,2416)))</f>
        <v>46528828.975321814</v>
      </c>
      <c r="B4143">
        <v>202992411.35774347</v>
      </c>
    </row>
    <row r="4144" spans="1:2" x14ac:dyDescent="0.25">
      <c r="A4144">
        <f ca="1">30182.8202321539*((RANDBETWEEN(1620,2416)))</f>
        <v>64138492.993327133</v>
      </c>
      <c r="B4144">
        <v>185830552.45799148</v>
      </c>
    </row>
    <row r="4145" spans="1:2" x14ac:dyDescent="0.25">
      <c r="A4145">
        <f ca="1">28356.2172345763*((RANDBETWEEN(1620,2416)))</f>
        <v>59151069.151326157</v>
      </c>
      <c r="B4145">
        <v>197663609.01490498</v>
      </c>
    </row>
    <row r="4146" spans="1:2" x14ac:dyDescent="0.25">
      <c r="A4146">
        <f ca="1">27148.2708896929*((RANDBETWEEN(1620,2416)))</f>
        <v>44903240.051552065</v>
      </c>
      <c r="B4146">
        <v>149151117.69482952</v>
      </c>
    </row>
    <row r="4147" spans="1:2" x14ac:dyDescent="0.25">
      <c r="A4147">
        <f ca="1">27285.0617833849*((RANDBETWEEN(1620,2416)))</f>
        <v>65866139.145091109</v>
      </c>
      <c r="B4147">
        <v>145582000.88893652</v>
      </c>
    </row>
    <row r="4148" spans="1:2" x14ac:dyDescent="0.25">
      <c r="A4148">
        <f ca="1">29553.8026329571*((RANDBETWEEN(1620,2416)))</f>
        <v>64131751.713517003</v>
      </c>
      <c r="B4148">
        <v>196419007.22191775</v>
      </c>
    </row>
    <row r="4149" spans="1:2" x14ac:dyDescent="0.25">
      <c r="A4149">
        <f ca="1">27307.3003488811*((RANDBETWEEN(1620,2416)))</f>
        <v>56253038.718695104</v>
      </c>
      <c r="B4149">
        <v>197883841.64142478</v>
      </c>
    </row>
    <row r="4150" spans="1:2" x14ac:dyDescent="0.25">
      <c r="A4150">
        <f ca="1">26134.7968605457*((RANDBETWEEN(1620,2416)))</f>
        <v>55405769.344356909</v>
      </c>
      <c r="B4150">
        <v>152937834.52028161</v>
      </c>
    </row>
    <row r="4151" spans="1:2" x14ac:dyDescent="0.25">
      <c r="A4151">
        <f ca="1">28357.8624766405*((RANDBETWEEN(1620,2416)))</f>
        <v>54702316.717439607</v>
      </c>
      <c r="B4151">
        <v>156584177.97361606</v>
      </c>
    </row>
    <row r="4152" spans="1:2" x14ac:dyDescent="0.25">
      <c r="A4152">
        <f ca="1">27135.5647268539*((RANDBETWEEN(1620,2416)))</f>
        <v>57283177.138388589</v>
      </c>
      <c r="B4152">
        <v>160176071.54598245</v>
      </c>
    </row>
    <row r="4153" spans="1:2" x14ac:dyDescent="0.25">
      <c r="A4153">
        <f ca="1">31987.8245503744*((RANDBETWEEN(1620,2416)))</f>
        <v>53099788.753621437</v>
      </c>
      <c r="B4153">
        <v>171905886.48928097</v>
      </c>
    </row>
    <row r="4154" spans="1:2" x14ac:dyDescent="0.25">
      <c r="A4154">
        <f ca="1">29116.908608838*((RANDBETWEEN(1620,2416)))</f>
        <v>64552186.385793902</v>
      </c>
      <c r="B4154">
        <v>174326824.52214518</v>
      </c>
    </row>
    <row r="4155" spans="1:2" x14ac:dyDescent="0.25">
      <c r="A4155">
        <f ca="1">27073.1394325811*((RANDBETWEEN(1620,2416)))</f>
        <v>57259689.899909064</v>
      </c>
      <c r="B4155">
        <v>181259230.4918744</v>
      </c>
    </row>
    <row r="4156" spans="1:2" x14ac:dyDescent="0.25">
      <c r="A4156">
        <f ca="1">27091.2241387149*((RANDBETWEEN(1620,2416)))</f>
        <v>58164858.225820862</v>
      </c>
      <c r="B4156">
        <v>146632723.95118493</v>
      </c>
    </row>
    <row r="4157" spans="1:2" x14ac:dyDescent="0.25">
      <c r="A4157">
        <f ca="1">26004.5070076698*((RANDBETWEEN(1620,2416)))</f>
        <v>43531544.730839193</v>
      </c>
      <c r="B4157">
        <v>167917777.11021596</v>
      </c>
    </row>
    <row r="4158" spans="1:2" x14ac:dyDescent="0.25">
      <c r="A4158">
        <f ca="1">25907.5767551064*((RANDBETWEEN(1620,2416)))</f>
        <v>43369283.488048151</v>
      </c>
      <c r="B4158">
        <v>151264510.28029442</v>
      </c>
    </row>
    <row r="4159" spans="1:2" x14ac:dyDescent="0.25">
      <c r="A4159">
        <f ca="1">30986.6788937439*((RANDBETWEEN(1620,2416)))</f>
        <v>70990481.345567197</v>
      </c>
      <c r="B4159">
        <v>159498024.4571712</v>
      </c>
    </row>
    <row r="4160" spans="1:2" x14ac:dyDescent="0.25">
      <c r="A4160">
        <f ca="1">27449.2975499869*((RANDBETWEEN(1620,2416)))</f>
        <v>50094968.028726034</v>
      </c>
      <c r="B4160">
        <v>144429144.2416667</v>
      </c>
    </row>
    <row r="4161" spans="1:2" x14ac:dyDescent="0.25">
      <c r="A4161">
        <f ca="1">27015.8124781761*((RANDBETWEEN(1620,2416)))</f>
        <v>55814668.579911821</v>
      </c>
      <c r="B4161">
        <v>160694764.53450018</v>
      </c>
    </row>
    <row r="4162" spans="1:2" x14ac:dyDescent="0.25">
      <c r="A4162">
        <f ca="1">32564.2203644298*((RANDBETWEEN(1620,2416)))</f>
        <v>75972326.110214621</v>
      </c>
      <c r="B4162">
        <v>166274705.76600146</v>
      </c>
    </row>
    <row r="4163" spans="1:2" x14ac:dyDescent="0.25">
      <c r="A4163">
        <f ca="1">26828.8720399276*((RANDBETWEEN(1620,2416)))</f>
        <v>55830882.715089358</v>
      </c>
      <c r="B4163">
        <v>154380030.74743494</v>
      </c>
    </row>
    <row r="4164" spans="1:2" x14ac:dyDescent="0.25">
      <c r="A4164">
        <f ca="1">27747.9260069586*((RANDBETWEEN(1620,2416)))</f>
        <v>51888621.633012667</v>
      </c>
      <c r="B4164">
        <v>152614016.04617208</v>
      </c>
    </row>
    <row r="4165" spans="1:2" x14ac:dyDescent="0.25">
      <c r="A4165">
        <f ca="1">27349.8134314192*((RANDBETWEEN(1620,2416)))</f>
        <v>61591779.847555958</v>
      </c>
      <c r="B4165">
        <v>186099672.28372642</v>
      </c>
    </row>
    <row r="4166" spans="1:2" x14ac:dyDescent="0.25">
      <c r="A4166">
        <f ca="1">27354.0536353652*((RANDBETWEEN(1620,2416)))</f>
        <v>48061072.237336725</v>
      </c>
      <c r="B4166">
        <v>160000996.31146824</v>
      </c>
    </row>
    <row r="4167" spans="1:2" x14ac:dyDescent="0.25">
      <c r="A4167">
        <f ca="1">24107.071347865*((RANDBETWEEN(1620,2416)))</f>
        <v>40138273.794195302</v>
      </c>
      <c r="B4167">
        <v>166407380.06182617</v>
      </c>
    </row>
    <row r="4168" spans="1:2" x14ac:dyDescent="0.25">
      <c r="A4168">
        <f ca="1">26618.3518457109*((RANDBETWEEN(1620,2416)))</f>
        <v>48871293.988725238</v>
      </c>
      <c r="B4168">
        <v>152214837.33674166</v>
      </c>
    </row>
    <row r="4169" spans="1:2" x14ac:dyDescent="0.25">
      <c r="A4169">
        <f ca="1">27270.9768156395*((RANDBETWEEN(1620,2416)))</f>
        <v>59287103.597200342</v>
      </c>
      <c r="B4169">
        <v>161681609.29444057</v>
      </c>
    </row>
    <row r="4170" spans="1:2" x14ac:dyDescent="0.25">
      <c r="A4170">
        <f ca="1">26801.5017434841*((RANDBETWEEN(1620,2416)))</f>
        <v>55773925.128190354</v>
      </c>
      <c r="B4170">
        <v>144817976.07957503</v>
      </c>
    </row>
    <row r="4171" spans="1:2" x14ac:dyDescent="0.25">
      <c r="A4171">
        <f ca="1">30494.1368042414*((RANDBETWEEN(1620,2416)))</f>
        <v>52571891.850512251</v>
      </c>
      <c r="B4171">
        <v>160343623.20979255</v>
      </c>
    </row>
    <row r="4172" spans="1:2" x14ac:dyDescent="0.25">
      <c r="A4172">
        <f ca="1">26835.2213990954*((RANDBETWEEN(1620,2416)))</f>
        <v>46854296.562820636</v>
      </c>
      <c r="B4172">
        <v>152977675.4503707</v>
      </c>
    </row>
    <row r="4173" spans="1:2" x14ac:dyDescent="0.25">
      <c r="A4173">
        <f ca="1">27937.5121836049*((RANDBETWEEN(1620,2416)))</f>
        <v>45398457.298358031</v>
      </c>
      <c r="B4173">
        <v>188270561.1636979</v>
      </c>
    </row>
    <row r="4174" spans="1:2" x14ac:dyDescent="0.25">
      <c r="A4174">
        <f ca="1">26387.6980726188*((RANDBETWEEN(1620,2416)))</f>
        <v>59952850.020989954</v>
      </c>
      <c r="B4174">
        <v>144613302.49463323</v>
      </c>
    </row>
    <row r="4175" spans="1:2" x14ac:dyDescent="0.25">
      <c r="A4175">
        <f ca="1">26711.648595583*((RANDBETWEEN(1620,2416)))</f>
        <v>57376621.183312215</v>
      </c>
      <c r="B4175">
        <v>170453058.24705964</v>
      </c>
    </row>
    <row r="4176" spans="1:2" x14ac:dyDescent="0.25">
      <c r="A4176">
        <f ca="1">27874.8032549665*((RANDBETWEEN(1620,2416)))</f>
        <v>47665913.565992698</v>
      </c>
      <c r="B4176">
        <v>143326699.35359645</v>
      </c>
    </row>
    <row r="4177" spans="1:2" x14ac:dyDescent="0.25">
      <c r="A4177">
        <f ca="1">30854.92176662*((RANDBETWEEN(1620,2416)))</f>
        <v>60383081.897275358</v>
      </c>
      <c r="B4177">
        <v>147208440.67248583</v>
      </c>
    </row>
    <row r="4178" spans="1:2" x14ac:dyDescent="0.25">
      <c r="A4178">
        <f ca="1">27930.8104038236*((RANDBETWEEN(1620,2416)))</f>
        <v>51057521.418189473</v>
      </c>
      <c r="B4178">
        <v>179555581.11227819</v>
      </c>
    </row>
    <row r="4179" spans="1:2" x14ac:dyDescent="0.25">
      <c r="A4179">
        <f ca="1">28290.4720743473*((RANDBETWEEN(1620,2416)))</f>
        <v>51686692.479832552</v>
      </c>
      <c r="B4179">
        <v>174998213.38035494</v>
      </c>
    </row>
    <row r="4180" spans="1:2" x14ac:dyDescent="0.25">
      <c r="A4180">
        <f ca="1">29372.9909272112*((RANDBETWEEN(1620,2416)))</f>
        <v>67264149.223313555</v>
      </c>
      <c r="B4180">
        <v>166383005.35468221</v>
      </c>
    </row>
    <row r="4181" spans="1:2" x14ac:dyDescent="0.25">
      <c r="A4181">
        <f ca="1">27732.42948899*((RANDBETWEEN(1620,2416)))</f>
        <v>58875947.80512581</v>
      </c>
      <c r="B4181">
        <v>172081034.97626153</v>
      </c>
    </row>
    <row r="4182" spans="1:2" x14ac:dyDescent="0.25">
      <c r="A4182">
        <f ca="1">28281.4597850185*((RANDBETWEEN(1620,2416)))</f>
        <v>47116912.001840957</v>
      </c>
      <c r="B4182">
        <v>177339491.15666574</v>
      </c>
    </row>
    <row r="4183" spans="1:2" x14ac:dyDescent="0.25">
      <c r="A4183">
        <f ca="1">26153.7044976591*((RANDBETWEEN(1620,2416)))</f>
        <v>42682845.74017965</v>
      </c>
      <c r="B4183">
        <v>158421646.71450642</v>
      </c>
    </row>
    <row r="4184" spans="1:2" x14ac:dyDescent="0.25">
      <c r="A4184">
        <f ca="1">27485.2279788959*((RANDBETWEEN(1620,2416)))</f>
        <v>53980987.750551462</v>
      </c>
      <c r="B4184">
        <v>167768137.36480355</v>
      </c>
    </row>
    <row r="4185" spans="1:2" x14ac:dyDescent="0.25">
      <c r="A4185">
        <f ca="1">27964.6158353918*((RANDBETWEEN(1620,2416)))</f>
        <v>62948350.245466888</v>
      </c>
      <c r="B4185">
        <v>199198507.42356688</v>
      </c>
    </row>
    <row r="4186" spans="1:2" x14ac:dyDescent="0.25">
      <c r="A4186">
        <f ca="1">26640.8288340322*((RANDBETWEEN(1620,2416)))</f>
        <v>63884707.544009127</v>
      </c>
      <c r="B4186">
        <v>143144450.92181629</v>
      </c>
    </row>
    <row r="4187" spans="1:2" x14ac:dyDescent="0.25">
      <c r="A4187">
        <f ca="1">31146.2654344537*((RANDBETWEEN(1620,2416)))</f>
        <v>66653008.029730819</v>
      </c>
      <c r="B4187">
        <v>191917695.28575352</v>
      </c>
    </row>
    <row r="4188" spans="1:2" x14ac:dyDescent="0.25">
      <c r="A4188">
        <f ca="1">25996.4979885119*((RANDBETWEEN(1620,2416)))</f>
        <v>54072715.81610468</v>
      </c>
      <c r="B4188">
        <v>143269628.37124407</v>
      </c>
    </row>
    <row r="4189" spans="1:2" x14ac:dyDescent="0.25">
      <c r="A4189">
        <f ca="1">28474.3103212573*((RANDBETWEEN(1620,2416)))</f>
        <v>61960099.259055868</v>
      </c>
      <c r="B4189">
        <v>160571326.05579633</v>
      </c>
    </row>
    <row r="4190" spans="1:2" x14ac:dyDescent="0.25">
      <c r="A4190">
        <f ca="1">26161.9775304827*((RANDBETWEEN(1620,2416)))</f>
        <v>47562475.150417574</v>
      </c>
      <c r="B4190">
        <v>172633470.57028252</v>
      </c>
    </row>
    <row r="4191" spans="1:2" x14ac:dyDescent="0.25">
      <c r="A4191">
        <f ca="1">26689.5998612811*((RANDBETWEEN(1620,2416)))</f>
        <v>48308175.748918869</v>
      </c>
      <c r="B4191">
        <v>174266740.01864782</v>
      </c>
    </row>
    <row r="4192" spans="1:2" x14ac:dyDescent="0.25">
      <c r="A4192">
        <f ca="1">28279.6746444073*((RANDBETWEEN(1620,2416)))</f>
        <v>48301684.292647719</v>
      </c>
      <c r="B4192">
        <v>169828160.19840342</v>
      </c>
    </row>
    <row r="4193" spans="1:2" x14ac:dyDescent="0.25">
      <c r="A4193">
        <f ca="1">27049.7370667247*((RANDBETWEEN(1620,2416)))</f>
        <v>55587209.672119305</v>
      </c>
      <c r="B4193">
        <v>195647693.70381764</v>
      </c>
    </row>
    <row r="4194" spans="1:2" x14ac:dyDescent="0.25">
      <c r="A4194">
        <f ca="1">25967.8627962196*((RANDBETWEEN(1620,2416)))</f>
        <v>58973016.410214685</v>
      </c>
      <c r="B4194">
        <v>177014726.93534857</v>
      </c>
    </row>
    <row r="4195" spans="1:2" x14ac:dyDescent="0.25">
      <c r="A4195">
        <f ca="1">25834.6445500586*((RANDBETWEEN(1620,2416)))</f>
        <v>59548855.687885121</v>
      </c>
      <c r="B4195">
        <v>195309092.44664606</v>
      </c>
    </row>
    <row r="4196" spans="1:2" x14ac:dyDescent="0.25">
      <c r="A4196">
        <f ca="1">25907.5909924116*((RANDBETWEEN(1620,2416)))</f>
        <v>56504455.954449721</v>
      </c>
      <c r="B4196">
        <v>144445167.4443869</v>
      </c>
    </row>
    <row r="4197" spans="1:2" x14ac:dyDescent="0.25">
      <c r="A4197">
        <f ca="1">26912.8415987423*((RANDBETWEEN(1620,2416)))</f>
        <v>46370826.074632935</v>
      </c>
      <c r="B4197">
        <v>154293815.77885309</v>
      </c>
    </row>
    <row r="4198" spans="1:2" x14ac:dyDescent="0.25">
      <c r="A4198">
        <f ca="1">31163.1496793281*((RANDBETWEEN(1620,2416)))</f>
        <v>75134353.876860112</v>
      </c>
      <c r="B4198">
        <v>163942349.66225508</v>
      </c>
    </row>
    <row r="4199" spans="1:2" x14ac:dyDescent="0.25">
      <c r="A4199">
        <f ca="1">28632.6009014497*((RANDBETWEEN(1620,2416)))</f>
        <v>60271624.897551589</v>
      </c>
      <c r="B4199">
        <v>147301524.95828062</v>
      </c>
    </row>
    <row r="4200" spans="1:2" x14ac:dyDescent="0.25">
      <c r="A4200">
        <f ca="1">30913.364343603*((RANDBETWEEN(1620,2416)))</f>
        <v>56911503.756573208</v>
      </c>
      <c r="B4200">
        <v>145908114.43765968</v>
      </c>
    </row>
    <row r="4201" spans="1:2" x14ac:dyDescent="0.25">
      <c r="A4201">
        <f ca="1">29280.3672448854*((RANDBETWEEN(1620,2416)))</f>
        <v>58180089.715587348</v>
      </c>
      <c r="B4201">
        <v>195656234.07616347</v>
      </c>
    </row>
    <row r="4202" spans="1:2" x14ac:dyDescent="0.25">
      <c r="A4202">
        <f ca="1">30488.7615542242*((RANDBETWEEN(1620,2416)))</f>
        <v>58690865.991881549</v>
      </c>
      <c r="B4202">
        <v>183061981.13928699</v>
      </c>
    </row>
    <row r="4203" spans="1:2" x14ac:dyDescent="0.25">
      <c r="A4203">
        <f ca="1">31488.0545819175*((RANDBETWEEN(1620,2416)))</f>
        <v>57119331.011598364</v>
      </c>
      <c r="B4203">
        <v>169267156.84281385</v>
      </c>
    </row>
    <row r="4204" spans="1:2" x14ac:dyDescent="0.25">
      <c r="A4204">
        <f ca="1">32058.4031230805*((RANDBETWEEN(1620,2416)))</f>
        <v>70977304.514500216</v>
      </c>
      <c r="B4204">
        <v>190139584.49886629</v>
      </c>
    </row>
    <row r="4205" spans="1:2" x14ac:dyDescent="0.25">
      <c r="A4205">
        <f ca="1">29195.1731900894*((RANDBETWEEN(1620,2416)))</f>
        <v>58623907.765699506</v>
      </c>
      <c r="B4205">
        <v>184817535.28202224</v>
      </c>
    </row>
    <row r="4206" spans="1:2" x14ac:dyDescent="0.25">
      <c r="A4206">
        <f ca="1">27201.4059125254*((RANDBETWEEN(1620,2416)))</f>
        <v>55055645.566951424</v>
      </c>
      <c r="B4206">
        <v>152381137.83587182</v>
      </c>
    </row>
    <row r="4207" spans="1:2" x14ac:dyDescent="0.25">
      <c r="A4207">
        <f ca="1">26739.0900798571*((RANDBETWEEN(1620,2416)))</f>
        <v>62088167.165428095</v>
      </c>
      <c r="B4207">
        <v>155890509.60547811</v>
      </c>
    </row>
    <row r="4208" spans="1:2" x14ac:dyDescent="0.25">
      <c r="A4208">
        <f ca="1">26750.899587493*((RANDBETWEEN(1620,2416)))</f>
        <v>54598586.05807329</v>
      </c>
      <c r="B4208">
        <v>148904387.64033002</v>
      </c>
    </row>
    <row r="4209" spans="1:2" x14ac:dyDescent="0.25">
      <c r="A4209">
        <f ca="1">25875.7798375548*((RANDBETWEEN(1620,2416)))</f>
        <v>54002752.520976827</v>
      </c>
      <c r="B4209">
        <v>157349907.20087239</v>
      </c>
    </row>
    <row r="4210" spans="1:2" x14ac:dyDescent="0.25">
      <c r="A4210">
        <f ca="1">27508.8181824632*((RANDBETWEEN(1620,2416)))</f>
        <v>55897918.546765268</v>
      </c>
      <c r="B4210">
        <v>189451084.84717315</v>
      </c>
    </row>
    <row r="4211" spans="1:2" x14ac:dyDescent="0.25">
      <c r="A4211">
        <f ca="1">25911.9861346563*((RANDBETWEEN(1620,2416)))</f>
        <v>61722350.972751312</v>
      </c>
      <c r="B4211">
        <v>149976294.26132786</v>
      </c>
    </row>
    <row r="4212" spans="1:2" x14ac:dyDescent="0.25">
      <c r="A4212">
        <f ca="1">28768.9346969003*((RANDBETWEEN(1620,2416)))</f>
        <v>64528720.525147423</v>
      </c>
      <c r="B4212">
        <v>148862519.25344554</v>
      </c>
    </row>
    <row r="4213" spans="1:2" x14ac:dyDescent="0.25">
      <c r="A4213">
        <f ca="1">28683.1784891109*((RANDBETWEEN(1620,2416)))</f>
        <v>64106903.923162952</v>
      </c>
      <c r="B4213">
        <v>178564296.38843924</v>
      </c>
    </row>
    <row r="4214" spans="1:2" x14ac:dyDescent="0.25">
      <c r="A4214">
        <f ca="1">27444.0545156807*((RANDBETWEEN(1620,2416)))</f>
        <v>48548532.438239269</v>
      </c>
      <c r="B4214">
        <v>160994899.51323229</v>
      </c>
    </row>
    <row r="4215" spans="1:2" x14ac:dyDescent="0.25">
      <c r="A4215">
        <f ca="1">27995.391099978*((RANDBETWEEN(1620,2416)))</f>
        <v>67076957.07554736</v>
      </c>
      <c r="B4215">
        <v>163769936.17221445</v>
      </c>
    </row>
    <row r="4216" spans="1:2" x14ac:dyDescent="0.25">
      <c r="A4216">
        <f ca="1">27270.6101479668*((RANDBETWEEN(1620,2416)))</f>
        <v>51595994.399953261</v>
      </c>
      <c r="B4216">
        <v>193304488.09030795</v>
      </c>
    </row>
    <row r="4217" spans="1:2" x14ac:dyDescent="0.25">
      <c r="A4217">
        <f ca="1">26446.1899204821*((RANDBETWEEN(1620,2416)))</f>
        <v>57758478.78633295</v>
      </c>
      <c r="B4217">
        <v>188233367.87429714</v>
      </c>
    </row>
    <row r="4218" spans="1:2" x14ac:dyDescent="0.25">
      <c r="A4218">
        <f ca="1">25521.1515407095*((RANDBETWEEN(1620,2416)))</f>
        <v>54947039.267147526</v>
      </c>
      <c r="B4218">
        <v>160140840.10265449</v>
      </c>
    </row>
    <row r="4219" spans="1:2" x14ac:dyDescent="0.25">
      <c r="A4219">
        <f ca="1">26131.5959403853*((RANDBETWEEN(1620,2416)))</f>
        <v>53935614.020955279</v>
      </c>
      <c r="B4219">
        <v>169115327.10315982</v>
      </c>
    </row>
    <row r="4220" spans="1:2" x14ac:dyDescent="0.25">
      <c r="A4220">
        <f ca="1">26825.1080835352*((RANDBETWEEN(1620,2416)))</f>
        <v>47936468.145277455</v>
      </c>
      <c r="B4220">
        <v>168167036.23255128</v>
      </c>
    </row>
    <row r="4221" spans="1:2" x14ac:dyDescent="0.25">
      <c r="A4221">
        <f ca="1">28283.3962382557*((RANDBETWEEN(1620,2416)))</f>
        <v>50966680.021336801</v>
      </c>
      <c r="B4221">
        <v>146180840.34513474</v>
      </c>
    </row>
    <row r="4222" spans="1:2" x14ac:dyDescent="0.25">
      <c r="A4222">
        <f ca="1">26395.5233552722*((RANDBETWEEN(1620,2416)))</f>
        <v>61211218.660876162</v>
      </c>
      <c r="B4222">
        <v>148199135.27854347</v>
      </c>
    </row>
    <row r="4223" spans="1:2" x14ac:dyDescent="0.25">
      <c r="A4223">
        <f ca="1">25599.1367763908*((RANDBETWEEN(1620,2416)))</f>
        <v>54782152.701476254</v>
      </c>
      <c r="B4223">
        <v>161927285.3732937</v>
      </c>
    </row>
    <row r="4224" spans="1:2" x14ac:dyDescent="0.25">
      <c r="A4224">
        <f ca="1">27199.7372763363*((RANDBETWEEN(1620,2416)))</f>
        <v>65088971.302272864</v>
      </c>
      <c r="B4224">
        <v>186635441.25057656</v>
      </c>
    </row>
    <row r="4225" spans="1:2" x14ac:dyDescent="0.25">
      <c r="A4225">
        <f ca="1">26457.8787586415*((RANDBETWEEN(1620,2416)))</f>
        <v>62467051.749152474</v>
      </c>
      <c r="B4225">
        <v>148039643.81680357</v>
      </c>
    </row>
    <row r="4226" spans="1:2" x14ac:dyDescent="0.25">
      <c r="A4226">
        <f ca="1">27513.7654345792*((RANDBETWEEN(1620,2416)))</f>
        <v>46993511.362261318</v>
      </c>
      <c r="B4226">
        <v>172836621.74528459</v>
      </c>
    </row>
    <row r="4227" spans="1:2" x14ac:dyDescent="0.25">
      <c r="A4227">
        <f ca="1">25751.7172004622*((RANDBETWEEN(1620,2416)))</f>
        <v>56731032.992618263</v>
      </c>
      <c r="B4227">
        <v>159998364.71610951</v>
      </c>
    </row>
    <row r="4228" spans="1:2" x14ac:dyDescent="0.25">
      <c r="A4228">
        <f ca="1">25908.3487218842*((RANDBETWEEN(1620,2416)))</f>
        <v>55728858.100772977</v>
      </c>
      <c r="B4228">
        <v>149387195.4307183</v>
      </c>
    </row>
    <row r="4229" spans="1:2" x14ac:dyDescent="0.25">
      <c r="A4229">
        <f ca="1">29831.3488338403*((RANDBETWEEN(1620,2416)))</f>
        <v>54949344.551933877</v>
      </c>
      <c r="B4229">
        <v>191764322.02448243</v>
      </c>
    </row>
    <row r="4230" spans="1:2" x14ac:dyDescent="0.25">
      <c r="A4230">
        <f ca="1">29060.214707089*((RANDBETWEEN(1620,2416)))</f>
        <v>68727407.782265455</v>
      </c>
      <c r="B4230">
        <v>189453754.59373444</v>
      </c>
    </row>
    <row r="4231" spans="1:2" x14ac:dyDescent="0.25">
      <c r="A4231">
        <f ca="1">29442.4383754398*((RANDBETWEEN(1620,2416)))</f>
        <v>59179301.134633943</v>
      </c>
      <c r="B4231">
        <v>163414475.68772554</v>
      </c>
    </row>
    <row r="4232" spans="1:2" x14ac:dyDescent="0.25">
      <c r="A4232">
        <f ca="1">25710.8468387372*((RANDBETWEEN(1620,2416)))</f>
        <v>55406874.937478766</v>
      </c>
      <c r="B4232">
        <v>166327897.67050943</v>
      </c>
    </row>
    <row r="4233" spans="1:2" x14ac:dyDescent="0.25">
      <c r="A4233">
        <f ca="1">31317.9349220224*((RANDBETWEEN(1620,2416)))</f>
        <v>61132608.967787668</v>
      </c>
      <c r="B4233">
        <v>197800651.80249247</v>
      </c>
    </row>
    <row r="4234" spans="1:2" x14ac:dyDescent="0.25">
      <c r="A4234">
        <f ca="1">31815.1535095739*((RANDBETWEEN(1620,2416)))</f>
        <v>58794403.685692534</v>
      </c>
      <c r="B4234">
        <v>147237490.63991189</v>
      </c>
    </row>
    <row r="4235" spans="1:2" x14ac:dyDescent="0.25">
      <c r="A4235">
        <f ca="1">25570.5717174374*((RANDBETWEEN(1620,2416)))</f>
        <v>54567600.045011424</v>
      </c>
      <c r="B4235">
        <v>142983965.87957573</v>
      </c>
    </row>
    <row r="4236" spans="1:2" x14ac:dyDescent="0.25">
      <c r="A4236">
        <f ca="1">27412.1771311136*((RANDBETWEEN(1620,2416)))</f>
        <v>53453745.405671425</v>
      </c>
      <c r="B4236">
        <v>198845499.98461774</v>
      </c>
    </row>
    <row r="4237" spans="1:2" x14ac:dyDescent="0.25">
      <c r="A4237">
        <f ca="1">26684.7524006903*((RANDBETWEEN(1620,2416)))</f>
        <v>50674344.808910958</v>
      </c>
      <c r="B4237">
        <v>185736963.63042042</v>
      </c>
    </row>
    <row r="4238" spans="1:2" x14ac:dyDescent="0.25">
      <c r="A4238">
        <f ca="1">23909.6941122276*((RANDBETWEEN(1620,2416)))</f>
        <v>50640732.129698098</v>
      </c>
      <c r="B4238">
        <v>159190885.66389379</v>
      </c>
    </row>
    <row r="4239" spans="1:2" x14ac:dyDescent="0.25">
      <c r="A4239">
        <f ca="1">27280.0146449364*((RANDBETWEEN(1620,2416)))</f>
        <v>46130504.764587462</v>
      </c>
      <c r="B4239">
        <v>143425893.2221359</v>
      </c>
    </row>
    <row r="4240" spans="1:2" x14ac:dyDescent="0.25">
      <c r="A4240">
        <f ca="1">26509.9735620359*((RANDBETWEEN(1620,2416)))</f>
        <v>63146757.02476947</v>
      </c>
      <c r="B4240">
        <v>143215558.03225064</v>
      </c>
    </row>
    <row r="4241" spans="1:2" x14ac:dyDescent="0.25">
      <c r="A4241">
        <f ca="1">27583.9587629396*((RANDBETWEEN(1620,2416)))</f>
        <v>63801696.618679382</v>
      </c>
      <c r="B4241">
        <v>164820065.44955498</v>
      </c>
    </row>
    <row r="4242" spans="1:2" x14ac:dyDescent="0.25">
      <c r="A4242">
        <f ca="1">33458.7346013645*((RANDBETWEEN(1620,2416)))</f>
        <v>73542298.653799087</v>
      </c>
      <c r="B4242">
        <v>196121007.52085051</v>
      </c>
    </row>
    <row r="4243" spans="1:2" x14ac:dyDescent="0.25">
      <c r="A4243">
        <f ca="1">26018.7731892277*((RANDBETWEEN(1620,2416)))</f>
        <v>52792090.800942972</v>
      </c>
      <c r="B4243">
        <v>165913360.45341003</v>
      </c>
    </row>
    <row r="4244" spans="1:2" x14ac:dyDescent="0.25">
      <c r="A4244">
        <f ca="1">26121.5123025271*((RANDBETWEEN(1620,2416)))</f>
        <v>59557048.049761675</v>
      </c>
      <c r="B4244">
        <v>144538345.14985043</v>
      </c>
    </row>
    <row r="4245" spans="1:2" x14ac:dyDescent="0.25">
      <c r="A4245">
        <f ca="1">30692.5765034139*((RANDBETWEEN(1620,2416)))</f>
        <v>70531540.804845169</v>
      </c>
      <c r="B4245">
        <v>162489305.30684462</v>
      </c>
    </row>
    <row r="4246" spans="1:2" x14ac:dyDescent="0.25">
      <c r="A4246">
        <f ca="1">26884.6160266674*((RANDBETWEEN(1620,2416)))</f>
        <v>54306924.373868085</v>
      </c>
      <c r="B4246">
        <v>155240593.42233509</v>
      </c>
    </row>
    <row r="4247" spans="1:2" x14ac:dyDescent="0.25">
      <c r="A4247">
        <f ca="1">27196.3273386623*((RANDBETWEEN(1620,2416)))</f>
        <v>47430394.878627107</v>
      </c>
      <c r="B4247">
        <v>173303767.55009618</v>
      </c>
    </row>
    <row r="4248" spans="1:2" x14ac:dyDescent="0.25">
      <c r="A4248">
        <f ca="1">31173.0245809729*((RANDBETWEEN(1620,2416)))</f>
        <v>69141768.520597935</v>
      </c>
      <c r="B4248">
        <v>186410699.34652638</v>
      </c>
    </row>
    <row r="4249" spans="1:2" x14ac:dyDescent="0.25">
      <c r="A4249">
        <f ca="1">30116.2016841935*((RANDBETWEEN(1620,2416)))</f>
        <v>67821686.192803741</v>
      </c>
      <c r="B4249">
        <v>171228824.10920346</v>
      </c>
    </row>
    <row r="4250" spans="1:2" x14ac:dyDescent="0.25">
      <c r="A4250">
        <f ca="1">25670.5386616513*((RANDBETWEEN(1620,2416)))</f>
        <v>49313104.769032136</v>
      </c>
      <c r="B4250">
        <v>156716078.58123171</v>
      </c>
    </row>
    <row r="4251" spans="1:2" x14ac:dyDescent="0.25">
      <c r="A4251">
        <f ca="1">26465.575921685*((RANDBETWEEN(1620,2416)))</f>
        <v>59335821.216417812</v>
      </c>
      <c r="B4251">
        <v>154544619.13137788</v>
      </c>
    </row>
    <row r="4252" spans="1:2" x14ac:dyDescent="0.25">
      <c r="A4252">
        <f ca="1">26346.8498686328*((RANDBETWEEN(1620,2416)))</f>
        <v>55012222.52570536</v>
      </c>
      <c r="B4252">
        <v>150306849.38897085</v>
      </c>
    </row>
    <row r="4253" spans="1:2" x14ac:dyDescent="0.25">
      <c r="A4253">
        <f ca="1">25803.9964388138*((RANDBETWEEN(1620,2416)))</f>
        <v>59865271.738048106</v>
      </c>
      <c r="B4253">
        <v>155378838.79276207</v>
      </c>
    </row>
    <row r="4254" spans="1:2" x14ac:dyDescent="0.25">
      <c r="A4254">
        <f ca="1">29319.5102947227*((RANDBETWEEN(1620,2416)))</f>
        <v>65411827.467526436</v>
      </c>
      <c r="B4254">
        <v>148320871.41054109</v>
      </c>
    </row>
    <row r="4255" spans="1:2" x14ac:dyDescent="0.25">
      <c r="A4255">
        <f ca="1">29859.5837781286*((RANDBETWEEN(1620,2416)))</f>
        <v>70677634.802830383</v>
      </c>
      <c r="B4255">
        <v>197177723.14295188</v>
      </c>
    </row>
    <row r="4256" spans="1:2" x14ac:dyDescent="0.25">
      <c r="A4256">
        <f ca="1">26834.9513122922*((RANDBETWEEN(1620,2416)))</f>
        <v>61774057.920896545</v>
      </c>
      <c r="B4256">
        <v>154307067.60478082</v>
      </c>
    </row>
    <row r="4257" spans="1:2" x14ac:dyDescent="0.25">
      <c r="A4257">
        <f ca="1">26179.0182746387*((RANDBETWEEN(1620,2416)))</f>
        <v>52410394.58582674</v>
      </c>
      <c r="B4257">
        <v>171516459.07843959</v>
      </c>
    </row>
    <row r="4258" spans="1:2" x14ac:dyDescent="0.25">
      <c r="A4258">
        <f ca="1">29412.181675483*((RANDBETWEEN(1620,2416)))</f>
        <v>50206594.120049447</v>
      </c>
      <c r="B4258">
        <v>164772578.1145997</v>
      </c>
    </row>
    <row r="4259" spans="1:2" x14ac:dyDescent="0.25">
      <c r="A4259">
        <f ca="1">31221.9774302465*((RANDBETWEEN(1620,2416)))</f>
        <v>60757968.079259716</v>
      </c>
      <c r="B4259">
        <v>146377736.08624721</v>
      </c>
    </row>
    <row r="4260" spans="1:2" x14ac:dyDescent="0.25">
      <c r="A4260">
        <f ca="1">26523.6376494586*((RANDBETWEEN(1620,2416)))</f>
        <v>47265122.291335173</v>
      </c>
      <c r="B4260">
        <v>147972681.31433985</v>
      </c>
    </row>
    <row r="4261" spans="1:2" x14ac:dyDescent="0.25">
      <c r="A4261">
        <f ca="1">28669.8039765257*((RANDBETWEEN(1620,2416)))</f>
        <v>60837324.038187586</v>
      </c>
      <c r="B4261">
        <v>167583446.00479442</v>
      </c>
    </row>
    <row r="4262" spans="1:2" x14ac:dyDescent="0.25">
      <c r="A4262">
        <f ca="1">27254.4180013797*((RANDBETWEEN(1620,2416)))</f>
        <v>65383348.785309784</v>
      </c>
      <c r="B4262">
        <v>193959896.71249658</v>
      </c>
    </row>
    <row r="4263" spans="1:2" x14ac:dyDescent="0.25">
      <c r="A4263">
        <f ca="1">31021.2803214555*((RANDBETWEEN(1620,2416)))</f>
        <v>63996901.303162776</v>
      </c>
      <c r="B4263">
        <v>190514132.68126261</v>
      </c>
    </row>
    <row r="4264" spans="1:2" x14ac:dyDescent="0.25">
      <c r="A4264">
        <f ca="1">26788.4384283239*((RANDBETWEEN(1620,2416)))</f>
        <v>58184488.266319484</v>
      </c>
      <c r="B4264">
        <v>154812834.30472305</v>
      </c>
    </row>
    <row r="4265" spans="1:2" x14ac:dyDescent="0.25">
      <c r="A4265">
        <f ca="1">31120.4914116264*((RANDBETWEEN(1620,2416)))</f>
        <v>66131044.249706008</v>
      </c>
      <c r="B4265">
        <v>174965107.22616416</v>
      </c>
    </row>
    <row r="4266" spans="1:2" x14ac:dyDescent="0.25">
      <c r="A4266">
        <f ca="1">26162.0122855127*((RANDBETWEEN(1620,2416)))</f>
        <v>61349918.809527285</v>
      </c>
      <c r="B4266">
        <v>159853547.12323341</v>
      </c>
    </row>
    <row r="4267" spans="1:2" x14ac:dyDescent="0.25">
      <c r="A4267">
        <f ca="1">28000.4242985446*((RANDBETWEEN(1620,2416)))</f>
        <v>67089016.619312912</v>
      </c>
      <c r="B4267">
        <v>202598869.64925286</v>
      </c>
    </row>
    <row r="4268" spans="1:2" x14ac:dyDescent="0.25">
      <c r="A4268">
        <f ca="1">29951.1628457014*((RANDBETWEEN(1620,2416)))</f>
        <v>68558211.753810406</v>
      </c>
      <c r="B4268">
        <v>149778868.03465194</v>
      </c>
    </row>
    <row r="4269" spans="1:2" x14ac:dyDescent="0.25">
      <c r="A4269">
        <f ca="1">25830.8309647973*((RANDBETWEEN(1620,2416)))</f>
        <v>47683713.961015902</v>
      </c>
      <c r="B4269">
        <v>151861734.97456968</v>
      </c>
    </row>
    <row r="4270" spans="1:2" x14ac:dyDescent="0.25">
      <c r="A4270">
        <f ca="1">29366.7132050233*((RANDBETWEEN(1620,2416)))</f>
        <v>64724235.903871298</v>
      </c>
      <c r="B4270">
        <v>177319941.36548898</v>
      </c>
    </row>
    <row r="4271" spans="1:2" x14ac:dyDescent="0.25">
      <c r="A4271">
        <f ca="1">25753.0436531019*((RANDBETWEEN(1620,2416)))</f>
        <v>51918136.004653454</v>
      </c>
      <c r="B4271">
        <v>145973286.46022668</v>
      </c>
    </row>
    <row r="4272" spans="1:2" x14ac:dyDescent="0.25">
      <c r="A4272">
        <f ca="1">32418.2575530071*((RANDBETWEEN(1620,2416)))</f>
        <v>76474669.567543834</v>
      </c>
      <c r="B4272">
        <v>165923962.98182461</v>
      </c>
    </row>
    <row r="4273" spans="1:2" x14ac:dyDescent="0.25">
      <c r="A4273">
        <f ca="1">28580.0495640109*((RANDBETWEEN(1620,2416)))</f>
        <v>50072246.83614713</v>
      </c>
      <c r="B4273">
        <v>170661990.11453554</v>
      </c>
    </row>
    <row r="4274" spans="1:2" x14ac:dyDescent="0.25">
      <c r="A4274">
        <f ca="1">26169.4674329396*((RANDBETWEEN(1620,2416)))</f>
        <v>53124018.888867423</v>
      </c>
      <c r="B4274">
        <v>147961717.71647796</v>
      </c>
    </row>
    <row r="4275" spans="1:2" x14ac:dyDescent="0.25">
      <c r="A4275">
        <f ca="1">26603.1915411445*((RANDBETWEEN(1620,2416)))</f>
        <v>61400166.076961577</v>
      </c>
      <c r="B4275">
        <v>164878638.67334601</v>
      </c>
    </row>
    <row r="4276" spans="1:2" x14ac:dyDescent="0.25">
      <c r="A4276">
        <f ca="1">32704.0482885392*((RANDBETWEEN(1620,2416)))</f>
        <v>70182887.627205089</v>
      </c>
      <c r="B4276">
        <v>153351300.23299176</v>
      </c>
    </row>
    <row r="4277" spans="1:2" x14ac:dyDescent="0.25">
      <c r="A4277">
        <f ca="1">26544.6905875933*((RANDBETWEEN(1620,2416)))</f>
        <v>62884372.00200855</v>
      </c>
      <c r="B4277">
        <v>146988762.85335171</v>
      </c>
    </row>
    <row r="4278" spans="1:2" x14ac:dyDescent="0.25">
      <c r="A4278">
        <f ca="1">30264.5175975491*((RANDBETWEEN(1620,2416)))</f>
        <v>69850506.615143299</v>
      </c>
      <c r="B4278">
        <v>174948695.78225011</v>
      </c>
    </row>
    <row r="4279" spans="1:2" x14ac:dyDescent="0.25">
      <c r="A4279">
        <f ca="1">28085.9275092679*((RANDBETWEEN(1620,2416)))</f>
        <v>59991541.159796253</v>
      </c>
      <c r="B4279">
        <v>158434652.43752179</v>
      </c>
    </row>
    <row r="4280" spans="1:2" x14ac:dyDescent="0.25">
      <c r="A4280">
        <f ca="1">27807.9998622351*((RANDBETWEEN(1620,2416)))</f>
        <v>65654687.674737141</v>
      </c>
      <c r="B4280">
        <v>144452351.12500584</v>
      </c>
    </row>
    <row r="4281" spans="1:2" x14ac:dyDescent="0.25">
      <c r="A4281">
        <f ca="1">27602.8265451086*((RANDBETWEEN(1620,2416)))</f>
        <v>63458898.227204576</v>
      </c>
      <c r="B4281">
        <v>186676691.25733808</v>
      </c>
    </row>
    <row r="4282" spans="1:2" x14ac:dyDescent="0.25">
      <c r="A4282">
        <f ca="1">28329.9419720289*((RANDBETWEEN(1620,2416)))</f>
        <v>58161370.86857526</v>
      </c>
      <c r="B4282">
        <v>201552725.50526381</v>
      </c>
    </row>
    <row r="4283" spans="1:2" x14ac:dyDescent="0.25">
      <c r="A4283">
        <f ca="1">25225.1403002843*((RANDBETWEEN(1620,2416)))</f>
        <v>48684520.779548623</v>
      </c>
      <c r="B4283">
        <v>149042847.3644056</v>
      </c>
    </row>
    <row r="4284" spans="1:2" x14ac:dyDescent="0.25">
      <c r="A4284">
        <f ca="1">27258.2775834278*((RANDBETWEEN(1620,2416)))</f>
        <v>51681694.298179083</v>
      </c>
      <c r="B4284">
        <v>164751917.95435426</v>
      </c>
    </row>
    <row r="4285" spans="1:2" x14ac:dyDescent="0.25">
      <c r="A4285">
        <f ca="1">27702.2169714117*((RANDBETWEEN(1620,2416)))</f>
        <v>63438076.864532746</v>
      </c>
      <c r="B4285">
        <v>183283106.08968741</v>
      </c>
    </row>
    <row r="4286" spans="1:2" x14ac:dyDescent="0.25">
      <c r="A4286">
        <f ca="1">30844.2040363943*((RANDBETWEEN(1620,2416)))</f>
        <v>55735476.693764575</v>
      </c>
      <c r="B4286">
        <v>157585889.96012962</v>
      </c>
    </row>
    <row r="4287" spans="1:2" x14ac:dyDescent="0.25">
      <c r="A4287">
        <f ca="1">28945.8744715861*((RANDBETWEEN(1620,2416)))</f>
        <v>64751921.192938007</v>
      </c>
      <c r="B4287">
        <v>147762431.65516722</v>
      </c>
    </row>
    <row r="4288" spans="1:2" x14ac:dyDescent="0.25">
      <c r="A4288">
        <f ca="1">26409.0065430593*((RANDBETWEEN(1620,2416)))</f>
        <v>52527514.014144927</v>
      </c>
      <c r="B4288">
        <v>197797342.20133483</v>
      </c>
    </row>
    <row r="4289" spans="1:2" x14ac:dyDescent="0.25">
      <c r="A4289">
        <f ca="1">27271.3277151059*((RANDBETWEEN(1620,2416)))</f>
        <v>58687897.242907986</v>
      </c>
      <c r="B4289">
        <v>160208315.86781046</v>
      </c>
    </row>
    <row r="4290" spans="1:2" x14ac:dyDescent="0.25">
      <c r="A4290">
        <f ca="1">26229.58014684*((RANDBETWEEN(1620,2416)))</f>
        <v>49836202.278995939</v>
      </c>
      <c r="B4290">
        <v>158663162.80915236</v>
      </c>
    </row>
    <row r="4291" spans="1:2" x14ac:dyDescent="0.25">
      <c r="A4291">
        <f ca="1">29010.9142371341*((RANDBETWEEN(1620,2416)))</f>
        <v>68146637.543028057</v>
      </c>
      <c r="B4291">
        <v>193534818.52794242</v>
      </c>
    </row>
    <row r="4292" spans="1:2" x14ac:dyDescent="0.25">
      <c r="A4292">
        <f ca="1">27570.8314338928*((RANDBETWEEN(1620,2416)))</f>
        <v>55086521.204917893</v>
      </c>
      <c r="B4292">
        <v>203147948.1519734</v>
      </c>
    </row>
    <row r="4293" spans="1:2" x14ac:dyDescent="0.25">
      <c r="A4293">
        <f ca="1">26788.8878912761*((RANDBETWEEN(1620,2416)))</f>
        <v>52774109.145813949</v>
      </c>
      <c r="B4293">
        <v>144819607.84335154</v>
      </c>
    </row>
    <row r="4294" spans="1:2" x14ac:dyDescent="0.25">
      <c r="A4294">
        <f ca="1">26545.5518710209*((RANDBETWEEN(1620,2416)))</f>
        <v>59939856.124765217</v>
      </c>
      <c r="B4294">
        <v>147526859.33146322</v>
      </c>
    </row>
    <row r="4295" spans="1:2" x14ac:dyDescent="0.25">
      <c r="A4295">
        <f ca="1">27343.7150280822*((RANDBETWEEN(1620,2416)))</f>
        <v>64093668.025824659</v>
      </c>
      <c r="B4295">
        <v>165847417.6336354</v>
      </c>
    </row>
    <row r="4296" spans="1:2" x14ac:dyDescent="0.25">
      <c r="A4296">
        <f ca="1">27592.8387736989*((RANDBETWEEN(1620,2416)))</f>
        <v>61256102.077611454</v>
      </c>
      <c r="B4296">
        <v>169506312.4785434</v>
      </c>
    </row>
    <row r="4297" spans="1:2" x14ac:dyDescent="0.25">
      <c r="A4297">
        <f ca="1">27049.8183901705*((RANDBETWEEN(1620,2416)))</f>
        <v>44875648.709292941</v>
      </c>
      <c r="B4297">
        <v>182009045.56586254</v>
      </c>
    </row>
    <row r="4298" spans="1:2" x14ac:dyDescent="0.25">
      <c r="A4298">
        <f ca="1">26790.3750319797*((RANDBETWEEN(1620,2416)))</f>
        <v>54947059.190590292</v>
      </c>
      <c r="B4298">
        <v>171995086.27622277</v>
      </c>
    </row>
    <row r="4299" spans="1:2" x14ac:dyDescent="0.25">
      <c r="A4299">
        <f ca="1">28307.1608752526*((RANDBETWEEN(1620,2416)))</f>
        <v>48858159.670686126</v>
      </c>
      <c r="B4299">
        <v>189525221.56494161</v>
      </c>
    </row>
    <row r="4300" spans="1:2" x14ac:dyDescent="0.25">
      <c r="A4300">
        <f ca="1">29358.2652466575*((RANDBETWEEN(1620,2416)))</f>
        <v>50789798.876717426</v>
      </c>
      <c r="B4300">
        <v>160827246.3669242</v>
      </c>
    </row>
    <row r="4301" spans="1:2" x14ac:dyDescent="0.25">
      <c r="A4301">
        <f ca="1">27080.0344314163*((RANDBETWEEN(1620,2416)))</f>
        <v>64802522.394379102</v>
      </c>
      <c r="B4301">
        <v>164125408.02892509</v>
      </c>
    </row>
    <row r="4302" spans="1:2" x14ac:dyDescent="0.25">
      <c r="A4302">
        <f ca="1">27059.7211432146*((RANDBETWEEN(1620,2416)))</f>
        <v>59558446.236215338</v>
      </c>
      <c r="B4302">
        <v>179477574.05810603</v>
      </c>
    </row>
    <row r="4303" spans="1:2" x14ac:dyDescent="0.25">
      <c r="A4303">
        <f ca="1">27567.7028349417*((RANDBETWEEN(1620,2416)))</f>
        <v>59877050.557493322</v>
      </c>
      <c r="B4303">
        <v>197551630.95133066</v>
      </c>
    </row>
    <row r="4304" spans="1:2" x14ac:dyDescent="0.25">
      <c r="A4304">
        <f ca="1">26103.3540254115*((RANDBETWEEN(1620,2416)))</f>
        <v>62830773.139165506</v>
      </c>
      <c r="B4304">
        <v>151472871.88621026</v>
      </c>
    </row>
    <row r="4305" spans="1:2" x14ac:dyDescent="0.25">
      <c r="A4305">
        <f ca="1">28449.2978290593*((RANDBETWEEN(1620,2416)))</f>
        <v>46855993.524460629</v>
      </c>
      <c r="B4305">
        <v>169883155.81954002</v>
      </c>
    </row>
    <row r="4306" spans="1:2" x14ac:dyDescent="0.25">
      <c r="A4306">
        <f ca="1">24832.6674895053*((RANDBETWEEN(1620,2416)))</f>
        <v>54731199.146869682</v>
      </c>
      <c r="B4306">
        <v>166095494.60783371</v>
      </c>
    </row>
    <row r="4307" spans="1:2" x14ac:dyDescent="0.25">
      <c r="A4307">
        <f ca="1">27060.4413440241*((RANDBETWEEN(1620,2416)))</f>
        <v>60020058.901045553</v>
      </c>
      <c r="B4307">
        <v>163229428.98716551</v>
      </c>
    </row>
    <row r="4308" spans="1:2" x14ac:dyDescent="0.25">
      <c r="A4308">
        <f ca="1">28603.1665511969*((RANDBETWEEN(1620,2416)))</f>
        <v>62783950.579877287</v>
      </c>
      <c r="B4308">
        <v>145838970.45694715</v>
      </c>
    </row>
    <row r="4309" spans="1:2" x14ac:dyDescent="0.25">
      <c r="A4309">
        <f ca="1">28595.1407882187*((RANDBETWEEN(1620,2416)))</f>
        <v>48268597.650513098</v>
      </c>
      <c r="B4309">
        <v>177525447.53216529</v>
      </c>
    </row>
    <row r="4310" spans="1:2" x14ac:dyDescent="0.25">
      <c r="A4310">
        <f ca="1">31614.8482062684*((RANDBETWEEN(1620,2416)))</f>
        <v>52543877.718818001</v>
      </c>
      <c r="B4310">
        <v>185408172.44701788</v>
      </c>
    </row>
    <row r="4311" spans="1:2" x14ac:dyDescent="0.25">
      <c r="A4311">
        <f ca="1">28341.4981519775*((RANDBETWEEN(1620,2416)))</f>
        <v>61274319.004575282</v>
      </c>
      <c r="B4311">
        <v>153061012.5283089</v>
      </c>
    </row>
    <row r="4312" spans="1:2" x14ac:dyDescent="0.25">
      <c r="A4312">
        <f ca="1">27508.0574214277*((RANDBETWEEN(1620,2416)))</f>
        <v>60627758.556826711</v>
      </c>
      <c r="B4312">
        <v>172030178.56649721</v>
      </c>
    </row>
    <row r="4313" spans="1:2" x14ac:dyDescent="0.25">
      <c r="A4313">
        <f ca="1">26594.2669896419*((RANDBETWEEN(1620,2416)))</f>
        <v>61938047.818875916</v>
      </c>
      <c r="B4313">
        <v>164972616.04521519</v>
      </c>
    </row>
    <row r="4314" spans="1:2" x14ac:dyDescent="0.25">
      <c r="A4314">
        <f ca="1">27045.909014253*((RANDBETWEEN(1620,2416)))</f>
        <v>50197207.130453646</v>
      </c>
      <c r="B4314">
        <v>157828352.46975258</v>
      </c>
    </row>
    <row r="4315" spans="1:2" x14ac:dyDescent="0.25">
      <c r="A4315">
        <f ca="1">30318.5161659657*((RANDBETWEEN(1620,2416)))</f>
        <v>53481862.516763516</v>
      </c>
      <c r="B4315">
        <v>179353972.29139695</v>
      </c>
    </row>
    <row r="4316" spans="1:2" x14ac:dyDescent="0.25">
      <c r="A4316">
        <f ca="1">27021.4681007329*((RANDBETWEEN(1620,2416)))</f>
        <v>58825736.055295557</v>
      </c>
      <c r="B4316">
        <v>193287877.3944568</v>
      </c>
    </row>
    <row r="4317" spans="1:2" x14ac:dyDescent="0.25">
      <c r="A4317">
        <f ca="1">26592.2098584585*((RANDBETWEEN(1620,2416)))</f>
        <v>50897489.669089593</v>
      </c>
      <c r="B4317">
        <v>145855187.05483344</v>
      </c>
    </row>
    <row r="4318" spans="1:2" x14ac:dyDescent="0.25">
      <c r="A4318">
        <f ca="1">26848.7166797042*((RANDBETWEEN(1620,2416)))</f>
        <v>64678558.481407441</v>
      </c>
      <c r="B4318">
        <v>165805028.47623694</v>
      </c>
    </row>
    <row r="4319" spans="1:2" x14ac:dyDescent="0.25">
      <c r="A4319">
        <f ca="1">25532.5242327261*((RANDBETWEEN(1620,2416)))</f>
        <v>61635513.497800909</v>
      </c>
      <c r="B4319">
        <v>146890031.66822964</v>
      </c>
    </row>
    <row r="4320" spans="1:2" x14ac:dyDescent="0.25">
      <c r="A4320">
        <f ca="1">25688.141645824*((RANDBETWEEN(1620,2416)))</f>
        <v>60957960.125540257</v>
      </c>
      <c r="B4320">
        <v>169212285.90242955</v>
      </c>
    </row>
    <row r="4321" spans="1:2" x14ac:dyDescent="0.25">
      <c r="A4321">
        <f ca="1">29476.3222736882*((RANDBETWEEN(1620,2416)))</f>
        <v>67471301.684472397</v>
      </c>
      <c r="B4321">
        <v>152080869.44582993</v>
      </c>
    </row>
    <row r="4322" spans="1:2" x14ac:dyDescent="0.25">
      <c r="A4322">
        <f ca="1">26406.5822090911*((RANDBETWEEN(1620,2416)))</f>
        <v>43650080.391627535</v>
      </c>
      <c r="B4322">
        <v>146787617.70300081</v>
      </c>
    </row>
    <row r="4323" spans="1:2" x14ac:dyDescent="0.25">
      <c r="A4323">
        <f ca="1">26427.9332440941*((RANDBETWEEN(1620,2416)))</f>
        <v>48970960.3013063</v>
      </c>
      <c r="B4323">
        <v>143049934.81577092</v>
      </c>
    </row>
    <row r="4324" spans="1:2" x14ac:dyDescent="0.25">
      <c r="A4324">
        <f ca="1">26043.4523444594*((RANDBETWEEN(1620,2416)))</f>
        <v>44820781.484814681</v>
      </c>
      <c r="B4324">
        <v>168777330.99098438</v>
      </c>
    </row>
    <row r="4325" spans="1:2" x14ac:dyDescent="0.25">
      <c r="A4325">
        <f ca="1">31822.9324699886*((RANDBETWEEN(1620,2416)))</f>
        <v>59763467.178638652</v>
      </c>
      <c r="B4325">
        <v>184891541.26544797</v>
      </c>
    </row>
    <row r="4326" spans="1:2" x14ac:dyDescent="0.25">
      <c r="A4326">
        <f ca="1">28534.8833867025*((RANDBETWEEN(1620,2416)))</f>
        <v>62947952.751065813</v>
      </c>
      <c r="B4326">
        <v>162406349.00009644</v>
      </c>
    </row>
    <row r="4327" spans="1:2" x14ac:dyDescent="0.25">
      <c r="A4327">
        <f ca="1">32745.1908279407*((RANDBETWEEN(1620,2416)))</f>
        <v>76918453.2548327</v>
      </c>
      <c r="B4327">
        <v>162605063.6616787</v>
      </c>
    </row>
    <row r="4328" spans="1:2" x14ac:dyDescent="0.25">
      <c r="A4328">
        <f ca="1">26298.7837268512*((RANDBETWEEN(1620,2416)))</f>
        <v>48310865.706225619</v>
      </c>
      <c r="B4328">
        <v>148368953.31131878</v>
      </c>
    </row>
    <row r="4329" spans="1:2" x14ac:dyDescent="0.25">
      <c r="A4329">
        <f ca="1">27257.3651400302*((RANDBETWEEN(1620,2416)))</f>
        <v>50208066.587935656</v>
      </c>
      <c r="B4329">
        <v>154994441.64749309</v>
      </c>
    </row>
    <row r="4330" spans="1:2" x14ac:dyDescent="0.25">
      <c r="A4330">
        <f ca="1">26996.3528357468*((RANDBETWEEN(1620,2416)))</f>
        <v>47945522.636286385</v>
      </c>
      <c r="B4330">
        <v>143837992.4764753</v>
      </c>
    </row>
    <row r="4331" spans="1:2" x14ac:dyDescent="0.25">
      <c r="A4331">
        <f ca="1">29533.2550964916*((RANDBETWEEN(1620,2416)))</f>
        <v>50265600.174228713</v>
      </c>
      <c r="B4331">
        <v>164642035.67451087</v>
      </c>
    </row>
    <row r="4332" spans="1:2" x14ac:dyDescent="0.25">
      <c r="A4332">
        <f ca="1">27898.1094266687*((RANDBETWEEN(1620,2416)))</f>
        <v>59450871.188231088</v>
      </c>
      <c r="B4332">
        <v>148751233.50162181</v>
      </c>
    </row>
    <row r="4333" spans="1:2" x14ac:dyDescent="0.25">
      <c r="A4333">
        <f ca="1">27690.3084382619*((RANDBETWEEN(1620,2416)))</f>
        <v>57568151.243146539</v>
      </c>
      <c r="B4333">
        <v>185243379.29645476</v>
      </c>
    </row>
    <row r="4334" spans="1:2" x14ac:dyDescent="0.25">
      <c r="A4334">
        <f ca="1">26137.4664768113*((RANDBETWEEN(1620,2416)))</f>
        <v>49608911.372987896</v>
      </c>
      <c r="B4334">
        <v>179066214.49244705</v>
      </c>
    </row>
    <row r="4335" spans="1:2" x14ac:dyDescent="0.25">
      <c r="A4335">
        <f ca="1">26716.3228845724*((RANDBETWEEN(1620,2416)))</f>
        <v>60272024.427595422</v>
      </c>
      <c r="B4335">
        <v>167517730.52559286</v>
      </c>
    </row>
    <row r="4336" spans="1:2" x14ac:dyDescent="0.25">
      <c r="A4336">
        <f ca="1">26012.9415105131*((RANDBETWEEN(1620,2416)))</f>
        <v>53014374.7984256</v>
      </c>
      <c r="B4336">
        <v>183642178.68210644</v>
      </c>
    </row>
    <row r="4337" spans="1:2" x14ac:dyDescent="0.25">
      <c r="A4337">
        <f ca="1">29482.606544376*((RANDBETWEEN(1620,2416)))</f>
        <v>51358700.600303061</v>
      </c>
      <c r="B4337">
        <v>196211911.31785676</v>
      </c>
    </row>
    <row r="4338" spans="1:2" x14ac:dyDescent="0.25">
      <c r="A4338">
        <f ca="1">27302.2737616073*((RANDBETWEEN(1620,2416)))</f>
        <v>63723506.95959153</v>
      </c>
      <c r="B4338">
        <v>167530911.85742569</v>
      </c>
    </row>
    <row r="4339" spans="1:2" x14ac:dyDescent="0.25">
      <c r="A4339">
        <f ca="1">26350.2697841922*((RANDBETWEEN(1620,2416)))</f>
        <v>45111661.870537072</v>
      </c>
      <c r="B4339">
        <v>201197190.95429417</v>
      </c>
    </row>
    <row r="4340" spans="1:2" x14ac:dyDescent="0.25">
      <c r="A4340">
        <f ca="1">27991.5207677187*((RANDBETWEEN(1620,2416)))</f>
        <v>55563168.723921582</v>
      </c>
      <c r="B4340">
        <v>158646413.79456806</v>
      </c>
    </row>
    <row r="4341" spans="1:2" x14ac:dyDescent="0.25">
      <c r="A4341">
        <f ca="1">27573.4601014439*((RANDBETWEEN(1620,2416)))</f>
        <v>49301346.661381736</v>
      </c>
      <c r="B4341">
        <v>148952337.94520083</v>
      </c>
    </row>
    <row r="4342" spans="1:2" x14ac:dyDescent="0.25">
      <c r="A4342">
        <f ca="1">26171.8456310727*((RANDBETWEEN(1620,2416)))</f>
        <v>44622996.800978921</v>
      </c>
      <c r="B4342">
        <v>196173762.40129116</v>
      </c>
    </row>
    <row r="4343" spans="1:2" x14ac:dyDescent="0.25">
      <c r="A4343">
        <f ca="1">26377.5397802939*((RANDBETWEEN(1620,2416)))</f>
        <v>48086255.019475706</v>
      </c>
      <c r="B4343">
        <v>181723204.66400421</v>
      </c>
    </row>
    <row r="4344" spans="1:2" x14ac:dyDescent="0.25">
      <c r="A4344">
        <f ca="1">26137.5369944763*((RANDBETWEEN(1620,2416)))</f>
        <v>53346713.005726226</v>
      </c>
      <c r="B4344">
        <v>149437396.96353444</v>
      </c>
    </row>
    <row r="4345" spans="1:2" x14ac:dyDescent="0.25">
      <c r="A4345">
        <f ca="1">31589.4220556469*((RANDBETWEEN(1620,2416)))</f>
        <v>67032753.602082826</v>
      </c>
      <c r="B4345">
        <v>192498291.55303851</v>
      </c>
    </row>
    <row r="4346" spans="1:2" x14ac:dyDescent="0.25">
      <c r="A4346">
        <f ca="1">26505.5186693018*((RANDBETWEEN(1620,2416)))</f>
        <v>59875966.673952825</v>
      </c>
      <c r="B4346">
        <v>143074022.65278995</v>
      </c>
    </row>
    <row r="4347" spans="1:2" x14ac:dyDescent="0.25">
      <c r="A4347">
        <f ca="1">30151.7358021011*((RANDBETWEEN(1620,2416)))</f>
        <v>63047279.562193371</v>
      </c>
      <c r="B4347">
        <v>180453515.648233</v>
      </c>
    </row>
    <row r="4348" spans="1:2" x14ac:dyDescent="0.25">
      <c r="A4348">
        <f ca="1">26367.9569816972*((RANDBETWEEN(1620,2416)))</f>
        <v>54845350.52193021</v>
      </c>
      <c r="B4348">
        <v>150860080.75909427</v>
      </c>
    </row>
    <row r="4349" spans="1:2" x14ac:dyDescent="0.25">
      <c r="A4349">
        <f ca="1">26189.9479919344*((RANDBETWEEN(1620,2416)))</f>
        <v>57486935.842295982</v>
      </c>
      <c r="B4349">
        <v>179122683.33325726</v>
      </c>
    </row>
    <row r="4350" spans="1:2" x14ac:dyDescent="0.25">
      <c r="A4350">
        <f ca="1">32337.0497168353*((RANDBETWEEN(1620,2416)))</f>
        <v>77770604.568988919</v>
      </c>
      <c r="B4350">
        <v>164551509.56015405</v>
      </c>
    </row>
    <row r="4351" spans="1:2" x14ac:dyDescent="0.25">
      <c r="A4351">
        <f ca="1">26612.4484880972*((RANDBETWEEN(1620,2416)))</f>
        <v>57775625.667659089</v>
      </c>
      <c r="B4351">
        <v>153114242.94995534</v>
      </c>
    </row>
    <row r="4352" spans="1:2" x14ac:dyDescent="0.25">
      <c r="A4352">
        <f ca="1">30957.09935653*((RANDBETWEEN(1620,2416)))</f>
        <v>52255583.713822566</v>
      </c>
      <c r="B4352">
        <v>172422906.65066808</v>
      </c>
    </row>
    <row r="4353" spans="1:2" x14ac:dyDescent="0.25">
      <c r="A4353">
        <f ca="1">33396.2416332936*((RANDBETWEEN(1620,2416)))</f>
        <v>54435873.862268709</v>
      </c>
      <c r="B4353">
        <v>194841607.91628581</v>
      </c>
    </row>
    <row r="4354" spans="1:2" x14ac:dyDescent="0.25">
      <c r="A4354">
        <f ca="1">26487.1624366837*((RANDBETWEEN(1620,2416)))</f>
        <v>63357292.548547335</v>
      </c>
      <c r="B4354">
        <v>179227181.61769608</v>
      </c>
    </row>
    <row r="4355" spans="1:2" x14ac:dyDescent="0.25">
      <c r="A4355">
        <f ca="1">27465.5124912822*((RANDBETWEEN(1620,2416)))</f>
        <v>57100800.46937567</v>
      </c>
      <c r="B4355">
        <v>161052645.89306533</v>
      </c>
    </row>
    <row r="4356" spans="1:2" x14ac:dyDescent="0.25">
      <c r="A4356">
        <f ca="1">26157.3923352745*((RANDBETWEEN(1620,2416)))</f>
        <v>42610392.114162162</v>
      </c>
      <c r="B4356">
        <v>143999258.83659101</v>
      </c>
    </row>
    <row r="4357" spans="1:2" x14ac:dyDescent="0.25">
      <c r="A4357">
        <f ca="1">28241.4364015684*((RANDBETWEEN(1620,2416)))</f>
        <v>61509848.482616</v>
      </c>
      <c r="B4357">
        <v>164823284.21114951</v>
      </c>
    </row>
    <row r="4358" spans="1:2" x14ac:dyDescent="0.25">
      <c r="A4358">
        <f ca="1">27491.5788503756*((RANDBETWEEN(1620,2416)))</f>
        <v>61608628.203691773</v>
      </c>
      <c r="B4358">
        <v>146007205.00902969</v>
      </c>
    </row>
    <row r="4359" spans="1:2" x14ac:dyDescent="0.25">
      <c r="A4359">
        <f ca="1">26270.8805539341*((RANDBETWEEN(1620,2416)))</f>
        <v>48023169.652591467</v>
      </c>
      <c r="B4359">
        <v>157376780.43748868</v>
      </c>
    </row>
    <row r="4360" spans="1:2" x14ac:dyDescent="0.25">
      <c r="A4360">
        <f ca="1">29726.5078377265*((RANDBETWEEN(1620,2416)))</f>
        <v>53894158.709798075</v>
      </c>
      <c r="B4360">
        <v>169449413.71834147</v>
      </c>
    </row>
    <row r="4361" spans="1:2" x14ac:dyDescent="0.25">
      <c r="A4361">
        <f ca="1">30554.5761472243*((RANDBETWEEN(1620,2416)))</f>
        <v>57442603.156781599</v>
      </c>
      <c r="B4361">
        <v>186701757.77716121</v>
      </c>
    </row>
    <row r="4362" spans="1:2" x14ac:dyDescent="0.25">
      <c r="A4362">
        <f ca="1">26965.0128785783*((RANDBETWEEN(1620,2416)))</f>
        <v>63772255.457837723</v>
      </c>
      <c r="B4362">
        <v>146972825.28961575</v>
      </c>
    </row>
    <row r="4363" spans="1:2" x14ac:dyDescent="0.25">
      <c r="A4363">
        <f ca="1">28913.3315981334*((RANDBETWEEN(1620,2416)))</f>
        <v>52130736.871434487</v>
      </c>
      <c r="B4363">
        <v>158863030.53790885</v>
      </c>
    </row>
    <row r="4364" spans="1:2" x14ac:dyDescent="0.25">
      <c r="A4364">
        <f ca="1">26070.4290256285*((RANDBETWEEN(1620,2416)))</f>
        <v>58215268.014228359</v>
      </c>
      <c r="B4364">
        <v>143232465.17729223</v>
      </c>
    </row>
    <row r="4365" spans="1:2" x14ac:dyDescent="0.25">
      <c r="A4365">
        <f ca="1">27099.1272474368*((RANDBETWEEN(1620,2416)))</f>
        <v>61515018.851681493</v>
      </c>
      <c r="B4365">
        <v>166078941.7698161</v>
      </c>
    </row>
    <row r="4366" spans="1:2" x14ac:dyDescent="0.25">
      <c r="A4366">
        <f ca="1">28591.7321562978*((RANDBETWEEN(1620,2416)))</f>
        <v>65503658.370078273</v>
      </c>
      <c r="B4366">
        <v>144756453.07061684</v>
      </c>
    </row>
    <row r="4367" spans="1:2" x14ac:dyDescent="0.25">
      <c r="A4367">
        <f ca="1">25949.933107372*((RANDBETWEEN(1620,2416)))</f>
        <v>52652414.274857886</v>
      </c>
      <c r="B4367">
        <v>148918111.06888509</v>
      </c>
    </row>
    <row r="4368" spans="1:2" x14ac:dyDescent="0.25">
      <c r="A4368">
        <f ca="1">27913.3520363971*((RANDBETWEEN(1620,2416)))</f>
        <v>55491743.848357521</v>
      </c>
      <c r="B4368">
        <v>199291243.38285655</v>
      </c>
    </row>
    <row r="4369" spans="1:2" x14ac:dyDescent="0.25">
      <c r="A4369">
        <f ca="1">25945.1309707452*((RANDBETWEEN(1620,2416)))</f>
        <v>46208278.258897156</v>
      </c>
      <c r="B4369">
        <v>157313350.35301936</v>
      </c>
    </row>
    <row r="4370" spans="1:2" x14ac:dyDescent="0.25">
      <c r="A4370">
        <f ca="1">28333.5335169566*((RANDBETWEEN(1620,2416)))</f>
        <v>46750330.302978404</v>
      </c>
      <c r="B4370">
        <v>148104560.13001969</v>
      </c>
    </row>
    <row r="4371" spans="1:2" x14ac:dyDescent="0.25">
      <c r="A4371">
        <f ca="1">27536.8482153595*((RANDBETWEEN(1620,2416)))</f>
        <v>56615759.930779159</v>
      </c>
      <c r="B4371">
        <v>150361535.90229106</v>
      </c>
    </row>
    <row r="4372" spans="1:2" x14ac:dyDescent="0.25">
      <c r="A4372">
        <f ca="1">25653.3328071247*((RANDBETWEEN(1620,2416)))</f>
        <v>54898132.2072469</v>
      </c>
      <c r="B4372">
        <v>149534875.13008714</v>
      </c>
    </row>
    <row r="4373" spans="1:2" x14ac:dyDescent="0.25">
      <c r="A4373">
        <f ca="1">25375.8817213434*((RANDBETWEEN(1620,2416)))</f>
        <v>59201932.055894248</v>
      </c>
      <c r="B4373">
        <v>161214262.32765228</v>
      </c>
    </row>
    <row r="4374" spans="1:2" x14ac:dyDescent="0.25">
      <c r="A4374">
        <f ca="1">29373.7031400897*((RANDBETWEEN(1620,2416)))</f>
        <v>59746112.186942369</v>
      </c>
      <c r="B4374">
        <v>187628921.05549586</v>
      </c>
    </row>
    <row r="4375" spans="1:2" x14ac:dyDescent="0.25">
      <c r="A4375">
        <f ca="1">25834.3193701676*((RANDBETWEEN(1620,2416)))</f>
        <v>59961455.258158997</v>
      </c>
      <c r="B4375">
        <v>148963094.69792658</v>
      </c>
    </row>
    <row r="4376" spans="1:2" x14ac:dyDescent="0.25">
      <c r="A4376">
        <f ca="1">25752.516907664*((RANDBETWEEN(1620,2416)))</f>
        <v>60544167.249918036</v>
      </c>
      <c r="B4376">
        <v>175796132.79874152</v>
      </c>
    </row>
    <row r="4377" spans="1:2" x14ac:dyDescent="0.25">
      <c r="A4377">
        <f ca="1">27449.4558160861*((RANDBETWEEN(1620,2416)))</f>
        <v>57726205.581229083</v>
      </c>
      <c r="B4377">
        <v>153639531.30498025</v>
      </c>
    </row>
    <row r="4378" spans="1:2" x14ac:dyDescent="0.25">
      <c r="A4378">
        <f ca="1">27144.7708489117*((RANDBETWEEN(1620,2416)))</f>
        <v>64604554.620409749</v>
      </c>
      <c r="B4378">
        <v>145066777.26405132</v>
      </c>
    </row>
    <row r="4379" spans="1:2" x14ac:dyDescent="0.25">
      <c r="A4379">
        <f ca="1">27297.6003013066*((RANDBETWEEN(1620,2416)))</f>
        <v>58034698.240577921</v>
      </c>
      <c r="B4379">
        <v>202139943.20180309</v>
      </c>
    </row>
    <row r="4380" spans="1:2" x14ac:dyDescent="0.25">
      <c r="A4380">
        <f ca="1">30607.6184177202*((RANDBETWEEN(1620,2416)))</f>
        <v>63265947.269427739</v>
      </c>
      <c r="B4380">
        <v>168764033.91982543</v>
      </c>
    </row>
    <row r="4381" spans="1:2" x14ac:dyDescent="0.25">
      <c r="A4381">
        <f ca="1">27660.947806957*((RANDBETWEEN(1620,2416)))</f>
        <v>65584107.250294983</v>
      </c>
      <c r="B4381">
        <v>157951719.18100291</v>
      </c>
    </row>
    <row r="4382" spans="1:2" x14ac:dyDescent="0.25">
      <c r="A4382">
        <f ca="1">28388.9734552781*((RANDBETWEEN(1620,2416)))</f>
        <v>66486975.832261235</v>
      </c>
      <c r="B4382">
        <v>171231511.13447896</v>
      </c>
    </row>
    <row r="4383" spans="1:2" x14ac:dyDescent="0.25">
      <c r="A4383">
        <f ca="1">32309.574688077*((RANDBETWEEN(1620,2416)))</f>
        <v>72405756.875980601</v>
      </c>
      <c r="B4383">
        <v>151059551.05146009</v>
      </c>
    </row>
    <row r="4384" spans="1:2" x14ac:dyDescent="0.25">
      <c r="A4384">
        <f ca="1">27542.2482153206*((RANDBETWEEN(1620,2416)))</f>
        <v>53707384.019875094</v>
      </c>
      <c r="B4384">
        <v>158871265.68380532</v>
      </c>
    </row>
    <row r="4385" spans="1:2" x14ac:dyDescent="0.25">
      <c r="A4385">
        <f ca="1">26105.5605251479*((RANDBETWEEN(1620,2416)))</f>
        <v>55839793.963291377</v>
      </c>
      <c r="B4385">
        <v>145514906.18087935</v>
      </c>
    </row>
    <row r="4386" spans="1:2" x14ac:dyDescent="0.25">
      <c r="A4386">
        <f ca="1">28472.6291390126*((RANDBETWEEN(1620,2416)))</f>
        <v>56176497.29127194</v>
      </c>
      <c r="B4386">
        <v>168108103.48326832</v>
      </c>
    </row>
    <row r="4387" spans="1:2" x14ac:dyDescent="0.25">
      <c r="A4387">
        <f ca="1">28234.4434534554*((RANDBETWEEN(1620,2416)))</f>
        <v>57287685.767060958</v>
      </c>
      <c r="B4387">
        <v>184498871.40383941</v>
      </c>
    </row>
    <row r="4388" spans="1:2" x14ac:dyDescent="0.25">
      <c r="A4388">
        <f ca="1">31009.7898563236*((RANDBETWEEN(1620,2416)))</f>
        <v>63290981.096756533</v>
      </c>
      <c r="B4388">
        <v>185579582.94305861</v>
      </c>
    </row>
    <row r="4389" spans="1:2" x14ac:dyDescent="0.25">
      <c r="A4389">
        <f ca="1">26532.5852288274*((RANDBETWEEN(1620,2416)))</f>
        <v>49217945.599474899</v>
      </c>
      <c r="B4389">
        <v>143170353.64992434</v>
      </c>
    </row>
    <row r="4390" spans="1:2" x14ac:dyDescent="0.25">
      <c r="A4390">
        <f ca="1">32367.4338119932*((RANDBETWEEN(1620,2416)))</f>
        <v>54862800.311328441</v>
      </c>
      <c r="B4390">
        <v>157709044.62421927</v>
      </c>
    </row>
    <row r="4391" spans="1:2" x14ac:dyDescent="0.25">
      <c r="A4391">
        <f ca="1">29840.1375840956*((RANDBETWEEN(1620,2416)))</f>
        <v>52817043.523849137</v>
      </c>
      <c r="B4391">
        <v>157419385.36796471</v>
      </c>
    </row>
    <row r="4392" spans="1:2" x14ac:dyDescent="0.25">
      <c r="A4392">
        <f ca="1">27945.7769237457*((RANDBETWEEN(1620,2416)))</f>
        <v>53627945.916668065</v>
      </c>
      <c r="B4392">
        <v>148392436.82741082</v>
      </c>
    </row>
    <row r="4393" spans="1:2" x14ac:dyDescent="0.25">
      <c r="A4393">
        <f ca="1">33376.3319824093*((RANDBETWEEN(1620,2416)))</f>
        <v>60778300.539967328</v>
      </c>
      <c r="B4393">
        <v>198601011.23645553</v>
      </c>
    </row>
    <row r="4394" spans="1:2" x14ac:dyDescent="0.25">
      <c r="A4394">
        <f ca="1">26922.8773568011*((RANDBETWEEN(1620,2416)))</f>
        <v>55649587.49650792</v>
      </c>
      <c r="B4394">
        <v>180416481.8068558</v>
      </c>
    </row>
    <row r="4395" spans="1:2" x14ac:dyDescent="0.25">
      <c r="A4395">
        <f ca="1">30216.0005551033*((RANDBETWEEN(1620,2416)))</f>
        <v>53180160.976981893</v>
      </c>
      <c r="B4395">
        <v>153873817.92412823</v>
      </c>
    </row>
    <row r="4396" spans="1:2" x14ac:dyDescent="0.25">
      <c r="A4396">
        <f ca="1">30981.7771365721*((RANDBETWEEN(1620,2416)))</f>
        <v>54775781.977459513</v>
      </c>
      <c r="B4396">
        <v>150463532.07542706</v>
      </c>
    </row>
    <row r="4397" spans="1:2" x14ac:dyDescent="0.25">
      <c r="A4397">
        <f ca="1">25924.5358840065*((RANDBETWEEN(1620,2416)))</f>
        <v>43138427.710986815</v>
      </c>
      <c r="B4397">
        <v>159562800.46099645</v>
      </c>
    </row>
    <row r="4398" spans="1:2" x14ac:dyDescent="0.25">
      <c r="A4398">
        <f ca="1">27797.8385763135*((RANDBETWEEN(1620,2416)))</f>
        <v>53455243.582250766</v>
      </c>
      <c r="B4398">
        <v>180442753.49463028</v>
      </c>
    </row>
    <row r="4399" spans="1:2" x14ac:dyDescent="0.25">
      <c r="A4399">
        <f ca="1">30887.8496571385*((RANDBETWEEN(1620,2416)))</f>
        <v>69374110.329933092</v>
      </c>
      <c r="B4399">
        <v>172760153.94723284</v>
      </c>
    </row>
    <row r="4400" spans="1:2" x14ac:dyDescent="0.25">
      <c r="A4400">
        <f ca="1">27863.8536760083*((RANDBETWEEN(1620,2416)))</f>
        <v>49848434.226378821</v>
      </c>
      <c r="B4400">
        <v>150426953.58382586</v>
      </c>
    </row>
    <row r="4401" spans="1:2" x14ac:dyDescent="0.25">
      <c r="A4401">
        <f ca="1">26113.0275986582*((RANDBETWEEN(1620,2416)))</f>
        <v>44757729.304100193</v>
      </c>
      <c r="B4401">
        <v>185992707.90107599</v>
      </c>
    </row>
    <row r="4402" spans="1:2" x14ac:dyDescent="0.25">
      <c r="A4402">
        <f ca="1">27245.6702950063*((RANDBETWEEN(1620,2416)))</f>
        <v>58414717.112493522</v>
      </c>
      <c r="B4402">
        <v>159945483.10882777</v>
      </c>
    </row>
    <row r="4403" spans="1:2" x14ac:dyDescent="0.25">
      <c r="A4403">
        <f ca="1">26477.8227712887*((RANDBETWEEN(1620,2416)))</f>
        <v>61243204.069990724</v>
      </c>
      <c r="B4403">
        <v>180096404.25868124</v>
      </c>
    </row>
    <row r="4404" spans="1:2" x14ac:dyDescent="0.25">
      <c r="A4404">
        <f ca="1">28405.246653677*((RANDBETWEEN(1620,2416)))</f>
        <v>59707828.46602913</v>
      </c>
      <c r="B4404">
        <v>180320580.96081257</v>
      </c>
    </row>
    <row r="4405" spans="1:2" x14ac:dyDescent="0.25">
      <c r="A4405">
        <f ca="1">27105.2731709392*((RANDBETWEEN(1620,2416)))</f>
        <v>44506858.546682186</v>
      </c>
      <c r="B4405">
        <v>157139999.9390434</v>
      </c>
    </row>
    <row r="4406" spans="1:2" x14ac:dyDescent="0.25">
      <c r="A4406">
        <f ca="1">27069.9951748566*((RANDBETWEEN(1620,2416)))</f>
        <v>60014179.302657105</v>
      </c>
      <c r="B4406">
        <v>202764220.86621267</v>
      </c>
    </row>
    <row r="4407" spans="1:2" x14ac:dyDescent="0.25">
      <c r="A4407">
        <f ca="1">29310.074344211*((RANDBETWEEN(1620,2416)))</f>
        <v>63954582.219068348</v>
      </c>
      <c r="B4407">
        <v>153901208.79947245</v>
      </c>
    </row>
    <row r="4408" spans="1:2" x14ac:dyDescent="0.25">
      <c r="A4408">
        <f ca="1">26864.7561101823*((RANDBETWEEN(1620,2416)))</f>
        <v>52977299.049279444</v>
      </c>
      <c r="B4408">
        <v>168206403.52383673</v>
      </c>
    </row>
    <row r="4409" spans="1:2" x14ac:dyDescent="0.25">
      <c r="A4409">
        <f ca="1">32811.9999215777*((RANDBETWEEN(1620,2416)))</f>
        <v>62769355.849978082</v>
      </c>
      <c r="B4409">
        <v>182490885.58374631</v>
      </c>
    </row>
    <row r="4410" spans="1:2" x14ac:dyDescent="0.25">
      <c r="A4410">
        <f ca="1">27458.1943591449*((RANDBETWEEN(1620,2416)))</f>
        <v>62824348.693723582</v>
      </c>
      <c r="B4410">
        <v>169381341.34434998</v>
      </c>
    </row>
    <row r="4411" spans="1:2" x14ac:dyDescent="0.25">
      <c r="A4411">
        <f ca="1">27290.5867436611*((RANDBETWEEN(1620,2416)))</f>
        <v>47813107.974894226</v>
      </c>
      <c r="B4411">
        <v>161668836.15323895</v>
      </c>
    </row>
    <row r="4412" spans="1:2" x14ac:dyDescent="0.25">
      <c r="A4412">
        <f ca="1">27958.5416100622*((RANDBETWEEN(1620,2416)))</f>
        <v>47725230.528376222</v>
      </c>
      <c r="B4412">
        <v>177648889.69044465</v>
      </c>
    </row>
    <row r="4413" spans="1:2" x14ac:dyDescent="0.25">
      <c r="A4413">
        <f ca="1">27022.2372488333*((RANDBETWEEN(1620,2416)))</f>
        <v>50612650.367064826</v>
      </c>
      <c r="B4413">
        <v>151838446.40363306</v>
      </c>
    </row>
    <row r="4414" spans="1:2" x14ac:dyDescent="0.25">
      <c r="A4414">
        <f ca="1">27231.4147562608*((RANDBETWEEN(1620,2416)))</f>
        <v>46756339.136499748</v>
      </c>
      <c r="B4414">
        <v>163891010.87837082</v>
      </c>
    </row>
    <row r="4415" spans="1:2" x14ac:dyDescent="0.25">
      <c r="A4415">
        <f ca="1">29855.9206367833*((RANDBETWEEN(1620,2416)))</f>
        <v>63891670.162716255</v>
      </c>
      <c r="B4415">
        <v>192687344.41251281</v>
      </c>
    </row>
    <row r="4416" spans="1:2" x14ac:dyDescent="0.25">
      <c r="A4416">
        <f ca="1">28615.8827453214*((RANDBETWEEN(1620,2416)))</f>
        <v>55944050.767103292</v>
      </c>
      <c r="B4416">
        <v>180732112.34408596</v>
      </c>
    </row>
    <row r="4417" spans="1:2" x14ac:dyDescent="0.25">
      <c r="A4417">
        <f ca="1">32007.8156699764*((RANDBETWEEN(1620,2416)))</f>
        <v>76146593.478873834</v>
      </c>
      <c r="B4417">
        <v>161435587.06364965</v>
      </c>
    </row>
    <row r="4418" spans="1:2" x14ac:dyDescent="0.25">
      <c r="A4418">
        <f ca="1">26684.1525500328*((RANDBETWEEN(1620,2416)))</f>
        <v>58705135.610072225</v>
      </c>
      <c r="B4418">
        <v>144615682.36275625</v>
      </c>
    </row>
    <row r="4419" spans="1:2" x14ac:dyDescent="0.25">
      <c r="A4419">
        <f ca="1">25060.3949453107*((RANDBETWEEN(1620,2416)))</f>
        <v>42502429.827247001</v>
      </c>
      <c r="B4419">
        <v>144234915.81883103</v>
      </c>
    </row>
    <row r="4420" spans="1:2" x14ac:dyDescent="0.25">
      <c r="A4420">
        <f ca="1">26604.7227081162*((RANDBETWEEN(1620,2416)))</f>
        <v>51613162.053745463</v>
      </c>
      <c r="B4420">
        <v>183120202.0903877</v>
      </c>
    </row>
    <row r="4421" spans="1:2" x14ac:dyDescent="0.25">
      <c r="A4421">
        <f ca="1">29516.5991044942*((RANDBETWEEN(1620,2416)))</f>
        <v>66914130.169888407</v>
      </c>
      <c r="B4421">
        <v>181595245.61963776</v>
      </c>
    </row>
    <row r="4422" spans="1:2" x14ac:dyDescent="0.25">
      <c r="A4422">
        <f ca="1">27760.5647319135*((RANDBETWEEN(1620,2416)))</f>
        <v>54965918.169188745</v>
      </c>
      <c r="B4422">
        <v>180266080.38104144</v>
      </c>
    </row>
    <row r="4423" spans="1:2" x14ac:dyDescent="0.25">
      <c r="A4423">
        <f ca="1">32964.9397067784*((RANDBETWEEN(1620,2416)))</f>
        <v>70808690.490159929</v>
      </c>
      <c r="B4423">
        <v>201693097.81499961</v>
      </c>
    </row>
    <row r="4424" spans="1:2" x14ac:dyDescent="0.25">
      <c r="A4424">
        <f ca="1">26747.6451082269*((RANDBETWEEN(1620,2416)))</f>
        <v>49269162.289353929</v>
      </c>
      <c r="B4424">
        <v>168106130.01264068</v>
      </c>
    </row>
    <row r="4425" spans="1:2" x14ac:dyDescent="0.25">
      <c r="A4425">
        <f ca="1">28854.5138776781*((RANDBETWEEN(1620,2416)))</f>
        <v>65615164.557839915</v>
      </c>
      <c r="B4425">
        <v>189618064.57240188</v>
      </c>
    </row>
    <row r="4426" spans="1:2" x14ac:dyDescent="0.25">
      <c r="A4426">
        <f ca="1">26559.0079214511*((RANDBETWEEN(1620,2416)))</f>
        <v>58775084.530171268</v>
      </c>
      <c r="B4426">
        <v>165886285.44393021</v>
      </c>
    </row>
    <row r="4427" spans="1:2" x14ac:dyDescent="0.25">
      <c r="A4427">
        <f ca="1">29438.1955253063*((RANDBETWEEN(1620,2416)))</f>
        <v>61614143.234466158</v>
      </c>
      <c r="B4427">
        <v>188276259.91252863</v>
      </c>
    </row>
    <row r="4428" spans="1:2" x14ac:dyDescent="0.25">
      <c r="A4428">
        <f ca="1">32319.3800495212*((RANDBETWEEN(1620,2416)))</f>
        <v>66933436.082558498</v>
      </c>
      <c r="B4428">
        <v>203606170.98990554</v>
      </c>
    </row>
    <row r="4429" spans="1:2" x14ac:dyDescent="0.25">
      <c r="A4429">
        <f ca="1">28518.8037348309*((RANDBETWEEN(1620,2416)))</f>
        <v>48453447.545477681</v>
      </c>
      <c r="B4429">
        <v>169580631.67366958</v>
      </c>
    </row>
    <row r="4430" spans="1:2" x14ac:dyDescent="0.25">
      <c r="A4430">
        <f ca="1">31303.1305996952*((RANDBETWEEN(1620,2416)))</f>
        <v>62355836.154592894</v>
      </c>
      <c r="B4430">
        <v>177538450.9429518</v>
      </c>
    </row>
    <row r="4431" spans="1:2" x14ac:dyDescent="0.25">
      <c r="A4431">
        <f ca="1">26641.6867039358*((RANDBETWEEN(1620,2416)))</f>
        <v>56773434.366087258</v>
      </c>
      <c r="B4431">
        <v>183137464.56688151</v>
      </c>
    </row>
    <row r="4432" spans="1:2" x14ac:dyDescent="0.25">
      <c r="A4432">
        <f ca="1">28626.5973784243*((RANDBETWEEN(1620,2416)))</f>
        <v>65039629.243780039</v>
      </c>
      <c r="B4432">
        <v>179895332.78288296</v>
      </c>
    </row>
    <row r="4433" spans="1:2" x14ac:dyDescent="0.25">
      <c r="A4433">
        <f ca="1">30399.9171592993*((RANDBETWEEN(1620,2416)))</f>
        <v>63718226.365891382</v>
      </c>
      <c r="B4433">
        <v>155616770.84702963</v>
      </c>
    </row>
    <row r="4434" spans="1:2" x14ac:dyDescent="0.25">
      <c r="A4434">
        <f ca="1">29685.0908588052*((RANDBETWEEN(1620,2416)))</f>
        <v>64535387.527042598</v>
      </c>
      <c r="B4434">
        <v>160990982.54387408</v>
      </c>
    </row>
    <row r="4435" spans="1:2" x14ac:dyDescent="0.25">
      <c r="A4435">
        <f ca="1">31521.9574545024*((RANDBETWEEN(1620,2416)))</f>
        <v>63453700.355913252</v>
      </c>
      <c r="B4435">
        <v>148527459.48779619</v>
      </c>
    </row>
    <row r="4436" spans="1:2" x14ac:dyDescent="0.25">
      <c r="A4436">
        <f ca="1">26635.6734493562*((RANDBETWEEN(1620,2416)))</f>
        <v>43442783.395899989</v>
      </c>
      <c r="B4436">
        <v>173717734.77629501</v>
      </c>
    </row>
    <row r="4437" spans="1:2" x14ac:dyDescent="0.25">
      <c r="A4437">
        <f ca="1">25535.2757558728*((RANDBETWEEN(1620,2416)))</f>
        <v>48517023.936158314</v>
      </c>
      <c r="B4437">
        <v>142919059.42525935</v>
      </c>
    </row>
    <row r="4438" spans="1:2" x14ac:dyDescent="0.25">
      <c r="A4438">
        <f ca="1">29970.4089618751*((RANDBETWEEN(1620,2416)))</f>
        <v>51189458.506882682</v>
      </c>
      <c r="B4438">
        <v>194682658.54558358</v>
      </c>
    </row>
    <row r="4439" spans="1:2" x14ac:dyDescent="0.25">
      <c r="A4439">
        <f ca="1">33502.9516243922*((RANDBETWEEN(1620,2416)))</f>
        <v>69920660.040106595</v>
      </c>
      <c r="B4439">
        <v>177645726.86735609</v>
      </c>
    </row>
    <row r="4440" spans="1:2" x14ac:dyDescent="0.25">
      <c r="A4440">
        <f ca="1">27098.779926248*((RANDBETWEEN(1620,2416)))</f>
        <v>44712986.878309242</v>
      </c>
      <c r="B4440">
        <v>191260229.23130682</v>
      </c>
    </row>
    <row r="4441" spans="1:2" x14ac:dyDescent="0.25">
      <c r="A4441">
        <f ca="1">28966.6244812817*((RANDBETWEEN(1620,2416)))</f>
        <v>66478403.184541412</v>
      </c>
      <c r="B4441">
        <v>154843885.72477806</v>
      </c>
    </row>
    <row r="4442" spans="1:2" x14ac:dyDescent="0.25">
      <c r="A4442">
        <f ca="1">31893.6288058442*((RANDBETWEEN(1620,2416)))</f>
        <v>69623791.683157966</v>
      </c>
      <c r="B4442">
        <v>159722705.27654386</v>
      </c>
    </row>
    <row r="4443" spans="1:2" x14ac:dyDescent="0.25">
      <c r="A4443">
        <f ca="1">27189.1877867756*((RANDBETWEEN(1620,2416)))</f>
        <v>55873780.901823796</v>
      </c>
      <c r="B4443">
        <v>181766142.29705364</v>
      </c>
    </row>
    <row r="4444" spans="1:2" x14ac:dyDescent="0.25">
      <c r="A4444">
        <f ca="1">31077.6741454049*((RANDBETWEEN(1620,2416)))</f>
        <v>61191940.392302267</v>
      </c>
      <c r="B4444">
        <v>185778500.07487711</v>
      </c>
    </row>
    <row r="4445" spans="1:2" x14ac:dyDescent="0.25">
      <c r="A4445">
        <f ca="1">27971.1071286248*((RANDBETWEEN(1620,2416)))</f>
        <v>66207610.57345482</v>
      </c>
      <c r="B4445">
        <v>196756369.72472498</v>
      </c>
    </row>
    <row r="4446" spans="1:2" x14ac:dyDescent="0.25">
      <c r="A4446">
        <f ca="1">31040.4795788147*((RANDBETWEEN(1620,2416)))</f>
        <v>54600203.579135045</v>
      </c>
      <c r="B4446">
        <v>189811313.30631188</v>
      </c>
    </row>
    <row r="4447" spans="1:2" x14ac:dyDescent="0.25">
      <c r="A4447">
        <f ca="1">28666.5118593851*((RANDBETWEEN(1620,2416)))</f>
        <v>56530361.38670744</v>
      </c>
      <c r="B4447">
        <v>156161508.38865259</v>
      </c>
    </row>
    <row r="4448" spans="1:2" x14ac:dyDescent="0.25">
      <c r="A4448">
        <f ca="1">26474.7308271726*((RANDBETWEEN(1620,2416)))</f>
        <v>63592303.446868509</v>
      </c>
      <c r="B4448">
        <v>198912936.80535087</v>
      </c>
    </row>
    <row r="4449" spans="1:2" x14ac:dyDescent="0.25">
      <c r="A4449">
        <f ca="1">26132.5973552143*((RANDBETWEEN(1620,2416)))</f>
        <v>55871493.145448178</v>
      </c>
      <c r="B4449">
        <v>147449090.62540635</v>
      </c>
    </row>
    <row r="4450" spans="1:2" x14ac:dyDescent="0.25">
      <c r="A4450">
        <f ca="1">27260.0603298447*((RANDBETWEEN(1620,2416)))</f>
        <v>50485631.730872452</v>
      </c>
      <c r="B4450">
        <v>143837498.62880817</v>
      </c>
    </row>
    <row r="4451" spans="1:2" x14ac:dyDescent="0.25">
      <c r="A4451">
        <f ca="1">27495.9353063285*((RANDBETWEEN(1620,2416)))</f>
        <v>52242277.082024135</v>
      </c>
      <c r="B4451">
        <v>153145270.58915031</v>
      </c>
    </row>
    <row r="4452" spans="1:2" x14ac:dyDescent="0.25">
      <c r="A4452">
        <f ca="1">25357.4462514168*((RANDBETWEEN(1620,2416)))</f>
        <v>47671998.952663675</v>
      </c>
      <c r="B4452">
        <v>146164679.34196952</v>
      </c>
    </row>
    <row r="4453" spans="1:2" x14ac:dyDescent="0.25">
      <c r="A4453">
        <f ca="1">26836.3405415104*((RANDBETWEEN(1620,2416)))</f>
        <v>53726353.764103733</v>
      </c>
      <c r="B4453">
        <v>171862520.31813586</v>
      </c>
    </row>
    <row r="4454" spans="1:2" x14ac:dyDescent="0.25">
      <c r="A4454">
        <f ca="1">26486.7352659296*((RANDBETWEEN(1620,2416)))</f>
        <v>44285821.36463435</v>
      </c>
      <c r="B4454">
        <v>162234799.63095677</v>
      </c>
    </row>
    <row r="4455" spans="1:2" x14ac:dyDescent="0.25">
      <c r="A4455">
        <f ca="1">25572.1717100893*((RANDBETWEEN(1620,2416)))</f>
        <v>55798478.671414867</v>
      </c>
      <c r="B4455">
        <v>164402644.73036227</v>
      </c>
    </row>
    <row r="4456" spans="1:2" x14ac:dyDescent="0.25">
      <c r="A4456">
        <f ca="1">32403.3246426053*((RANDBETWEEN(1620,2416)))</f>
        <v>74300823.405493915</v>
      </c>
      <c r="B4456">
        <v>179705959.12816513</v>
      </c>
    </row>
    <row r="4457" spans="1:2" x14ac:dyDescent="0.25">
      <c r="A4457">
        <f ca="1">26535.3294351426*((RANDBETWEEN(1620,2416)))</f>
        <v>49196500.772754461</v>
      </c>
      <c r="B4457">
        <v>146972381.42512363</v>
      </c>
    </row>
    <row r="4458" spans="1:2" x14ac:dyDescent="0.25">
      <c r="A4458">
        <f ca="1">27836.4530065787*((RANDBETWEEN(1620,2416)))</f>
        <v>56285307.979302093</v>
      </c>
      <c r="B4458">
        <v>175725886.74958199</v>
      </c>
    </row>
    <row r="4459" spans="1:2" x14ac:dyDescent="0.25">
      <c r="A4459">
        <f ca="1">26576.6789126983*((RANDBETWEEN(1620,2416)))</f>
        <v>62747538.912880696</v>
      </c>
      <c r="B4459">
        <v>150161754.16222399</v>
      </c>
    </row>
    <row r="4460" spans="1:2" x14ac:dyDescent="0.25">
      <c r="A4460">
        <f ca="1">27788.6667051656*((RANDBETWEEN(1620,2416)))</f>
        <v>54882616.742702</v>
      </c>
      <c r="B4460">
        <v>167751278.26202005</v>
      </c>
    </row>
    <row r="4461" spans="1:2" x14ac:dyDescent="0.25">
      <c r="A4461">
        <f ca="1">27704.7746024881*((RANDBETWEEN(1620,2416)))</f>
        <v>56490035.414473243</v>
      </c>
      <c r="B4461">
        <v>194401514.7693342</v>
      </c>
    </row>
    <row r="4462" spans="1:2" x14ac:dyDescent="0.25">
      <c r="A4462">
        <f ca="1">28660.7479150316*((RANDBETWEEN(1620,2416)))</f>
        <v>48522646.220148452</v>
      </c>
      <c r="B4462">
        <v>189695401.23005337</v>
      </c>
    </row>
    <row r="4463" spans="1:2" x14ac:dyDescent="0.25">
      <c r="A4463">
        <f ca="1">28257.2242675618*((RANDBETWEEN(1620,2416)))</f>
        <v>56683991.8807289</v>
      </c>
      <c r="B4463">
        <v>198192851.30411977</v>
      </c>
    </row>
    <row r="4464" spans="1:2" x14ac:dyDescent="0.25">
      <c r="A4464">
        <f ca="1">26877.2158526957*((RANDBETWEEN(1620,2416)))</f>
        <v>51174218.983532518</v>
      </c>
      <c r="B4464">
        <v>148491873.90108442</v>
      </c>
    </row>
    <row r="4465" spans="1:2" x14ac:dyDescent="0.25">
      <c r="A4465">
        <f ca="1">30460.8309897337*((RANDBETWEEN(1620,2416)))</f>
        <v>63175763.472707726</v>
      </c>
      <c r="B4465">
        <v>188471115.95372614</v>
      </c>
    </row>
    <row r="4466" spans="1:2" x14ac:dyDescent="0.25">
      <c r="A4466">
        <f ca="1">34134.7404982328*((RANDBETWEEN(1620,2416)))</f>
        <v>79329136.917892933</v>
      </c>
      <c r="B4466">
        <v>185004934.44958681</v>
      </c>
    </row>
    <row r="4467" spans="1:2" x14ac:dyDescent="0.25">
      <c r="A4467">
        <f ca="1">26747.4631026362*((RANDBETWEEN(1620,2416)))</f>
        <v>56865106.55620455</v>
      </c>
      <c r="B4467">
        <v>144621145.29134214</v>
      </c>
    </row>
    <row r="4468" spans="1:2" x14ac:dyDescent="0.25">
      <c r="A4468">
        <f ca="1">26267.0451332945*((RANDBETWEEN(1620,2416)))</f>
        <v>43366891.515069216</v>
      </c>
      <c r="B4468">
        <v>150780490.38582033</v>
      </c>
    </row>
    <row r="4469" spans="1:2" x14ac:dyDescent="0.25">
      <c r="A4469">
        <f ca="1">27129.2642667553*((RANDBETWEEN(1620,2416)))</f>
        <v>44519122.661745444</v>
      </c>
      <c r="B4469">
        <v>168026809.24322307</v>
      </c>
    </row>
    <row r="4470" spans="1:2" x14ac:dyDescent="0.25">
      <c r="A4470">
        <f ca="1">26991.9634245717*((RANDBETWEEN(1620,2416)))</f>
        <v>63053226.559799433</v>
      </c>
      <c r="B4470">
        <v>152450403.5868085</v>
      </c>
    </row>
    <row r="4471" spans="1:2" x14ac:dyDescent="0.25">
      <c r="A4471">
        <f ca="1">27385.1830659531*((RANDBETWEEN(1620,2416)))</f>
        <v>51785381.17771735</v>
      </c>
      <c r="B4471">
        <v>165810359.7430186</v>
      </c>
    </row>
    <row r="4472" spans="1:2" x14ac:dyDescent="0.25">
      <c r="A4472">
        <f ca="1">29075.8223918452*((RANDBETWEEN(1620,2416)))</f>
        <v>67339604.659513444</v>
      </c>
      <c r="B4472">
        <v>174244341.28508222</v>
      </c>
    </row>
    <row r="4473" spans="1:2" x14ac:dyDescent="0.25">
      <c r="A4473">
        <f ca="1">30102.4057947358*((RANDBETWEEN(1620,2416)))</f>
        <v>64298738.77755563</v>
      </c>
      <c r="B4473">
        <v>169546693.80062628</v>
      </c>
    </row>
    <row r="4474" spans="1:2" x14ac:dyDescent="0.25">
      <c r="A4474">
        <f ca="1">25355.4797703248*((RANDBETWEEN(1620,2416)))</f>
        <v>44346734.118298143</v>
      </c>
      <c r="B4474">
        <v>154763974.32040659</v>
      </c>
    </row>
    <row r="4475" spans="1:2" x14ac:dyDescent="0.25">
      <c r="A4475">
        <f ca="1">26976.4240359755*((RANDBETWEEN(1620,2416)))</f>
        <v>56920254.715908222</v>
      </c>
      <c r="B4475">
        <v>146125938.37320462</v>
      </c>
    </row>
    <row r="4476" spans="1:2" x14ac:dyDescent="0.25">
      <c r="A4476">
        <f ca="1">32045.3062573859*((RANDBETWEEN(1620,2416)))</f>
        <v>66109466.808987051</v>
      </c>
      <c r="B4476">
        <v>191193036.15930647</v>
      </c>
    </row>
    <row r="4477" spans="1:2" x14ac:dyDescent="0.25">
      <c r="A4477">
        <f ca="1">31968.1038764562*((RANDBETWEEN(1620,2416)))</f>
        <v>58118012.847397394</v>
      </c>
      <c r="B4477">
        <v>195967881.84333751</v>
      </c>
    </row>
    <row r="4478" spans="1:2" x14ac:dyDescent="0.25">
      <c r="A4478">
        <f ca="1">32238.5876093178*((RANDBETWEEN(1620,2416)))</f>
        <v>57578117.470241569</v>
      </c>
      <c r="B4478">
        <v>176539907.34182006</v>
      </c>
    </row>
    <row r="4479" spans="1:2" x14ac:dyDescent="0.25">
      <c r="A4479">
        <f ca="1">30540.3501994115*((RANDBETWEEN(1620,2416)))</f>
        <v>67677416.041895941</v>
      </c>
      <c r="B4479">
        <v>156358863.21277505</v>
      </c>
    </row>
    <row r="4480" spans="1:2" x14ac:dyDescent="0.25">
      <c r="A4480">
        <f ca="1">29818.886666443*((RANDBETWEEN(1620,2416)))</f>
        <v>65929558.419505462</v>
      </c>
      <c r="B4480">
        <v>181372732.31683502</v>
      </c>
    </row>
    <row r="4481" spans="1:2" x14ac:dyDescent="0.25">
      <c r="A4481">
        <f ca="1">27204.5991742131*((RANDBETWEEN(1620,2416)))</f>
        <v>50899805.054952711</v>
      </c>
      <c r="B4481">
        <v>155430443.74710885</v>
      </c>
    </row>
    <row r="4482" spans="1:2" x14ac:dyDescent="0.25">
      <c r="A4482">
        <f ca="1">25867.5606422024*((RANDBETWEEN(1620,2416)))</f>
        <v>58641759.975872822</v>
      </c>
      <c r="B4482">
        <v>165448823.28343278</v>
      </c>
    </row>
    <row r="4483" spans="1:2" x14ac:dyDescent="0.25">
      <c r="A4483">
        <f ca="1">29059.7870017137*((RANDBETWEEN(1620,2416)))</f>
        <v>52220437.242079481</v>
      </c>
      <c r="B4483">
        <v>197221740.62972248</v>
      </c>
    </row>
    <row r="4484" spans="1:2" x14ac:dyDescent="0.25">
      <c r="A4484">
        <f ca="1">26788.418961289*((RANDBETWEEN(1620,2416)))</f>
        <v>51487341.243597388</v>
      </c>
      <c r="B4484">
        <v>203526916.91152149</v>
      </c>
    </row>
    <row r="4485" spans="1:2" x14ac:dyDescent="0.25">
      <c r="A4485">
        <f ca="1">26769.6892885849*((RANDBETWEEN(1620,2416)))</f>
        <v>49657773.630325042</v>
      </c>
      <c r="B4485">
        <v>161121582.43250975</v>
      </c>
    </row>
    <row r="4486" spans="1:2" x14ac:dyDescent="0.25">
      <c r="A4486">
        <f ca="1">26213.1269236191*((RANDBETWEEN(1620,2416)))</f>
        <v>45637053.974020831</v>
      </c>
      <c r="B4486">
        <v>146377270.56034777</v>
      </c>
    </row>
    <row r="4487" spans="1:2" x14ac:dyDescent="0.25">
      <c r="A4487">
        <f ca="1">32195.961131954*((RANDBETWEEN(1620,2416)))</f>
        <v>60238643.277886018</v>
      </c>
      <c r="B4487">
        <v>200382177.95677525</v>
      </c>
    </row>
    <row r="4488" spans="1:2" x14ac:dyDescent="0.25">
      <c r="A4488">
        <f ca="1">31026.2114816477*((RANDBETWEEN(1620,2416)))</f>
        <v>68692032.220367998</v>
      </c>
      <c r="B4488">
        <v>199531937.57818505</v>
      </c>
    </row>
    <row r="4489" spans="1:2" x14ac:dyDescent="0.25">
      <c r="A4489">
        <f ca="1">28236.9605180732*((RANDBETWEEN(1620,2416)))</f>
        <v>51956007.353254601</v>
      </c>
      <c r="B4489">
        <v>171352401.04931194</v>
      </c>
    </row>
    <row r="4490" spans="1:2" x14ac:dyDescent="0.25">
      <c r="A4490">
        <f ca="1">27290.5738167508*((RANDBETWEEN(1620,2416)))</f>
        <v>61240047.644788735</v>
      </c>
      <c r="B4490">
        <v>146576901.22359115</v>
      </c>
    </row>
    <row r="4491" spans="1:2" x14ac:dyDescent="0.25">
      <c r="A4491">
        <f ca="1">26357.0404649925*((RANDBETWEEN(1620,2416)))</f>
        <v>52424153.484869994</v>
      </c>
      <c r="B4491">
        <v>155250100.82296306</v>
      </c>
    </row>
    <row r="4492" spans="1:2" x14ac:dyDescent="0.25">
      <c r="A4492">
        <f ca="1">27112.3853931275*((RANDBETWEEN(1620,2416)))</f>
        <v>49724114.81099578</v>
      </c>
      <c r="B4492">
        <v>156377440.05997741</v>
      </c>
    </row>
    <row r="4493" spans="1:2" x14ac:dyDescent="0.25">
      <c r="A4493">
        <f ca="1">33024.0816103593*((RANDBETWEEN(1620,2416)))</f>
        <v>58518672.61355672</v>
      </c>
      <c r="B4493">
        <v>175252874.18169701</v>
      </c>
    </row>
    <row r="4494" spans="1:2" x14ac:dyDescent="0.25">
      <c r="A4494">
        <f ca="1">27050.9461657057*((RANDBETWEEN(1620,2416)))</f>
        <v>45851353.750871129</v>
      </c>
      <c r="B4494">
        <v>151893111.01156369</v>
      </c>
    </row>
    <row r="4495" spans="1:2" x14ac:dyDescent="0.25">
      <c r="A4495">
        <f ca="1">29546.4352574006*((RANDBETWEEN(1620,2416)))</f>
        <v>57733734.492960796</v>
      </c>
      <c r="B4495">
        <v>159397418.26582366</v>
      </c>
    </row>
    <row r="4496" spans="1:2" x14ac:dyDescent="0.25">
      <c r="A4496">
        <f ca="1">27467.5585996429*((RANDBETWEEN(1620,2416)))</f>
        <v>45706017.509805851</v>
      </c>
      <c r="B4496">
        <v>157785317.67294124</v>
      </c>
    </row>
    <row r="4497" spans="1:2" x14ac:dyDescent="0.25">
      <c r="A4497">
        <f ca="1">27551.8103498808*((RANDBETWEEN(1620,2416)))</f>
        <v>47637080.094943888</v>
      </c>
      <c r="B4497">
        <v>162199943.41553912</v>
      </c>
    </row>
    <row r="4498" spans="1:2" x14ac:dyDescent="0.25">
      <c r="A4498">
        <f ca="1">25921.8313194839*((RANDBETWEEN(1620,2416)))</f>
        <v>62212395.166761331</v>
      </c>
      <c r="B4498">
        <v>144215921.45372581</v>
      </c>
    </row>
    <row r="4499" spans="1:2" x14ac:dyDescent="0.25">
      <c r="A4499">
        <f ca="1">27157.5583217809*((RANDBETWEEN(1620,2416)))</f>
        <v>46738157.871784933</v>
      </c>
      <c r="B4499">
        <v>169567534.42308781</v>
      </c>
    </row>
    <row r="4500" spans="1:2" x14ac:dyDescent="0.25">
      <c r="A4500">
        <f ca="1">30992.7684255356*((RANDBETWEEN(1620,2416)))</f>
        <v>59971006.903411441</v>
      </c>
      <c r="B4500">
        <v>180663952.13694555</v>
      </c>
    </row>
    <row r="4501" spans="1:2" x14ac:dyDescent="0.25">
      <c r="A4501">
        <f ca="1">27162.3415148226*((RANDBETWEEN(1620,2416)))</f>
        <v>59892963.040183835</v>
      </c>
      <c r="B4501">
        <v>163849708.46301645</v>
      </c>
    </row>
    <row r="4502" spans="1:2" x14ac:dyDescent="0.25">
      <c r="A4502">
        <f ca="1">29899.9072805687*((RANDBETWEEN(1620,2416)))</f>
        <v>53191935.052131765</v>
      </c>
      <c r="B4502">
        <v>188820650.98930746</v>
      </c>
    </row>
    <row r="4503" spans="1:2" x14ac:dyDescent="0.25">
      <c r="A4503">
        <f ca="1">30948.041727016*((RANDBETWEEN(1620,2416)))</f>
        <v>67373886.839713871</v>
      </c>
      <c r="B4503">
        <v>149133225.01993132</v>
      </c>
    </row>
    <row r="4504" spans="1:2" x14ac:dyDescent="0.25">
      <c r="A4504">
        <f ca="1">28423.6527363472*((RANDBETWEEN(1620,2416)))</f>
        <v>55852477.626922272</v>
      </c>
      <c r="B4504">
        <v>166258019.72741568</v>
      </c>
    </row>
    <row r="4505" spans="1:2" x14ac:dyDescent="0.25">
      <c r="A4505">
        <f ca="1">29168.7716164377*((RANDBETWEEN(1620,2416)))</f>
        <v>61429433.024217814</v>
      </c>
      <c r="B4505">
        <v>173163385.52378878</v>
      </c>
    </row>
    <row r="4506" spans="1:2" x14ac:dyDescent="0.25">
      <c r="A4506">
        <f ca="1">26753.9944048957*((RANDBETWEEN(1620,2416)))</f>
        <v>49922953.559535392</v>
      </c>
      <c r="B4506">
        <v>171532701.99406725</v>
      </c>
    </row>
    <row r="4507" spans="1:2" x14ac:dyDescent="0.25">
      <c r="A4507">
        <f ca="1">27827.5055938563*((RANDBETWEEN(1620,2416)))</f>
        <v>52037435.460511252</v>
      </c>
      <c r="B4507">
        <v>152596597.65960199</v>
      </c>
    </row>
    <row r="4508" spans="1:2" x14ac:dyDescent="0.25">
      <c r="A4508">
        <f ca="1">27843.1435551057*((RANDBETWEEN(1620,2416)))</f>
        <v>60419621.514579393</v>
      </c>
      <c r="B4508">
        <v>195366442.18591011</v>
      </c>
    </row>
    <row r="4509" spans="1:2" x14ac:dyDescent="0.25">
      <c r="A4509">
        <f ca="1">27092.730365537*((RANDBETWEEN(1620,2416)))</f>
        <v>50338293.019167811</v>
      </c>
      <c r="B4509">
        <v>155644858.64411405</v>
      </c>
    </row>
    <row r="4510" spans="1:2" x14ac:dyDescent="0.25">
      <c r="A4510">
        <f ca="1">29786.3686931859*((RANDBETWEEN(1620,2416)))</f>
        <v>52572940.743473187</v>
      </c>
      <c r="B4510">
        <v>149494619.65823987</v>
      </c>
    </row>
    <row r="4511" spans="1:2" x14ac:dyDescent="0.25">
      <c r="A4511">
        <f ca="1">27046.7154665991*((RANDBETWEEN(1620,2416)))</f>
        <v>59313447.018251903</v>
      </c>
      <c r="B4511">
        <v>152212402.27559599</v>
      </c>
    </row>
    <row r="4512" spans="1:2" x14ac:dyDescent="0.25">
      <c r="A4512">
        <f ca="1">31664.0038948195*((RANDBETWEEN(1620,2416)))</f>
        <v>57248519.041833669</v>
      </c>
      <c r="B4512">
        <v>148252271.51521286</v>
      </c>
    </row>
    <row r="4513" spans="1:2" x14ac:dyDescent="0.25">
      <c r="A4513">
        <f ca="1">28291.4553605284*((RANDBETWEEN(1620,2416)))</f>
        <v>61420749.58770708</v>
      </c>
      <c r="B4513">
        <v>172289010.04618454</v>
      </c>
    </row>
    <row r="4514" spans="1:2" x14ac:dyDescent="0.25">
      <c r="A4514">
        <f ca="1">31937.2222532627*((RANDBETWEEN(1620,2416)))</f>
        <v>75723153.962485924</v>
      </c>
      <c r="B4514">
        <v>183803446.31957075</v>
      </c>
    </row>
    <row r="4515" spans="1:2" x14ac:dyDescent="0.25">
      <c r="A4515">
        <f ca="1">27583.3220423561*((RANDBETWEEN(1620,2416)))</f>
        <v>55938977.101898231</v>
      </c>
      <c r="B4515">
        <v>149479175.51208088</v>
      </c>
    </row>
    <row r="4516" spans="1:2" x14ac:dyDescent="0.25">
      <c r="A4516">
        <f ca="1">26974.5960665871*((RANDBETWEEN(1620,2416)))</f>
        <v>61636952.012151577</v>
      </c>
      <c r="B4516">
        <v>183760702.51233953</v>
      </c>
    </row>
    <row r="4517" spans="1:2" x14ac:dyDescent="0.25">
      <c r="A4517">
        <f ca="1">28540.7868574836*((RANDBETWEEN(1620,2416)))</f>
        <v>52258180.736052498</v>
      </c>
      <c r="B4517">
        <v>159458649.77501157</v>
      </c>
    </row>
    <row r="4518" spans="1:2" x14ac:dyDescent="0.25">
      <c r="A4518">
        <f ca="1">27009.379769591*((RANDBETWEEN(1620,2416)))</f>
        <v>52560253.031624071</v>
      </c>
      <c r="B4518">
        <v>163391064.79318041</v>
      </c>
    </row>
    <row r="4519" spans="1:2" x14ac:dyDescent="0.25">
      <c r="A4519">
        <f ca="1">28583.3544323927*((RANDBETWEEN(1620,2416)))</f>
        <v>49563536.585768878</v>
      </c>
      <c r="B4519">
        <v>146685092.96388066</v>
      </c>
    </row>
    <row r="4520" spans="1:2" x14ac:dyDescent="0.25">
      <c r="A4520">
        <f ca="1">26168.0679935213*((RANDBETWEEN(1620,2416)))</f>
        <v>47233362.728306003</v>
      </c>
      <c r="B4520">
        <v>150880907.93949187</v>
      </c>
    </row>
    <row r="4521" spans="1:2" x14ac:dyDescent="0.25">
      <c r="A4521">
        <f ca="1">33155.8130505841*((RANDBETWEEN(1620,2416)))</f>
        <v>71284998.058755755</v>
      </c>
      <c r="B4521">
        <v>147120180.5203037</v>
      </c>
    </row>
    <row r="4522" spans="1:2" x14ac:dyDescent="0.25">
      <c r="A4522">
        <f ca="1">29917.7342339082*((RANDBETWEEN(1620,2416)))</f>
        <v>63425596.575885452</v>
      </c>
      <c r="B4522">
        <v>160092988.54377803</v>
      </c>
    </row>
    <row r="4523" spans="1:2" x14ac:dyDescent="0.25">
      <c r="A4523">
        <f ca="1">27246.4725398297*((RANDBETWEEN(1620,2416)))</f>
        <v>46019292.119772442</v>
      </c>
      <c r="B4523">
        <v>203173517.26705626</v>
      </c>
    </row>
    <row r="4524" spans="1:2" x14ac:dyDescent="0.25">
      <c r="A4524">
        <f ca="1">28471.8666061952*((RANDBETWEEN(1620,2416)))</f>
        <v>53527109.21964702</v>
      </c>
      <c r="B4524">
        <v>164649743.53722891</v>
      </c>
    </row>
    <row r="4525" spans="1:2" x14ac:dyDescent="0.25">
      <c r="A4525">
        <f ca="1">27550.9497756485*((RANDBETWEEN(1620,2416)))</f>
        <v>59372296.766522579</v>
      </c>
      <c r="B4525">
        <v>179107603.15651947</v>
      </c>
    </row>
    <row r="4526" spans="1:2" x14ac:dyDescent="0.25">
      <c r="A4526">
        <f ca="1">27002.7735202483*((RANDBETWEEN(1620,2416)))</f>
        <v>48037934.092521787</v>
      </c>
      <c r="B4526">
        <v>171145653.44955221</v>
      </c>
    </row>
    <row r="4527" spans="1:2" x14ac:dyDescent="0.25">
      <c r="A4527">
        <f ca="1">35687.9755677649*((RANDBETWEEN(1620,2416)))</f>
        <v>64202668.046409123</v>
      </c>
      <c r="B4527">
        <v>177143193.08104062</v>
      </c>
    </row>
    <row r="4528" spans="1:2" x14ac:dyDescent="0.25">
      <c r="A4528">
        <f ca="1">28900.9871452604*((RANDBETWEEN(1620,2416)))</f>
        <v>50807935.401367769</v>
      </c>
      <c r="B4528">
        <v>158372286.48667759</v>
      </c>
    </row>
    <row r="4529" spans="1:2" x14ac:dyDescent="0.25">
      <c r="A4529">
        <f ca="1">27879.8991011129*((RANDBETWEEN(1620,2416)))</f>
        <v>48204345.545824125</v>
      </c>
      <c r="B4529">
        <v>148797539.62732184</v>
      </c>
    </row>
    <row r="4530" spans="1:2" x14ac:dyDescent="0.25">
      <c r="A4530">
        <f ca="1">26045.3524946707*((RANDBETWEEN(1620,2416)))</f>
        <v>51543752.586953267</v>
      </c>
      <c r="B4530">
        <v>148059288.25708413</v>
      </c>
    </row>
    <row r="4531" spans="1:2" x14ac:dyDescent="0.25">
      <c r="A4531">
        <f ca="1">26816.0501524132*((RANDBETWEEN(1620,2416)))</f>
        <v>54490213.909703612</v>
      </c>
      <c r="B4531">
        <v>160164004.66720438</v>
      </c>
    </row>
    <row r="4532" spans="1:2" x14ac:dyDescent="0.25">
      <c r="A4532">
        <f ca="1">31147.0781304013*((RANDBETWEEN(1620,2416)))</f>
        <v>67931777.402405128</v>
      </c>
      <c r="B4532">
        <v>194779674.15468854</v>
      </c>
    </row>
    <row r="4533" spans="1:2" x14ac:dyDescent="0.25">
      <c r="A4533">
        <f ca="1">30104.9627207718*((RANDBETWEEN(1620,2416)))</f>
        <v>61263599.136770532</v>
      </c>
      <c r="B4533">
        <v>195810528.20995313</v>
      </c>
    </row>
    <row r="4534" spans="1:2" x14ac:dyDescent="0.25">
      <c r="A4534">
        <f ca="1">28657.572122247*((RANDBETWEEN(1620,2416)))</f>
        <v>57888295.686939009</v>
      </c>
      <c r="B4534">
        <v>202987793.88568714</v>
      </c>
    </row>
    <row r="4535" spans="1:2" x14ac:dyDescent="0.25">
      <c r="A4535">
        <f ca="1">27047.7868492874*((RANDBETWEEN(1620,2416)))</f>
        <v>51201460.505701005</v>
      </c>
      <c r="B4535">
        <v>145365746.34318098</v>
      </c>
    </row>
    <row r="4536" spans="1:2" x14ac:dyDescent="0.25">
      <c r="A4536">
        <f ca="1">26340.8580461453*((RANDBETWEEN(1620,2416)))</f>
        <v>51259309.757798754</v>
      </c>
      <c r="B4536">
        <v>161027341.35204285</v>
      </c>
    </row>
    <row r="4537" spans="1:2" x14ac:dyDescent="0.25">
      <c r="A4537">
        <f ca="1">25648.4530243786*((RANDBETWEEN(1620,2416)))</f>
        <v>52887110.136268742</v>
      </c>
      <c r="B4537">
        <v>154543943.8363874</v>
      </c>
    </row>
    <row r="4538" spans="1:2" x14ac:dyDescent="0.25">
      <c r="A4538">
        <f ca="1">26902.1154749983*((RANDBETWEEN(1620,2416)))</f>
        <v>56790365.767721437</v>
      </c>
      <c r="B4538">
        <v>147116586.59445626</v>
      </c>
    </row>
    <row r="4539" spans="1:2" x14ac:dyDescent="0.25">
      <c r="A4539">
        <f ca="1">25847.3757006641*((RANDBETWEEN(1620,2416)))</f>
        <v>55649399.883529902</v>
      </c>
      <c r="B4539">
        <v>160128063.1214484</v>
      </c>
    </row>
    <row r="4540" spans="1:2" x14ac:dyDescent="0.25">
      <c r="A4540">
        <f ca="1">28447.7112202857*((RANDBETWEEN(1620,2416)))</f>
        <v>46568903.267607614</v>
      </c>
      <c r="B4540">
        <v>163489012.1169526</v>
      </c>
    </row>
    <row r="4541" spans="1:2" x14ac:dyDescent="0.25">
      <c r="A4541">
        <f ca="1">28454.4789216588*((RANDBETWEEN(1620,2416)))</f>
        <v>66555026.197759956</v>
      </c>
      <c r="B4541">
        <v>158970774.70775658</v>
      </c>
    </row>
    <row r="4542" spans="1:2" x14ac:dyDescent="0.25">
      <c r="A4542">
        <f ca="1">30012.7605161354*((RANDBETWEEN(1620,2416)))</f>
        <v>63086822.604916595</v>
      </c>
      <c r="B4542">
        <v>147940057.73768583</v>
      </c>
    </row>
    <row r="4543" spans="1:2" x14ac:dyDescent="0.25">
      <c r="A4543">
        <f ca="1">28779.1681426204*((RANDBETWEEN(1620,2416)))</f>
        <v>67429590.958159611</v>
      </c>
      <c r="B4543">
        <v>154770182.81922176</v>
      </c>
    </row>
    <row r="4544" spans="1:2" x14ac:dyDescent="0.25">
      <c r="A4544">
        <f ca="1">29954.7079683347*((RANDBETWEEN(1620,2416)))</f>
        <v>68057096.504056409</v>
      </c>
      <c r="B4544">
        <v>150837656.13981161</v>
      </c>
    </row>
    <row r="4545" spans="1:2" x14ac:dyDescent="0.25">
      <c r="A4545">
        <f ca="1">28375.4884201192*((RANDBETWEEN(1620,2416)))</f>
        <v>50281365.480451182</v>
      </c>
      <c r="B4545">
        <v>152036472.16697443</v>
      </c>
    </row>
    <row r="4546" spans="1:2" x14ac:dyDescent="0.25">
      <c r="A4546">
        <f ca="1">26049.2511280528*((RANDBETWEEN(1620,2416)))</f>
        <v>50952335.206471272</v>
      </c>
      <c r="B4546">
        <v>148002020.60104671</v>
      </c>
    </row>
    <row r="4547" spans="1:2" x14ac:dyDescent="0.25">
      <c r="A4547">
        <f ca="1">28726.4804715511*((RANDBETWEEN(1620,2416)))</f>
        <v>59320182.173752956</v>
      </c>
      <c r="B4547">
        <v>193245724.54355964</v>
      </c>
    </row>
    <row r="4548" spans="1:2" x14ac:dyDescent="0.25">
      <c r="A4548">
        <f ca="1">29467.0839119374*((RANDBETWEEN(1620,2416)))</f>
        <v>49828838.895086214</v>
      </c>
      <c r="B4548">
        <v>167046720.01166633</v>
      </c>
    </row>
    <row r="4549" spans="1:2" x14ac:dyDescent="0.25">
      <c r="A4549">
        <f ca="1">27064.3366542364*((RANDBETWEEN(1620,2416)))</f>
        <v>46361208.688706979</v>
      </c>
      <c r="B4549">
        <v>148831480.44359836</v>
      </c>
    </row>
    <row r="4550" spans="1:2" x14ac:dyDescent="0.25">
      <c r="A4550">
        <f ca="1">26110.9623535372*((RANDBETWEEN(1620,2416)))</f>
        <v>48879721.525821678</v>
      </c>
      <c r="B4550">
        <v>160877405.36264506</v>
      </c>
    </row>
    <row r="4551" spans="1:2" x14ac:dyDescent="0.25">
      <c r="A4551">
        <f ca="1">26187.1290250067*((RANDBETWEEN(1620,2416)))</f>
        <v>57271251.177689724</v>
      </c>
      <c r="B4551">
        <v>162876210.72996473</v>
      </c>
    </row>
    <row r="4552" spans="1:2" x14ac:dyDescent="0.25">
      <c r="A4552">
        <f ca="1">31313.7952095516*((RANDBETWEEN(1620,2416)))</f>
        <v>75059167.117295131</v>
      </c>
      <c r="B4552">
        <v>201760639.65447557</v>
      </c>
    </row>
    <row r="4553" spans="1:2" x14ac:dyDescent="0.25">
      <c r="A4553">
        <f ca="1">28029.1162849042*((RANDBETWEEN(1620,2416)))</f>
        <v>57964212.477181874</v>
      </c>
      <c r="B4553">
        <v>171624908.7814686</v>
      </c>
    </row>
    <row r="4554" spans="1:2" x14ac:dyDescent="0.25">
      <c r="A4554">
        <f ca="1">31577.5374366771*((RANDBETWEEN(1620,2416)))</f>
        <v>57818471.04655575</v>
      </c>
      <c r="B4554">
        <v>174932486.46388921</v>
      </c>
    </row>
    <row r="4555" spans="1:2" x14ac:dyDescent="0.25">
      <c r="A4555">
        <f ca="1">27267.2454572459*((RANDBETWEEN(1620,2416)))</f>
        <v>62251121.378892422</v>
      </c>
      <c r="B4555">
        <v>154014218.31991369</v>
      </c>
    </row>
    <row r="4556" spans="1:2" x14ac:dyDescent="0.25">
      <c r="A4556">
        <f ca="1">28357.0597151075*((RANDBETWEEN(1620,2416)))</f>
        <v>60570679.551469684</v>
      </c>
      <c r="B4556">
        <v>194811719.02467471</v>
      </c>
    </row>
    <row r="4557" spans="1:2" x14ac:dyDescent="0.25">
      <c r="A4557">
        <f ca="1">26320.2569320936*((RANDBETWEEN(1620,2416)))</f>
        <v>53035317.718168572</v>
      </c>
      <c r="B4557">
        <v>145189126.74780655</v>
      </c>
    </row>
    <row r="4558" spans="1:2" x14ac:dyDescent="0.25">
      <c r="A4558">
        <f ca="1">25961.4418017001*((RANDBETWEEN(1620,2416)))</f>
        <v>45380600.26937183</v>
      </c>
      <c r="B4558">
        <v>148611022.96349692</v>
      </c>
    </row>
    <row r="4559" spans="1:2" x14ac:dyDescent="0.25">
      <c r="A4559">
        <f ca="1">31361.0413415135*((RANDBETWEEN(1620,2416)))</f>
        <v>54223240.479476802</v>
      </c>
      <c r="B4559">
        <v>185096434.52033156</v>
      </c>
    </row>
    <row r="4560" spans="1:2" x14ac:dyDescent="0.25">
      <c r="A4560">
        <f ca="1">27981.8151313539*((RANDBETWEEN(1620,2416)))</f>
        <v>54984266.733110443</v>
      </c>
      <c r="B4560">
        <v>169627116.92486018</v>
      </c>
    </row>
    <row r="4561" spans="1:2" x14ac:dyDescent="0.25">
      <c r="A4561">
        <f ca="1">29388.8001264896*((RANDBETWEEN(1620,2416)))</f>
        <v>54369280.234005779</v>
      </c>
      <c r="B4561">
        <v>161047584.80418956</v>
      </c>
    </row>
    <row r="4562" spans="1:2" x14ac:dyDescent="0.25">
      <c r="A4562">
        <f ca="1">27601.240117022*((RANDBETWEEN(1620,2416)))</f>
        <v>58487027.807969652</v>
      </c>
      <c r="B4562">
        <v>156295611.35330889</v>
      </c>
    </row>
    <row r="4563" spans="1:2" x14ac:dyDescent="0.25">
      <c r="A4563">
        <f ca="1">25884.7024040242*((RANDBETWEEN(1620,2416)))</f>
        <v>58059387.492226288</v>
      </c>
      <c r="B4563">
        <v>147246259.46724725</v>
      </c>
    </row>
    <row r="4564" spans="1:2" x14ac:dyDescent="0.25">
      <c r="A4564">
        <f ca="1">28217.963687757*((RANDBETWEEN(1620,2416)))</f>
        <v>52203232.822350517</v>
      </c>
      <c r="B4564">
        <v>167484949.35292953</v>
      </c>
    </row>
    <row r="4565" spans="1:2" x14ac:dyDescent="0.25">
      <c r="A4565">
        <f ca="1">29473.0728170731*((RANDBETWEEN(1620,2416)))</f>
        <v>54230453.983414456</v>
      </c>
      <c r="B4565">
        <v>193601756.59223789</v>
      </c>
    </row>
    <row r="4566" spans="1:2" x14ac:dyDescent="0.25">
      <c r="A4566">
        <f ca="1">27423.1544221563*((RANDBETWEEN(1620,2416)))</f>
        <v>47414633.995908186</v>
      </c>
      <c r="B4566">
        <v>157707226.21454811</v>
      </c>
    </row>
    <row r="4567" spans="1:2" x14ac:dyDescent="0.25">
      <c r="A4567">
        <f ca="1">25526.7638719809*((RANDBETWEEN(1620,2416)))</f>
        <v>46024755.261181578</v>
      </c>
      <c r="B4567">
        <v>196887913.52710491</v>
      </c>
    </row>
    <row r="4568" spans="1:2" x14ac:dyDescent="0.25">
      <c r="A4568">
        <f ca="1">25884.2846526905*((RANDBETWEEN(1620,2416)))</f>
        <v>50707313.634620711</v>
      </c>
      <c r="B4568">
        <v>149160250.06874764</v>
      </c>
    </row>
    <row r="4569" spans="1:2" x14ac:dyDescent="0.25">
      <c r="A4569">
        <f ca="1">29149.7576736736*((RANDBETWEEN(1620,2416)))</f>
        <v>56200732.794842705</v>
      </c>
      <c r="B4569">
        <v>148017118.31930739</v>
      </c>
    </row>
    <row r="4570" spans="1:2" x14ac:dyDescent="0.25">
      <c r="A4570">
        <f ca="1">27660.7893225155*((RANDBETWEEN(1620,2416)))</f>
        <v>65141158.854524113</v>
      </c>
      <c r="B4570">
        <v>162063788.36401314</v>
      </c>
    </row>
    <row r="4571" spans="1:2" x14ac:dyDescent="0.25">
      <c r="A4571">
        <f ca="1">31029.0527469344*((RANDBETWEEN(1620,2416)))</f>
        <v>56814195.579636872</v>
      </c>
      <c r="B4571">
        <v>191122374.6059536</v>
      </c>
    </row>
    <row r="4572" spans="1:2" x14ac:dyDescent="0.25">
      <c r="A4572">
        <f ca="1">28680.5973602124*((RANDBETWEEN(1620,2416)))</f>
        <v>62122173.882219993</v>
      </c>
      <c r="B4572">
        <v>202286719.77899528</v>
      </c>
    </row>
    <row r="4573" spans="1:2" x14ac:dyDescent="0.25">
      <c r="A4573">
        <f ca="1">27740.8274918932*((RANDBETWEEN(1620,2416)))</f>
        <v>46881998.461299494</v>
      </c>
      <c r="B4573">
        <v>178164185.7146112</v>
      </c>
    </row>
    <row r="4574" spans="1:2" x14ac:dyDescent="0.25">
      <c r="A4574">
        <f ca="1">26534.2166640672*((RANDBETWEEN(1620,2416)))</f>
        <v>47894261.078641362</v>
      </c>
      <c r="B4574">
        <v>153044557.16911072</v>
      </c>
    </row>
    <row r="4575" spans="1:2" x14ac:dyDescent="0.25">
      <c r="A4575">
        <f ca="1">27122.8148189095*((RANDBETWEEN(1620,2416)))</f>
        <v>49255031.711139701</v>
      </c>
      <c r="B4575">
        <v>159504457.90998423</v>
      </c>
    </row>
    <row r="4576" spans="1:2" x14ac:dyDescent="0.25">
      <c r="A4576">
        <f ca="1">29561.0702325915*((RANDBETWEEN(1620,2416)))</f>
        <v>69438953.97635749</v>
      </c>
      <c r="B4576">
        <v>165908627.19663164</v>
      </c>
    </row>
    <row r="4577" spans="1:2" x14ac:dyDescent="0.25">
      <c r="A4577">
        <f ca="1">28699.1123875268*((RANDBETWEEN(1620,2416)))</f>
        <v>59378463.529793024</v>
      </c>
      <c r="B4577">
        <v>162484801.98481256</v>
      </c>
    </row>
    <row r="4578" spans="1:2" x14ac:dyDescent="0.25">
      <c r="A4578">
        <f ca="1">30177.8777662981*((RANDBETWEEN(1620,2416)))</f>
        <v>59631486.466205105</v>
      </c>
      <c r="B4578">
        <v>150990830.66230562</v>
      </c>
    </row>
    <row r="4579" spans="1:2" x14ac:dyDescent="0.25">
      <c r="A4579">
        <f ca="1">26498.8375987943*((RANDBETWEEN(1620,2416)))</f>
        <v>52414700.770415083</v>
      </c>
      <c r="B4579">
        <v>147192247.72964084</v>
      </c>
    </row>
    <row r="4580" spans="1:2" x14ac:dyDescent="0.25">
      <c r="A4580">
        <f ca="1">30880.1268431263*((RANDBETWEEN(1620,2416)))</f>
        <v>68770042.479642197</v>
      </c>
      <c r="B4580">
        <v>195762486.57330602</v>
      </c>
    </row>
    <row r="4581" spans="1:2" x14ac:dyDescent="0.25">
      <c r="A4581">
        <f ca="1">25384.7052670577*((RANDBETWEEN(1620,2416)))</f>
        <v>53180957.534485884</v>
      </c>
      <c r="B4581">
        <v>158684728.99204442</v>
      </c>
    </row>
    <row r="4582" spans="1:2" x14ac:dyDescent="0.25">
      <c r="A4582">
        <f ca="1">27408.0417818674*((RANDBETWEEN(1620,2416)))</f>
        <v>50567837.087545365</v>
      </c>
      <c r="B4582">
        <v>172657689.22543073</v>
      </c>
    </row>
    <row r="4583" spans="1:2" x14ac:dyDescent="0.25">
      <c r="A4583">
        <f ca="1">32006.893665478*((RANDBETWEEN(1620,2416)))</f>
        <v>62317421.96668575</v>
      </c>
      <c r="B4583">
        <v>172926284.35012057</v>
      </c>
    </row>
    <row r="4584" spans="1:2" x14ac:dyDescent="0.25">
      <c r="A4584">
        <f ca="1">26560.3390701095*((RANDBETWEEN(1620,2416)))</f>
        <v>62044952.067775838</v>
      </c>
      <c r="B4584">
        <v>191505042.60309333</v>
      </c>
    </row>
    <row r="4585" spans="1:2" x14ac:dyDescent="0.25">
      <c r="A4585">
        <f ca="1">30798.9588575628*((RANDBETWEEN(1620,2416)))</f>
        <v>67295725.103774622</v>
      </c>
      <c r="B4585">
        <v>190257314.52846861</v>
      </c>
    </row>
    <row r="4586" spans="1:2" x14ac:dyDescent="0.25">
      <c r="A4586">
        <f ca="1">27384.8072361967*((RANDBETWEEN(1620,2416)))</f>
        <v>46362478.650881082</v>
      </c>
      <c r="B4586">
        <v>166950589.9097321</v>
      </c>
    </row>
    <row r="4587" spans="1:2" x14ac:dyDescent="0.25">
      <c r="A4587">
        <f ca="1">25481.7540085017*((RANDBETWEEN(1620,2416)))</f>
        <v>47345098.94779624</v>
      </c>
      <c r="B4587">
        <v>146149734.59027225</v>
      </c>
    </row>
    <row r="4588" spans="1:2" x14ac:dyDescent="0.25">
      <c r="A4588">
        <f ca="1">28639.2895023367*((RANDBETWEEN(1620,2416)))</f>
        <v>47713056.31089294</v>
      </c>
      <c r="B4588">
        <v>162837306.50729236</v>
      </c>
    </row>
    <row r="4589" spans="1:2" x14ac:dyDescent="0.25">
      <c r="A4589">
        <f ca="1">27038.1333656813*((RANDBETWEEN(1620,2416)))</f>
        <v>48046762.99081561</v>
      </c>
      <c r="B4589">
        <v>164010438.70713079</v>
      </c>
    </row>
    <row r="4590" spans="1:2" x14ac:dyDescent="0.25">
      <c r="A4590">
        <f ca="1">27341.5353394595*((RANDBETWEEN(1620,2416)))</f>
        <v>44894801.027392574</v>
      </c>
      <c r="B4590">
        <v>154781893.50068861</v>
      </c>
    </row>
    <row r="4591" spans="1:2" x14ac:dyDescent="0.25">
      <c r="A4591">
        <f ca="1">27643.3090305913*((RANDBETWEEN(1620,2416)))</f>
        <v>47048911.970066428</v>
      </c>
      <c r="B4591">
        <v>172253486.01974288</v>
      </c>
    </row>
    <row r="4592" spans="1:2" x14ac:dyDescent="0.25">
      <c r="A4592">
        <f ca="1">28984.4957758425*((RANDBETWEEN(1620,2416)))</f>
        <v>60026890.751769744</v>
      </c>
      <c r="B4592">
        <v>203592368.98569387</v>
      </c>
    </row>
    <row r="4593" spans="1:2" x14ac:dyDescent="0.25">
      <c r="A4593">
        <f ca="1">26787.8336832941*((RANDBETWEEN(1620,2416)))</f>
        <v>50950459.665625326</v>
      </c>
      <c r="B4593">
        <v>166244633.98798466</v>
      </c>
    </row>
    <row r="4594" spans="1:2" x14ac:dyDescent="0.25">
      <c r="A4594">
        <f ca="1">26016.5296514153*((RANDBETWEEN(1620,2416)))</f>
        <v>60592497.558146223</v>
      </c>
      <c r="B4594">
        <v>152422023.72881472</v>
      </c>
    </row>
    <row r="4595" spans="1:2" x14ac:dyDescent="0.25">
      <c r="A4595">
        <f ca="1">26871.4513287053*((RANDBETWEEN(1620,2416)))</f>
        <v>63819696.905675098</v>
      </c>
      <c r="B4595">
        <v>171508926.94287342</v>
      </c>
    </row>
    <row r="4596" spans="1:2" x14ac:dyDescent="0.25">
      <c r="A4596">
        <f ca="1">25473.6924433632*((RANDBETWEEN(1620,2416)))</f>
        <v>49826542.419218481</v>
      </c>
      <c r="B4596">
        <v>143409374.61163831</v>
      </c>
    </row>
    <row r="4597" spans="1:2" x14ac:dyDescent="0.25">
      <c r="A4597">
        <f ca="1">27601.3645344777*((RANDBETWEEN(1620,2416)))</f>
        <v>58542494.177627169</v>
      </c>
      <c r="B4597">
        <v>195961486.17794952</v>
      </c>
    </row>
    <row r="4598" spans="1:2" x14ac:dyDescent="0.25">
      <c r="A4598">
        <f ca="1">25364.2293985121*((RANDBETWEEN(1620,2416)))</f>
        <v>58489912.992968887</v>
      </c>
      <c r="B4598">
        <v>150400954.83925405</v>
      </c>
    </row>
    <row r="4599" spans="1:2" x14ac:dyDescent="0.25">
      <c r="A4599">
        <f ca="1">27750.0549682013*((RANDBETWEEN(1620,2416)))</f>
        <v>45787590.697532184</v>
      </c>
      <c r="B4599">
        <v>198565309.02498519</v>
      </c>
    </row>
    <row r="4600" spans="1:2" x14ac:dyDescent="0.25">
      <c r="A4600">
        <f ca="1">26078.7434621827*((RANDBETWEEN(1620,2416)))</f>
        <v>44203470.168399714</v>
      </c>
      <c r="B4600">
        <v>193255350.06619823</v>
      </c>
    </row>
    <row r="4601" spans="1:2" x14ac:dyDescent="0.25">
      <c r="A4601">
        <f ca="1">25274.9599825793*((RANDBETWEEN(1620,2416)))</f>
        <v>41071809.971691325</v>
      </c>
      <c r="B4601">
        <v>156159528.12290996</v>
      </c>
    </row>
    <row r="4602" spans="1:2" x14ac:dyDescent="0.25">
      <c r="A4602">
        <f ca="1">29764.3753334473*((RANDBETWEEN(1620,2416)))</f>
        <v>53962812.479539983</v>
      </c>
      <c r="B4602">
        <v>184111312.76430154</v>
      </c>
    </row>
    <row r="4603" spans="1:2" x14ac:dyDescent="0.25">
      <c r="A4603">
        <f ca="1">28725.0498305656*((RANDBETWEEN(1620,2416)))</f>
        <v>64200486.371314213</v>
      </c>
      <c r="B4603">
        <v>166895974.43972126</v>
      </c>
    </row>
    <row r="4604" spans="1:2" x14ac:dyDescent="0.25">
      <c r="A4604">
        <f ca="1">25989.0262419623*((RANDBETWEEN(1620,2416)))</f>
        <v>48963325.439856939</v>
      </c>
      <c r="B4604">
        <v>163595909.01568794</v>
      </c>
    </row>
    <row r="4605" spans="1:2" x14ac:dyDescent="0.25">
      <c r="A4605">
        <f ca="1">26856.5727052371*((RANDBETWEEN(1620,2416)))</f>
        <v>43534504.355189301</v>
      </c>
      <c r="B4605">
        <v>175844416.66791642</v>
      </c>
    </row>
    <row r="4606" spans="1:2" x14ac:dyDescent="0.25">
      <c r="A4606">
        <f ca="1">32763.8313444737*((RANDBETWEEN(1620,2416)))</f>
        <v>64675803.073991038</v>
      </c>
      <c r="B4606">
        <v>181301261.47022504</v>
      </c>
    </row>
    <row r="4607" spans="1:2" x14ac:dyDescent="0.25">
      <c r="A4607">
        <f ca="1">26866.6754542039*((RANDBETWEEN(1620,2416)))</f>
        <v>59993286.289237209</v>
      </c>
      <c r="B4607">
        <v>149117874.07726032</v>
      </c>
    </row>
    <row r="4608" spans="1:2" x14ac:dyDescent="0.25">
      <c r="A4608">
        <f ca="1">25422.1803486558*((RANDBETWEEN(1620,2416)))</f>
        <v>51378226.484633453</v>
      </c>
      <c r="B4608">
        <v>176174557.82998395</v>
      </c>
    </row>
    <row r="4609" spans="1:2" x14ac:dyDescent="0.25">
      <c r="A4609">
        <f ca="1">32252.1890479547*((RANDBETWEEN(1620,2416)))</f>
        <v>60924385.111586466</v>
      </c>
      <c r="B4609">
        <v>201578645.51825491</v>
      </c>
    </row>
    <row r="4610" spans="1:2" x14ac:dyDescent="0.25">
      <c r="A4610">
        <f ca="1">28251.539337581*((RANDBETWEEN(1620,2416)))</f>
        <v>62774920.408105068</v>
      </c>
      <c r="B4610">
        <v>175120517.31967831</v>
      </c>
    </row>
    <row r="4611" spans="1:2" x14ac:dyDescent="0.25">
      <c r="A4611">
        <f ca="1">27873.8692621171*((RANDBETWEEN(1620,2416)))</f>
        <v>52904603.85949818</v>
      </c>
      <c r="B4611">
        <v>158487390.8087368</v>
      </c>
    </row>
    <row r="4612" spans="1:2" x14ac:dyDescent="0.25">
      <c r="A4612">
        <f ca="1">26264.0025060868*((RANDBETWEEN(1620,2416)))</f>
        <v>49822812.754046693</v>
      </c>
      <c r="B4612">
        <v>172728423.96133614</v>
      </c>
    </row>
    <row r="4613" spans="1:2" x14ac:dyDescent="0.25">
      <c r="A4613">
        <f ca="1">29075.1253855564*((RANDBETWEEN(1620,2416)))</f>
        <v>57626898.514172874</v>
      </c>
      <c r="B4613">
        <v>184994246.15011281</v>
      </c>
    </row>
    <row r="4614" spans="1:2" x14ac:dyDescent="0.25">
      <c r="A4614">
        <f ca="1">26201.8634193074*((RANDBETWEEN(1620,2416)))</f>
        <v>62674857.298983254</v>
      </c>
      <c r="B4614">
        <v>165189599.08808658</v>
      </c>
    </row>
    <row r="4615" spans="1:2" x14ac:dyDescent="0.25">
      <c r="A4615">
        <f ca="1">26902.2548463158*((RANDBETWEEN(1620,2416)))</f>
        <v>54665381.847713679</v>
      </c>
      <c r="B4615">
        <v>154163087.96652997</v>
      </c>
    </row>
    <row r="4616" spans="1:2" x14ac:dyDescent="0.25">
      <c r="A4616">
        <f ca="1">28945.5328008343*((RANDBETWEEN(1620,2416)))</f>
        <v>50538900.270256698</v>
      </c>
      <c r="B4616">
        <v>167812848.36526024</v>
      </c>
    </row>
    <row r="4617" spans="1:2" x14ac:dyDescent="0.25">
      <c r="A4617">
        <f ca="1">26041.6515222787*((RANDBETWEEN(1620,2416)))</f>
        <v>54973926.363530405</v>
      </c>
      <c r="B4617">
        <v>159517098.03018621</v>
      </c>
    </row>
    <row r="4618" spans="1:2" x14ac:dyDescent="0.25">
      <c r="A4618">
        <f ca="1">29739.2811146217*((RANDBETWEEN(1620,2416)))</f>
        <v>55820630.652144872</v>
      </c>
      <c r="B4618">
        <v>161303437.0858646</v>
      </c>
    </row>
    <row r="4619" spans="1:2" x14ac:dyDescent="0.25">
      <c r="A4619">
        <f ca="1">27817.0940971354*((RANDBETWEEN(1620,2416)))</f>
        <v>55801090.758853599</v>
      </c>
      <c r="B4619">
        <v>171960024.29337439</v>
      </c>
    </row>
    <row r="4620" spans="1:2" x14ac:dyDescent="0.25">
      <c r="A4620">
        <f ca="1">28465.6956188997*((RANDBETWEEN(1620,2416)))</f>
        <v>66922850.400033236</v>
      </c>
      <c r="B4620">
        <v>168375633.04608902</v>
      </c>
    </row>
    <row r="4621" spans="1:2" x14ac:dyDescent="0.25">
      <c r="A4621">
        <f ca="1">30244.2014125544*((RANDBETWEEN(1620,2416)))</f>
        <v>62000612.895736612</v>
      </c>
      <c r="B4621">
        <v>173544756.36317936</v>
      </c>
    </row>
    <row r="4622" spans="1:2" x14ac:dyDescent="0.25">
      <c r="A4622">
        <f ca="1">30258.9146260225*((RANDBETWEEN(1620,2416)))</f>
        <v>56856500.582296245</v>
      </c>
      <c r="B4622">
        <v>189661862.87688792</v>
      </c>
    </row>
    <row r="4623" spans="1:2" x14ac:dyDescent="0.25">
      <c r="A4623">
        <f ca="1">29909.7151680091*((RANDBETWEEN(1620,2416)))</f>
        <v>58712770.87480177</v>
      </c>
      <c r="B4623">
        <v>152138379.18762368</v>
      </c>
    </row>
    <row r="4624" spans="1:2" x14ac:dyDescent="0.25">
      <c r="A4624">
        <f ca="1">27358.8750613599*((RANDBETWEEN(1620,2416)))</f>
        <v>48671438.734159268</v>
      </c>
      <c r="B4624">
        <v>193591787.12007838</v>
      </c>
    </row>
    <row r="4625" spans="1:2" x14ac:dyDescent="0.25">
      <c r="A4625">
        <f ca="1">27562.4452782286*((RANDBETWEEN(1620,2416)))</f>
        <v>65322995.309401713</v>
      </c>
      <c r="B4625">
        <v>169588168.66695464</v>
      </c>
    </row>
    <row r="4626" spans="1:2" x14ac:dyDescent="0.25">
      <c r="A4626">
        <f ca="1">28428.9032943033*((RANDBETWEEN(1620,2416)))</f>
        <v>56630375.362252146</v>
      </c>
      <c r="B4626">
        <v>193384136.54727909</v>
      </c>
    </row>
    <row r="4627" spans="1:2" x14ac:dyDescent="0.25">
      <c r="A4627">
        <f ca="1">26995.8886601613*((RANDBETWEEN(1620,2416)))</f>
        <v>58986016.722452499</v>
      </c>
      <c r="B4627">
        <v>188056575.99260074</v>
      </c>
    </row>
    <row r="4628" spans="1:2" x14ac:dyDescent="0.25">
      <c r="A4628">
        <f ca="1">28238.772303733*((RANDBETWEEN(1620,2416)))</f>
        <v>63791386.634132877</v>
      </c>
      <c r="B4628">
        <v>149375250.35156888</v>
      </c>
    </row>
    <row r="4629" spans="1:2" x14ac:dyDescent="0.25">
      <c r="A4629">
        <f ca="1">26801.6946989596*((RANDBETWEEN(1620,2416)))</f>
        <v>43874374.222196944</v>
      </c>
      <c r="B4629">
        <v>180034242.9426983</v>
      </c>
    </row>
    <row r="4630" spans="1:2" x14ac:dyDescent="0.25">
      <c r="A4630">
        <f ca="1">27335.5514726736*((RANDBETWEEN(1620,2416)))</f>
        <v>49914716.989102058</v>
      </c>
      <c r="B4630">
        <v>197935237.48450023</v>
      </c>
    </row>
    <row r="4631" spans="1:2" x14ac:dyDescent="0.25">
      <c r="A4631">
        <f ca="1">27685.597802639*((RANDBETWEEN(1620,2416)))</f>
        <v>46262633.9282097</v>
      </c>
      <c r="B4631">
        <v>162148378.57800132</v>
      </c>
    </row>
    <row r="4632" spans="1:2" x14ac:dyDescent="0.25">
      <c r="A4632">
        <f ca="1">25781.4571090187*((RANDBETWEEN(1620,2416)))</f>
        <v>54630907.614010699</v>
      </c>
      <c r="B4632">
        <v>152456846.92396951</v>
      </c>
    </row>
    <row r="4633" spans="1:2" x14ac:dyDescent="0.25">
      <c r="A4633">
        <f ca="1">27487.1312656068*((RANDBETWEEN(1620,2416)))</f>
        <v>65501833.805941112</v>
      </c>
      <c r="B4633">
        <v>163954837.30846983</v>
      </c>
    </row>
    <row r="4634" spans="1:2" x14ac:dyDescent="0.25">
      <c r="A4634">
        <f ca="1">30851.2900928126*((RANDBETWEEN(1620,2416)))</f>
        <v>60437677.291819923</v>
      </c>
      <c r="B4634">
        <v>170999752.38926241</v>
      </c>
    </row>
    <row r="4635" spans="1:2" x14ac:dyDescent="0.25">
      <c r="A4635">
        <f ca="1">28639.1672541901*((RANDBETWEEN(1620,2416)))</f>
        <v>59769942.059494644</v>
      </c>
      <c r="B4635">
        <v>180948907.10413373</v>
      </c>
    </row>
    <row r="4636" spans="1:2" x14ac:dyDescent="0.25">
      <c r="A4636">
        <f ca="1">25234.5608168973*((RANDBETWEEN(1620,2416)))</f>
        <v>42671642.341373265</v>
      </c>
      <c r="B4636">
        <v>147673749.08827567</v>
      </c>
    </row>
    <row r="4637" spans="1:2" x14ac:dyDescent="0.25">
      <c r="A4637">
        <f ca="1">26403.0788733094*((RANDBETWEEN(1620,2416)))</f>
        <v>58958075.12409991</v>
      </c>
      <c r="B4637">
        <v>159982093.55926606</v>
      </c>
    </row>
    <row r="4638" spans="1:2" x14ac:dyDescent="0.25">
      <c r="A4638">
        <f ca="1">27387.4057046667*((RANDBETWEEN(1620,2416)))</f>
        <v>58718597.830805346</v>
      </c>
      <c r="B4638">
        <v>144042323.78594837</v>
      </c>
    </row>
    <row r="4639" spans="1:2" x14ac:dyDescent="0.25">
      <c r="A4639">
        <f ca="1">29706.0493524026*((RANDBETWEEN(1620,2416)))</f>
        <v>64848305.736294791</v>
      </c>
      <c r="B4639">
        <v>191516029.41997203</v>
      </c>
    </row>
    <row r="4640" spans="1:2" x14ac:dyDescent="0.25">
      <c r="A4640">
        <f ca="1">27223.4723828707*((RANDBETWEEN(1620,2416)))</f>
        <v>47341618.473812066</v>
      </c>
      <c r="B4640">
        <v>145705562.1089789</v>
      </c>
    </row>
    <row r="4641" spans="1:2" x14ac:dyDescent="0.25">
      <c r="A4641">
        <f ca="1">27366.4874311528*((RANDBETWEEN(1620,2416)))</f>
        <v>45346269.673420213</v>
      </c>
      <c r="B4641">
        <v>146370772.51456308</v>
      </c>
    </row>
    <row r="4642" spans="1:2" x14ac:dyDescent="0.25">
      <c r="A4642">
        <f ca="1">27673.620304188*((RANDBETWEEN(1620,2416)))</f>
        <v>58668075.044878513</v>
      </c>
      <c r="B4642">
        <v>176323623.8360042</v>
      </c>
    </row>
    <row r="4643" spans="1:2" x14ac:dyDescent="0.25">
      <c r="A4643">
        <f ca="1">28303.6351733308*((RANDBETWEEN(1620,2416)))</f>
        <v>59692366.580554575</v>
      </c>
      <c r="B4643">
        <v>144824045.57736373</v>
      </c>
    </row>
    <row r="4644" spans="1:2" x14ac:dyDescent="0.25">
      <c r="A4644">
        <f ca="1">26909.5939821952*((RANDBETWEEN(1620,2416)))</f>
        <v>45046660.326194838</v>
      </c>
      <c r="B4644">
        <v>188678013.26901019</v>
      </c>
    </row>
    <row r="4645" spans="1:2" x14ac:dyDescent="0.25">
      <c r="A4645">
        <f ca="1">33142.7130481317*((RANDBETWEEN(1620,2416)))</f>
        <v>56276326.755727641</v>
      </c>
      <c r="B4645">
        <v>148041041.53336769</v>
      </c>
    </row>
    <row r="4646" spans="1:2" x14ac:dyDescent="0.25">
      <c r="A4646">
        <f ca="1">26044.8186091813*((RANDBETWEEN(1620,2416)))</f>
        <v>53027250.688293077</v>
      </c>
      <c r="B4646">
        <v>142961636.88631284</v>
      </c>
    </row>
    <row r="4647" spans="1:2" x14ac:dyDescent="0.25">
      <c r="A4647">
        <f ca="1">26809.8942061128*((RANDBETWEEN(1620,2416)))</f>
        <v>51609046.34676706</v>
      </c>
      <c r="B4647">
        <v>146530689.84380752</v>
      </c>
    </row>
    <row r="4648" spans="1:2" x14ac:dyDescent="0.25">
      <c r="A4648">
        <f ca="1">30091.5826658611*((RANDBETWEEN(1620,2416)))</f>
        <v>58498036.702433981</v>
      </c>
      <c r="B4648">
        <v>176561472.03959948</v>
      </c>
    </row>
    <row r="4649" spans="1:2" x14ac:dyDescent="0.25">
      <c r="A4649">
        <f ca="1">27906.102347862*((RANDBETWEEN(1620,2416)))</f>
        <v>54333181.271287233</v>
      </c>
      <c r="B4649">
        <v>151292200.8521412</v>
      </c>
    </row>
    <row r="4650" spans="1:2" x14ac:dyDescent="0.25">
      <c r="A4650">
        <f ca="1">26524.0730714112*((RANDBETWEEN(1620,2416)))</f>
        <v>43366859.471757233</v>
      </c>
      <c r="B4650">
        <v>170150387.5227412</v>
      </c>
    </row>
    <row r="4651" spans="1:2" x14ac:dyDescent="0.25">
      <c r="A4651">
        <f ca="1">31864.9627959957*((RANDBETWEEN(1620,2416)))</f>
        <v>64749604.40146324</v>
      </c>
      <c r="B4651">
        <v>196705951.31869686</v>
      </c>
    </row>
    <row r="4652" spans="1:2" x14ac:dyDescent="0.25">
      <c r="A4652">
        <f ca="1">28059.8012712676*((RANDBETWEEN(1620,2416)))</f>
        <v>62320818.623485312</v>
      </c>
      <c r="B4652">
        <v>165832126.06934148</v>
      </c>
    </row>
    <row r="4653" spans="1:2" x14ac:dyDescent="0.25">
      <c r="A4653">
        <f ca="1">29869.4273908629*((RANDBETWEEN(1620,2416)))</f>
        <v>54183141.287025258</v>
      </c>
      <c r="B4653">
        <v>188384880.49344882</v>
      </c>
    </row>
    <row r="4654" spans="1:2" x14ac:dyDescent="0.25">
      <c r="A4654">
        <f ca="1">29251.1846215092*((RANDBETWEEN(1620,2416)))</f>
        <v>52301118.103258416</v>
      </c>
      <c r="B4654">
        <v>169087803.36229262</v>
      </c>
    </row>
    <row r="4655" spans="1:2" x14ac:dyDescent="0.25">
      <c r="A4655">
        <f ca="1">32097.2577742047*((RANDBETWEEN(1620,2416)))</f>
        <v>71737371.125347421</v>
      </c>
      <c r="B4655">
        <v>155928742.26016769</v>
      </c>
    </row>
    <row r="4656" spans="1:2" x14ac:dyDescent="0.25">
      <c r="A4656">
        <f ca="1">26874.0468459196*((RANDBETWEEN(1620,2416)))</f>
        <v>52619383.72431054</v>
      </c>
      <c r="B4656">
        <v>144741014.45117068</v>
      </c>
    </row>
    <row r="4657" spans="1:2" x14ac:dyDescent="0.25">
      <c r="A4657">
        <f ca="1">29545.8212269716*((RANDBETWEEN(1620,2416)))</f>
        <v>57762080.498729438</v>
      </c>
      <c r="B4657">
        <v>152288190.12345508</v>
      </c>
    </row>
    <row r="4658" spans="1:2" x14ac:dyDescent="0.25">
      <c r="A4658">
        <f ca="1">26896.0768642032*((RANDBETWEEN(1620,2416)))</f>
        <v>58472071.102777816</v>
      </c>
      <c r="B4658">
        <v>164001969.69017559</v>
      </c>
    </row>
    <row r="4659" spans="1:2" x14ac:dyDescent="0.25">
      <c r="A4659">
        <f ca="1">28400.0629457871*((RANDBETWEEN(1620,2416)))</f>
        <v>68245351.258726314</v>
      </c>
      <c r="B4659">
        <v>191843188.05732709</v>
      </c>
    </row>
    <row r="4660" spans="1:2" x14ac:dyDescent="0.25">
      <c r="A4660">
        <f ca="1">25875.6924177215*((RANDBETWEEN(1620,2416)))</f>
        <v>52682909.762480952</v>
      </c>
      <c r="B4660">
        <v>143883041.75197911</v>
      </c>
    </row>
    <row r="4661" spans="1:2" x14ac:dyDescent="0.25">
      <c r="A4661">
        <f ca="1">26504.7451686461*((RANDBETWEEN(1620,2416)))</f>
        <v>48185626.716598593</v>
      </c>
      <c r="B4661">
        <v>160204460.56966904</v>
      </c>
    </row>
    <row r="4662" spans="1:2" x14ac:dyDescent="0.25">
      <c r="A4662">
        <f ca="1">27702.2749087479*((RANDBETWEEN(1620,2416)))</f>
        <v>45348624.025620393</v>
      </c>
      <c r="B4662">
        <v>156222909.80825734</v>
      </c>
    </row>
    <row r="4663" spans="1:2" x14ac:dyDescent="0.25">
      <c r="A4663">
        <f ca="1">30139.5872781764*((RANDBETWEEN(1620,2416)))</f>
        <v>56993959.543031655</v>
      </c>
      <c r="B4663">
        <v>168233604.86920005</v>
      </c>
    </row>
    <row r="4664" spans="1:2" x14ac:dyDescent="0.25">
      <c r="A4664">
        <f ca="1">28113.9383313594*((RANDBETWEEN(1620,2416)))</f>
        <v>62862766.108919695</v>
      </c>
      <c r="B4664">
        <v>176349944.22041059</v>
      </c>
    </row>
    <row r="4665" spans="1:2" x14ac:dyDescent="0.25">
      <c r="A4665">
        <f ca="1">28377.4307109387*((RANDBETWEEN(1620,2416)))</f>
        <v>54087382.935049236</v>
      </c>
      <c r="B4665">
        <v>149764926.49445888</v>
      </c>
    </row>
    <row r="4666" spans="1:2" x14ac:dyDescent="0.25">
      <c r="A4666">
        <f ca="1">26380.7424465108*((RANDBETWEEN(1620,2416)))</f>
        <v>46298202.993626371</v>
      </c>
      <c r="B4666">
        <v>158343701.5013251</v>
      </c>
    </row>
    <row r="4667" spans="1:2" x14ac:dyDescent="0.25">
      <c r="A4667">
        <f ca="1">27363.3008090561*((RANDBETWEEN(1620,2416)))</f>
        <v>64249030.299663618</v>
      </c>
      <c r="B4667">
        <v>192069931.87885755</v>
      </c>
    </row>
    <row r="4668" spans="1:2" x14ac:dyDescent="0.25">
      <c r="A4668">
        <f ca="1">26835.3839792484*((RANDBETWEEN(1620,2416)))</f>
        <v>47874325.018979162</v>
      </c>
      <c r="B4668">
        <v>163856300.90232393</v>
      </c>
    </row>
    <row r="4669" spans="1:2" x14ac:dyDescent="0.25">
      <c r="A4669">
        <f ca="1">31263.1206100449*((RANDBETWEEN(1620,2416)))</f>
        <v>51990569.574504614</v>
      </c>
      <c r="B4669">
        <v>158144032.64768225</v>
      </c>
    </row>
    <row r="4670" spans="1:2" x14ac:dyDescent="0.25">
      <c r="A4670">
        <f ca="1">25406.0054436178*((RANDBETWEEN(1620,2416)))</f>
        <v>55283467.845312409</v>
      </c>
      <c r="B4670">
        <v>150389690.3158111</v>
      </c>
    </row>
    <row r="4671" spans="1:2" x14ac:dyDescent="0.25">
      <c r="A4671">
        <f ca="1">26583.328335881*((RANDBETWEEN(1620,2416)))</f>
        <v>43463741.829165384</v>
      </c>
      <c r="B4671">
        <v>177346475.96316049</v>
      </c>
    </row>
    <row r="4672" spans="1:2" x14ac:dyDescent="0.25">
      <c r="A4672">
        <f ca="1">29693.3637079451*((RANDBETWEEN(1620,2416)))</f>
        <v>53180814.400929615</v>
      </c>
      <c r="B4672">
        <v>191755547.16665828</v>
      </c>
    </row>
    <row r="4673" spans="1:2" x14ac:dyDescent="0.25">
      <c r="A4673">
        <f ca="1">27651.8704906522*((RANDBETWEEN(1620,2416)))</f>
        <v>49358588.825814128</v>
      </c>
      <c r="B4673">
        <v>158763235.0606246</v>
      </c>
    </row>
    <row r="4674" spans="1:2" x14ac:dyDescent="0.25">
      <c r="A4674">
        <f ca="1">26317.5927840548*((RANDBETWEEN(1620,2416)))</f>
        <v>58556643.944522023</v>
      </c>
      <c r="B4674">
        <v>158196815.62590337</v>
      </c>
    </row>
    <row r="4675" spans="1:2" x14ac:dyDescent="0.25">
      <c r="A4675">
        <f ca="1">27476.9907658808*((RANDBETWEEN(1620,2416)))</f>
        <v>54047240.836487517</v>
      </c>
      <c r="B4675">
        <v>153489860.13569993</v>
      </c>
    </row>
    <row r="4676" spans="1:2" x14ac:dyDescent="0.25">
      <c r="A4676">
        <f ca="1">29088.398535312*((RANDBETWEEN(1620,2416)))</f>
        <v>64052653.574756995</v>
      </c>
      <c r="B4676">
        <v>151448294.61769113</v>
      </c>
    </row>
    <row r="4677" spans="1:2" x14ac:dyDescent="0.25">
      <c r="A4677">
        <f ca="1">26301.3577239915*((RANDBETWEEN(1620,2416)))</f>
        <v>51313948.919507489</v>
      </c>
      <c r="B4677">
        <v>185319448.12966114</v>
      </c>
    </row>
    <row r="4678" spans="1:2" x14ac:dyDescent="0.25">
      <c r="A4678">
        <f ca="1">26918.5540130297*((RANDBETWEEN(1620,2416)))</f>
        <v>45546193.390046172</v>
      </c>
      <c r="B4678">
        <v>159052292.05098072</v>
      </c>
    </row>
    <row r="4679" spans="1:2" x14ac:dyDescent="0.25">
      <c r="A4679">
        <f ca="1">27189.3791441396*((RANDBETWEEN(1620,2416)))</f>
        <v>49375912.525757544</v>
      </c>
      <c r="B4679">
        <v>152174802.24821928</v>
      </c>
    </row>
    <row r="4680" spans="1:2" x14ac:dyDescent="0.25">
      <c r="A4680">
        <f ca="1">26206.0085443057*((RANDBETWEEN(1620,2416)))</f>
        <v>48559733.832598433</v>
      </c>
      <c r="B4680">
        <v>154302631.31940609</v>
      </c>
    </row>
    <row r="4681" spans="1:2" x14ac:dyDescent="0.25">
      <c r="A4681">
        <f ca="1">30873.3244364979*((RANDBETWEEN(1620,2416)))</f>
        <v>56559930.367664136</v>
      </c>
      <c r="B4681">
        <v>185047498.39075646</v>
      </c>
    </row>
    <row r="4682" spans="1:2" x14ac:dyDescent="0.25">
      <c r="A4682">
        <f ca="1">27422.2585180548*((RANDBETWEEN(1620,2416)))</f>
        <v>51800646.340605497</v>
      </c>
      <c r="B4682">
        <v>145030182.8995102</v>
      </c>
    </row>
    <row r="4683" spans="1:2" x14ac:dyDescent="0.25">
      <c r="A4683">
        <f ca="1">31539.5773742489*((RANDBETWEEN(1620,2416)))</f>
        <v>65381543.896817967</v>
      </c>
      <c r="B4683">
        <v>177838229.50192803</v>
      </c>
    </row>
    <row r="4684" spans="1:2" x14ac:dyDescent="0.25">
      <c r="A4684">
        <f ca="1">28639.8333868099*((RANDBETWEEN(1620,2416)))</f>
        <v>61461082.4480941</v>
      </c>
      <c r="B4684">
        <v>152075054.80511853</v>
      </c>
    </row>
    <row r="4685" spans="1:2" x14ac:dyDescent="0.25">
      <c r="A4685">
        <f ca="1">28310.0383946855*((RANDBETWEEN(1620,2416)))</f>
        <v>54751614.255321711</v>
      </c>
      <c r="B4685">
        <v>157186315.95666173</v>
      </c>
    </row>
    <row r="4686" spans="1:2" x14ac:dyDescent="0.25">
      <c r="A4686">
        <f ca="1">30794.3602386834*((RANDBETWEEN(1620,2416)))</f>
        <v>54598400.703185618</v>
      </c>
      <c r="B4686">
        <v>171808312.37360612</v>
      </c>
    </row>
    <row r="4687" spans="1:2" x14ac:dyDescent="0.25">
      <c r="A4687">
        <f ca="1">29046.1372225458*((RANDBETWEEN(1620,2416)))</f>
        <v>50656463.316119894</v>
      </c>
      <c r="B4687">
        <v>178210734.39794195</v>
      </c>
    </row>
    <row r="4688" spans="1:2" x14ac:dyDescent="0.25">
      <c r="A4688">
        <f ca="1">27622.8941033056*((RANDBETWEEN(1620,2416)))</f>
        <v>48754408.09233439</v>
      </c>
      <c r="B4688">
        <v>165880581.44177917</v>
      </c>
    </row>
    <row r="4689" spans="1:2" x14ac:dyDescent="0.25">
      <c r="A4689">
        <f ca="1">27344.1515464153*((RANDBETWEEN(1620,2416)))</f>
        <v>56493017.094894111</v>
      </c>
      <c r="B4689">
        <v>145034530.7012367</v>
      </c>
    </row>
    <row r="4690" spans="1:2" x14ac:dyDescent="0.25">
      <c r="A4690">
        <f ca="1">28055.182717693*((RANDBETWEEN(1620,2416)))</f>
        <v>48619631.649761945</v>
      </c>
      <c r="B4690">
        <v>160290987.52382705</v>
      </c>
    </row>
    <row r="4691" spans="1:2" x14ac:dyDescent="0.25">
      <c r="A4691">
        <f ca="1">28088.6983216247*((RANDBETWEEN(1620,2416)))</f>
        <v>56177396.643249407</v>
      </c>
      <c r="B4691">
        <v>153026272.25603151</v>
      </c>
    </row>
    <row r="4692" spans="1:2" x14ac:dyDescent="0.25">
      <c r="A4692">
        <f ca="1">26655.5687366622*((RANDBETWEEN(1620,2416)))</f>
        <v>46060822.7769522</v>
      </c>
      <c r="B4692">
        <v>146954839.49014178</v>
      </c>
    </row>
    <row r="4693" spans="1:2" x14ac:dyDescent="0.25">
      <c r="A4693">
        <f ca="1">26386.2352596928*((RANDBETWEEN(1620,2416)))</f>
        <v>55886046.280029528</v>
      </c>
      <c r="B4693">
        <v>155462879.59201485</v>
      </c>
    </row>
    <row r="4694" spans="1:2" x14ac:dyDescent="0.25">
      <c r="A4694">
        <f ca="1">28385.242211999*((RANDBETWEEN(1620,2416)))</f>
        <v>53506181.569618024</v>
      </c>
      <c r="B4694">
        <v>153590210.842123</v>
      </c>
    </row>
    <row r="4695" spans="1:2" x14ac:dyDescent="0.25">
      <c r="A4695">
        <f ca="1">26844.4816262759*((RANDBETWEEN(1620,2416)))</f>
        <v>51648782.648954839</v>
      </c>
      <c r="B4695">
        <v>170295491.15297079</v>
      </c>
    </row>
    <row r="4696" spans="1:2" x14ac:dyDescent="0.25">
      <c r="A4696">
        <f ca="1">26377.3681168554*((RANDBETWEEN(1620,2416)))</f>
        <v>59032549.845522366</v>
      </c>
      <c r="B4696">
        <v>181221526.35482118</v>
      </c>
    </row>
    <row r="4697" spans="1:2" x14ac:dyDescent="0.25">
      <c r="A4697">
        <f ca="1">31686.6284781772*((RANDBETWEEN(1620,2416)))</f>
        <v>68823357.054600969</v>
      </c>
      <c r="B4697">
        <v>186700111.83941165</v>
      </c>
    </row>
    <row r="4698" spans="1:2" x14ac:dyDescent="0.25">
      <c r="A4698">
        <f ca="1">28476.0904138516*((RANDBETWEEN(1620,2416)))</f>
        <v>50801345.298311293</v>
      </c>
      <c r="B4698">
        <v>203572452.83446687</v>
      </c>
    </row>
    <row r="4699" spans="1:2" x14ac:dyDescent="0.25">
      <c r="A4699">
        <f ca="1">27302.0391812798*((RANDBETWEEN(1620,2416)))</f>
        <v>57634604.711681612</v>
      </c>
      <c r="B4699">
        <v>164338545.42612678</v>
      </c>
    </row>
    <row r="4700" spans="1:2" x14ac:dyDescent="0.25">
      <c r="A4700">
        <f ca="1">26194.5979244286*((RANDBETWEEN(1620,2416)))</f>
        <v>56292190.939596973</v>
      </c>
      <c r="B4700">
        <v>144755544.53226733</v>
      </c>
    </row>
    <row r="4701" spans="1:2" x14ac:dyDescent="0.25">
      <c r="A4701">
        <f ca="1">26255.2163574105*((RANDBETWEEN(1620,2416)))</f>
        <v>48335853.313992657</v>
      </c>
      <c r="B4701">
        <v>151014075.84835112</v>
      </c>
    </row>
    <row r="4702" spans="1:2" x14ac:dyDescent="0.25">
      <c r="A4702">
        <f ca="1">26330.1345956303*((RANDBETWEEN(1620,2416)))</f>
        <v>51133121.38471406</v>
      </c>
      <c r="B4702">
        <v>146354027.63887006</v>
      </c>
    </row>
    <row r="4703" spans="1:2" x14ac:dyDescent="0.25">
      <c r="A4703">
        <f ca="1">27113.4676417516*((RANDBETWEEN(1620,2416)))</f>
        <v>62415202.511312269</v>
      </c>
      <c r="B4703">
        <v>183612637.22784305</v>
      </c>
    </row>
    <row r="4704" spans="1:2" x14ac:dyDescent="0.25">
      <c r="A4704">
        <f ca="1">25980.990071415*((RANDBETWEEN(1620,2416)))</f>
        <v>48740337.37397448</v>
      </c>
      <c r="B4704">
        <v>167596331.13360441</v>
      </c>
    </row>
    <row r="4705" spans="1:2" x14ac:dyDescent="0.25">
      <c r="A4705">
        <f ca="1">27652.5095468542*((RANDBETWEEN(1620,2416)))</f>
        <v>46456216.038715005</v>
      </c>
      <c r="B4705">
        <v>173177227.28356865</v>
      </c>
    </row>
    <row r="4706" spans="1:2" x14ac:dyDescent="0.25">
      <c r="A4706">
        <f ca="1">28048.8978320658*((RANDBETWEEN(1620,2416)))</f>
        <v>49225815.69527556</v>
      </c>
      <c r="B4706">
        <v>163113618.49990156</v>
      </c>
    </row>
    <row r="4707" spans="1:2" x14ac:dyDescent="0.25">
      <c r="A4707">
        <f ca="1">26352.5642752853*((RANDBETWEEN(1620,2416)))</f>
        <v>58318224.741206318</v>
      </c>
      <c r="B4707">
        <v>148497992.82556379</v>
      </c>
    </row>
    <row r="4708" spans="1:2" x14ac:dyDescent="0.25">
      <c r="A4708">
        <f ca="1">26815.2499439009*((RANDBETWEEN(1620,2416)))</f>
        <v>62184564.61990609</v>
      </c>
      <c r="B4708">
        <v>197988188.44282568</v>
      </c>
    </row>
    <row r="4709" spans="1:2" x14ac:dyDescent="0.25">
      <c r="A4709">
        <f ca="1">27683.9379697614*((RANDBETWEEN(1620,2416)))</f>
        <v>65749352.678183392</v>
      </c>
      <c r="B4709">
        <v>154272450.73283455</v>
      </c>
    </row>
    <row r="4710" spans="1:2" x14ac:dyDescent="0.25">
      <c r="A4710">
        <f ca="1">24842.2324551933*((RANDBETWEEN(1620,2416)))</f>
        <v>48516879.984992482</v>
      </c>
      <c r="B4710">
        <v>150815413.24113935</v>
      </c>
    </row>
    <row r="4711" spans="1:2" x14ac:dyDescent="0.25">
      <c r="A4711">
        <f ca="1">26887.9868707596*((RANDBETWEEN(1620,2416)))</f>
        <v>57190748.074105762</v>
      </c>
      <c r="B4711">
        <v>173350140.63067245</v>
      </c>
    </row>
    <row r="4712" spans="1:2" x14ac:dyDescent="0.25">
      <c r="A4712">
        <f ca="1">27424.9287982253*((RANDBETWEEN(1620,2416)))</f>
        <v>64914806.465399295</v>
      </c>
      <c r="B4712">
        <v>179028131.44914478</v>
      </c>
    </row>
    <row r="4713" spans="1:2" x14ac:dyDescent="0.25">
      <c r="A4713">
        <f ca="1">30473.139718222*((RANDBETWEEN(1620,2416)))</f>
        <v>52139542.057877831</v>
      </c>
      <c r="B4713">
        <v>176572554.07241559</v>
      </c>
    </row>
    <row r="4714" spans="1:2" x14ac:dyDescent="0.25">
      <c r="A4714">
        <f ca="1">26051.1778604284*((RANDBETWEEN(1620,2416)))</f>
        <v>43271006.426171578</v>
      </c>
      <c r="B4714">
        <v>157806175.72170031</v>
      </c>
    </row>
    <row r="4715" spans="1:2" x14ac:dyDescent="0.25">
      <c r="A4715">
        <f ca="1">26418.2047418552*((RANDBETWEEN(1620,2416)))</f>
        <v>63615037.01838731</v>
      </c>
      <c r="B4715">
        <v>168020081.33710665</v>
      </c>
    </row>
    <row r="4716" spans="1:2" x14ac:dyDescent="0.25">
      <c r="A4716">
        <f ca="1">29645.8649534405*((RANDBETWEEN(1620,2416)))</f>
        <v>71090784.158350378</v>
      </c>
      <c r="B4716">
        <v>190153749.79771137</v>
      </c>
    </row>
    <row r="4717" spans="1:2" x14ac:dyDescent="0.25">
      <c r="A4717">
        <f ca="1">28943.0592205083*((RANDBETWEEN(1620,2416)))</f>
        <v>48479624.19435142</v>
      </c>
      <c r="B4717">
        <v>200532870.76118135</v>
      </c>
    </row>
    <row r="4718" spans="1:2" x14ac:dyDescent="0.25">
      <c r="A4718">
        <f ca="1">27340.2344151015*((RANDBETWEEN(1620,2416)))</f>
        <v>56430243.832769513</v>
      </c>
      <c r="B4718">
        <v>170688949.53958252</v>
      </c>
    </row>
    <row r="4719" spans="1:2" x14ac:dyDescent="0.25">
      <c r="A4719">
        <f ca="1">32868.3838147849*((RANDBETWEEN(1620,2416)))</f>
        <v>63600322.681608729</v>
      </c>
      <c r="B4719">
        <v>163748860.97233182</v>
      </c>
    </row>
    <row r="4720" spans="1:2" x14ac:dyDescent="0.25">
      <c r="A4720">
        <f ca="1">25956.1677381515*((RANDBETWEEN(1620,2416)))</f>
        <v>62398627.2425161</v>
      </c>
      <c r="B4720">
        <v>169961681.71292871</v>
      </c>
    </row>
    <row r="4721" spans="1:2" x14ac:dyDescent="0.25">
      <c r="A4721">
        <f ca="1">28603.798391104*((RANDBETWEEN(1620,2416)))</f>
        <v>51801478.886289254</v>
      </c>
      <c r="B4721">
        <v>183417284.0104844</v>
      </c>
    </row>
    <row r="4722" spans="1:2" x14ac:dyDescent="0.25">
      <c r="A4722">
        <f ca="1">26766.8133658978*((RANDBETWEEN(1620,2416)))</f>
        <v>44004641.173535921</v>
      </c>
      <c r="B4722">
        <v>150718818.91183251</v>
      </c>
    </row>
    <row r="4723" spans="1:2" x14ac:dyDescent="0.25">
      <c r="A4723">
        <f ca="1">25748.2630488239*((RANDBETWEEN(1620,2416)))</f>
        <v>52964177.091430709</v>
      </c>
      <c r="B4723">
        <v>155020089.65509462</v>
      </c>
    </row>
    <row r="4724" spans="1:2" x14ac:dyDescent="0.25">
      <c r="A4724">
        <f ca="1">30310.1279691117*((RANDBETWEEN(1620,2416)))</f>
        <v>58650097.620231152</v>
      </c>
      <c r="B4724">
        <v>149500123.14451814</v>
      </c>
    </row>
    <row r="4725" spans="1:2" x14ac:dyDescent="0.25">
      <c r="A4725">
        <f ca="1">30579.8163908339*((RANDBETWEEN(1620,2416)))</f>
        <v>66235882.302546285</v>
      </c>
      <c r="B4725">
        <v>146364357.53251523</v>
      </c>
    </row>
    <row r="4726" spans="1:2" x14ac:dyDescent="0.25">
      <c r="A4726">
        <f ca="1">31192.3662843342*((RANDBETWEEN(1620,2416)))</f>
        <v>53494908.177633204</v>
      </c>
      <c r="B4726">
        <v>185099900.88556582</v>
      </c>
    </row>
    <row r="4727" spans="1:2" x14ac:dyDescent="0.25">
      <c r="A4727">
        <f ca="1">26259.7443066548*((RANDBETWEEN(1620,2416)))</f>
        <v>46689825.377232201</v>
      </c>
      <c r="B4727">
        <v>170587255.26808503</v>
      </c>
    </row>
    <row r="4728" spans="1:2" x14ac:dyDescent="0.25">
      <c r="A4728">
        <f ca="1">27517.7654516348*((RANDBETWEEN(1620,2416)))</f>
        <v>65492281.774890713</v>
      </c>
      <c r="B4728">
        <v>155760956.20743221</v>
      </c>
    </row>
    <row r="4729" spans="1:2" x14ac:dyDescent="0.25">
      <c r="A4729">
        <f ca="1">33446.8117267518*((RANDBETWEEN(1620,2416)))</f>
        <v>65254729.678892739</v>
      </c>
      <c r="B4729">
        <v>150852742.69756612</v>
      </c>
    </row>
    <row r="4730" spans="1:2" x14ac:dyDescent="0.25">
      <c r="A4730">
        <f ca="1">31874.0054624512*((RANDBETWEEN(1620,2416)))</f>
        <v>64321743.023226447</v>
      </c>
      <c r="B4730">
        <v>165501386.48227534</v>
      </c>
    </row>
    <row r="4731" spans="1:2" x14ac:dyDescent="0.25">
      <c r="A4731">
        <f ca="1">27766.2731990792*((RANDBETWEEN(1620,2416)))</f>
        <v>52866984.171046883</v>
      </c>
      <c r="B4731">
        <v>159850466.89894351</v>
      </c>
    </row>
    <row r="4732" spans="1:2" x14ac:dyDescent="0.25">
      <c r="A4732">
        <f ca="1">27227.6771114187*((RANDBETWEEN(1620,2416)))</f>
        <v>54046939.066166043</v>
      </c>
      <c r="B4732">
        <v>164586771.39476174</v>
      </c>
    </row>
    <row r="4733" spans="1:2" x14ac:dyDescent="0.25">
      <c r="A4733">
        <f ca="1">31520.2236081298*((RANDBETWEEN(1620,2416)))</f>
        <v>72811716.534779832</v>
      </c>
      <c r="B4733">
        <v>171292049.27346519</v>
      </c>
    </row>
    <row r="4734" spans="1:2" x14ac:dyDescent="0.25">
      <c r="A4734">
        <f ca="1">26286.2410925577*((RANDBETWEEN(1620,2416)))</f>
        <v>46395215.52836439</v>
      </c>
      <c r="B4734">
        <v>144289564.72041273</v>
      </c>
    </row>
    <row r="4735" spans="1:2" x14ac:dyDescent="0.25">
      <c r="A4735">
        <f ca="1">27280.7586284454*((RANDBETWEEN(1620,2416)))</f>
        <v>64518994.15627341</v>
      </c>
      <c r="B4735">
        <v>146842825.88550246</v>
      </c>
    </row>
    <row r="4736" spans="1:2" x14ac:dyDescent="0.25">
      <c r="A4736">
        <f ca="1">26523.1674394093*((RANDBETWEEN(1620,2416)))</f>
        <v>54717294.42750147</v>
      </c>
      <c r="B4736">
        <v>150168773.52719712</v>
      </c>
    </row>
    <row r="4737" spans="1:2" x14ac:dyDescent="0.25">
      <c r="A4737">
        <f ca="1">25935.6371873004*((RANDBETWEEN(1620,2416)))</f>
        <v>57265886.909559235</v>
      </c>
      <c r="B4737">
        <v>147275683.44944483</v>
      </c>
    </row>
    <row r="4738" spans="1:2" x14ac:dyDescent="0.25">
      <c r="A4738">
        <f ca="1">28270.3511614035*((RANDBETWEEN(1620,2416)))</f>
        <v>45826239.232635029</v>
      </c>
      <c r="B4738">
        <v>170213716.56593412</v>
      </c>
    </row>
    <row r="4739" spans="1:2" x14ac:dyDescent="0.25">
      <c r="A4739">
        <f ca="1">27191.0485732466*((RANDBETWEEN(1620,2416)))</f>
        <v>53348837.300709851</v>
      </c>
      <c r="B4739">
        <v>176298144.63092667</v>
      </c>
    </row>
    <row r="4740" spans="1:2" x14ac:dyDescent="0.25">
      <c r="A4740">
        <f ca="1">26516.432649835*((RANDBETWEEN(1620,2416)))</f>
        <v>48074292.394150771</v>
      </c>
      <c r="B4740">
        <v>174567219.67084536</v>
      </c>
    </row>
    <row r="4741" spans="1:2" x14ac:dyDescent="0.25">
      <c r="A4741">
        <f ca="1">29202.2070307256*((RANDBETWEEN(1620,2416)))</f>
        <v>57674358.885683022</v>
      </c>
      <c r="B4741">
        <v>198952707.16110921</v>
      </c>
    </row>
    <row r="4742" spans="1:2" x14ac:dyDescent="0.25">
      <c r="A4742">
        <f ca="1">27176.8235212816*((RANDBETWEEN(1620,2416)))</f>
        <v>46608252.338997863</v>
      </c>
      <c r="B4742">
        <v>188965230.68268293</v>
      </c>
    </row>
    <row r="4743" spans="1:2" x14ac:dyDescent="0.25">
      <c r="A4743">
        <f ca="1">27480.2985320871*((RANDBETWEEN(1620,2416)))</f>
        <v>50975953.777021505</v>
      </c>
      <c r="B4743">
        <v>168977345.46424624</v>
      </c>
    </row>
    <row r="4744" spans="1:2" x14ac:dyDescent="0.25">
      <c r="A4744">
        <f ca="1">26657.3446082102*((RANDBETWEEN(1620,2416)))</f>
        <v>47743304.193304457</v>
      </c>
      <c r="B4744">
        <v>155219390.9991743</v>
      </c>
    </row>
    <row r="4745" spans="1:2" x14ac:dyDescent="0.25">
      <c r="A4745">
        <f ca="1">27437.4885356508*((RANDBETWEEN(1620,2416)))</f>
        <v>47137605.304248124</v>
      </c>
      <c r="B4745">
        <v>150729061.74633625</v>
      </c>
    </row>
    <row r="4746" spans="1:2" x14ac:dyDescent="0.25">
      <c r="A4746">
        <f ca="1">31184.8656372135*((RANDBETWEEN(1620,2416)))</f>
        <v>68700258.998781309</v>
      </c>
      <c r="B4746">
        <v>163413138.6739378</v>
      </c>
    </row>
    <row r="4747" spans="1:2" x14ac:dyDescent="0.25">
      <c r="A4747">
        <f ca="1">26561.5515631361*((RANDBETWEEN(1620,2416)))</f>
        <v>53760580.363787524</v>
      </c>
      <c r="B4747">
        <v>191674089.11574075</v>
      </c>
    </row>
    <row r="4748" spans="1:2" x14ac:dyDescent="0.25">
      <c r="A4748">
        <f ca="1">27490.4693946261*((RANDBETWEEN(1620,2416)))</f>
        <v>62265913.178828068</v>
      </c>
      <c r="B4748">
        <v>156500123.82487288</v>
      </c>
    </row>
    <row r="4749" spans="1:2" x14ac:dyDescent="0.25">
      <c r="A4749">
        <f ca="1">27095.3996841372*((RANDBETWEEN(1620,2416)))</f>
        <v>64216097.251405075</v>
      </c>
      <c r="B4749">
        <v>145197260.47829372</v>
      </c>
    </row>
    <row r="4750" spans="1:2" x14ac:dyDescent="0.25">
      <c r="A4750">
        <f ca="1">30405.2086501265*((RANDBETWEEN(1620,2416)))</f>
        <v>58834078.737994842</v>
      </c>
      <c r="B4750">
        <v>143205505.88983586</v>
      </c>
    </row>
    <row r="4751" spans="1:2" x14ac:dyDescent="0.25">
      <c r="A4751">
        <f ca="1">26863.8503950222*((RANDBETWEEN(1620,2416)))</f>
        <v>45937184.175487928</v>
      </c>
      <c r="B4751">
        <v>157630945.10018092</v>
      </c>
    </row>
    <row r="4752" spans="1:2" x14ac:dyDescent="0.25">
      <c r="A4752">
        <f ca="1">32231.0535411533*((RANDBETWEEN(1620,2416)))</f>
        <v>75614051.60754557</v>
      </c>
      <c r="B4752">
        <v>172651357.60804132</v>
      </c>
    </row>
    <row r="4753" spans="1:2" x14ac:dyDescent="0.25">
      <c r="A4753">
        <f ca="1">25438.3352510286*((RANDBETWEEN(1620,2416)))</f>
        <v>47824070.271933757</v>
      </c>
      <c r="B4753">
        <v>143956537.52596834</v>
      </c>
    </row>
    <row r="4754" spans="1:2" x14ac:dyDescent="0.25">
      <c r="A4754">
        <f ca="1">31837.3049766198*((RANDBETWEEN(1620,2416)))</f>
        <v>63419911.513426714</v>
      </c>
      <c r="B4754">
        <v>159733946.88152</v>
      </c>
    </row>
    <row r="4755" spans="1:2" x14ac:dyDescent="0.25">
      <c r="A4755">
        <f ca="1">30633.5288752452*((RANDBETWEEN(1620,2416)))</f>
        <v>52199533.203417897</v>
      </c>
      <c r="B4755">
        <v>151527017.42147613</v>
      </c>
    </row>
    <row r="4756" spans="1:2" x14ac:dyDescent="0.25">
      <c r="A4756">
        <f ca="1">29541.5592165148*((RANDBETWEEN(1620,2416)))</f>
        <v>65020971.835549109</v>
      </c>
      <c r="B4756">
        <v>201979729.85734117</v>
      </c>
    </row>
    <row r="4757" spans="1:2" x14ac:dyDescent="0.25">
      <c r="A4757">
        <f ca="1">28614.6629765149*((RANDBETWEEN(1620,2416)))</f>
        <v>55283528.870626815</v>
      </c>
      <c r="B4757">
        <v>161809104.98037279</v>
      </c>
    </row>
    <row r="4758" spans="1:2" x14ac:dyDescent="0.25">
      <c r="A4758">
        <f ca="1">26776.079405094*((RANDBETWEEN(1620,2416)))</f>
        <v>57193705.609280869</v>
      </c>
      <c r="B4758">
        <v>176081327.15146643</v>
      </c>
    </row>
    <row r="4759" spans="1:2" x14ac:dyDescent="0.25">
      <c r="A4759">
        <f ca="1">26813.3545905221*((RANDBETWEEN(1620,2416)))</f>
        <v>62448302.841325887</v>
      </c>
      <c r="B4759">
        <v>179142828.97071761</v>
      </c>
    </row>
    <row r="4760" spans="1:2" x14ac:dyDescent="0.25">
      <c r="A4760">
        <f ca="1">26257.5321672273*((RANDBETWEEN(1620,2416)))</f>
        <v>50939612.404420882</v>
      </c>
      <c r="B4760">
        <v>157149262.66112536</v>
      </c>
    </row>
    <row r="4761" spans="1:2" x14ac:dyDescent="0.25">
      <c r="A4761">
        <f ca="1">27633.3995332643*((RANDBETWEEN(1620,2416)))</f>
        <v>61125079.767580636</v>
      </c>
      <c r="B4761">
        <v>167247023.36290208</v>
      </c>
    </row>
    <row r="4762" spans="1:2" x14ac:dyDescent="0.25">
      <c r="A4762">
        <f ca="1">27634.8243089187*((RANDBETWEEN(1620,2416)))</f>
        <v>56817198.779136822</v>
      </c>
      <c r="B4762">
        <v>175282414.58746564</v>
      </c>
    </row>
    <row r="4763" spans="1:2" x14ac:dyDescent="0.25">
      <c r="A4763">
        <f ca="1">29382.1437116796*((RANDBETWEEN(1620,2416)))</f>
        <v>51301222.920592584</v>
      </c>
      <c r="B4763">
        <v>177998419.05065376</v>
      </c>
    </row>
    <row r="4764" spans="1:2" x14ac:dyDescent="0.25">
      <c r="A4764">
        <f ca="1">31406.750662654*((RANDBETWEEN(1620,2416)))</f>
        <v>68749377.200549632</v>
      </c>
      <c r="B4764">
        <v>201137084.78776211</v>
      </c>
    </row>
    <row r="4765" spans="1:2" x14ac:dyDescent="0.25">
      <c r="A4765">
        <f ca="1">28418.4397900235*((RANDBETWEEN(1620,2416)))</f>
        <v>60758624.271070316</v>
      </c>
      <c r="B4765">
        <v>200895484.01197439</v>
      </c>
    </row>
    <row r="4766" spans="1:2" x14ac:dyDescent="0.25">
      <c r="A4766">
        <f ca="1">26856.7418765807*((RANDBETWEEN(1620,2416)))</f>
        <v>45334180.287668243</v>
      </c>
      <c r="B4766">
        <v>145235804.28748322</v>
      </c>
    </row>
    <row r="4767" spans="1:2" x14ac:dyDescent="0.25">
      <c r="A4767">
        <f ca="1">28030.3123096546*((RANDBETWEEN(1620,2416)))</f>
        <v>58667443.664107136</v>
      </c>
      <c r="B4767">
        <v>201025587.21318921</v>
      </c>
    </row>
    <row r="4768" spans="1:2" x14ac:dyDescent="0.25">
      <c r="A4768">
        <f ca="1">27238.4820076644*((RANDBETWEEN(1620,2416)))</f>
        <v>55484787.849612318</v>
      </c>
      <c r="B4768">
        <v>198460401.7849395</v>
      </c>
    </row>
    <row r="4769" spans="1:2" x14ac:dyDescent="0.25">
      <c r="A4769">
        <f ca="1">32013.3051405327*((RANDBETWEEN(1620,2416)))</f>
        <v>75103213.859689817</v>
      </c>
      <c r="B4769">
        <v>202016985.56857955</v>
      </c>
    </row>
    <row r="4770" spans="1:2" x14ac:dyDescent="0.25">
      <c r="A4770">
        <f ca="1">29393.485322949*((RANDBETWEEN(1620,2416)))</f>
        <v>58786970.645898089</v>
      </c>
      <c r="B4770">
        <v>181697124.53830054</v>
      </c>
    </row>
    <row r="4771" spans="1:2" x14ac:dyDescent="0.25">
      <c r="A4771">
        <f ca="1">26949.9065206778*((RANDBETWEEN(1620,2416)))</f>
        <v>51258722.202329189</v>
      </c>
      <c r="B4771">
        <v>172888316.09009844</v>
      </c>
    </row>
    <row r="4772" spans="1:2" x14ac:dyDescent="0.25">
      <c r="A4772">
        <f ca="1">28157.9250828963*((RANDBETWEEN(1620,2416)))</f>
        <v>46150839.210867018</v>
      </c>
      <c r="B4772">
        <v>157267911.73048589</v>
      </c>
    </row>
    <row r="4773" spans="1:2" x14ac:dyDescent="0.25">
      <c r="A4773">
        <f ca="1">28400.995909603*((RANDBETWEEN(1620,2416)))</f>
        <v>67764776.240312725</v>
      </c>
      <c r="B4773">
        <v>158907516.4885374</v>
      </c>
    </row>
    <row r="4774" spans="1:2" x14ac:dyDescent="0.25">
      <c r="A4774">
        <f ca="1">28185.4170519265*((RANDBETWEEN(1620,2416)))</f>
        <v>65418352.977521487</v>
      </c>
      <c r="B4774">
        <v>183391329.10827398</v>
      </c>
    </row>
    <row r="4775" spans="1:2" x14ac:dyDescent="0.25">
      <c r="A4775">
        <f ca="1">26273.6748136914*((RANDBETWEEN(1620,2416)))</f>
        <v>45059352.305480681</v>
      </c>
      <c r="B4775">
        <v>146634006.60495284</v>
      </c>
    </row>
    <row r="4776" spans="1:2" x14ac:dyDescent="0.25">
      <c r="A4776">
        <f ca="1">32534.51432143*((RANDBETWEEN(1620,2416)))</f>
        <v>69103308.418717384</v>
      </c>
      <c r="B4776">
        <v>198774763.35534421</v>
      </c>
    </row>
    <row r="4777" spans="1:2" x14ac:dyDescent="0.25">
      <c r="A4777">
        <f ca="1">27038.6332682954*((RANDBETWEEN(1620,2416)))</f>
        <v>55185850.500590831</v>
      </c>
      <c r="B4777">
        <v>169034997.9770644</v>
      </c>
    </row>
    <row r="4778" spans="1:2" x14ac:dyDescent="0.25">
      <c r="A4778">
        <f ca="1">28520.5530396672*((RANDBETWEEN(1620,2416)))</f>
        <v>60492092.997134067</v>
      </c>
      <c r="B4778">
        <v>186805046.57212618</v>
      </c>
    </row>
    <row r="4779" spans="1:2" x14ac:dyDescent="0.25">
      <c r="A4779">
        <f ca="1">26185.4372839441*((RANDBETWEEN(1620,2416)))</f>
        <v>62949791.230601691</v>
      </c>
      <c r="B4779">
        <v>179250599.58943263</v>
      </c>
    </row>
    <row r="4780" spans="1:2" x14ac:dyDescent="0.25">
      <c r="A4780">
        <f ca="1">25161.6137600085*((RANDBETWEEN(1620,2416)))</f>
        <v>42523127.254414424</v>
      </c>
      <c r="B4780">
        <v>160552695.69906282</v>
      </c>
    </row>
    <row r="4781" spans="1:2" x14ac:dyDescent="0.25">
      <c r="A4781">
        <f ca="1">24905.3675107649*((RANDBETWEEN(1620,2416)))</f>
        <v>47320198.270453237</v>
      </c>
      <c r="B4781">
        <v>142936196.17853281</v>
      </c>
    </row>
    <row r="4782" spans="1:2" x14ac:dyDescent="0.25">
      <c r="A4782">
        <f ca="1">27190.7465843911*((RANDBETWEEN(1620,2416)))</f>
        <v>55441932.28557349</v>
      </c>
      <c r="B4782">
        <v>153378325.00674742</v>
      </c>
    </row>
    <row r="4783" spans="1:2" x14ac:dyDescent="0.25">
      <c r="A4783">
        <f ca="1">33141.1302710227*((RANDBETWEEN(1620,2416)))</f>
        <v>75329789.106034607</v>
      </c>
      <c r="B4783">
        <v>158211558.57793278</v>
      </c>
    </row>
    <row r="4784" spans="1:2" x14ac:dyDescent="0.25">
      <c r="A4784">
        <f ca="1">26655.836499025*((RANDBETWEEN(1620,2416)))</f>
        <v>61468358.966751724</v>
      </c>
      <c r="B4784">
        <v>201443451.50809383</v>
      </c>
    </row>
    <row r="4785" spans="1:2" x14ac:dyDescent="0.25">
      <c r="A4785">
        <f ca="1">28211.5398385308*((RANDBETWEEN(1620,2416)))</f>
        <v>58849272.103175223</v>
      </c>
      <c r="B4785">
        <v>152811603.76426831</v>
      </c>
    </row>
    <row r="4786" spans="1:2" x14ac:dyDescent="0.25">
      <c r="A4786">
        <f ca="1">27024.3162168338*((RANDBETWEEN(1620,2416)))</f>
        <v>61318173.495995946</v>
      </c>
      <c r="B4786">
        <v>145812356.22910962</v>
      </c>
    </row>
    <row r="4787" spans="1:2" x14ac:dyDescent="0.25">
      <c r="A4787">
        <f ca="1">33824.3473148984*((RANDBETWEEN(1620,2416)))</f>
        <v>58786715.633293338</v>
      </c>
      <c r="B4787">
        <v>152397542.17954695</v>
      </c>
    </row>
    <row r="4788" spans="1:2" x14ac:dyDescent="0.25">
      <c r="A4788">
        <f ca="1">25910.2185096026*((RANDBETWEEN(1620,2416)))</f>
        <v>54100536.248050302</v>
      </c>
      <c r="B4788">
        <v>186612043.69050783</v>
      </c>
    </row>
    <row r="4789" spans="1:2" x14ac:dyDescent="0.25">
      <c r="A4789">
        <f ca="1">27269.3863382718*((RANDBETWEEN(1620,2416)))</f>
        <v>44967218.07181026</v>
      </c>
      <c r="B4789">
        <v>169431902.85250208</v>
      </c>
    </row>
    <row r="4790" spans="1:2" x14ac:dyDescent="0.25">
      <c r="A4790">
        <f ca="1">25527.7552978352*((RANDBETWEEN(1620,2416)))</f>
        <v>59326503.312168896</v>
      </c>
      <c r="B4790">
        <v>159664443.01415396</v>
      </c>
    </row>
    <row r="4791" spans="1:2" x14ac:dyDescent="0.25">
      <c r="A4791">
        <f ca="1">26430.9348781914*((RANDBETWEEN(1620,2416)))</f>
        <v>56958664.662502535</v>
      </c>
      <c r="B4791">
        <v>197427144.13030654</v>
      </c>
    </row>
    <row r="4792" spans="1:2" x14ac:dyDescent="0.25">
      <c r="A4792">
        <f ca="1">27885.5188412956*((RANDBETWEEN(1620,2416)))</f>
        <v>57081657.068132073</v>
      </c>
      <c r="B4792">
        <v>158573953.14666885</v>
      </c>
    </row>
    <row r="4793" spans="1:2" x14ac:dyDescent="0.25">
      <c r="A4793">
        <f ca="1">25455.6922174333*((RANDBETWEEN(1620,2416)))</f>
        <v>44394727.227203757</v>
      </c>
      <c r="B4793">
        <v>151576327.2637696</v>
      </c>
    </row>
    <row r="4794" spans="1:2" x14ac:dyDescent="0.25">
      <c r="A4794">
        <f ca="1">29495.145249081*((RANDBETWEEN(1620,2416)))</f>
        <v>52943785.722100377</v>
      </c>
      <c r="B4794">
        <v>187770353.51990306</v>
      </c>
    </row>
    <row r="4795" spans="1:2" x14ac:dyDescent="0.25">
      <c r="A4795">
        <f ca="1">27283.427707224*((RANDBETWEEN(1620,2416)))</f>
        <v>49819538.993391</v>
      </c>
      <c r="B4795">
        <v>172811379.59759486</v>
      </c>
    </row>
    <row r="4796" spans="1:2" x14ac:dyDescent="0.25">
      <c r="A4796">
        <f ca="1">27029.6268971865*((RANDBETWEEN(1620,2416)))</f>
        <v>51815794.761906512</v>
      </c>
      <c r="B4796">
        <v>143652465.31873992</v>
      </c>
    </row>
    <row r="4797" spans="1:2" x14ac:dyDescent="0.25">
      <c r="A4797">
        <f ca="1">28681.4145457726*((RANDBETWEEN(1620,2416)))</f>
        <v>63988235.851618737</v>
      </c>
      <c r="B4797">
        <v>201697403.46297014</v>
      </c>
    </row>
    <row r="4798" spans="1:2" x14ac:dyDescent="0.25">
      <c r="A4798">
        <f ca="1">30340.9217884752*((RANDBETWEEN(1620,2416)))</f>
        <v>51276157.822523087</v>
      </c>
      <c r="B4798">
        <v>183217642.10409015</v>
      </c>
    </row>
    <row r="4799" spans="1:2" x14ac:dyDescent="0.25">
      <c r="A4799">
        <f ca="1">29740.9313620073*((RANDBETWEEN(1620,2416)))</f>
        <v>54039272.284767255</v>
      </c>
      <c r="B4799">
        <v>155799022.2870155</v>
      </c>
    </row>
    <row r="4800" spans="1:2" x14ac:dyDescent="0.25">
      <c r="A4800">
        <f ca="1">28761.8138911701*((RANDBETWEEN(1620,2416)))</f>
        <v>54963826.346025996</v>
      </c>
      <c r="B4800">
        <v>153217642.23811844</v>
      </c>
    </row>
    <row r="4801" spans="1:2" x14ac:dyDescent="0.25">
      <c r="A4801">
        <f ca="1">29204.5878923896*((RANDBETWEEN(1620,2416)))</f>
        <v>60920770.343524791</v>
      </c>
      <c r="B4801">
        <v>174204911.83297658</v>
      </c>
    </row>
    <row r="4802" spans="1:2" x14ac:dyDescent="0.25">
      <c r="A4802">
        <f ca="1">31652.2548825166*((RANDBETWEEN(1620,2416)))</f>
        <v>72262097.896785408</v>
      </c>
      <c r="B4802">
        <v>187485809.00084364</v>
      </c>
    </row>
    <row r="4803" spans="1:2" x14ac:dyDescent="0.25">
      <c r="A4803">
        <f ca="1">27242.9421115012*((RANDBETWEEN(1620,2416)))</f>
        <v>47375476.331900567</v>
      </c>
      <c r="B4803">
        <v>168007662.5123288</v>
      </c>
    </row>
    <row r="4804" spans="1:2" x14ac:dyDescent="0.25">
      <c r="A4804">
        <f ca="1">26862.317369817*((RANDBETWEEN(1620,2416)))</f>
        <v>55873620.129219301</v>
      </c>
      <c r="B4804">
        <v>174766689.07574317</v>
      </c>
    </row>
    <row r="4805" spans="1:2" x14ac:dyDescent="0.25">
      <c r="A4805">
        <f ca="1">27626.7991696076*((RANDBETWEEN(1620,2416)))</f>
        <v>61994537.336599343</v>
      </c>
      <c r="B4805">
        <v>199766918.86651915</v>
      </c>
    </row>
    <row r="4806" spans="1:2" x14ac:dyDescent="0.25">
      <c r="A4806">
        <f ca="1">30838.965173966*((RANDBETWEEN(1620,2416)))</f>
        <v>65995385.4722872</v>
      </c>
      <c r="B4806">
        <v>159221513.68223393</v>
      </c>
    </row>
    <row r="4807" spans="1:2" x14ac:dyDescent="0.25">
      <c r="A4807">
        <f ca="1">27313.0233728965*((RANDBETWEEN(1620,2416)))</f>
        <v>49463885.328315534</v>
      </c>
      <c r="B4807">
        <v>168587552.40161783</v>
      </c>
    </row>
    <row r="4808" spans="1:2" x14ac:dyDescent="0.25">
      <c r="A4808">
        <f ca="1">30285.9424355879*((RANDBETWEEN(1620,2416)))</f>
        <v>70869105.299275592</v>
      </c>
      <c r="B4808">
        <v>144233601.01879895</v>
      </c>
    </row>
    <row r="4809" spans="1:2" x14ac:dyDescent="0.25">
      <c r="A4809">
        <f ca="1">27895.8247030479*((RANDBETWEEN(1620,2416)))</f>
        <v>49124547.302067369</v>
      </c>
      <c r="B4809">
        <v>181785052.62148249</v>
      </c>
    </row>
    <row r="4810" spans="1:2" x14ac:dyDescent="0.25">
      <c r="A4810">
        <f ca="1">27132.3285940558*((RANDBETWEEN(1620,2416)))</f>
        <v>47888559.968508571</v>
      </c>
      <c r="B4810">
        <v>163963773.95679981</v>
      </c>
    </row>
    <row r="4811" spans="1:2" x14ac:dyDescent="0.25">
      <c r="A4811">
        <f ca="1">31017.8199162355*((RANDBETWEEN(1620,2416)))</f>
        <v>70720629.409017041</v>
      </c>
      <c r="B4811">
        <v>169418725.62831339</v>
      </c>
    </row>
    <row r="4812" spans="1:2" x14ac:dyDescent="0.25">
      <c r="A4812">
        <f ca="1">31031.9426384216*((RANDBETWEEN(1620,2416)))</f>
        <v>58433147.988147952</v>
      </c>
      <c r="B4812">
        <v>148732299.74618292</v>
      </c>
    </row>
    <row r="4813" spans="1:2" x14ac:dyDescent="0.25">
      <c r="A4813">
        <f ca="1">26525.3797049504*((RANDBETWEEN(1620,2416)))</f>
        <v>54854485.229837514</v>
      </c>
      <c r="B4813">
        <v>160397831.31713343</v>
      </c>
    </row>
    <row r="4814" spans="1:2" x14ac:dyDescent="0.25">
      <c r="A4814">
        <f ca="1">27022.8646582293*((RANDBETWEEN(1620,2416)))</f>
        <v>56639924.323648669</v>
      </c>
      <c r="B4814">
        <v>163327494.15830955</v>
      </c>
    </row>
    <row r="4815" spans="1:2" x14ac:dyDescent="0.25">
      <c r="A4815">
        <f ca="1">27207.8622103969*((RANDBETWEEN(1620,2416)))</f>
        <v>52402342.617224358</v>
      </c>
      <c r="B4815">
        <v>154230911.73136839</v>
      </c>
    </row>
    <row r="4816" spans="1:2" x14ac:dyDescent="0.25">
      <c r="A4816">
        <f ca="1">29500.8930755673*((RANDBETWEEN(1620,2416)))</f>
        <v>70035120.161396667</v>
      </c>
      <c r="B4816">
        <v>182848660.39906219</v>
      </c>
    </row>
    <row r="4817" spans="1:2" x14ac:dyDescent="0.25">
      <c r="A4817">
        <f ca="1">26254.3022480509*((RANDBETWEEN(1620,2416)))</f>
        <v>49856919.969048567</v>
      </c>
      <c r="B4817">
        <v>161208785.83429998</v>
      </c>
    </row>
    <row r="4818" spans="1:2" x14ac:dyDescent="0.25">
      <c r="A4818">
        <f ca="1">29458.9349536793*((RANDBETWEEN(1620,2416)))</f>
        <v>57209251.68004515</v>
      </c>
      <c r="B4818">
        <v>187413221.60869753</v>
      </c>
    </row>
    <row r="4819" spans="1:2" x14ac:dyDescent="0.25">
      <c r="A4819">
        <f ca="1">27707.3240983265*((RANDBETWEEN(1620,2416)))</f>
        <v>51729574.091575541</v>
      </c>
      <c r="B4819">
        <v>190464034.62303859</v>
      </c>
    </row>
    <row r="4820" spans="1:2" x14ac:dyDescent="0.25">
      <c r="A4820">
        <f ca="1">27201.6739996458*((RANDBETWEEN(1620,2416)))</f>
        <v>59789279.451221451</v>
      </c>
      <c r="B4820">
        <v>177221300.54649675</v>
      </c>
    </row>
    <row r="4821" spans="1:2" x14ac:dyDescent="0.25">
      <c r="A4821">
        <f ca="1">27216.7355000778*((RANDBETWEEN(1620,2416)))</f>
        <v>57699479.260164976</v>
      </c>
      <c r="B4821">
        <v>154415180.39181378</v>
      </c>
    </row>
    <row r="4822" spans="1:2" x14ac:dyDescent="0.25">
      <c r="A4822">
        <f ca="1">27795.8110238532*((RANDBETWEEN(1620,2416)))</f>
        <v>52700857.701225586</v>
      </c>
      <c r="B4822">
        <v>158847928.17393988</v>
      </c>
    </row>
    <row r="4823" spans="1:2" x14ac:dyDescent="0.25">
      <c r="A4823">
        <f ca="1">26771.6288592607*((RANDBETWEEN(1620,2416)))</f>
        <v>58040891.366877109</v>
      </c>
      <c r="B4823">
        <v>151133369.57499826</v>
      </c>
    </row>
    <row r="4824" spans="1:2" x14ac:dyDescent="0.25">
      <c r="A4824">
        <f ca="1">26357.3038569184*((RANDBETWEEN(1620,2416)))</f>
        <v>47311360.423168585</v>
      </c>
      <c r="B4824">
        <v>150009335.10252792</v>
      </c>
    </row>
    <row r="4825" spans="1:2" x14ac:dyDescent="0.25">
      <c r="A4825">
        <f ca="1">31802.6806342745*((RANDBETWEEN(1620,2416)))</f>
        <v>58898564.53467641</v>
      </c>
      <c r="B4825">
        <v>161053543.24362519</v>
      </c>
    </row>
    <row r="4826" spans="1:2" x14ac:dyDescent="0.25">
      <c r="A4826">
        <f ca="1">26021.9410383373*((RANDBETWEEN(1620,2416)))</f>
        <v>55296624.706466779</v>
      </c>
      <c r="B4826">
        <v>176906600.81486517</v>
      </c>
    </row>
    <row r="4827" spans="1:2" x14ac:dyDescent="0.25">
      <c r="A4827">
        <f ca="1">26099.1920132832*((RANDBETWEEN(1620,2416)))</f>
        <v>61541894.767321825</v>
      </c>
      <c r="B4827">
        <v>159981912.72133088</v>
      </c>
    </row>
    <row r="4828" spans="1:2" x14ac:dyDescent="0.25">
      <c r="A4828">
        <f ca="1">27315.0903874104*((RANDBETWEEN(1620,2416)))</f>
        <v>65255750.935523331</v>
      </c>
      <c r="B4828">
        <v>171773393.79305285</v>
      </c>
    </row>
    <row r="4829" spans="1:2" x14ac:dyDescent="0.25">
      <c r="A4829">
        <f ca="1">30621.7667388338*((RANDBETWEEN(1620,2416)))</f>
        <v>68684622.795204207</v>
      </c>
      <c r="B4829">
        <v>149010464.69826669</v>
      </c>
    </row>
    <row r="4830" spans="1:2" x14ac:dyDescent="0.25">
      <c r="A4830">
        <f ca="1">26930.8179266225*((RANDBETWEEN(1620,2416)))</f>
        <v>64256931.572921336</v>
      </c>
      <c r="B4830">
        <v>190233189.70333049</v>
      </c>
    </row>
    <row r="4831" spans="1:2" x14ac:dyDescent="0.25">
      <c r="A4831">
        <f ca="1">27778.5981172247*((RANDBETWEEN(1620,2416)))</f>
        <v>66085284.920877606</v>
      </c>
      <c r="B4831">
        <v>184860056.20744497</v>
      </c>
    </row>
    <row r="4832" spans="1:2" x14ac:dyDescent="0.25">
      <c r="A4832">
        <f ca="1">26154.188507974*((RANDBETWEEN(1620,2416)))</f>
        <v>51236055.287121147</v>
      </c>
      <c r="B4832">
        <v>168561376.47287968</v>
      </c>
    </row>
    <row r="4833" spans="1:2" x14ac:dyDescent="0.25">
      <c r="A4833">
        <f ca="1">28285.7967381618*((RANDBETWEEN(1620,2416)))</f>
        <v>60361890.239237286</v>
      </c>
      <c r="B4833">
        <v>153726072.3203373</v>
      </c>
    </row>
    <row r="4834" spans="1:2" x14ac:dyDescent="0.25">
      <c r="A4834">
        <f ca="1">25791.0275801701*((RANDBETWEEN(1620,2416)))</f>
        <v>45546954.70658043</v>
      </c>
      <c r="B4834">
        <v>170881634.71896106</v>
      </c>
    </row>
    <row r="4835" spans="1:2" x14ac:dyDescent="0.25">
      <c r="A4835">
        <f ca="1">27664.4131819771*((RANDBETWEEN(1620,2416)))</f>
        <v>65979625.439015344</v>
      </c>
      <c r="B4835">
        <v>172842748.38480186</v>
      </c>
    </row>
    <row r="4836" spans="1:2" x14ac:dyDescent="0.25">
      <c r="A4836">
        <f ca="1">27495.9361063051*((RANDBETWEEN(1620,2416)))</f>
        <v>51664863.943747222</v>
      </c>
      <c r="B4836">
        <v>165070380.86833107</v>
      </c>
    </row>
    <row r="4837" spans="1:2" x14ac:dyDescent="0.25">
      <c r="A4837">
        <f ca="1">35193.9523102444*((RANDBETWEEN(1620,2416)))</f>
        <v>64264156.91850622</v>
      </c>
      <c r="B4837">
        <v>152984902.42490286</v>
      </c>
    </row>
    <row r="4838" spans="1:2" x14ac:dyDescent="0.25">
      <c r="A4838">
        <f ca="1">33612.8441954375*((RANDBETWEEN(1620,2416)))</f>
        <v>62318213.138341114</v>
      </c>
      <c r="B4838">
        <v>185876585.16395605</v>
      </c>
    </row>
    <row r="4839" spans="1:2" x14ac:dyDescent="0.25">
      <c r="A4839">
        <f ca="1">25324.924717852*((RANDBETWEEN(1620,2416)))</f>
        <v>51612196.574982315</v>
      </c>
      <c r="B4839">
        <v>143424085.59299842</v>
      </c>
    </row>
    <row r="4840" spans="1:2" x14ac:dyDescent="0.25">
      <c r="A4840">
        <f ca="1">27380.2012937332*((RANDBETWEEN(1620,2416)))</f>
        <v>48408195.887320317</v>
      </c>
      <c r="B4840">
        <v>147858660.00604698</v>
      </c>
    </row>
    <row r="4841" spans="1:2" x14ac:dyDescent="0.25">
      <c r="A4841">
        <f ca="1">26731.8633590882*((RANDBETWEEN(1620,2416)))</f>
        <v>49133164.85400404</v>
      </c>
      <c r="B4841">
        <v>158597569.55476683</v>
      </c>
    </row>
    <row r="4842" spans="1:2" x14ac:dyDescent="0.25">
      <c r="A4842">
        <f ca="1">29647.5909569788*((RANDBETWEEN(1620,2416)))</f>
        <v>53721434.814045511</v>
      </c>
      <c r="B4842">
        <v>187837891.91770339</v>
      </c>
    </row>
    <row r="4843" spans="1:2" x14ac:dyDescent="0.25">
      <c r="A4843">
        <f ca="1">31222.8255244573*((RANDBETWEEN(1620,2416)))</f>
        <v>61259183.678985134</v>
      </c>
      <c r="B4843">
        <v>158427636.10725284</v>
      </c>
    </row>
    <row r="4844" spans="1:2" x14ac:dyDescent="0.25">
      <c r="A4844">
        <f ca="1">27032.1136393231*((RANDBETWEEN(1620,2416)))</f>
        <v>44981437.095833622</v>
      </c>
      <c r="B4844">
        <v>163293708.02389127</v>
      </c>
    </row>
    <row r="4845" spans="1:2" x14ac:dyDescent="0.25">
      <c r="A4845">
        <f ca="1">26946.978507801*((RANDBETWEEN(1620,2416)))</f>
        <v>53247229.531414799</v>
      </c>
      <c r="B4845">
        <v>167547432.07611844</v>
      </c>
    </row>
    <row r="4846" spans="1:2" x14ac:dyDescent="0.25">
      <c r="A4846">
        <f ca="1">28251.5085187673*((RANDBETWEEN(1620,2416)))</f>
        <v>52011027.183050513</v>
      </c>
      <c r="B4846">
        <v>199395428.48235559</v>
      </c>
    </row>
    <row r="4847" spans="1:2" x14ac:dyDescent="0.25">
      <c r="A4847">
        <f ca="1">27190.6018221736*((RANDBETWEEN(1620,2416)))</f>
        <v>64468916.920373626</v>
      </c>
      <c r="B4847">
        <v>160939494.58474678</v>
      </c>
    </row>
    <row r="4848" spans="1:2" x14ac:dyDescent="0.25">
      <c r="A4848">
        <f ca="1">30476.2869116782*((RANDBETWEEN(1620,2416)))</f>
        <v>51504924.880736165</v>
      </c>
      <c r="B4848">
        <v>170738426.85440093</v>
      </c>
    </row>
    <row r="4849" spans="1:2" x14ac:dyDescent="0.25">
      <c r="A4849">
        <f ca="1">26984.6380600578*((RANDBETWEEN(1620,2416)))</f>
        <v>61524974.77693186</v>
      </c>
      <c r="B4849">
        <v>202805297.14523092</v>
      </c>
    </row>
    <row r="4850" spans="1:2" x14ac:dyDescent="0.25">
      <c r="A4850">
        <f ca="1">29341.1715677915*((RANDBETWEEN(1620,2416)))</f>
        <v>48295568.400584869</v>
      </c>
      <c r="B4850">
        <v>194628744.08537516</v>
      </c>
    </row>
    <row r="4851" spans="1:2" x14ac:dyDescent="0.25">
      <c r="A4851">
        <f ca="1">26688.3010624245*((RANDBETWEEN(1620,2416)))</f>
        <v>54284004.360971496</v>
      </c>
      <c r="B4851">
        <v>169632599.01339835</v>
      </c>
    </row>
    <row r="4852" spans="1:2" x14ac:dyDescent="0.25">
      <c r="A4852">
        <f ca="1">28156.019821936*((RANDBETWEEN(1620,2416)))</f>
        <v>61915087.588437267</v>
      </c>
      <c r="B4852">
        <v>199154469.41351599</v>
      </c>
    </row>
    <row r="4853" spans="1:2" x14ac:dyDescent="0.25">
      <c r="A4853">
        <f ca="1">32221.5485404385*((RANDBETWEEN(1620,2416)))</f>
        <v>60898726.741428763</v>
      </c>
      <c r="B4853">
        <v>173525309.09819081</v>
      </c>
    </row>
    <row r="4854" spans="1:2" x14ac:dyDescent="0.25">
      <c r="A4854">
        <f ca="1">30771.2981502863*((RANDBETWEEN(1620,2416)))</f>
        <v>56649959.894677117</v>
      </c>
      <c r="B4854">
        <v>193654809.48040503</v>
      </c>
    </row>
    <row r="4855" spans="1:2" x14ac:dyDescent="0.25">
      <c r="A4855">
        <f ca="1">30008.4589442479*((RANDBETWEEN(1620,2416)))</f>
        <v>63257831.454474606</v>
      </c>
      <c r="B4855">
        <v>173668483.24743849</v>
      </c>
    </row>
    <row r="4856" spans="1:2" x14ac:dyDescent="0.25">
      <c r="A4856">
        <f ca="1">29559.1022879043*((RANDBETWEEN(1620,2416)))</f>
        <v>58113195.098019838</v>
      </c>
      <c r="B4856">
        <v>168593163.74849713</v>
      </c>
    </row>
    <row r="4857" spans="1:2" x14ac:dyDescent="0.25">
      <c r="A4857">
        <f ca="1">27095.08812948*((RANDBETWEEN(1620,2416)))</f>
        <v>59825954.589891829</v>
      </c>
      <c r="B4857">
        <v>172619454.48741201</v>
      </c>
    </row>
    <row r="4858" spans="1:2" x14ac:dyDescent="0.25">
      <c r="A4858">
        <f ca="1">28274.626906925*((RANDBETWEEN(1620,2416)))</f>
        <v>63731009.048208967</v>
      </c>
      <c r="B4858">
        <v>153518504.71765524</v>
      </c>
    </row>
    <row r="4859" spans="1:2" x14ac:dyDescent="0.25">
      <c r="A4859">
        <f ca="1">27843.9322469001*((RANDBETWEEN(1620,2416)))</f>
        <v>47278996.955236346</v>
      </c>
      <c r="B4859">
        <v>153560870.74930876</v>
      </c>
    </row>
    <row r="4860" spans="1:2" x14ac:dyDescent="0.25">
      <c r="A4860">
        <f ca="1">29490.9781595761*((RANDBETWEEN(1620,2416)))</f>
        <v>47863857.552991934</v>
      </c>
      <c r="B4860">
        <v>198641736.45621654</v>
      </c>
    </row>
    <row r="4861" spans="1:2" x14ac:dyDescent="0.25">
      <c r="A4861">
        <f ca="1">26189.1134190629*((RANDBETWEEN(1620,2416)))</f>
        <v>44547681.925825968</v>
      </c>
      <c r="B4861">
        <v>185047998.9737986</v>
      </c>
    </row>
    <row r="4862" spans="1:2" x14ac:dyDescent="0.25">
      <c r="A4862">
        <f ca="1">27396.0682323342*((RANDBETWEEN(1620,2416)))</f>
        <v>63284917.61669191</v>
      </c>
      <c r="B4862">
        <v>165047865.51848218</v>
      </c>
    </row>
    <row r="4863" spans="1:2" x14ac:dyDescent="0.25">
      <c r="A4863">
        <f ca="1">29785.1071657925*((RANDBETWEEN(1620,2416)))</f>
        <v>51021888.575002618</v>
      </c>
      <c r="B4863">
        <v>162381556.87461311</v>
      </c>
    </row>
    <row r="4864" spans="1:2" x14ac:dyDescent="0.25">
      <c r="A4864">
        <f ca="1">26769.5274349482*((RANDBETWEEN(1620,2416)))</f>
        <v>54288601.638074853</v>
      </c>
      <c r="B4864">
        <v>171316858.70685485</v>
      </c>
    </row>
    <row r="4865" spans="1:2" x14ac:dyDescent="0.25">
      <c r="A4865">
        <f ca="1">27547.1321089733*((RANDBETWEEN(1620,2416)))</f>
        <v>57738788.900407977</v>
      </c>
      <c r="B4865">
        <v>203088657.68034542</v>
      </c>
    </row>
    <row r="4866" spans="1:2" x14ac:dyDescent="0.25">
      <c r="A4866">
        <f ca="1">26460.0361458349*((RANDBETWEEN(1620,2416)))</f>
        <v>56783237.568961672</v>
      </c>
      <c r="B4866">
        <v>168219908.13238749</v>
      </c>
    </row>
    <row r="4867" spans="1:2" x14ac:dyDescent="0.25">
      <c r="A4867">
        <f ca="1">28911.1194318565*((RANDBETWEEN(1620,2416)))</f>
        <v>53745771.023821317</v>
      </c>
      <c r="B4867">
        <v>152825882.82831329</v>
      </c>
    </row>
    <row r="4868" spans="1:2" x14ac:dyDescent="0.25">
      <c r="A4868">
        <f ca="1">28842.1822573364*((RANDBETWEEN(1620,2416)))</f>
        <v>56328781.948577993</v>
      </c>
      <c r="B4868">
        <v>154001964.22511882</v>
      </c>
    </row>
    <row r="4869" spans="1:2" x14ac:dyDescent="0.25">
      <c r="A4869">
        <f ca="1">30828.9670809985*((RANDBETWEEN(1620,2416)))</f>
        <v>65419068.145878784</v>
      </c>
      <c r="B4869">
        <v>177686089.24737456</v>
      </c>
    </row>
    <row r="4870" spans="1:2" x14ac:dyDescent="0.25">
      <c r="A4870">
        <f ca="1">28009.6817889308*((RANDBETWEEN(1620,2416)))</f>
        <v>65570665.067887083</v>
      </c>
      <c r="B4870">
        <v>166925578.1397059</v>
      </c>
    </row>
    <row r="4871" spans="1:2" x14ac:dyDescent="0.25">
      <c r="A4871">
        <f ca="1">29591.9671039465*((RANDBETWEEN(1620,2416)))</f>
        <v>70606433.510016412</v>
      </c>
      <c r="B4871">
        <v>154881454.37899059</v>
      </c>
    </row>
    <row r="4872" spans="1:2" x14ac:dyDescent="0.25">
      <c r="A4872">
        <f ca="1">29165.8428142462*((RANDBETWEEN(1620,2416)))</f>
        <v>59789977.76920481</v>
      </c>
      <c r="B4872">
        <v>185947499.48095852</v>
      </c>
    </row>
    <row r="4873" spans="1:2" x14ac:dyDescent="0.25">
      <c r="A4873">
        <f ca="1">27802.7730960477*((RANDBETWEEN(1620,2416)))</f>
        <v>62862069.970163763</v>
      </c>
      <c r="B4873">
        <v>203242357.1366303</v>
      </c>
    </row>
    <row r="4874" spans="1:2" x14ac:dyDescent="0.25">
      <c r="A4874">
        <f ca="1">27798.0974708718*((RANDBETWEEN(1620,2416)))</f>
        <v>52232625.147768073</v>
      </c>
      <c r="B4874">
        <v>143913944.40987128</v>
      </c>
    </row>
    <row r="4875" spans="1:2" x14ac:dyDescent="0.25">
      <c r="A4875">
        <f ca="1">27057.9147272196*((RANDBETWEEN(1620,2416)))</f>
        <v>61989682.640060149</v>
      </c>
      <c r="B4875">
        <v>191585249.13789651</v>
      </c>
    </row>
    <row r="4876" spans="1:2" x14ac:dyDescent="0.25">
      <c r="A4876">
        <f ca="1">26480.6854283053*((RANDBETWEEN(1620,2416)))</f>
        <v>58628237.538267896</v>
      </c>
      <c r="B4876">
        <v>144894870.96251991</v>
      </c>
    </row>
    <row r="4877" spans="1:2" x14ac:dyDescent="0.25">
      <c r="A4877">
        <f ca="1">30016.8708262422*((RANDBETWEEN(1620,2416)))</f>
        <v>65106592.822119392</v>
      </c>
      <c r="B4877">
        <v>184731222.01127282</v>
      </c>
    </row>
    <row r="4878" spans="1:2" x14ac:dyDescent="0.25">
      <c r="A4878">
        <f ca="1">26776.1567532938*((RANDBETWEEN(1620,2416)))</f>
        <v>61826145.943355277</v>
      </c>
      <c r="B4878">
        <v>181689943.33629358</v>
      </c>
    </row>
    <row r="4879" spans="1:2" x14ac:dyDescent="0.25">
      <c r="A4879">
        <f ca="1">26611.5090411386*((RANDBETWEEN(1620,2416)))</f>
        <v>50136083.033505134</v>
      </c>
      <c r="B4879">
        <v>173277843.35781506</v>
      </c>
    </row>
    <row r="4880" spans="1:2" x14ac:dyDescent="0.25">
      <c r="A4880">
        <f ca="1">26976.0862554875*((RANDBETWEEN(1620,2416)))</f>
        <v>46776533.567015335</v>
      </c>
      <c r="B4880">
        <v>164523655.49020106</v>
      </c>
    </row>
    <row r="4881" spans="1:2" x14ac:dyDescent="0.25">
      <c r="A4881">
        <f ca="1">26822.5657057311*((RANDBETWEEN(1620,2416)))</f>
        <v>62469755.528647654</v>
      </c>
      <c r="B4881">
        <v>197159951.84255981</v>
      </c>
    </row>
    <row r="4882" spans="1:2" x14ac:dyDescent="0.25">
      <c r="A4882">
        <f ca="1">28287.0539374202*((RANDBETWEEN(1620,2416)))</f>
        <v>53377670.779911965</v>
      </c>
      <c r="B4882">
        <v>176619212.51537114</v>
      </c>
    </row>
    <row r="4883" spans="1:2" x14ac:dyDescent="0.25">
      <c r="A4883">
        <f ca="1">31851.991360453*((RANDBETWEEN(1620,2416)))</f>
        <v>57620252.371059522</v>
      </c>
      <c r="B4883">
        <v>193978112.21982199</v>
      </c>
    </row>
    <row r="4884" spans="1:2" x14ac:dyDescent="0.25">
      <c r="A4884">
        <f ca="1">31539.538090836*((RANDBETWEEN(1620,2416)))</f>
        <v>62353666.805582866</v>
      </c>
      <c r="B4884">
        <v>143308292.32446429</v>
      </c>
    </row>
    <row r="4885" spans="1:2" x14ac:dyDescent="0.25">
      <c r="A4885">
        <f ca="1">30545.5113569623*((RANDBETWEEN(1620,2416)))</f>
        <v>50216820.670845948</v>
      </c>
      <c r="B4885">
        <v>192147215.15980071</v>
      </c>
    </row>
    <row r="4886" spans="1:2" x14ac:dyDescent="0.25">
      <c r="A4886">
        <f ca="1">28694.386534426*((RANDBETWEEN(1620,2416)))</f>
        <v>47230960.235665262</v>
      </c>
      <c r="B4886">
        <v>198320527.30034873</v>
      </c>
    </row>
    <row r="4887" spans="1:2" x14ac:dyDescent="0.25">
      <c r="A4887">
        <f ca="1">31877.4429703609*((RANDBETWEEN(1620,2416)))</f>
        <v>63723008.497751378</v>
      </c>
      <c r="B4887">
        <v>159196723.99840248</v>
      </c>
    </row>
    <row r="4888" spans="1:2" x14ac:dyDescent="0.25">
      <c r="A4888">
        <f ca="1">27814.5863966866*((RANDBETWEEN(1620,2416)))</f>
        <v>50038440.927639149</v>
      </c>
      <c r="B4888">
        <v>151289692.91633373</v>
      </c>
    </row>
    <row r="4889" spans="1:2" x14ac:dyDescent="0.25">
      <c r="A4889">
        <f ca="1">27691.9456480032*((RANDBETWEEN(1620,2416)))</f>
        <v>55688502.698134534</v>
      </c>
      <c r="B4889">
        <v>161305386.52027386</v>
      </c>
    </row>
    <row r="4890" spans="1:2" x14ac:dyDescent="0.25">
      <c r="A4890">
        <f ca="1">28378.387276359*((RANDBETWEEN(1620,2416)))</f>
        <v>48612177.404403031</v>
      </c>
      <c r="B4890">
        <v>151169048.1884253</v>
      </c>
    </row>
    <row r="4891" spans="1:2" x14ac:dyDescent="0.25">
      <c r="A4891">
        <f ca="1">30832.5303835827*((RANDBETWEEN(1620,2416)))</f>
        <v>59167625.80609522</v>
      </c>
      <c r="B4891">
        <v>200865412.31098676</v>
      </c>
    </row>
    <row r="4892" spans="1:2" x14ac:dyDescent="0.25">
      <c r="A4892">
        <f ca="1">26941.4529801362*((RANDBETWEEN(1620,2416)))</f>
        <v>64174540.998684421</v>
      </c>
      <c r="B4892">
        <v>145189536.57627559</v>
      </c>
    </row>
    <row r="4893" spans="1:2" x14ac:dyDescent="0.25">
      <c r="A4893">
        <f ca="1">27390.1951933496*((RANDBETWEEN(1620,2416)))</f>
        <v>51247055.206757069</v>
      </c>
      <c r="B4893">
        <v>144818881.92694843</v>
      </c>
    </row>
    <row r="4894" spans="1:2" x14ac:dyDescent="0.25">
      <c r="A4894">
        <f ca="1">27978.0738124181*((RANDBETWEEN(1620,2416)))</f>
        <v>49045563.393168993</v>
      </c>
      <c r="B4894">
        <v>167218183.95733449</v>
      </c>
    </row>
    <row r="4895" spans="1:2" x14ac:dyDescent="0.25">
      <c r="A4895">
        <f ca="1">28800.6343692081*((RANDBETWEEN(1620,2416)))</f>
        <v>52042746.305159003</v>
      </c>
      <c r="B4895">
        <v>151181893.23533291</v>
      </c>
    </row>
    <row r="4896" spans="1:2" x14ac:dyDescent="0.25">
      <c r="A4896">
        <f ca="1">27518.4603156473*((RANDBETWEEN(1620,2416)))</f>
        <v>52064926.917204596</v>
      </c>
      <c r="B4896">
        <v>168580628.43412998</v>
      </c>
    </row>
    <row r="4897" spans="1:2" x14ac:dyDescent="0.25">
      <c r="A4897">
        <f ca="1">26762.6265769706*((RANDBETWEEN(1620,2416)))</f>
        <v>55398637.014329225</v>
      </c>
      <c r="B4897">
        <v>159201325.33030239</v>
      </c>
    </row>
    <row r="4898" spans="1:2" x14ac:dyDescent="0.25">
      <c r="A4898">
        <f ca="1">26476.5981657338*((RANDBETWEEN(1620,2416)))</f>
        <v>53297392.107622184</v>
      </c>
      <c r="B4898">
        <v>171338865.29669839</v>
      </c>
    </row>
    <row r="4899" spans="1:2" x14ac:dyDescent="0.25">
      <c r="A4899">
        <f ca="1">28421.5910091198*((RANDBETWEEN(1620,2416)))</f>
        <v>62925402.494191304</v>
      </c>
      <c r="B4899">
        <v>163849304.31994876</v>
      </c>
    </row>
    <row r="4900" spans="1:2" x14ac:dyDescent="0.25">
      <c r="A4900">
        <f ca="1">28022.0962133177*((RANDBETWEEN(1620,2416)))</f>
        <v>59911241.704073161</v>
      </c>
      <c r="B4900">
        <v>175689127.86907136</v>
      </c>
    </row>
    <row r="4901" spans="1:2" x14ac:dyDescent="0.25">
      <c r="A4901">
        <f ca="1">31343.9584433916*((RANDBETWEEN(1620,2416)))</f>
        <v>67138758.9857447</v>
      </c>
      <c r="B4901">
        <v>152513867.912287</v>
      </c>
    </row>
    <row r="4902" spans="1:2" x14ac:dyDescent="0.25">
      <c r="A4902">
        <f ca="1">28054.0101909848*((RANDBETWEEN(1620,2416)))</f>
        <v>63458171.052007563</v>
      </c>
      <c r="B4902">
        <v>170193776.2424514</v>
      </c>
    </row>
    <row r="4903" spans="1:2" x14ac:dyDescent="0.25">
      <c r="A4903">
        <f ca="1">28228.3515468677*((RANDBETWEEN(1620,2416)))</f>
        <v>65574460.643373638</v>
      </c>
      <c r="B4903">
        <v>187893113.77052325</v>
      </c>
    </row>
    <row r="4904" spans="1:2" x14ac:dyDescent="0.25">
      <c r="A4904">
        <f ca="1">25638.7919819084*((RANDBETWEEN(1620,2416)))</f>
        <v>59507636.190009348</v>
      </c>
      <c r="B4904">
        <v>147334510.38176182</v>
      </c>
    </row>
    <row r="4905" spans="1:2" x14ac:dyDescent="0.25">
      <c r="A4905">
        <f ca="1">29415.4673867702*((RANDBETWEEN(1620,2416)))</f>
        <v>66273048.022393368</v>
      </c>
      <c r="B4905">
        <v>166256742.73799068</v>
      </c>
    </row>
    <row r="4906" spans="1:2" x14ac:dyDescent="0.25">
      <c r="A4906">
        <f ca="1">29110.2732150454*((RANDBETWEEN(1620,2416)))</f>
        <v>50186111.022738218</v>
      </c>
      <c r="B4906">
        <v>165999119.85064945</v>
      </c>
    </row>
    <row r="4907" spans="1:2" x14ac:dyDescent="0.25">
      <c r="A4907">
        <f ca="1">32472.5785972857*((RANDBETWEEN(1620,2416)))</f>
        <v>61568009.020453706</v>
      </c>
      <c r="B4907">
        <v>169565475.12035498</v>
      </c>
    </row>
    <row r="4908" spans="1:2" x14ac:dyDescent="0.25">
      <c r="A4908">
        <f ca="1">31323.1327957095*((RANDBETWEEN(1620,2416)))</f>
        <v>68002521.299485326</v>
      </c>
      <c r="B4908">
        <v>174229715.83281252</v>
      </c>
    </row>
    <row r="4909" spans="1:2" x14ac:dyDescent="0.25">
      <c r="A4909">
        <f ca="1">26594.38329614*((RANDBETWEEN(1620,2416)))</f>
        <v>47098652.817463934</v>
      </c>
      <c r="B4909">
        <v>177909198.84946364</v>
      </c>
    </row>
    <row r="4910" spans="1:2" x14ac:dyDescent="0.25">
      <c r="A4910">
        <f ca="1">27449.6709289629*((RANDBETWEEN(1620,2416)))</f>
        <v>48668266.557051286</v>
      </c>
      <c r="B4910">
        <v>147829182.25004014</v>
      </c>
    </row>
    <row r="4911" spans="1:2" x14ac:dyDescent="0.25">
      <c r="A4911">
        <f ca="1">29196.2624557511*((RANDBETWEEN(1620,2416)))</f>
        <v>62742768.017409056</v>
      </c>
      <c r="B4911">
        <v>201660265.36661816</v>
      </c>
    </row>
    <row r="4912" spans="1:2" x14ac:dyDescent="0.25">
      <c r="A4912">
        <f ca="1">28012.5111698017*((RANDBETWEEN(1620,2416)))</f>
        <v>48881831.99130404</v>
      </c>
      <c r="B4912">
        <v>187505857.59719601</v>
      </c>
    </row>
    <row r="4913" spans="1:2" x14ac:dyDescent="0.25">
      <c r="A4913">
        <f ca="1">26805.4798625801*((RANDBETWEEN(1620,2416)))</f>
        <v>48625140.470720343</v>
      </c>
      <c r="B4913">
        <v>184046463.65154341</v>
      </c>
    </row>
    <row r="4914" spans="1:2" x14ac:dyDescent="0.25">
      <c r="A4914">
        <f ca="1">27328.7647237165*((RANDBETWEEN(1620,2416)))</f>
        <v>44955817.970513694</v>
      </c>
      <c r="B4914">
        <v>151062139.87674356</v>
      </c>
    </row>
    <row r="4915" spans="1:2" x14ac:dyDescent="0.25">
      <c r="A4915">
        <f ca="1">30097.8290961574*((RANDBETWEEN(1620,2416)))</f>
        <v>63987984.658430643</v>
      </c>
      <c r="B4915">
        <v>157534485.22831962</v>
      </c>
    </row>
    <row r="4916" spans="1:2" x14ac:dyDescent="0.25">
      <c r="A4916">
        <f ca="1">27387.1059582915*((RANDBETWEEN(1620,2416)))</f>
        <v>65236086.392650321</v>
      </c>
      <c r="B4916">
        <v>149131713.32587367</v>
      </c>
    </row>
    <row r="4917" spans="1:2" x14ac:dyDescent="0.25">
      <c r="A4917">
        <f ca="1">32056.0567984377*((RANDBETWEEN(1620,2416)))</f>
        <v>61643797.223395787</v>
      </c>
      <c r="B4917">
        <v>164996243.49938834</v>
      </c>
    </row>
    <row r="4918" spans="1:2" x14ac:dyDescent="0.25">
      <c r="A4918">
        <f ca="1">31482.8163420493*((RANDBETWEEN(1620,2416)))</f>
        <v>67215812.890275285</v>
      </c>
      <c r="B4918">
        <v>180104480.80309606</v>
      </c>
    </row>
    <row r="4919" spans="1:2" x14ac:dyDescent="0.25">
      <c r="A4919">
        <f ca="1">27477.9806166414*((RANDBETWEEN(1620,2416)))</f>
        <v>64216040.701091044</v>
      </c>
      <c r="B4919">
        <v>153386907.67894989</v>
      </c>
    </row>
    <row r="4920" spans="1:2" x14ac:dyDescent="0.25">
      <c r="A4920">
        <f ca="1">27033.0288466126*((RANDBETWEEN(1620,2416)))</f>
        <v>54444520.097077712</v>
      </c>
      <c r="B4920">
        <v>143515250.76916671</v>
      </c>
    </row>
    <row r="4921" spans="1:2" x14ac:dyDescent="0.25">
      <c r="A4921">
        <f ca="1">26418.3355383588*((RANDBETWEEN(1620,2416)))</f>
        <v>61501885.133299187</v>
      </c>
      <c r="B4921">
        <v>148679771.99091795</v>
      </c>
    </row>
    <row r="4922" spans="1:2" x14ac:dyDescent="0.25">
      <c r="A4922">
        <f ca="1">25158.1983603582*((RANDBETWEEN(1620,2416)))</f>
        <v>42693462.617527872</v>
      </c>
      <c r="B4922">
        <v>144626094.95895818</v>
      </c>
    </row>
    <row r="4923" spans="1:2" x14ac:dyDescent="0.25">
      <c r="A4923">
        <f ca="1">28210.4002290769*((RANDBETWEEN(1620,2416)))</f>
        <v>52866290.029290125</v>
      </c>
      <c r="B4923">
        <v>161040251.21578947</v>
      </c>
    </row>
    <row r="4924" spans="1:2" x14ac:dyDescent="0.25">
      <c r="A4924">
        <f ca="1">29985.1266552881*((RANDBETWEEN(1620,2416)))</f>
        <v>71844363.466070309</v>
      </c>
      <c r="B4924">
        <v>197656021.7449753</v>
      </c>
    </row>
    <row r="4925" spans="1:2" x14ac:dyDescent="0.25">
      <c r="A4925">
        <f ca="1">27114.8533607133*((RANDBETWEEN(1620,2416)))</f>
        <v>48779621.195923179</v>
      </c>
      <c r="B4925">
        <v>154609167.71684593</v>
      </c>
    </row>
    <row r="4926" spans="1:2" x14ac:dyDescent="0.25">
      <c r="A4926">
        <f ca="1">26060.9351982629*((RANDBETWEEN(1620,2416)))</f>
        <v>56500107.509833924</v>
      </c>
      <c r="B4926">
        <v>168351976.70471311</v>
      </c>
    </row>
    <row r="4927" spans="1:2" x14ac:dyDescent="0.25">
      <c r="A4927">
        <f ca="1">30347.6790527874*((RANDBETWEEN(1620,2416)))</f>
        <v>64397774.950014926</v>
      </c>
      <c r="B4927">
        <v>191766937.32290697</v>
      </c>
    </row>
    <row r="4928" spans="1:2" x14ac:dyDescent="0.25">
      <c r="A4928">
        <f ca="1">26622.3117620204*((RANDBETWEEN(1620,2416)))</f>
        <v>56519167.870769404</v>
      </c>
      <c r="B4928">
        <v>189647803.74943754</v>
      </c>
    </row>
    <row r="4929" spans="1:2" x14ac:dyDescent="0.25">
      <c r="A4929">
        <f ca="1">26301.5750493095*((RANDBETWEEN(1620,2416)))</f>
        <v>52787261.123964079</v>
      </c>
      <c r="B4929">
        <v>164822027.60642007</v>
      </c>
    </row>
    <row r="4930" spans="1:2" x14ac:dyDescent="0.25">
      <c r="A4930">
        <f ca="1">25904.2142116025*((RANDBETWEEN(1620,2416)))</f>
        <v>51212631.496338084</v>
      </c>
      <c r="B4930">
        <v>163478447.78811866</v>
      </c>
    </row>
    <row r="4931" spans="1:2" x14ac:dyDescent="0.25">
      <c r="A4931">
        <f ca="1">27087.6050738342*((RANDBETWEEN(1620,2416)))</f>
        <v>64766463.731537648</v>
      </c>
      <c r="B4931">
        <v>188991478.2006377</v>
      </c>
    </row>
    <row r="4932" spans="1:2" x14ac:dyDescent="0.25">
      <c r="A4932">
        <f ca="1">26180.9009820964*((RANDBETWEEN(1620,2416)))</f>
        <v>60582604.872571044</v>
      </c>
      <c r="B4932">
        <v>150657184.54530162</v>
      </c>
    </row>
    <row r="4933" spans="1:2" x14ac:dyDescent="0.25">
      <c r="A4933">
        <f ca="1">30018.9246867364*((RANDBETWEEN(1620,2416)))</f>
        <v>70064170.218842879</v>
      </c>
      <c r="B4933">
        <v>201816201.95001882</v>
      </c>
    </row>
    <row r="4934" spans="1:2" x14ac:dyDescent="0.25">
      <c r="A4934">
        <f ca="1">25422.686189792*((RANDBETWEEN(1620,2416)))</f>
        <v>49269165.835816942</v>
      </c>
      <c r="B4934">
        <v>145250897.85528719</v>
      </c>
    </row>
    <row r="4935" spans="1:2" x14ac:dyDescent="0.25">
      <c r="A4935">
        <f ca="1">25739.4270425516*((RANDBETWEEN(1620,2416)))</f>
        <v>47360545.758294962</v>
      </c>
      <c r="B4935">
        <v>167878090.18193957</v>
      </c>
    </row>
    <row r="4936" spans="1:2" x14ac:dyDescent="0.25">
      <c r="A4936">
        <f ca="1">26834.6093423346*((RANDBETWEEN(1620,2416)))</f>
        <v>51119930.797147393</v>
      </c>
      <c r="B4936">
        <v>156648705.40945804</v>
      </c>
    </row>
    <row r="4937" spans="1:2" x14ac:dyDescent="0.25">
      <c r="A4937">
        <f ca="1">27600.6395916333*((RANDBETWEEN(1620,2416)))</f>
        <v>50205563.417180955</v>
      </c>
      <c r="B4937">
        <v>161771967.27695182</v>
      </c>
    </row>
    <row r="4938" spans="1:2" x14ac:dyDescent="0.25">
      <c r="A4938">
        <f ca="1">28442.511434877*((RANDBETWEEN(1620,2416)))</f>
        <v>55917977.480968237</v>
      </c>
      <c r="B4938">
        <v>199985717.37167647</v>
      </c>
    </row>
    <row r="4939" spans="1:2" x14ac:dyDescent="0.25">
      <c r="A4939">
        <f ca="1">32459.19060521*((RANDBETWEEN(1620,2416)))</f>
        <v>59595073.951165587</v>
      </c>
      <c r="B4939">
        <v>162042719.93724835</v>
      </c>
    </row>
    <row r="4940" spans="1:2" x14ac:dyDescent="0.25">
      <c r="A4940">
        <f ca="1">25567.816976769*((RANDBETWEEN(1620,2416)))</f>
        <v>47274893.590045892</v>
      </c>
      <c r="B4940">
        <v>182236828.99771002</v>
      </c>
    </row>
    <row r="4941" spans="1:2" x14ac:dyDescent="0.25">
      <c r="A4941">
        <f ca="1">28112.4811453999*((RANDBETWEEN(1620,2416)))</f>
        <v>57967936.121814586</v>
      </c>
      <c r="B4941">
        <v>144706485.96437079</v>
      </c>
    </row>
    <row r="4942" spans="1:2" x14ac:dyDescent="0.25">
      <c r="A4942">
        <f ca="1">28359.6873335239*((RANDBETWEEN(1620,2416)))</f>
        <v>60179256.521737806</v>
      </c>
      <c r="B4942">
        <v>151405861.37922025</v>
      </c>
    </row>
    <row r="4943" spans="1:2" x14ac:dyDescent="0.25">
      <c r="A4943">
        <f ca="1">33087.5224694585*((RANDBETWEEN(1620,2416)))</f>
        <v>73851350.151831299</v>
      </c>
      <c r="B4943">
        <v>198571905.42167628</v>
      </c>
    </row>
    <row r="4944" spans="1:2" x14ac:dyDescent="0.25">
      <c r="A4944">
        <f ca="1">26368.4523962967*((RANDBETWEEN(1620,2416)))</f>
        <v>46329370.860293336</v>
      </c>
      <c r="B4944">
        <v>164816967.51620573</v>
      </c>
    </row>
    <row r="4945" spans="1:2" x14ac:dyDescent="0.25">
      <c r="A4945">
        <f ca="1">27649.1424869244*((RANDBETWEEN(1620,2416)))</f>
        <v>59362708.919426762</v>
      </c>
      <c r="B4945">
        <v>145723324.08004963</v>
      </c>
    </row>
    <row r="4946" spans="1:2" x14ac:dyDescent="0.25">
      <c r="A4946">
        <f ca="1">26309.3430441243*((RANDBETWEEN(1620,2416)))</f>
        <v>46435990.472879305</v>
      </c>
      <c r="B4946">
        <v>156337238.78130025</v>
      </c>
    </row>
    <row r="4947" spans="1:2" x14ac:dyDescent="0.25">
      <c r="A4947">
        <f ca="1">26983.4587513361*((RANDBETWEEN(1620,2416)))</f>
        <v>60523897.979246907</v>
      </c>
      <c r="B4947">
        <v>168766751.69225681</v>
      </c>
    </row>
    <row r="4948" spans="1:2" x14ac:dyDescent="0.25">
      <c r="A4948">
        <f ca="1">26962.3078323112*((RANDBETWEEN(1620,2416)))</f>
        <v>57052243.373170525</v>
      </c>
      <c r="B4948">
        <v>161459739.05622333</v>
      </c>
    </row>
    <row r="4949" spans="1:2" x14ac:dyDescent="0.25">
      <c r="A4949">
        <f ca="1">26518.6697722371*((RANDBETWEEN(1620,2416)))</f>
        <v>49855099.171805821</v>
      </c>
      <c r="B4949">
        <v>143166245.0498023</v>
      </c>
    </row>
    <row r="4950" spans="1:2" x14ac:dyDescent="0.25">
      <c r="A4950">
        <f ca="1">27098.7256200785*((RANDBETWEEN(1620,2416)))</f>
        <v>53330292.020314552</v>
      </c>
      <c r="B4950">
        <v>152786797.44597688</v>
      </c>
    </row>
    <row r="4951" spans="1:2" x14ac:dyDescent="0.25">
      <c r="A4951">
        <f ca="1">29960.2972203374*((RANDBETWEEN(1620,2416)))</f>
        <v>67111065.773555726</v>
      </c>
      <c r="B4951">
        <v>188295557.15933937</v>
      </c>
    </row>
    <row r="4952" spans="1:2" x14ac:dyDescent="0.25">
      <c r="A4952">
        <f ca="1">28541.1434351007*((RANDBETWEEN(1620,2416)))</f>
        <v>54028384.522645667</v>
      </c>
      <c r="B4952">
        <v>187565861.39753187</v>
      </c>
    </row>
    <row r="4953" spans="1:2" x14ac:dyDescent="0.25">
      <c r="A4953">
        <f ca="1">26708.4509235505*((RANDBETWEEN(1620,2416)))</f>
        <v>60120723.028912067</v>
      </c>
      <c r="B4953">
        <v>148653576.02186877</v>
      </c>
    </row>
    <row r="4954" spans="1:2" x14ac:dyDescent="0.25">
      <c r="A4954">
        <f ca="1">27114.9856389425*((RANDBETWEEN(1620,2416)))</f>
        <v>64262515.964293651</v>
      </c>
      <c r="B4954">
        <v>172831912.84090263</v>
      </c>
    </row>
    <row r="4955" spans="1:2" x14ac:dyDescent="0.25">
      <c r="A4955">
        <f ca="1">29404.8597386894*((RANDBETWEEN(1620,2416)))</f>
        <v>62132468.6278506</v>
      </c>
      <c r="B4955">
        <v>190686976.98117968</v>
      </c>
    </row>
    <row r="4956" spans="1:2" x14ac:dyDescent="0.25">
      <c r="A4956">
        <f ca="1">25362.4925860869*((RANDBETWEEN(1620,2416)))</f>
        <v>53438771.878885172</v>
      </c>
      <c r="B4956">
        <v>153030736.78494945</v>
      </c>
    </row>
    <row r="4957" spans="1:2" x14ac:dyDescent="0.25">
      <c r="A4957">
        <f ca="1">27589.4324347863*((RANDBETWEEN(1620,2416)))</f>
        <v>49164368.598789252</v>
      </c>
      <c r="B4957">
        <v>145204833.27619839</v>
      </c>
    </row>
    <row r="4958" spans="1:2" x14ac:dyDescent="0.25">
      <c r="A4958">
        <f ca="1">30603.0785333573*((RANDBETWEEN(1620,2416)))</f>
        <v>68214262.050853431</v>
      </c>
      <c r="B4958">
        <v>153608758.42771703</v>
      </c>
    </row>
    <row r="4959" spans="1:2" x14ac:dyDescent="0.25">
      <c r="A4959">
        <f ca="1">29863.9898186237*((RANDBETWEEN(1620,2416)))</f>
        <v>49842999.00728289</v>
      </c>
      <c r="B4959">
        <v>163822015.37853816</v>
      </c>
    </row>
    <row r="4960" spans="1:2" x14ac:dyDescent="0.25">
      <c r="A4960">
        <f ca="1">25163.3897683132*((RANDBETWEEN(1620,2416)))</f>
        <v>45998676.496476613</v>
      </c>
      <c r="B4960">
        <v>148121548.52864411</v>
      </c>
    </row>
    <row r="4961" spans="1:2" x14ac:dyDescent="0.25">
      <c r="A4961">
        <f ca="1">32278.9086826656*((RANDBETWEEN(1620,2416)))</f>
        <v>68043939.503059074</v>
      </c>
      <c r="B4961">
        <v>184599440.98287165</v>
      </c>
    </row>
    <row r="4962" spans="1:2" x14ac:dyDescent="0.25">
      <c r="A4962">
        <f ca="1">25741.9092204235*((RANDBETWEEN(1620,2416)))</f>
        <v>60467744.758774795</v>
      </c>
      <c r="B4962">
        <v>153579273.26515055</v>
      </c>
    </row>
    <row r="4963" spans="1:2" x14ac:dyDescent="0.25">
      <c r="A4963">
        <f ca="1">28959.8773703466*((RANDBETWEEN(1620,2416)))</f>
        <v>64754285.800094955</v>
      </c>
      <c r="B4963">
        <v>196600577.26929313</v>
      </c>
    </row>
    <row r="4964" spans="1:2" x14ac:dyDescent="0.25">
      <c r="A4964">
        <f ca="1">29329.1369590447*((RANDBETWEEN(1620,2416)))</f>
        <v>48363746.845464684</v>
      </c>
      <c r="B4964">
        <v>147486078.3509829</v>
      </c>
    </row>
    <row r="4965" spans="1:2" x14ac:dyDescent="0.25">
      <c r="A4965">
        <f ca="1">28476.836318961*((RANDBETWEEN(1620,2416)))</f>
        <v>51486120.064681575</v>
      </c>
      <c r="B4965">
        <v>168770544.83796641</v>
      </c>
    </row>
    <row r="4966" spans="1:2" x14ac:dyDescent="0.25">
      <c r="A4966">
        <f ca="1">26366.7607534177*((RANDBETWEEN(1620,2416)))</f>
        <v>57716839.28923136</v>
      </c>
      <c r="B4966">
        <v>144345609.10146019</v>
      </c>
    </row>
    <row r="4967" spans="1:2" x14ac:dyDescent="0.25">
      <c r="A4967">
        <f ca="1">26018.7022732017*((RANDBETWEEN(1620,2416)))</f>
        <v>52245554.164589085</v>
      </c>
      <c r="B4967">
        <v>150823643.87265459</v>
      </c>
    </row>
    <row r="4968" spans="1:2" x14ac:dyDescent="0.25">
      <c r="A4968">
        <f ca="1">26429.7871661816*((RANDBETWEEN(1620,2416)))</f>
        <v>55158965.815820925</v>
      </c>
      <c r="B4968">
        <v>158793906.11333779</v>
      </c>
    </row>
    <row r="4969" spans="1:2" x14ac:dyDescent="0.25">
      <c r="A4969">
        <f ca="1">28037.1860742853*((RANDBETWEEN(1620,2416)))</f>
        <v>65494866.669530578</v>
      </c>
      <c r="B4969">
        <v>173517090.13590813</v>
      </c>
    </row>
    <row r="4970" spans="1:2" x14ac:dyDescent="0.25">
      <c r="A4970">
        <f ca="1">28081.0826857473*((RANDBETWEEN(1620,2416)))</f>
        <v>67535003.859222248</v>
      </c>
      <c r="B4970">
        <v>168802396.71549487</v>
      </c>
    </row>
    <row r="4971" spans="1:2" x14ac:dyDescent="0.25">
      <c r="A4971">
        <f ca="1">26377.6845044139*((RANDBETWEEN(1620,2416)))</f>
        <v>51462862.468111493</v>
      </c>
      <c r="B4971">
        <v>186016882.98265141</v>
      </c>
    </row>
    <row r="4972" spans="1:2" x14ac:dyDescent="0.25">
      <c r="A4972">
        <f ca="1">29782.4803233035*((RANDBETWEEN(1620,2416)))</f>
        <v>56110192.929103807</v>
      </c>
      <c r="B4972">
        <v>177927584.87333328</v>
      </c>
    </row>
    <row r="4973" spans="1:2" x14ac:dyDescent="0.25">
      <c r="A4973">
        <f ca="1">30081.6586572647*((RANDBETWEEN(1620,2416)))</f>
        <v>67713813.637502804</v>
      </c>
      <c r="B4973">
        <v>185945176.10588726</v>
      </c>
    </row>
    <row r="4974" spans="1:2" x14ac:dyDescent="0.25">
      <c r="A4974">
        <f ca="1">26434.5488097359*((RANDBETWEEN(1620,2416)))</f>
        <v>49247564.432537988</v>
      </c>
      <c r="B4974">
        <v>171604314.62161994</v>
      </c>
    </row>
    <row r="4975" spans="1:2" x14ac:dyDescent="0.25">
      <c r="A4975">
        <f ca="1">30354.323039971*((RANDBETWEEN(1620,2416)))</f>
        <v>57885694.037224725</v>
      </c>
      <c r="B4975">
        <v>165287387.01903847</v>
      </c>
    </row>
    <row r="4976" spans="1:2" x14ac:dyDescent="0.25">
      <c r="A4976">
        <f ca="1">29165.3527900469*((RANDBETWEEN(1620,2416)))</f>
        <v>68480248.351030156</v>
      </c>
      <c r="B4976">
        <v>201093064.25530061</v>
      </c>
    </row>
    <row r="4977" spans="1:2" x14ac:dyDescent="0.25">
      <c r="A4977">
        <f ca="1">29719.7375156374*((RANDBETWEEN(1620,2416)))</f>
        <v>67671842.323106378</v>
      </c>
      <c r="B4977">
        <v>172444577.02143463</v>
      </c>
    </row>
    <row r="4978" spans="1:2" x14ac:dyDescent="0.25">
      <c r="A4978">
        <f ca="1">27370.0353959121*((RANDBETWEEN(1620,2416)))</f>
        <v>47596491.553491116</v>
      </c>
      <c r="B4978">
        <v>195283922.12646973</v>
      </c>
    </row>
    <row r="4979" spans="1:2" x14ac:dyDescent="0.25">
      <c r="A4979">
        <f ca="1">31780.4961342902*((RANDBETWEEN(1620,2416)))</f>
        <v>58603234.871631131</v>
      </c>
      <c r="B4979">
        <v>145916368.01627481</v>
      </c>
    </row>
    <row r="4980" spans="1:2" x14ac:dyDescent="0.25">
      <c r="A4980">
        <f ca="1">27757.5702523916*((RANDBETWEEN(1620,2416)))</f>
        <v>48159384.387899481</v>
      </c>
      <c r="B4980">
        <v>144794067.61996725</v>
      </c>
    </row>
    <row r="4981" spans="1:2" x14ac:dyDescent="0.25">
      <c r="A4981">
        <f ca="1">29403.1802726895*((RANDBETWEEN(1620,2416)))</f>
        <v>57542023.793653361</v>
      </c>
      <c r="B4981">
        <v>162225633.04562831</v>
      </c>
    </row>
    <row r="4982" spans="1:2" x14ac:dyDescent="0.25">
      <c r="A4982">
        <f ca="1">33970.148118702*((RANDBETWEEN(1620,2416)))</f>
        <v>64067699.351871893</v>
      </c>
      <c r="B4982">
        <v>175531001.85593832</v>
      </c>
    </row>
    <row r="4983" spans="1:2" x14ac:dyDescent="0.25">
      <c r="A4983">
        <f ca="1">26526.2944377866*((RANDBETWEEN(1620,2416)))</f>
        <v>47216804.099260211</v>
      </c>
      <c r="B4983">
        <v>168898214.66584775</v>
      </c>
    </row>
    <row r="4984" spans="1:2" x14ac:dyDescent="0.25">
      <c r="A4984">
        <f ca="1">26211.3166080451*((RANDBETWEEN(1620,2416)))</f>
        <v>43563208.202570915</v>
      </c>
      <c r="B4984">
        <v>201078553.86944613</v>
      </c>
    </row>
    <row r="4985" spans="1:2" x14ac:dyDescent="0.25">
      <c r="A4985">
        <f ca="1">27763.0352394317*((RANDBETWEEN(1620,2416)))</f>
        <v>48085577.034695618</v>
      </c>
      <c r="B4985">
        <v>201471277.49688995</v>
      </c>
    </row>
    <row r="4986" spans="1:2" x14ac:dyDescent="0.25">
      <c r="A4986">
        <f ca="1">26994.291560579*((RANDBETWEEN(1620,2416)))</f>
        <v>45053472.614606388</v>
      </c>
      <c r="B4986">
        <v>148032623.3429566</v>
      </c>
    </row>
    <row r="4987" spans="1:2" x14ac:dyDescent="0.25">
      <c r="A4987">
        <f ca="1">27855.4284717446*((RANDBETWEEN(1620,2416)))</f>
        <v>65850232.907204121</v>
      </c>
      <c r="B4987">
        <v>193508369.63762918</v>
      </c>
    </row>
    <row r="4988" spans="1:2" x14ac:dyDescent="0.25">
      <c r="A4988">
        <f ca="1">31330.1944349742*((RANDBETWEEN(1620,2416)))</f>
        <v>67641889.785109356</v>
      </c>
      <c r="B4988">
        <v>148717101.53534123</v>
      </c>
    </row>
    <row r="4989" spans="1:2" x14ac:dyDescent="0.25">
      <c r="A4989">
        <f ca="1">27118.0116648981*((RANDBETWEEN(1620,2416)))</f>
        <v>56812234.437961444</v>
      </c>
      <c r="B4989">
        <v>200763296.03138167</v>
      </c>
    </row>
    <row r="4990" spans="1:2" x14ac:dyDescent="0.25">
      <c r="A4990">
        <f ca="1">32255.3922994166*((RANDBETWEEN(1620,2416)))</f>
        <v>59511198.792423673</v>
      </c>
      <c r="B4990">
        <v>162681227.02288592</v>
      </c>
    </row>
    <row r="4991" spans="1:2" x14ac:dyDescent="0.25">
      <c r="A4991">
        <f ca="1">31702.6291658342*((RANDBETWEEN(1620,2416)))</f>
        <v>53387227.51526475</v>
      </c>
      <c r="B4991">
        <v>190690924.59878555</v>
      </c>
    </row>
    <row r="4992" spans="1:2" x14ac:dyDescent="0.25">
      <c r="A4992">
        <f ca="1">29987.4605517694*((RANDBETWEEN(1620,2416)))</f>
        <v>55926613.929049924</v>
      </c>
      <c r="B4992">
        <v>188508408.37886789</v>
      </c>
    </row>
    <row r="4993" spans="1:2" x14ac:dyDescent="0.25">
      <c r="A4993">
        <f ca="1">26573.5758930829*((RANDBETWEEN(1620,2416)))</f>
        <v>59976560.790688165</v>
      </c>
      <c r="B4993">
        <v>164457674.63921922</v>
      </c>
    </row>
    <row r="4994" spans="1:2" x14ac:dyDescent="0.25">
      <c r="A4994">
        <f ca="1">27643.5936268043*((RANDBETWEEN(1620,2416)))</f>
        <v>59710162.233897388</v>
      </c>
      <c r="B4994">
        <v>172348052.75495204</v>
      </c>
    </row>
    <row r="4995" spans="1:2" x14ac:dyDescent="0.25">
      <c r="A4995">
        <f ca="1">26689.4119922754*((RANDBETWEEN(1620,2416)))</f>
        <v>60665033.45844195</v>
      </c>
      <c r="B4995">
        <v>144870488.6907703</v>
      </c>
    </row>
    <row r="4996" spans="1:2" x14ac:dyDescent="0.25">
      <c r="A4996">
        <f ca="1">27099.5068163078*((RANDBETWEEN(1620,2416)))</f>
        <v>52518844.210004605</v>
      </c>
      <c r="B4996">
        <v>144334247.02873537</v>
      </c>
    </row>
    <row r="4997" spans="1:2" x14ac:dyDescent="0.25">
      <c r="A4997">
        <f ca="1">28417.4632685259*((RANDBETWEEN(1620,2416)))</f>
        <v>50753589.397587247</v>
      </c>
      <c r="B4997">
        <v>195165720.92459142</v>
      </c>
    </row>
    <row r="4998" spans="1:2" x14ac:dyDescent="0.25">
      <c r="A4998">
        <f ca="1">26334.6380094198*((RANDBETWEEN(1620,2416)))</f>
        <v>52432264.276754886</v>
      </c>
      <c r="B4998">
        <v>194517416.55912316</v>
      </c>
    </row>
    <row r="4999" spans="1:2" x14ac:dyDescent="0.25">
      <c r="A4999">
        <f ca="1">27324.3831096117*((RANDBETWEEN(1620,2416)))</f>
        <v>48528104.402670436</v>
      </c>
      <c r="B4999">
        <v>178421589.75890782</v>
      </c>
    </row>
    <row r="5000" spans="1:2" x14ac:dyDescent="0.25">
      <c r="A5000">
        <f ca="1">28729.6594128616*((RANDBETWEEN(1620,2416)))</f>
        <v>49156447.255406283</v>
      </c>
      <c r="B5000">
        <v>143840656.03581831</v>
      </c>
    </row>
    <row r="5001" spans="1:2" x14ac:dyDescent="0.25">
      <c r="A5001">
        <f ca="1">27409.5680369682*((RANDBETWEEN(1620,2416)))</f>
        <v>63864293.526135802</v>
      </c>
      <c r="B5001">
        <v>172326077.75631487</v>
      </c>
    </row>
    <row r="5002" spans="1:2" x14ac:dyDescent="0.25">
      <c r="A5002">
        <f ca="1">26725.2259346886*((RANDBETWEEN(1620,2416)))</f>
        <v>54412560.003025971</v>
      </c>
      <c r="B5002">
        <v>144793033.12353909</v>
      </c>
    </row>
    <row r="5003" spans="1:2" x14ac:dyDescent="0.25">
      <c r="A5003">
        <f ca="1">25946.1889838159*((RANDBETWEEN(1620,2416)))</f>
        <v>46988548.249690644</v>
      </c>
      <c r="B5003">
        <v>148479348.81618577</v>
      </c>
    </row>
    <row r="5004" spans="1:2" x14ac:dyDescent="0.25">
      <c r="A5004">
        <f ca="1">30158.4891802104*((RANDBETWEEN(1620,2416)))</f>
        <v>64297898.932208516</v>
      </c>
      <c r="B5004">
        <v>195939450.4830144</v>
      </c>
    </row>
    <row r="5005" spans="1:2" x14ac:dyDescent="0.25">
      <c r="A5005">
        <f ca="1">29280.7906177335*((RANDBETWEEN(1620,2416)))</f>
        <v>59586408.907087587</v>
      </c>
      <c r="B5005">
        <v>152148947.81956428</v>
      </c>
    </row>
    <row r="5006" spans="1:2" x14ac:dyDescent="0.25">
      <c r="A5006">
        <f ca="1">27196.1597395709*((RANDBETWEEN(1620,2416)))</f>
        <v>61300144.052992806</v>
      </c>
      <c r="B5006">
        <v>190064710.06048912</v>
      </c>
    </row>
    <row r="5007" spans="1:2" x14ac:dyDescent="0.25">
      <c r="A5007">
        <f ca="1">25974.8281526404*((RANDBETWEEN(1620,2416)))</f>
        <v>47144313.097042367</v>
      </c>
      <c r="B5007">
        <v>147024472.48676628</v>
      </c>
    </row>
    <row r="5008" spans="1:2" x14ac:dyDescent="0.25">
      <c r="A5008">
        <f ca="1">25685.5104818711*((RANDBETWEEN(1620,2416)))</f>
        <v>56919091.227826342</v>
      </c>
      <c r="B5008">
        <v>160862143.31397864</v>
      </c>
    </row>
    <row r="5009" spans="1:2" x14ac:dyDescent="0.25">
      <c r="A5009">
        <f ca="1">26071.0083089143*((RANDBETWEEN(1620,2416)))</f>
        <v>61814360.700435847</v>
      </c>
      <c r="B5009">
        <v>147774223.93009931</v>
      </c>
    </row>
    <row r="5010" spans="1:2" x14ac:dyDescent="0.25">
      <c r="A5010">
        <f ca="1">26586.8257856104*((RANDBETWEEN(1620,2416)))</f>
        <v>44267064.933041312</v>
      </c>
      <c r="B5010">
        <v>157030053.44819432</v>
      </c>
    </row>
    <row r="5011" spans="1:2" x14ac:dyDescent="0.25">
      <c r="A5011">
        <f ca="1">26293.3023210958*((RANDBETWEEN(1620,2416)))</f>
        <v>54821535.339484729</v>
      </c>
      <c r="B5011">
        <v>149346504.30912012</v>
      </c>
    </row>
    <row r="5012" spans="1:2" x14ac:dyDescent="0.25">
      <c r="A5012">
        <f ca="1">26591.5065650571*((RANDBETWEEN(1620,2416)))</f>
        <v>45125786.640901871</v>
      </c>
      <c r="B5012">
        <v>176488609.66424376</v>
      </c>
    </row>
    <row r="5013" spans="1:2" x14ac:dyDescent="0.25">
      <c r="A5013">
        <f ca="1">28314.9740367755*((RANDBETWEEN(1620,2416)))</f>
        <v>49919299.226835199</v>
      </c>
      <c r="B5013">
        <v>150290235.55814683</v>
      </c>
    </row>
    <row r="5014" spans="1:2" x14ac:dyDescent="0.25">
      <c r="A5014">
        <f ca="1">28549.9024649381*((RANDBETWEEN(1620,2416)))</f>
        <v>65036677.815129019</v>
      </c>
      <c r="B5014">
        <v>169902204.23313898</v>
      </c>
    </row>
    <row r="5015" spans="1:2" x14ac:dyDescent="0.25">
      <c r="A5015">
        <f ca="1">27187.2996268706*((RANDBETWEEN(1620,2416)))</f>
        <v>63808592.22426524</v>
      </c>
      <c r="B5015">
        <v>187730724.1446867</v>
      </c>
    </row>
    <row r="5016" spans="1:2" x14ac:dyDescent="0.25">
      <c r="A5016">
        <f ca="1">31612.9517359244*((RANDBETWEEN(1620,2416)))</f>
        <v>72551724.233946413</v>
      </c>
      <c r="B5016">
        <v>174936193.48670506</v>
      </c>
    </row>
    <row r="5017" spans="1:2" x14ac:dyDescent="0.25">
      <c r="A5017">
        <f ca="1">25824.8787074989*((RANDBETWEEN(1620,2416)))</f>
        <v>47595251.457920477</v>
      </c>
      <c r="B5017">
        <v>144369389.21766621</v>
      </c>
    </row>
    <row r="5018" spans="1:2" x14ac:dyDescent="0.25">
      <c r="A5018">
        <f ca="1">27421.1787053567*((RANDBETWEEN(1620,2416)))</f>
        <v>62794499.235266857</v>
      </c>
      <c r="B5018">
        <v>169302374.60052127</v>
      </c>
    </row>
    <row r="5019" spans="1:2" x14ac:dyDescent="0.25">
      <c r="A5019">
        <f ca="1">27149.6555001941*((RANDBETWEEN(1620,2416)))</f>
        <v>51367148.206367165</v>
      </c>
      <c r="B5019">
        <v>167313586.60553211</v>
      </c>
    </row>
    <row r="5020" spans="1:2" x14ac:dyDescent="0.25">
      <c r="A5020">
        <f ca="1">27929.4627862665*((RANDBETWEEN(1620,2416)))</f>
        <v>49770302.685126886</v>
      </c>
      <c r="B5020">
        <v>155355543.91020083</v>
      </c>
    </row>
    <row r="5021" spans="1:2" x14ac:dyDescent="0.25">
      <c r="A5021">
        <f ca="1">28239.7505461049*((RANDBETWEEN(1620,2416)))</f>
        <v>66448133.034984864</v>
      </c>
      <c r="B5021">
        <v>175059920.95468029</v>
      </c>
    </row>
    <row r="5022" spans="1:2" x14ac:dyDescent="0.25">
      <c r="A5022">
        <f ca="1">26860.607361083*((RANDBETWEEN(1620,2416)))</f>
        <v>46979202.274534181</v>
      </c>
      <c r="B5022">
        <v>162168760.69535053</v>
      </c>
    </row>
    <row r="5023" spans="1:2" x14ac:dyDescent="0.25">
      <c r="A5023">
        <f ca="1">27524.6657428254*((RANDBETWEEN(1620,2416)))</f>
        <v>54003394.187423512</v>
      </c>
      <c r="B5023">
        <v>178864783.71804291</v>
      </c>
    </row>
    <row r="5024" spans="1:2" x14ac:dyDescent="0.25">
      <c r="A5024">
        <f ca="1">28402.0649193238*((RANDBETWEEN(1620,2416)))</f>
        <v>61689285.004771233</v>
      </c>
      <c r="B5024">
        <v>169933453.32980567</v>
      </c>
    </row>
    <row r="5025" spans="1:2" x14ac:dyDescent="0.25">
      <c r="A5025">
        <f ca="1">25800.5113871392*((RANDBETWEEN(1620,2416)))</f>
        <v>42029033.04964982</v>
      </c>
      <c r="B5025">
        <v>167201707.61386931</v>
      </c>
    </row>
    <row r="5026" spans="1:2" x14ac:dyDescent="0.25">
      <c r="A5026">
        <f ca="1">30454.277734584*((RANDBETWEEN(1620,2416)))</f>
        <v>65963965.573108979</v>
      </c>
      <c r="B5026">
        <v>170816355.19258907</v>
      </c>
    </row>
    <row r="5027" spans="1:2" x14ac:dyDescent="0.25">
      <c r="A5027">
        <f ca="1">29620.8116816049*((RANDBETWEEN(1620,2416)))</f>
        <v>63092328.881818525</v>
      </c>
      <c r="B5027">
        <v>201836391.80670637</v>
      </c>
    </row>
    <row r="5028" spans="1:2" x14ac:dyDescent="0.25">
      <c r="A5028">
        <f ca="1">25817.3311551916*((RANDBETWEEN(1620,2416)))</f>
        <v>48433313.247139521</v>
      </c>
      <c r="B5028">
        <v>170308314.2854771</v>
      </c>
    </row>
    <row r="5029" spans="1:2" x14ac:dyDescent="0.25">
      <c r="A5029">
        <f ca="1">26431.8112947492*((RANDBETWEEN(1620,2416)))</f>
        <v>58916507.375996023</v>
      </c>
      <c r="B5029">
        <v>146425591.69855583</v>
      </c>
    </row>
    <row r="5030" spans="1:2" x14ac:dyDescent="0.25">
      <c r="A5030">
        <f ca="1">27337.4993941698*((RANDBETWEEN(1620,2416)))</f>
        <v>59404386.183530934</v>
      </c>
      <c r="B5030">
        <v>148529746.85640025</v>
      </c>
    </row>
    <row r="5031" spans="1:2" x14ac:dyDescent="0.25">
      <c r="A5031">
        <f ca="1">27516.943910379*((RANDBETWEEN(1620,2416)))</f>
        <v>58721158.304748841</v>
      </c>
      <c r="B5031">
        <v>182758328.87322572</v>
      </c>
    </row>
    <row r="5032" spans="1:2" x14ac:dyDescent="0.25">
      <c r="A5032">
        <f ca="1">26881.5548197681*((RANDBETWEEN(1620,2416)))</f>
        <v>50053455.074408256</v>
      </c>
      <c r="B5032">
        <v>177613299.54052231</v>
      </c>
    </row>
    <row r="5033" spans="1:2" x14ac:dyDescent="0.25">
      <c r="A5033">
        <f ca="1">26204.8749890067*((RANDBETWEEN(1620,2416)))</f>
        <v>61162178.224341743</v>
      </c>
      <c r="B5033">
        <v>143335953.18161097</v>
      </c>
    </row>
    <row r="5034" spans="1:2" x14ac:dyDescent="0.25">
      <c r="A5034">
        <f ca="1">26867.210208239*((RANDBETWEEN(1620,2416)))</f>
        <v>49408799.572951548</v>
      </c>
      <c r="B5034">
        <v>157934257.91493732</v>
      </c>
    </row>
    <row r="5035" spans="1:2" x14ac:dyDescent="0.25">
      <c r="A5035">
        <f ca="1">28210.8949244001*((RANDBETWEEN(1620,2416)))</f>
        <v>52105522.925367028</v>
      </c>
      <c r="B5035">
        <v>149916557.34344289</v>
      </c>
    </row>
    <row r="5036" spans="1:2" x14ac:dyDescent="0.25">
      <c r="A5036">
        <f ca="1">25732.8086998729*((RANDBETWEEN(1620,2416)))</f>
        <v>51388418.973646134</v>
      </c>
      <c r="B5036">
        <v>144267821.73603544</v>
      </c>
    </row>
    <row r="5037" spans="1:2" x14ac:dyDescent="0.25">
      <c r="A5037">
        <f ca="1">25471.4069121747*((RANDBETWEEN(1620,2416)))</f>
        <v>50153200.210071974</v>
      </c>
      <c r="B5037">
        <v>145468223.70677596</v>
      </c>
    </row>
    <row r="5038" spans="1:2" x14ac:dyDescent="0.25">
      <c r="A5038">
        <f ca="1">25185.128133526*((RANDBETWEEN(1620,2416)))</f>
        <v>41303610.138982594</v>
      </c>
      <c r="B5038">
        <v>154226974.40603533</v>
      </c>
    </row>
    <row r="5039" spans="1:2" x14ac:dyDescent="0.25">
      <c r="A5039">
        <f ca="1">30419.9532364042*((RANDBETWEEN(1620,2416)))</f>
        <v>51987700.081014715</v>
      </c>
      <c r="B5039">
        <v>194027790.65277934</v>
      </c>
    </row>
    <row r="5040" spans="1:2" x14ac:dyDescent="0.25">
      <c r="A5040">
        <f ca="1">27408.7169632099*((RANDBETWEEN(1620,2416)))</f>
        <v>47280036.76153706</v>
      </c>
      <c r="B5040">
        <v>179271133.81016782</v>
      </c>
    </row>
    <row r="5041" spans="1:2" x14ac:dyDescent="0.25">
      <c r="A5041">
        <f ca="1">27517.6746821641*((RANDBETWEEN(1620,2416)))</f>
        <v>64941712.249907352</v>
      </c>
      <c r="B5041">
        <v>153829212.08328339</v>
      </c>
    </row>
    <row r="5042" spans="1:2" x14ac:dyDescent="0.25">
      <c r="A5042">
        <f ca="1">27838.481056476*((RANDBETWEEN(1620,2416)))</f>
        <v>53811783.882168047</v>
      </c>
      <c r="B5042">
        <v>164417498.26849139</v>
      </c>
    </row>
    <row r="5043" spans="1:2" x14ac:dyDescent="0.25">
      <c r="A5043">
        <f ca="1">26841.1391404243*((RANDBETWEEN(1620,2416)))</f>
        <v>52232856.767265677</v>
      </c>
      <c r="B5043">
        <v>161403576.41580087</v>
      </c>
    </row>
    <row r="5044" spans="1:2" x14ac:dyDescent="0.25">
      <c r="A5044">
        <f ca="1">26230.5187638723*((RANDBETWEEN(1620,2416)))</f>
        <v>46060790.949359745</v>
      </c>
      <c r="B5044">
        <v>143248444.43000811</v>
      </c>
    </row>
    <row r="5045" spans="1:2" x14ac:dyDescent="0.25">
      <c r="A5045">
        <f ca="1">28900.1574507826*((RANDBETWEEN(1620,2416)))</f>
        <v>62366539.778788842</v>
      </c>
      <c r="B5045">
        <v>149745162.69117039</v>
      </c>
    </row>
    <row r="5046" spans="1:2" x14ac:dyDescent="0.25">
      <c r="A5046">
        <f ca="1">27474.7452869094*((RANDBETWEEN(1620,2416)))</f>
        <v>55553934.970130883</v>
      </c>
      <c r="B5046">
        <v>152734501.03067687</v>
      </c>
    </row>
    <row r="5047" spans="1:2" x14ac:dyDescent="0.25">
      <c r="A5047">
        <f ca="1">25512.6634547262*((RANDBETWEEN(1620,2416)))</f>
        <v>59980271.782061338</v>
      </c>
      <c r="B5047">
        <v>147576392.68145031</v>
      </c>
    </row>
    <row r="5048" spans="1:2" x14ac:dyDescent="0.25">
      <c r="A5048">
        <f ca="1">26037.9340835416*((RANDBETWEEN(1620,2416)))</f>
        <v>58455162.017550789</v>
      </c>
      <c r="B5048">
        <v>150946849.83305883</v>
      </c>
    </row>
    <row r="5049" spans="1:2" x14ac:dyDescent="0.25">
      <c r="A5049">
        <f ca="1">29588.5275731363*((RANDBETWEEN(1620,2416)))</f>
        <v>49531195.157430202</v>
      </c>
      <c r="B5049">
        <v>166561211.63644218</v>
      </c>
    </row>
    <row r="5050" spans="1:2" x14ac:dyDescent="0.25">
      <c r="A5050">
        <f ca="1">32262.285920672*((RANDBETWEEN(1620,2416)))</f>
        <v>68912242.726555452</v>
      </c>
      <c r="B5050">
        <v>158998110.4301351</v>
      </c>
    </row>
    <row r="5051" spans="1:2" x14ac:dyDescent="0.25">
      <c r="A5051">
        <f ca="1">28354.2700305989*((RANDBETWEEN(1620,2416)))</f>
        <v>57899419.402482972</v>
      </c>
      <c r="B5051">
        <v>159585203.07505691</v>
      </c>
    </row>
    <row r="5052" spans="1:2" x14ac:dyDescent="0.25">
      <c r="A5052">
        <f ca="1">31025.3440846421*((RANDBETWEEN(1620,2416)))</f>
        <v>53208465.105161138</v>
      </c>
      <c r="B5052">
        <v>193416248.36925465</v>
      </c>
    </row>
    <row r="5053" spans="1:2" x14ac:dyDescent="0.25">
      <c r="A5053">
        <f ca="1">29245.5411495581*((RANDBETWEEN(1620,2416)))</f>
        <v>51793853.375867426</v>
      </c>
      <c r="B5053">
        <v>154733257.40062886</v>
      </c>
    </row>
    <row r="5054" spans="1:2" x14ac:dyDescent="0.25">
      <c r="A5054">
        <f ca="1">26730.0172556178*((RANDBETWEEN(1620,2416)))</f>
        <v>46189469.817707613</v>
      </c>
      <c r="B5054">
        <v>173562393.39115354</v>
      </c>
    </row>
    <row r="5055" spans="1:2" x14ac:dyDescent="0.25">
      <c r="A5055">
        <f ca="1">27167.4817175651*((RANDBETWEEN(1620,2416)))</f>
        <v>57839568.576696008</v>
      </c>
      <c r="B5055">
        <v>161355367.90075997</v>
      </c>
    </row>
    <row r="5056" spans="1:2" x14ac:dyDescent="0.25">
      <c r="A5056">
        <f ca="1">28035.5714408836*((RANDBETWEEN(1620,2416)))</f>
        <v>60865225.598158255</v>
      </c>
      <c r="B5056">
        <v>146259799.95335439</v>
      </c>
    </row>
    <row r="5057" spans="1:2" x14ac:dyDescent="0.25">
      <c r="A5057">
        <f ca="1">27349.7781312473*((RANDBETWEEN(1620,2416)))</f>
        <v>48600555.739226423</v>
      </c>
      <c r="B5057">
        <v>152007667.49546468</v>
      </c>
    </row>
    <row r="5058" spans="1:2" x14ac:dyDescent="0.25">
      <c r="A5058">
        <f ca="1">25876.891315005*((RANDBETWEEN(1620,2416)))</f>
        <v>53461657.456800386</v>
      </c>
      <c r="B5058">
        <v>145748033.53692859</v>
      </c>
    </row>
    <row r="5059" spans="1:2" x14ac:dyDescent="0.25">
      <c r="A5059">
        <f ca="1">26264.4870511151*((RANDBETWEEN(1620,2416)))</f>
        <v>62903446.487420708</v>
      </c>
      <c r="B5059">
        <v>153939107.63120699</v>
      </c>
    </row>
    <row r="5060" spans="1:2" x14ac:dyDescent="0.25">
      <c r="A5060">
        <f ca="1">28354.0397433994*((RANDBETWEEN(1620,2416)))</f>
        <v>56197706.771417581</v>
      </c>
      <c r="B5060">
        <v>180949953.57123095</v>
      </c>
    </row>
    <row r="5061" spans="1:2" x14ac:dyDescent="0.25">
      <c r="A5061">
        <f ca="1">33041.4390035352*((RANDBETWEEN(1620,2416)))</f>
        <v>77217842.951261669</v>
      </c>
      <c r="B5061">
        <v>196371352.4083845</v>
      </c>
    </row>
    <row r="5062" spans="1:2" x14ac:dyDescent="0.25">
      <c r="A5062">
        <f ca="1">29214.4156756817*((RANDBETWEEN(1620,2416)))</f>
        <v>69238165.151365563</v>
      </c>
      <c r="B5062">
        <v>146453738.03244072</v>
      </c>
    </row>
    <row r="5063" spans="1:2" x14ac:dyDescent="0.25">
      <c r="A5063">
        <f ca="1">30329.294697064*((RANDBETWEEN(1620,2416)))</f>
        <v>56230512.36835669</v>
      </c>
      <c r="B5063">
        <v>185408867.96041685</v>
      </c>
    </row>
    <row r="5064" spans="1:2" x14ac:dyDescent="0.25">
      <c r="A5064">
        <f ca="1">27208.3641229114*((RANDBETWEEN(1620,2416)))</f>
        <v>56675022.468024485</v>
      </c>
      <c r="B5064">
        <v>164457080.20226574</v>
      </c>
    </row>
    <row r="5065" spans="1:2" x14ac:dyDescent="0.25">
      <c r="A5065">
        <f ca="1">26181.728393734*((RANDBETWEEN(1620,2416)))</f>
        <v>51473278.022081085</v>
      </c>
      <c r="B5065">
        <v>146355437.41352773</v>
      </c>
    </row>
    <row r="5066" spans="1:2" x14ac:dyDescent="0.25">
      <c r="A5066">
        <f ca="1">26441.2019218437*((RANDBETWEEN(1620,2416)))</f>
        <v>46060573.747851677</v>
      </c>
      <c r="B5066">
        <v>162855342.78072971</v>
      </c>
    </row>
    <row r="5067" spans="1:2" x14ac:dyDescent="0.25">
      <c r="A5067">
        <f ca="1">30942.4540509503*((RANDBETWEEN(1620,2416)))</f>
        <v>65133865.777250484</v>
      </c>
      <c r="B5067">
        <v>177677189.55830842</v>
      </c>
    </row>
    <row r="5068" spans="1:2" x14ac:dyDescent="0.25">
      <c r="A5068">
        <f ca="1">30107.1619692284*((RANDBETWEEN(1620,2416)))</f>
        <v>50700460.756180659</v>
      </c>
      <c r="B5068">
        <v>193103958.07255733</v>
      </c>
    </row>
    <row r="5069" spans="1:2" x14ac:dyDescent="0.25">
      <c r="A5069">
        <f ca="1">24494.5552798147*((RANDBETWEEN(1620,2416)))</f>
        <v>58933900.003234163</v>
      </c>
      <c r="B5069">
        <v>167277993.40586221</v>
      </c>
    </row>
    <row r="5070" spans="1:2" x14ac:dyDescent="0.25">
      <c r="A5070">
        <f ca="1">26642.8313865191*((RANDBETWEEN(1620,2416)))</f>
        <v>54511233.016818136</v>
      </c>
      <c r="B5070">
        <v>159156383.0532966</v>
      </c>
    </row>
    <row r="5071" spans="1:2" x14ac:dyDescent="0.25">
      <c r="A5071">
        <f ca="1">26143.6109621932*((RANDBETWEEN(1620,2416)))</f>
        <v>61594347.426927149</v>
      </c>
      <c r="B5071">
        <v>143268363.78322393</v>
      </c>
    </row>
    <row r="5072" spans="1:2" x14ac:dyDescent="0.25">
      <c r="A5072">
        <f ca="1">31604.1134946735*((RANDBETWEEN(1620,2416)))</f>
        <v>52304807.833684571</v>
      </c>
      <c r="B5072">
        <v>180711084.71230876</v>
      </c>
    </row>
    <row r="5073" spans="1:2" x14ac:dyDescent="0.25">
      <c r="A5073">
        <f ca="1">26388.0165981583*((RANDBETWEEN(1620,2416)))</f>
        <v>45229060.449243307</v>
      </c>
      <c r="B5073">
        <v>149638094.9767071</v>
      </c>
    </row>
    <row r="5074" spans="1:2" x14ac:dyDescent="0.25">
      <c r="A5074">
        <f ca="1">27753.4548339423*((RANDBETWEEN(1620,2416)))</f>
        <v>59808695.167145722</v>
      </c>
      <c r="B5074">
        <v>168995110.15291017</v>
      </c>
    </row>
    <row r="5075" spans="1:2" x14ac:dyDescent="0.25">
      <c r="A5075">
        <f ca="1">28125.312863666*((RANDBETWEEN(1620,2416)))</f>
        <v>46013011.844957598</v>
      </c>
      <c r="B5075">
        <v>146703326.3132835</v>
      </c>
    </row>
    <row r="5076" spans="1:2" x14ac:dyDescent="0.25">
      <c r="A5076">
        <f ca="1">25106.1329075623*((RANDBETWEEN(1620,2416)))</f>
        <v>48956959.169746526</v>
      </c>
      <c r="B5076">
        <v>144450319.6355384</v>
      </c>
    </row>
    <row r="5077" spans="1:2" x14ac:dyDescent="0.25">
      <c r="A5077">
        <f ca="1">25435.0514752024*((RANDBETWEEN(1620,2416)))</f>
        <v>50285096.766475126</v>
      </c>
      <c r="B5077">
        <v>162339513.42547393</v>
      </c>
    </row>
    <row r="5078" spans="1:2" x14ac:dyDescent="0.25">
      <c r="A5078">
        <f ca="1">25926.6008116164*((RANDBETWEEN(1620,2416)))</f>
        <v>62016429.141386405</v>
      </c>
      <c r="B5078">
        <v>150051937.3799175</v>
      </c>
    </row>
    <row r="5079" spans="1:2" x14ac:dyDescent="0.25">
      <c r="A5079">
        <f ca="1">33004.0275260041*((RANDBETWEEN(1620,2416)))</f>
        <v>76206299.557543442</v>
      </c>
      <c r="B5079">
        <v>160598879.45868281</v>
      </c>
    </row>
    <row r="5080" spans="1:2" x14ac:dyDescent="0.25">
      <c r="A5080">
        <f ca="1">27070.0117829629*((RANDBETWEEN(1620,2416)))</f>
        <v>45233989.689331055</v>
      </c>
      <c r="B5080">
        <v>162379760.25709325</v>
      </c>
    </row>
    <row r="5081" spans="1:2" x14ac:dyDescent="0.25">
      <c r="A5081">
        <f ca="1">25717.4858843325*((RANDBETWEEN(1620,2416)))</f>
        <v>48168851.061354786</v>
      </c>
      <c r="B5081">
        <v>153207171.35604653</v>
      </c>
    </row>
    <row r="5082" spans="1:2" x14ac:dyDescent="0.25">
      <c r="A5082">
        <f ca="1">32295.0988094234*((RANDBETWEEN(1620,2416)))</f>
        <v>56677898.41053804</v>
      </c>
      <c r="B5082">
        <v>185819870.02348411</v>
      </c>
    </row>
    <row r="5083" spans="1:2" x14ac:dyDescent="0.25">
      <c r="A5083">
        <f ca="1">26494.3966569735*((RANDBETWEEN(1620,2416)))</f>
        <v>57121919.19243487</v>
      </c>
      <c r="B5083">
        <v>195666952.12433678</v>
      </c>
    </row>
    <row r="5084" spans="1:2" x14ac:dyDescent="0.25">
      <c r="A5084">
        <f ca="1">25972.2285106412*((RANDBETWEEN(1620,2416)))</f>
        <v>54723485.471921057</v>
      </c>
      <c r="B5084">
        <v>173020893.57762498</v>
      </c>
    </row>
    <row r="5085" spans="1:2" x14ac:dyDescent="0.25">
      <c r="A5085">
        <f ca="1">26185.3457443305*((RANDBETWEEN(1620,2416)))</f>
        <v>53418105.318434283</v>
      </c>
      <c r="B5085">
        <v>162253245.43107212</v>
      </c>
    </row>
    <row r="5086" spans="1:2" x14ac:dyDescent="0.25">
      <c r="A5086">
        <f ca="1">33230.8555519704*((RANDBETWEEN(1620,2416)))</f>
        <v>67624791.04825981</v>
      </c>
      <c r="B5086">
        <v>202156547.02469677</v>
      </c>
    </row>
    <row r="5087" spans="1:2" x14ac:dyDescent="0.25">
      <c r="A5087">
        <f ca="1">26580.0568282671*((RANDBETWEEN(1620,2416)))</f>
        <v>58795085.704126865</v>
      </c>
      <c r="B5087">
        <v>154952303.89203539</v>
      </c>
    </row>
    <row r="5088" spans="1:2" x14ac:dyDescent="0.25">
      <c r="A5088">
        <f ca="1">28612.5202937541*((RANDBETWEEN(1620,2416)))</f>
        <v>48212096.694975689</v>
      </c>
      <c r="B5088">
        <v>160607763.03954193</v>
      </c>
    </row>
    <row r="5089" spans="1:2" x14ac:dyDescent="0.25">
      <c r="A5089">
        <f ca="1">26215.1598928601*((RANDBETWEEN(1620,2416)))</f>
        <v>62837738.263185643</v>
      </c>
      <c r="B5089">
        <v>171117587.95862681</v>
      </c>
    </row>
    <row r="5090" spans="1:2" x14ac:dyDescent="0.25">
      <c r="A5090">
        <f ca="1">26311.9393203717*((RANDBETWEEN(1620,2416)))</f>
        <v>60464836.558214121</v>
      </c>
      <c r="B5090">
        <v>146514419.26528487</v>
      </c>
    </row>
    <row r="5091" spans="1:2" x14ac:dyDescent="0.25">
      <c r="A5091">
        <f ca="1">27067.6380199826*((RANDBETWEEN(1620,2416)))</f>
        <v>48802951.350028597</v>
      </c>
      <c r="B5091">
        <v>155660383.29163069</v>
      </c>
    </row>
    <row r="5092" spans="1:2" x14ac:dyDescent="0.25">
      <c r="A5092">
        <f ca="1">29211.7586816903*((RANDBETWEEN(1620,2416)))</f>
        <v>50215013.173825614</v>
      </c>
      <c r="B5092">
        <v>195175638.94533503</v>
      </c>
    </row>
    <row r="5093" spans="1:2" x14ac:dyDescent="0.25">
      <c r="A5093">
        <f ca="1">26307.1625202972*((RANDBETWEEN(1620,2416)))</f>
        <v>53324618.42864237</v>
      </c>
      <c r="B5093">
        <v>157835955.5426122</v>
      </c>
    </row>
    <row r="5094" spans="1:2" x14ac:dyDescent="0.25">
      <c r="A5094">
        <f ca="1">28861.1031716473*((RANDBETWEEN(1620,2416)))</f>
        <v>54287735.065868609</v>
      </c>
      <c r="B5094">
        <v>202914630.76485854</v>
      </c>
    </row>
    <row r="5095" spans="1:2" x14ac:dyDescent="0.25">
      <c r="A5095">
        <f ca="1">25005.6743040282*((RANDBETWEEN(1620,2416)))</f>
        <v>41609442.041902967</v>
      </c>
      <c r="B5095">
        <v>157634206.87441289</v>
      </c>
    </row>
    <row r="5096" spans="1:2" x14ac:dyDescent="0.25">
      <c r="A5096">
        <f ca="1">27889.0039084412*((RANDBETWEEN(1620,2416)))</f>
        <v>49196202.894490197</v>
      </c>
      <c r="B5096">
        <v>155544678.98634815</v>
      </c>
    </row>
    <row r="5097" spans="1:2" x14ac:dyDescent="0.25">
      <c r="A5097">
        <f ca="1">31608.5268975689*((RANDBETWEEN(1620,2416)))</f>
        <v>75607596.338984713</v>
      </c>
      <c r="B5097">
        <v>153273547.02143371</v>
      </c>
    </row>
    <row r="5098" spans="1:2" x14ac:dyDescent="0.25">
      <c r="A5098">
        <f ca="1">26881.2776375707*((RANDBETWEEN(1620,2416)))</f>
        <v>48090605.693614051</v>
      </c>
      <c r="B5098">
        <v>162852688.69529402</v>
      </c>
    </row>
    <row r="5099" spans="1:2" x14ac:dyDescent="0.25">
      <c r="A5099">
        <f ca="1">28705.367400556*((RANDBETWEEN(1620,2416)))</f>
        <v>58243190.455728218</v>
      </c>
      <c r="B5099">
        <v>191194730.85081458</v>
      </c>
    </row>
    <row r="5100" spans="1:2" x14ac:dyDescent="0.25">
      <c r="A5100">
        <f ca="1">25848.5935998019*((RANDBETWEEN(1620,2416)))</f>
        <v>44330338.023660205</v>
      </c>
      <c r="B5100">
        <v>197035369.43280363</v>
      </c>
    </row>
    <row r="5101" spans="1:2" x14ac:dyDescent="0.25">
      <c r="A5101">
        <f ca="1">25450.8305780754*((RANDBETWEEN(1620,2416)))</f>
        <v>43953584.408336163</v>
      </c>
      <c r="B5101">
        <v>154284633.82460558</v>
      </c>
    </row>
    <row r="5102" spans="1:2" x14ac:dyDescent="0.25">
      <c r="A5102">
        <f ca="1">27565.8124871556*((RANDBETWEEN(1620,2416)))</f>
        <v>59487023.347281806</v>
      </c>
      <c r="B5102">
        <v>143114784.28614861</v>
      </c>
    </row>
    <row r="5103" spans="1:2" x14ac:dyDescent="0.25">
      <c r="A5103">
        <f ca="1">26675.6715947316*((RANDBETWEEN(1620,2416)))</f>
        <v>44788452.607554309</v>
      </c>
      <c r="B5103">
        <v>163872899.27156401</v>
      </c>
    </row>
    <row r="5104" spans="1:2" x14ac:dyDescent="0.25">
      <c r="A5104">
        <f ca="1">28186.2516578339*((RANDBETWEEN(1620,2416)))</f>
        <v>52285496.825281836</v>
      </c>
      <c r="B5104">
        <v>144847378.88822031</v>
      </c>
    </row>
    <row r="5105" spans="1:2" x14ac:dyDescent="0.25">
      <c r="A5105">
        <f ca="1">27966.102325987*((RANDBETWEEN(1620,2416)))</f>
        <v>58113560.633400962</v>
      </c>
      <c r="B5105">
        <v>183374081.14194903</v>
      </c>
    </row>
    <row r="5106" spans="1:2" x14ac:dyDescent="0.25">
      <c r="A5106">
        <f ca="1">25444.4323304518*((RANDBETWEEN(1620,2416)))</f>
        <v>53356974.596957415</v>
      </c>
      <c r="B5106">
        <v>143787195.73305216</v>
      </c>
    </row>
    <row r="5107" spans="1:2" x14ac:dyDescent="0.25">
      <c r="A5107">
        <f ca="1">25750.9199927339*((RANDBETWEEN(1620,2416)))</f>
        <v>53793671.864821024</v>
      </c>
      <c r="B5107">
        <v>158313124.86609557</v>
      </c>
    </row>
    <row r="5108" spans="1:2" x14ac:dyDescent="0.25">
      <c r="A5108">
        <f ca="1">28167.5286330519*((RANDBETWEEN(1620,2416)))</f>
        <v>56870240.31013187</v>
      </c>
      <c r="B5108">
        <v>160038602.48601639</v>
      </c>
    </row>
    <row r="5109" spans="1:2" x14ac:dyDescent="0.25">
      <c r="A5109">
        <f ca="1">28035.8247871295*((RANDBETWEEN(1620,2416)))</f>
        <v>52539135.651080713</v>
      </c>
      <c r="B5109">
        <v>169911091.59534246</v>
      </c>
    </row>
    <row r="5110" spans="1:2" x14ac:dyDescent="0.25">
      <c r="A5110">
        <f ca="1">27746.152479659*((RANDBETWEEN(1620,2416)))</f>
        <v>58905081.714316033</v>
      </c>
      <c r="B5110">
        <v>153325735.38005418</v>
      </c>
    </row>
    <row r="5111" spans="1:2" x14ac:dyDescent="0.25">
      <c r="A5111">
        <f ca="1">27297.4270683555*((RANDBETWEEN(1620,2416)))</f>
        <v>51073486.044893183</v>
      </c>
      <c r="B5111">
        <v>160333459.62939379</v>
      </c>
    </row>
    <row r="5112" spans="1:2" x14ac:dyDescent="0.25">
      <c r="A5112">
        <f ca="1">27332.0412816673*((RANDBETWEEN(1620,2416)))</f>
        <v>63546995.979876466</v>
      </c>
      <c r="B5112">
        <v>149638181.19091755</v>
      </c>
    </row>
    <row r="5113" spans="1:2" x14ac:dyDescent="0.25">
      <c r="A5113">
        <f ca="1">25337.5075175664*((RANDBETWEEN(1620,2416)))</f>
        <v>48394639.358551756</v>
      </c>
      <c r="B5113">
        <v>151566467.16153982</v>
      </c>
    </row>
    <row r="5114" spans="1:2" x14ac:dyDescent="0.25">
      <c r="A5114">
        <f ca="1">27454.4486049671*((RANDBETWEEN(1620,2416)))</f>
        <v>48347283.993347123</v>
      </c>
      <c r="B5114">
        <v>170251638.69830123</v>
      </c>
    </row>
    <row r="5115" spans="1:2" x14ac:dyDescent="0.25">
      <c r="A5115">
        <f ca="1">29084.8623007402*((RANDBETWEEN(1620,2416)))</f>
        <v>61688992.939870015</v>
      </c>
      <c r="B5115">
        <v>198734338.9725596</v>
      </c>
    </row>
    <row r="5116" spans="1:2" x14ac:dyDescent="0.25">
      <c r="A5116">
        <f ca="1">31334.0148031598*((RANDBETWEEN(1620,2416)))</f>
        <v>73666268.802228719</v>
      </c>
      <c r="B5116">
        <v>177813054.74193484</v>
      </c>
    </row>
    <row r="5117" spans="1:2" x14ac:dyDescent="0.25">
      <c r="A5117">
        <f ca="1">26001.6908364673*((RANDBETWEEN(1620,2416)))</f>
        <v>54629552.447417893</v>
      </c>
      <c r="B5117">
        <v>151949608.92994922</v>
      </c>
    </row>
    <row r="5118" spans="1:2" x14ac:dyDescent="0.25">
      <c r="A5118">
        <f ca="1">30380.7922875318*((RANDBETWEEN(1620,2416)))</f>
        <v>63647759.842379041</v>
      </c>
      <c r="B5118">
        <v>175885010.65114048</v>
      </c>
    </row>
    <row r="5119" spans="1:2" x14ac:dyDescent="0.25">
      <c r="A5119">
        <f ca="1">27463.7583895356*((RANDBETWEEN(1620,2416)))</f>
        <v>55998603.356263034</v>
      </c>
      <c r="B5119">
        <v>152428829.90716356</v>
      </c>
    </row>
    <row r="5120" spans="1:2" x14ac:dyDescent="0.25">
      <c r="A5120">
        <f ca="1">30336.5737115025*((RANDBETWEEN(1620,2416)))</f>
        <v>67893251.966342613</v>
      </c>
      <c r="B5120">
        <v>182512105.91073042</v>
      </c>
    </row>
    <row r="5121" spans="1:2" x14ac:dyDescent="0.25">
      <c r="A5121">
        <f ca="1">29351.7722535641*((RANDBETWEEN(1620,2416)))</f>
        <v>54007260.946558028</v>
      </c>
      <c r="B5121">
        <v>203329374.98131752</v>
      </c>
    </row>
    <row r="5122" spans="1:2" x14ac:dyDescent="0.25">
      <c r="A5122">
        <f ca="1">28665.27564322*((RANDBETWEEN(1620,2416)))</f>
        <v>48014336.702393457</v>
      </c>
      <c r="B5122">
        <v>177596237.7523855</v>
      </c>
    </row>
    <row r="5123" spans="1:2" x14ac:dyDescent="0.25">
      <c r="A5123">
        <f ca="1">26521.3559036356*((RANDBETWEEN(1620,2416)))</f>
        <v>50867960.623173073</v>
      </c>
      <c r="B5123">
        <v>149171559.01330084</v>
      </c>
    </row>
    <row r="5124" spans="1:2" x14ac:dyDescent="0.25">
      <c r="A5124">
        <f ca="1">30594.1838790049*((RANDBETWEEN(1620,2416)))</f>
        <v>55344878.637119904</v>
      </c>
      <c r="B5124">
        <v>165119694.34592244</v>
      </c>
    </row>
    <row r="5125" spans="1:2" x14ac:dyDescent="0.25">
      <c r="A5125">
        <f ca="1">30657.22093479*((RANDBETWEEN(1620,2416)))</f>
        <v>71155409.789647698</v>
      </c>
      <c r="B5125">
        <v>158814487.86160642</v>
      </c>
    </row>
    <row r="5126" spans="1:2" x14ac:dyDescent="0.25">
      <c r="A5126">
        <f ca="1">31288.8140467124*((RANDBETWEEN(1620,2416)))</f>
        <v>53222272.69345782</v>
      </c>
      <c r="B5126">
        <v>168011578.45825687</v>
      </c>
    </row>
    <row r="5127" spans="1:2" x14ac:dyDescent="0.25">
      <c r="A5127">
        <f ca="1">28613.0614502864*((RANDBETWEEN(1620,2416)))</f>
        <v>55995761.258210503</v>
      </c>
      <c r="B5127">
        <v>194564023.99237624</v>
      </c>
    </row>
    <row r="5128" spans="1:2" x14ac:dyDescent="0.25">
      <c r="A5128">
        <f ca="1">26651.0380044527*((RANDBETWEEN(1620,2416)))</f>
        <v>53275424.970900849</v>
      </c>
      <c r="B5128">
        <v>147392146.09540498</v>
      </c>
    </row>
    <row r="5129" spans="1:2" x14ac:dyDescent="0.25">
      <c r="A5129">
        <f ca="1">28854.0135765109*((RANDBETWEEN(1620,2416)))</f>
        <v>68470574.217060447</v>
      </c>
      <c r="B5129">
        <v>203337077.09582877</v>
      </c>
    </row>
    <row r="5130" spans="1:2" x14ac:dyDescent="0.25">
      <c r="A5130">
        <f ca="1">28483.7184317699*((RANDBETWEEN(1620,2416)))</f>
        <v>55315381.194497198</v>
      </c>
      <c r="B5130">
        <v>186781980.7436462</v>
      </c>
    </row>
    <row r="5131" spans="1:2" x14ac:dyDescent="0.25">
      <c r="A5131">
        <f ca="1">28095.0785897726*((RANDBETWEEN(1620,2416)))</f>
        <v>54729213.092877068</v>
      </c>
      <c r="B5131">
        <v>158988780.33944857</v>
      </c>
    </row>
    <row r="5132" spans="1:2" x14ac:dyDescent="0.25">
      <c r="A5132">
        <f ca="1">27062.6238060257*((RANDBETWEEN(1620,2416)))</f>
        <v>49416351.069802918</v>
      </c>
      <c r="B5132">
        <v>157273310.01805204</v>
      </c>
    </row>
    <row r="5133" spans="1:2" x14ac:dyDescent="0.25">
      <c r="A5133">
        <f ca="1">32094.8579702724*((RANDBETWEEN(1620,2416)))</f>
        <v>69998885.233164057</v>
      </c>
      <c r="B5133">
        <v>163618870.48519692</v>
      </c>
    </row>
    <row r="5134" spans="1:2" x14ac:dyDescent="0.25">
      <c r="A5134">
        <f ca="1">27112.3411704119*((RANDBETWEEN(1620,2416)))</f>
        <v>64554484.326750696</v>
      </c>
      <c r="B5134">
        <v>161587730.50937214</v>
      </c>
    </row>
    <row r="5135" spans="1:2" x14ac:dyDescent="0.25">
      <c r="A5135">
        <f ca="1">29845.0138839821*((RANDBETWEEN(1620,2416)))</f>
        <v>64554765.031053223</v>
      </c>
      <c r="B5135">
        <v>158203951.34652391</v>
      </c>
    </row>
    <row r="5136" spans="1:2" x14ac:dyDescent="0.25">
      <c r="A5136">
        <f ca="1">28518.585295933*((RANDBETWEEN(1620,2416)))</f>
        <v>61970885.848062441</v>
      </c>
      <c r="B5136">
        <v>176216345.21136525</v>
      </c>
    </row>
    <row r="5137" spans="1:2" x14ac:dyDescent="0.25">
      <c r="A5137">
        <f ca="1">30426.2932080836*((RANDBETWEEN(1620,2416)))</f>
        <v>54432638.549261555</v>
      </c>
      <c r="B5137">
        <v>150131714.71033123</v>
      </c>
    </row>
    <row r="5138" spans="1:2" x14ac:dyDescent="0.25">
      <c r="A5138">
        <f ca="1">26583.9667396118*((RANDBETWEEN(1620,2416)))</f>
        <v>57368200.224082299</v>
      </c>
      <c r="B5138">
        <v>169168812.03302491</v>
      </c>
    </row>
    <row r="5139" spans="1:2" x14ac:dyDescent="0.25">
      <c r="A5139">
        <f ca="1">27861.0088167803*((RANDBETWEEN(1620,2416)))</f>
        <v>56864318.995048523</v>
      </c>
      <c r="B5139">
        <v>169667969.65410441</v>
      </c>
    </row>
    <row r="5140" spans="1:2" x14ac:dyDescent="0.25">
      <c r="A5140">
        <f ca="1">30373.1292251868*((RANDBETWEEN(1620,2416)))</f>
        <v>50814245.193737499</v>
      </c>
      <c r="B5140">
        <v>194531059.56891021</v>
      </c>
    </row>
    <row r="5141" spans="1:2" x14ac:dyDescent="0.25">
      <c r="A5141">
        <f ca="1">27388.4059856239*((RANDBETWEEN(1620,2416)))</f>
        <v>58446858.373321421</v>
      </c>
      <c r="B5141">
        <v>187558301.73636562</v>
      </c>
    </row>
    <row r="5142" spans="1:2" x14ac:dyDescent="0.25">
      <c r="A5142">
        <f ca="1">27401.178477137*((RANDBETWEEN(1620,2416)))</f>
        <v>56172415.878130831</v>
      </c>
      <c r="B5142">
        <v>152884699.47530285</v>
      </c>
    </row>
    <row r="5143" spans="1:2" x14ac:dyDescent="0.25">
      <c r="A5143">
        <f ca="1">30560.2664872885*((RANDBETWEEN(1620,2416)))</f>
        <v>53052622.621932834</v>
      </c>
      <c r="B5143">
        <v>176448825.44794372</v>
      </c>
    </row>
    <row r="5144" spans="1:2" x14ac:dyDescent="0.25">
      <c r="A5144">
        <f ca="1">27123.2543295358*((RANDBETWEEN(1620,2416)))</f>
        <v>46570627.683812976</v>
      </c>
      <c r="B5144">
        <v>153990479.3834478</v>
      </c>
    </row>
    <row r="5145" spans="1:2" x14ac:dyDescent="0.25">
      <c r="A5145">
        <f ca="1">26737.1874354929*((RANDBETWEEN(1620,2416)))</f>
        <v>54410176.431227975</v>
      </c>
      <c r="B5145">
        <v>143595740.7880798</v>
      </c>
    </row>
    <row r="5146" spans="1:2" x14ac:dyDescent="0.25">
      <c r="A5146">
        <f ca="1">31576.0669117754*((RANDBETWEEN(1620,2416)))</f>
        <v>52289966.805900089</v>
      </c>
      <c r="B5146">
        <v>168372114.23460361</v>
      </c>
    </row>
    <row r="5147" spans="1:2" x14ac:dyDescent="0.25">
      <c r="A5147">
        <f ca="1">26935.1933741747*((RANDBETWEEN(1620,2416)))</f>
        <v>44577745.034259163</v>
      </c>
      <c r="B5147">
        <v>146507663.12516522</v>
      </c>
    </row>
    <row r="5148" spans="1:2" x14ac:dyDescent="0.25">
      <c r="A5148">
        <f ca="1">27212.0060471926*((RANDBETWEEN(1620,2416)))</f>
        <v>49879607.084503986</v>
      </c>
      <c r="B5148">
        <v>159594842.86759308</v>
      </c>
    </row>
    <row r="5149" spans="1:2" x14ac:dyDescent="0.25">
      <c r="A5149">
        <f ca="1">26606.5301026981*((RANDBETWEEN(1620,2416)))</f>
        <v>48796376.208348401</v>
      </c>
      <c r="B5149">
        <v>152117721.26424101</v>
      </c>
    </row>
    <row r="5150" spans="1:2" x14ac:dyDescent="0.25">
      <c r="A5150">
        <f ca="1">26628.7960865375*((RANDBETWEEN(1620,2416)))</f>
        <v>50914258.117459796</v>
      </c>
      <c r="B5150">
        <v>174804668.04587954</v>
      </c>
    </row>
    <row r="5151" spans="1:2" x14ac:dyDescent="0.25">
      <c r="A5151">
        <f ca="1">27098.1239237399*((RANDBETWEEN(1620,2416)))</f>
        <v>46744263.76845137</v>
      </c>
      <c r="B5151">
        <v>153687674.5117079</v>
      </c>
    </row>
    <row r="5152" spans="1:2" x14ac:dyDescent="0.25">
      <c r="A5152">
        <f ca="1">25534.7667875315*((RANDBETWEEN(1620,2416)))</f>
        <v>46754157.987970144</v>
      </c>
      <c r="B5152">
        <v>145891524.02820396</v>
      </c>
    </row>
    <row r="5153" spans="1:2" x14ac:dyDescent="0.25">
      <c r="A5153">
        <f ca="1">26248.5374217497*((RANDBETWEEN(1620,2416)))</f>
        <v>56460603.994183578</v>
      </c>
      <c r="B5153">
        <v>179818972.90044498</v>
      </c>
    </row>
    <row r="5154" spans="1:2" x14ac:dyDescent="0.25">
      <c r="A5154">
        <f ca="1">24715.3906728477*((RANDBETWEEN(1620,2416)))</f>
        <v>50617120.09799213</v>
      </c>
      <c r="B5154">
        <v>154636583.65608606</v>
      </c>
    </row>
    <row r="5155" spans="1:2" x14ac:dyDescent="0.25">
      <c r="A5155">
        <f ca="1">32326.7972421188*((RANDBETWEEN(1620,2416)))</f>
        <v>73284849.34788321</v>
      </c>
      <c r="B5155">
        <v>193489961.83892226</v>
      </c>
    </row>
    <row r="5156" spans="1:2" x14ac:dyDescent="0.25">
      <c r="A5156">
        <f ca="1">27752.4192337973*((RANDBETWEEN(1620,2416)))</f>
        <v>47401132.051325843</v>
      </c>
      <c r="B5156">
        <v>175719299.08334988</v>
      </c>
    </row>
    <row r="5157" spans="1:2" x14ac:dyDescent="0.25">
      <c r="A5157">
        <f ca="1">30929.5467577196*((RANDBETWEEN(1620,2416)))</f>
        <v>69282184.737291858</v>
      </c>
      <c r="B5157">
        <v>200465712.09173539</v>
      </c>
    </row>
    <row r="5158" spans="1:2" x14ac:dyDescent="0.25">
      <c r="A5158">
        <f ca="1">28429.7285806452*((RANDBETWEEN(1620,2416)))</f>
        <v>63597302.8349033</v>
      </c>
      <c r="B5158">
        <v>149845684.56721824</v>
      </c>
    </row>
    <row r="5159" spans="1:2" x14ac:dyDescent="0.25">
      <c r="A5159">
        <f ca="1">28284.6434150497*((RANDBETWEEN(1620,2416)))</f>
        <v>50233526.705128215</v>
      </c>
      <c r="B5159">
        <v>186287096.44686651</v>
      </c>
    </row>
    <row r="5160" spans="1:2" x14ac:dyDescent="0.25">
      <c r="A5160">
        <f ca="1">25887.2479712992*((RANDBETWEEN(1620,2416)))</f>
        <v>52111030.166225381</v>
      </c>
      <c r="B5160">
        <v>160517290.56261909</v>
      </c>
    </row>
    <row r="5161" spans="1:2" x14ac:dyDescent="0.25">
      <c r="A5161">
        <f ca="1">28450.6972931336*((RANDBETWEEN(1620,2416)))</f>
        <v>64440829.3689477</v>
      </c>
      <c r="B5161">
        <v>162071697.26270148</v>
      </c>
    </row>
    <row r="5162" spans="1:2" x14ac:dyDescent="0.25">
      <c r="A5162">
        <f ca="1">29352.9360432395*((RANDBETWEEN(1620,2416)))</f>
        <v>60877989.35367877</v>
      </c>
      <c r="B5162">
        <v>158695854.44530433</v>
      </c>
    </row>
    <row r="5163" spans="1:2" x14ac:dyDescent="0.25">
      <c r="A5163">
        <f ca="1">31093.293332535*((RANDBETWEEN(1620,2416)))</f>
        <v>63989997.678357035</v>
      </c>
      <c r="B5163">
        <v>198649588.18237013</v>
      </c>
    </row>
    <row r="5164" spans="1:2" x14ac:dyDescent="0.25">
      <c r="A5164">
        <f ca="1">31144.8942249261*((RANDBETWEEN(1620,2416)))</f>
        <v>59331023.498484142</v>
      </c>
      <c r="B5164">
        <v>151966776.78792179</v>
      </c>
    </row>
    <row r="5165" spans="1:2" x14ac:dyDescent="0.25">
      <c r="A5165">
        <f ca="1">31996.2808041165*((RANDBETWEEN(1620,2416)))</f>
        <v>56409443.057657324</v>
      </c>
      <c r="B5165">
        <v>182393087.8148149</v>
      </c>
    </row>
    <row r="5166" spans="1:2" x14ac:dyDescent="0.25">
      <c r="A5166">
        <f ca="1">25608.7162691344*((RANDBETWEEN(1620,2416)))</f>
        <v>58080568.498396896</v>
      </c>
      <c r="B5166">
        <v>192042148.98931009</v>
      </c>
    </row>
    <row r="5167" spans="1:2" x14ac:dyDescent="0.25">
      <c r="A5167">
        <f ca="1">27534.0856017042*((RANDBETWEEN(1620,2416)))</f>
        <v>65283316.961640619</v>
      </c>
      <c r="B5167">
        <v>161948516.92623264</v>
      </c>
    </row>
    <row r="5168" spans="1:2" x14ac:dyDescent="0.25">
      <c r="A5168">
        <f ca="1">28748.3795657418*((RANDBETWEEN(1620,2416)))</f>
        <v>68823620.680385947</v>
      </c>
      <c r="B5168">
        <v>198241898.73714954</v>
      </c>
    </row>
    <row r="5169" spans="1:2" x14ac:dyDescent="0.25">
      <c r="A5169">
        <f ca="1">27250.0177177434*((RANDBETWEEN(1620,2416)))</f>
        <v>65454542.558019586</v>
      </c>
      <c r="B5169">
        <v>148868460.66775137</v>
      </c>
    </row>
    <row r="5170" spans="1:2" x14ac:dyDescent="0.25">
      <c r="A5170">
        <f ca="1">28764.1480409791*((RANDBETWEEN(1620,2416)))</f>
        <v>50970070.328614898</v>
      </c>
      <c r="B5170">
        <v>145462440.46216822</v>
      </c>
    </row>
    <row r="5171" spans="1:2" x14ac:dyDescent="0.25">
      <c r="A5171">
        <f ca="1">27537.2239417617*((RANDBETWEEN(1620,2416)))</f>
        <v>46730669.029169664</v>
      </c>
      <c r="B5171">
        <v>187360767.90480894</v>
      </c>
    </row>
    <row r="5172" spans="1:2" x14ac:dyDescent="0.25">
      <c r="A5172">
        <f ca="1">27146.4848799371*((RANDBETWEEN(1620,2416)))</f>
        <v>49596627.875645168</v>
      </c>
      <c r="B5172">
        <v>179232776.35425076</v>
      </c>
    </row>
    <row r="5173" spans="1:2" x14ac:dyDescent="0.25">
      <c r="A5173">
        <f ca="1">26292.5365704672*((RANDBETWEEN(1620,2416)))</f>
        <v>58842696.844705626</v>
      </c>
      <c r="B5173">
        <v>201393796.12425226</v>
      </c>
    </row>
    <row r="5174" spans="1:2" x14ac:dyDescent="0.25">
      <c r="A5174">
        <f ca="1">28832.4490180119*((RANDBETWEEN(1620,2416)))</f>
        <v>58328044.363438003</v>
      </c>
      <c r="B5174">
        <v>199431660.18149525</v>
      </c>
    </row>
    <row r="5175" spans="1:2" x14ac:dyDescent="0.25">
      <c r="A5175">
        <f ca="1">27503.3765316995*((RANDBETWEEN(1620,2416)))</f>
        <v>63037739.010655247</v>
      </c>
      <c r="B5175">
        <v>171529450.28399667</v>
      </c>
    </row>
    <row r="5176" spans="1:2" x14ac:dyDescent="0.25">
      <c r="A5176">
        <f ca="1">27078.3198028278*((RANDBETWEEN(1620,2416)))</f>
        <v>59788930.124643743</v>
      </c>
      <c r="B5176">
        <v>186872297.64947802</v>
      </c>
    </row>
    <row r="5177" spans="1:2" x14ac:dyDescent="0.25">
      <c r="A5177">
        <f ca="1">31119.1067501991*((RANDBETWEEN(1620,2416)))</f>
        <v>68462034.850438029</v>
      </c>
      <c r="B5177">
        <v>162460708.53445429</v>
      </c>
    </row>
    <row r="5178" spans="1:2" x14ac:dyDescent="0.25">
      <c r="A5178">
        <f ca="1">33236.6778554252*((RANDBETWEEN(1620,2416)))</f>
        <v>65276835.308055021</v>
      </c>
      <c r="B5178">
        <v>179431899.53886163</v>
      </c>
    </row>
    <row r="5179" spans="1:2" x14ac:dyDescent="0.25">
      <c r="A5179">
        <f ca="1">31281.1539536257*((RANDBETWEEN(1620,2416)))</f>
        <v>67692417.155646056</v>
      </c>
      <c r="B5179">
        <v>167716713.93576378</v>
      </c>
    </row>
    <row r="5180" spans="1:2" x14ac:dyDescent="0.25">
      <c r="A5180">
        <f ca="1">28477.616226911*((RANDBETWEEN(1620,2416)))</f>
        <v>63448128.953557715</v>
      </c>
      <c r="B5180">
        <v>152689505.41835308</v>
      </c>
    </row>
    <row r="5181" spans="1:2" x14ac:dyDescent="0.25">
      <c r="A5181">
        <f ca="1">26409.0193445002*((RANDBETWEEN(1620,2416)))</f>
        <v>60767153.511694901</v>
      </c>
      <c r="B5181">
        <v>147570367.09141639</v>
      </c>
    </row>
    <row r="5182" spans="1:2" x14ac:dyDescent="0.25">
      <c r="A5182">
        <f ca="1">30053.3769544399*((RANDBETWEEN(1620,2416)))</f>
        <v>71196450.005068138</v>
      </c>
      <c r="B5182">
        <v>179958466.95161778</v>
      </c>
    </row>
    <row r="5183" spans="1:2" x14ac:dyDescent="0.25">
      <c r="A5183">
        <f ca="1">27192.4629956233*((RANDBETWEEN(1620,2416)))</f>
        <v>50931483.190802395</v>
      </c>
      <c r="B5183">
        <v>165439314.49305612</v>
      </c>
    </row>
    <row r="5184" spans="1:2" x14ac:dyDescent="0.25">
      <c r="A5184">
        <f ca="1">31905.5345499441*((RANDBETWEEN(1620,2416)))</f>
        <v>71372680.788224861</v>
      </c>
      <c r="B5184">
        <v>161970876.76263243</v>
      </c>
    </row>
    <row r="5185" spans="1:2" x14ac:dyDescent="0.25">
      <c r="A5185">
        <f ca="1">25716.4519298418*((RANDBETWEEN(1620,2416)))</f>
        <v>53155906.138983041</v>
      </c>
      <c r="B5185">
        <v>153611072.65599135</v>
      </c>
    </row>
    <row r="5186" spans="1:2" x14ac:dyDescent="0.25">
      <c r="A5186">
        <f ca="1">28262.4789797855*((RANDBETWEEN(1620,2416)))</f>
        <v>58955531.151832528</v>
      </c>
      <c r="B5186">
        <v>162924357.11944148</v>
      </c>
    </row>
    <row r="5187" spans="1:2" x14ac:dyDescent="0.25">
      <c r="A5187">
        <f ca="1">27102.2964506382*((RANDBETWEEN(1620,2416)))</f>
        <v>63744601.251900993</v>
      </c>
      <c r="B5187">
        <v>165404991.54566294</v>
      </c>
    </row>
    <row r="5188" spans="1:2" x14ac:dyDescent="0.25">
      <c r="A5188">
        <f ca="1">27077.3015216888*((RANDBETWEEN(1620,2416)))</f>
        <v>57295570.019893512</v>
      </c>
      <c r="B5188">
        <v>158725887.20651859</v>
      </c>
    </row>
    <row r="5189" spans="1:2" x14ac:dyDescent="0.25">
      <c r="A5189">
        <f ca="1">30966.7374235321*((RANDBETWEEN(1620,2416)))</f>
        <v>50754482.63716913</v>
      </c>
      <c r="B5189">
        <v>172105344.18095428</v>
      </c>
    </row>
    <row r="5190" spans="1:2" x14ac:dyDescent="0.25">
      <c r="A5190">
        <f ca="1">28967.4486340448*((RANDBETWEEN(1620,2416)))</f>
        <v>48781183.499731526</v>
      </c>
      <c r="B5190">
        <v>159848765.60277188</v>
      </c>
    </row>
    <row r="5191" spans="1:2" x14ac:dyDescent="0.25">
      <c r="A5191">
        <f ca="1">33342.4222040933*((RANDBETWEEN(1620,2416)))</f>
        <v>69085498.806881249</v>
      </c>
      <c r="B5191">
        <v>152616369.69164473</v>
      </c>
    </row>
    <row r="5192" spans="1:2" x14ac:dyDescent="0.25">
      <c r="A5192">
        <f ca="1">28520.508967506*((RANDBETWEEN(1620,2416)))</f>
        <v>62973283.800253347</v>
      </c>
      <c r="B5192">
        <v>147692929.23265374</v>
      </c>
    </row>
    <row r="5193" spans="1:2" x14ac:dyDescent="0.25">
      <c r="A5193">
        <f ca="1">26648.815376428*((RANDBETWEEN(1620,2416)))</f>
        <v>63877210.457298011</v>
      </c>
      <c r="B5193">
        <v>146052387.4320209</v>
      </c>
    </row>
    <row r="5194" spans="1:2" x14ac:dyDescent="0.25">
      <c r="A5194">
        <f ca="1">26210.6201792777*((RANDBETWEEN(1620,2416)))</f>
        <v>42828153.372939818</v>
      </c>
      <c r="B5194">
        <v>155670308.48539788</v>
      </c>
    </row>
    <row r="5195" spans="1:2" x14ac:dyDescent="0.25">
      <c r="A5195">
        <f ca="1">25859.4802589342*((RANDBETWEEN(1620,2416)))</f>
        <v>46081593.821420722</v>
      </c>
      <c r="B5195">
        <v>187640118.06049621</v>
      </c>
    </row>
    <row r="5196" spans="1:2" x14ac:dyDescent="0.25">
      <c r="A5196">
        <f ca="1">26949.309337194*((RANDBETWEEN(1620,2416)))</f>
        <v>63842913.819812566</v>
      </c>
      <c r="B5196">
        <v>154392008.91569614</v>
      </c>
    </row>
    <row r="5197" spans="1:2" x14ac:dyDescent="0.25">
      <c r="A5197">
        <f ca="1">25652.0707815223*((RANDBETWEEN(1620,2416)))</f>
        <v>53715436.216507785</v>
      </c>
      <c r="B5197">
        <v>161641104.00035042</v>
      </c>
    </row>
    <row r="5198" spans="1:2" x14ac:dyDescent="0.25">
      <c r="A5198">
        <f ca="1">31638.152073303*((RANDBETWEEN(1620,2416)))</f>
        <v>74412933.676408589</v>
      </c>
      <c r="B5198">
        <v>201454743.15288156</v>
      </c>
    </row>
    <row r="5199" spans="1:2" x14ac:dyDescent="0.25">
      <c r="A5199">
        <f ca="1">25493.1405077392*((RANDBETWEEN(1620,2416)))</f>
        <v>61336496.061620489</v>
      </c>
      <c r="B5199">
        <v>161522949.77996358</v>
      </c>
    </row>
    <row r="5200" spans="1:2" x14ac:dyDescent="0.25">
      <c r="A5200">
        <f ca="1">27490.2699360394*((RANDBETWEEN(1620,2416)))</f>
        <v>50059781.553527661</v>
      </c>
      <c r="B5200">
        <v>167828295.58101609</v>
      </c>
    </row>
    <row r="5201" spans="1:2" x14ac:dyDescent="0.25">
      <c r="A5201">
        <f ca="1">28762.3536417775*((RANDBETWEEN(1620,2416)))</f>
        <v>48493328.240036897</v>
      </c>
      <c r="B5201">
        <v>178877756.82679284</v>
      </c>
    </row>
    <row r="5202" spans="1:2" x14ac:dyDescent="0.25">
      <c r="A5202">
        <f ca="1">26495.5802059666*((RANDBETWEEN(1620,2416)))</f>
        <v>51030487.476691693</v>
      </c>
      <c r="B5202">
        <v>166866713.92655891</v>
      </c>
    </row>
    <row r="5203" spans="1:2" x14ac:dyDescent="0.25">
      <c r="A5203">
        <f ca="1">26637.4721219329*((RANDBETWEEN(1620,2416)))</f>
        <v>53567956.437207133</v>
      </c>
      <c r="B5203">
        <v>161060521.80463257</v>
      </c>
    </row>
    <row r="5204" spans="1:2" x14ac:dyDescent="0.25">
      <c r="A5204">
        <f ca="1">27334.6847519517*((RANDBETWEEN(1620,2416)))</f>
        <v>53657986.168081254</v>
      </c>
      <c r="B5204">
        <v>160456492.36716858</v>
      </c>
    </row>
    <row r="5205" spans="1:2" x14ac:dyDescent="0.25">
      <c r="A5205">
        <f ca="1">32152.441907387*((RANDBETWEEN(1620,2416)))</f>
        <v>55559419.615964763</v>
      </c>
      <c r="B5205">
        <v>187277129.5430454</v>
      </c>
    </row>
    <row r="5206" spans="1:2" x14ac:dyDescent="0.25">
      <c r="A5206">
        <f ca="1">26266.0133052183*((RANDBETWEEN(1620,2416)))</f>
        <v>60832086.81488549</v>
      </c>
      <c r="B5206">
        <v>157586777.51787749</v>
      </c>
    </row>
    <row r="5207" spans="1:2" x14ac:dyDescent="0.25">
      <c r="A5207">
        <f ca="1">30458.1878330335*((RANDBETWEEN(1620,2416)))</f>
        <v>59454382.650081486</v>
      </c>
      <c r="B5207">
        <v>161505047.11900666</v>
      </c>
    </row>
    <row r="5208" spans="1:2" x14ac:dyDescent="0.25">
      <c r="A5208">
        <f ca="1">26234.0300410645*((RANDBETWEEN(1620,2416)))</f>
        <v>49844657.078022599</v>
      </c>
      <c r="B5208">
        <v>167257111.32065034</v>
      </c>
    </row>
    <row r="5209" spans="1:2" x14ac:dyDescent="0.25">
      <c r="A5209">
        <f ca="1">26621.284976283*((RANDBETWEEN(1620,2416)))</f>
        <v>49409104.915981323</v>
      </c>
      <c r="B5209">
        <v>186064468.64050862</v>
      </c>
    </row>
    <row r="5210" spans="1:2" x14ac:dyDescent="0.25">
      <c r="A5210">
        <f ca="1">25790.6439914651*((RANDBETWEEN(1620,2416)))</f>
        <v>58673715.080583088</v>
      </c>
      <c r="B5210">
        <v>177932420.73886535</v>
      </c>
    </row>
    <row r="5211" spans="1:2" x14ac:dyDescent="0.25">
      <c r="A5211">
        <f ca="1">27697.8886193758*((RANDBETWEEN(1620,2416)))</f>
        <v>62292551.504976191</v>
      </c>
      <c r="B5211">
        <v>173205950.1438975</v>
      </c>
    </row>
    <row r="5212" spans="1:2" x14ac:dyDescent="0.25">
      <c r="A5212">
        <f ca="1">26509.6515439892*((RANDBETWEEN(1620,2416)))</f>
        <v>51428723.99533914</v>
      </c>
      <c r="B5212">
        <v>171849266.81013042</v>
      </c>
    </row>
    <row r="5213" spans="1:2" x14ac:dyDescent="0.25">
      <c r="A5213">
        <f ca="1">28405.6841496869*((RANDBETWEEN(1620,2416)))</f>
        <v>46159236.743241236</v>
      </c>
      <c r="B5213">
        <v>188525017.65349746</v>
      </c>
    </row>
    <row r="5214" spans="1:2" x14ac:dyDescent="0.25">
      <c r="A5214">
        <f ca="1">29538.649890275*((RANDBETWEEN(1620,2416)))</f>
        <v>60583770.924953997</v>
      </c>
      <c r="B5214">
        <v>186557062.0085091</v>
      </c>
    </row>
    <row r="5215" spans="1:2" x14ac:dyDescent="0.25">
      <c r="A5215">
        <f ca="1">27607.26811909*((RANDBETWEEN(1620,2416)))</f>
        <v>52757489.375580989</v>
      </c>
      <c r="B5215">
        <v>196132326.71791333</v>
      </c>
    </row>
    <row r="5216" spans="1:2" x14ac:dyDescent="0.25">
      <c r="A5216">
        <f ca="1">30844.2789671745*((RANDBETWEEN(1620,2416)))</f>
        <v>56660940.462699488</v>
      </c>
      <c r="B5216">
        <v>166487452.13580182</v>
      </c>
    </row>
    <row r="5217" spans="1:2" x14ac:dyDescent="0.25">
      <c r="A5217">
        <f ca="1">28200.924102551*((RANDBETWEEN(1620,2416)))</f>
        <v>48561991.304592818</v>
      </c>
      <c r="B5217">
        <v>145917640.64494717</v>
      </c>
    </row>
    <row r="5218" spans="1:2" x14ac:dyDescent="0.25">
      <c r="A5218">
        <f ca="1">25619.3672233868*((RANDBETWEEN(1620,2416)))</f>
        <v>49342901.272243075</v>
      </c>
      <c r="B5218">
        <v>155017747.81991571</v>
      </c>
    </row>
    <row r="5219" spans="1:2" x14ac:dyDescent="0.25">
      <c r="A5219">
        <f ca="1">26506.5207797132*((RANDBETWEEN(1620,2416)))</f>
        <v>61256569.521917313</v>
      </c>
      <c r="B5219">
        <v>145726755.35615262</v>
      </c>
    </row>
    <row r="5220" spans="1:2" x14ac:dyDescent="0.25">
      <c r="A5220">
        <f ca="1">26543.0990118808*((RANDBETWEEN(1620,2416)))</f>
        <v>57226921.46961499</v>
      </c>
      <c r="B5220">
        <v>148987388.81392753</v>
      </c>
    </row>
    <row r="5221" spans="1:2" x14ac:dyDescent="0.25">
      <c r="A5221">
        <f ca="1">26255.5696154995*((RANDBETWEEN(1620,2416)))</f>
        <v>60702876.951034762</v>
      </c>
      <c r="B5221">
        <v>155127080.5803442</v>
      </c>
    </row>
    <row r="5222" spans="1:2" x14ac:dyDescent="0.25">
      <c r="A5222">
        <f ca="1">28510.6047304786*((RANDBETWEEN(1620,2416)))</f>
        <v>54284191.406831317</v>
      </c>
      <c r="B5222">
        <v>148917292.63338915</v>
      </c>
    </row>
    <row r="5223" spans="1:2" x14ac:dyDescent="0.25">
      <c r="A5223">
        <f ca="1">28332.4632496799*((RANDBETWEEN(1620,2416)))</f>
        <v>63691377.385280311</v>
      </c>
      <c r="B5223">
        <v>154085247.37427655</v>
      </c>
    </row>
    <row r="5224" spans="1:2" x14ac:dyDescent="0.25">
      <c r="A5224">
        <f ca="1">30263.595526253*((RANDBETWEEN(1620,2416)))</f>
        <v>63402232.627500057</v>
      </c>
      <c r="B5224">
        <v>143911828.24032182</v>
      </c>
    </row>
    <row r="5225" spans="1:2" x14ac:dyDescent="0.25">
      <c r="A5225">
        <f ca="1">27072.7251662467*((RANDBETWEEN(1620,2416)))</f>
        <v>61779958.829374887</v>
      </c>
      <c r="B5225">
        <v>159501871.77556717</v>
      </c>
    </row>
    <row r="5226" spans="1:2" x14ac:dyDescent="0.25">
      <c r="A5226">
        <f ca="1">26791.575057392*((RANDBETWEEN(1620,2416)))</f>
        <v>51279074.659848236</v>
      </c>
      <c r="B5226">
        <v>155445384.85552314</v>
      </c>
    </row>
    <row r="5227" spans="1:2" x14ac:dyDescent="0.25">
      <c r="A5227">
        <f ca="1">29518.5926579257*((RANDBETWEEN(1620,2416)))</f>
        <v>57708848.646244667</v>
      </c>
      <c r="B5227">
        <v>199064778.45339367</v>
      </c>
    </row>
    <row r="5228" spans="1:2" x14ac:dyDescent="0.25">
      <c r="A5228">
        <f ca="1">28765.5253060172*((RANDBETWEEN(1620,2416)))</f>
        <v>65527866.64710708</v>
      </c>
      <c r="B5228">
        <v>198127947.09250838</v>
      </c>
    </row>
    <row r="5229" spans="1:2" x14ac:dyDescent="0.25">
      <c r="A5229">
        <f ca="1">29180.4342721708*((RANDBETWEEN(1620,2416)))</f>
        <v>57076929.436366141</v>
      </c>
      <c r="B5229">
        <v>181579735.0192911</v>
      </c>
    </row>
    <row r="5230" spans="1:2" x14ac:dyDescent="0.25">
      <c r="A5230">
        <f ca="1">27680.3465488193*((RANDBETWEEN(1620,2416)))</f>
        <v>46779785.667504616</v>
      </c>
      <c r="B5230">
        <v>163037882.80568147</v>
      </c>
    </row>
    <row r="5231" spans="1:2" x14ac:dyDescent="0.25">
      <c r="A5231">
        <f ca="1">29151.392559806*((RANDBETWEEN(1620,2416)))</f>
        <v>55999825.107387304</v>
      </c>
      <c r="B5231">
        <v>167329839.10162896</v>
      </c>
    </row>
    <row r="5232" spans="1:2" x14ac:dyDescent="0.25">
      <c r="A5232">
        <f ca="1">30016.0491419633*((RANDBETWEEN(1620,2416)))</f>
        <v>58561311.875970483</v>
      </c>
      <c r="B5232">
        <v>155358609.93688631</v>
      </c>
    </row>
    <row r="5233" spans="1:2" x14ac:dyDescent="0.25">
      <c r="A5233">
        <f ca="1">27424.6812649297*((RANDBETWEEN(1620,2416)))</f>
        <v>65517563.541917078</v>
      </c>
      <c r="B5233">
        <v>157830084.3230958</v>
      </c>
    </row>
    <row r="5234" spans="1:2" x14ac:dyDescent="0.25">
      <c r="A5234">
        <f ca="1">33672.521055772*((RANDBETWEEN(1620,2416)))</f>
        <v>68792960.516942158</v>
      </c>
      <c r="B5234">
        <v>184557539.95074856</v>
      </c>
    </row>
    <row r="5235" spans="1:2" x14ac:dyDescent="0.25">
      <c r="A5235">
        <f ca="1">27921.3655235276*((RANDBETWEEN(1620,2416)))</f>
        <v>46600759.058767632</v>
      </c>
      <c r="B5235">
        <v>160514310.05636132</v>
      </c>
    </row>
    <row r="5236" spans="1:2" x14ac:dyDescent="0.25">
      <c r="A5236">
        <f ca="1">32793.0774394861*((RANDBETWEEN(1620,2416)))</f>
        <v>68111221.841812655</v>
      </c>
      <c r="B5236">
        <v>186327119.29392684</v>
      </c>
    </row>
    <row r="5237" spans="1:2" x14ac:dyDescent="0.25">
      <c r="A5237">
        <f ca="1">28985.8366888496*((RANDBETWEEN(1620,2416)))</f>
        <v>66870325.241176002</v>
      </c>
      <c r="B5237">
        <v>156630304.2423338</v>
      </c>
    </row>
    <row r="5238" spans="1:2" x14ac:dyDescent="0.25">
      <c r="A5238">
        <f ca="1">27264.886023583*((RANDBETWEEN(1620,2416)))</f>
        <v>65844699.746952891</v>
      </c>
      <c r="B5238">
        <v>147146610.92677495</v>
      </c>
    </row>
    <row r="5239" spans="1:2" x14ac:dyDescent="0.25">
      <c r="A5239">
        <f ca="1">26065.1983550638*((RANDBETWEEN(1620,2416)))</f>
        <v>52729896.272294074</v>
      </c>
      <c r="B5239">
        <v>147324719.28749734</v>
      </c>
    </row>
    <row r="5240" spans="1:2" x14ac:dyDescent="0.25">
      <c r="A5240">
        <f ca="1">29386.8751074659*((RANDBETWEEN(1620,2416)))</f>
        <v>65503344.614541493</v>
      </c>
      <c r="B5240">
        <v>197315771.30670577</v>
      </c>
    </row>
    <row r="5241" spans="1:2" x14ac:dyDescent="0.25">
      <c r="A5241">
        <f ca="1">29715.0096103178*((RANDBETWEEN(1620,2416)))</f>
        <v>67096491.700097665</v>
      </c>
      <c r="B5241">
        <v>193778813.87986416</v>
      </c>
    </row>
    <row r="5242" spans="1:2" x14ac:dyDescent="0.25">
      <c r="A5242">
        <f ca="1">26843.8724003607*((RANDBETWEEN(1620,2416)))</f>
        <v>53016647.990712434</v>
      </c>
      <c r="B5242">
        <v>146960214.82564405</v>
      </c>
    </row>
    <row r="5243" spans="1:2" x14ac:dyDescent="0.25">
      <c r="A5243">
        <f ca="1">25800.1115603997*((RANDBETWEEN(1620,2416)))</f>
        <v>49200812.745682172</v>
      </c>
      <c r="B5243">
        <v>163221233.86870533</v>
      </c>
    </row>
    <row r="5244" spans="1:2" x14ac:dyDescent="0.25">
      <c r="A5244">
        <f ca="1">30053.7704653621*((RANDBETWEEN(1620,2416)))</f>
        <v>66238510.105658166</v>
      </c>
      <c r="B5244">
        <v>197610204.16619247</v>
      </c>
    </row>
    <row r="5245" spans="1:2" x14ac:dyDescent="0.25">
      <c r="A5245">
        <f ca="1">26340.5193948682*((RANDBETWEEN(1620,2416)))</f>
        <v>54445853.589192592</v>
      </c>
      <c r="B5245">
        <v>170401772.97440374</v>
      </c>
    </row>
    <row r="5246" spans="1:2" x14ac:dyDescent="0.25">
      <c r="A5246">
        <f ca="1">27828.3018926809*((RANDBETWEEN(1620,2416)))</f>
        <v>63671154.730453804</v>
      </c>
      <c r="B5246">
        <v>175878614.45952889</v>
      </c>
    </row>
    <row r="5247" spans="1:2" x14ac:dyDescent="0.25">
      <c r="A5247">
        <f ca="1">27296.9834998058*((RANDBETWEEN(1620,2416)))</f>
        <v>45504071.494176306</v>
      </c>
      <c r="B5247">
        <v>158917821.36370915</v>
      </c>
    </row>
    <row r="5248" spans="1:2" x14ac:dyDescent="0.25">
      <c r="A5248">
        <f ca="1">30389.2912465231*((RANDBETWEEN(1620,2416)))</f>
        <v>69317973.333319157</v>
      </c>
      <c r="B5248">
        <v>191420026.71219829</v>
      </c>
    </row>
    <row r="5249" spans="1:2" x14ac:dyDescent="0.25">
      <c r="A5249">
        <f ca="1">25453.2259060957*((RANDBETWEEN(1620,2416)))</f>
        <v>42659606.61861632</v>
      </c>
      <c r="B5249">
        <v>159596014.04583985</v>
      </c>
    </row>
    <row r="5250" spans="1:2" x14ac:dyDescent="0.25">
      <c r="A5250">
        <f ca="1">26486.0552847812*((RANDBETWEEN(1620,2416)))</f>
        <v>53660748.006966643</v>
      </c>
      <c r="B5250">
        <v>190803106.39812431</v>
      </c>
    </row>
    <row r="5251" spans="1:2" x14ac:dyDescent="0.25">
      <c r="A5251">
        <f ca="1">33608.7092242856*((RANDBETWEEN(1620,2416)))</f>
        <v>70611898.080223978</v>
      </c>
      <c r="B5251">
        <v>193246324.29459819</v>
      </c>
    </row>
    <row r="5252" spans="1:2" x14ac:dyDescent="0.25">
      <c r="A5252">
        <f ca="1">26642.7442197259*((RANDBETWEEN(1620,2416)))</f>
        <v>47104371.780475445</v>
      </c>
      <c r="B5252">
        <v>184787910.12501875</v>
      </c>
    </row>
    <row r="5253" spans="1:2" x14ac:dyDescent="0.25">
      <c r="A5253">
        <f ca="1">28034.9770121054*((RANDBETWEEN(1620,2416)))</f>
        <v>51696497.610322401</v>
      </c>
      <c r="B5253">
        <v>190832229.16730002</v>
      </c>
    </row>
    <row r="5254" spans="1:2" x14ac:dyDescent="0.25">
      <c r="A5254">
        <f ca="1">31037.8539637355*((RANDBETWEEN(1620,2416)))</f>
        <v>65707136.84122815</v>
      </c>
      <c r="B5254">
        <v>168207639.10540026</v>
      </c>
    </row>
    <row r="5255" spans="1:2" x14ac:dyDescent="0.25">
      <c r="A5255">
        <f ca="1">28602.5306101538*((RANDBETWEEN(1620,2416)))</f>
        <v>58577982.689594992</v>
      </c>
      <c r="B5255">
        <v>199131062.08498853</v>
      </c>
    </row>
    <row r="5256" spans="1:2" x14ac:dyDescent="0.25">
      <c r="A5256">
        <f ca="1">27074.9064884443*((RANDBETWEEN(1620,2416)))</f>
        <v>64357052.723032072</v>
      </c>
      <c r="B5256">
        <v>148890277.8646642</v>
      </c>
    </row>
    <row r="5257" spans="1:2" x14ac:dyDescent="0.25">
      <c r="A5257">
        <f ca="1">26381.4060127139*((RANDBETWEEN(1620,2416)))</f>
        <v>43291887.266863436</v>
      </c>
      <c r="B5257">
        <v>159281525.74139789</v>
      </c>
    </row>
    <row r="5258" spans="1:2" x14ac:dyDescent="0.25">
      <c r="A5258">
        <f ca="1">25910.3524419474*((RANDBETWEEN(1620,2416)))</f>
        <v>51147035.7204042</v>
      </c>
      <c r="B5258">
        <v>185461498.97314176</v>
      </c>
    </row>
    <row r="5259" spans="1:2" x14ac:dyDescent="0.25">
      <c r="A5259">
        <f ca="1">27895.3608993273*((RANDBETWEEN(1620,2416)))</f>
        <v>66837284.714788318</v>
      </c>
      <c r="B5259">
        <v>144348526.71881494</v>
      </c>
    </row>
    <row r="5260" spans="1:2" x14ac:dyDescent="0.25">
      <c r="A5260">
        <f ca="1">27728.7410610519*((RANDBETWEEN(1620,2416)))</f>
        <v>57869882.5944153</v>
      </c>
      <c r="B5260">
        <v>157201012.59468669</v>
      </c>
    </row>
    <row r="5261" spans="1:2" x14ac:dyDescent="0.25">
      <c r="A5261">
        <f ca="1">25987.3342542475*((RANDBETWEEN(1620,2416)))</f>
        <v>58419527.403548352</v>
      </c>
      <c r="B5261">
        <v>143915243.00184253</v>
      </c>
    </row>
    <row r="5262" spans="1:2" x14ac:dyDescent="0.25">
      <c r="A5262">
        <f ca="1">26978.1350440978*((RANDBETWEEN(1620,2416)))</f>
        <v>53119947.901828483</v>
      </c>
      <c r="B5262">
        <v>172375370.42281392</v>
      </c>
    </row>
    <row r="5263" spans="1:2" x14ac:dyDescent="0.25">
      <c r="A5263">
        <f ca="1">28012.3886438231*((RANDBETWEEN(1620,2416)))</f>
        <v>61571230.239123218</v>
      </c>
      <c r="B5263">
        <v>156761128.39815369</v>
      </c>
    </row>
    <row r="5264" spans="1:2" x14ac:dyDescent="0.25">
      <c r="A5264">
        <f ca="1">29122.4721850626*((RANDBETWEEN(1620,2416)))</f>
        <v>67098175.914384268</v>
      </c>
      <c r="B5264">
        <v>189148179.13687673</v>
      </c>
    </row>
    <row r="5265" spans="1:2" x14ac:dyDescent="0.25">
      <c r="A5265">
        <f ca="1">26298.3576902916*((RANDBETWEEN(1620,2416)))</f>
        <v>48283784.719375424</v>
      </c>
      <c r="B5265">
        <v>156375396.48633432</v>
      </c>
    </row>
    <row r="5266" spans="1:2" x14ac:dyDescent="0.25">
      <c r="A5266">
        <f ca="1">30660.5251774766*((RANDBETWEEN(1620,2416)))</f>
        <v>71101757.886568129</v>
      </c>
      <c r="B5266">
        <v>169123290.31811246</v>
      </c>
    </row>
    <row r="5267" spans="1:2" x14ac:dyDescent="0.25">
      <c r="A5267">
        <f ca="1">27293.2710318873*((RANDBETWEEN(1620,2416)))</f>
        <v>63183922.438819014</v>
      </c>
      <c r="B5267">
        <v>149248122.66093752</v>
      </c>
    </row>
    <row r="5268" spans="1:2" x14ac:dyDescent="0.25">
      <c r="A5268">
        <f ca="1">30154.6844875683*((RANDBETWEEN(1620,2416)))</f>
        <v>65164273.177635096</v>
      </c>
      <c r="B5268">
        <v>154554528.53621408</v>
      </c>
    </row>
    <row r="5269" spans="1:2" x14ac:dyDescent="0.25">
      <c r="A5269">
        <f ca="1">27757.4439842237*((RANDBETWEEN(1620,2416)))</f>
        <v>49685824.731760353</v>
      </c>
      <c r="B5269">
        <v>168539830.44508445</v>
      </c>
    </row>
    <row r="5270" spans="1:2" x14ac:dyDescent="0.25">
      <c r="A5270">
        <f ca="1">27420.0600939144*((RANDBETWEEN(1620,2416)))</f>
        <v>45956020.717400558</v>
      </c>
      <c r="B5270">
        <v>173057453.82448</v>
      </c>
    </row>
    <row r="5271" spans="1:2" x14ac:dyDescent="0.25">
      <c r="A5271">
        <f ca="1">28544.2953251516*((RANDBETWEEN(1620,2416)))</f>
        <v>56232261.7905486</v>
      </c>
      <c r="B5271">
        <v>173654576.34125143</v>
      </c>
    </row>
    <row r="5272" spans="1:2" x14ac:dyDescent="0.25">
      <c r="A5272">
        <f ca="1">30140.2136599968*((RANDBETWEEN(1620,2416)))</f>
        <v>55367572.493414044</v>
      </c>
      <c r="B5272">
        <v>163188493.25229272</v>
      </c>
    </row>
    <row r="5273" spans="1:2" x14ac:dyDescent="0.25">
      <c r="A5273">
        <f ca="1">28611.144090583*((RANDBETWEEN(1620,2416)))</f>
        <v>63430906.448822536</v>
      </c>
      <c r="B5273">
        <v>146740571.98461872</v>
      </c>
    </row>
    <row r="5274" spans="1:2" x14ac:dyDescent="0.25">
      <c r="A5274">
        <f ca="1">33283.0051814661*((RANDBETWEEN(1620,2416)))</f>
        <v>77848949.119449288</v>
      </c>
      <c r="B5274">
        <v>171188798.08529246</v>
      </c>
    </row>
    <row r="5275" spans="1:2" x14ac:dyDescent="0.25">
      <c r="A5275">
        <f ca="1">32122.9325874561*((RANDBETWEEN(1620,2416)))</f>
        <v>62061505.758965224</v>
      </c>
      <c r="B5275">
        <v>186380769.64475012</v>
      </c>
    </row>
    <row r="5276" spans="1:2" x14ac:dyDescent="0.25">
      <c r="A5276">
        <f ca="1">26955.155833891*((RANDBETWEEN(1620,2416)))</f>
        <v>49920948.604366064</v>
      </c>
      <c r="B5276">
        <v>166861394.99727124</v>
      </c>
    </row>
    <row r="5277" spans="1:2" x14ac:dyDescent="0.25">
      <c r="A5277">
        <f ca="1">28164.1996677147*((RANDBETWEEN(1620,2416)))</f>
        <v>52469903.980952539</v>
      </c>
      <c r="B5277">
        <v>203280435.42602256</v>
      </c>
    </row>
    <row r="5278" spans="1:2" x14ac:dyDescent="0.25">
      <c r="A5278">
        <f ca="1">29235.8442768736*((RANDBETWEEN(1620,2416)))</f>
        <v>54086311.912216239</v>
      </c>
      <c r="B5278">
        <v>199967927.81708667</v>
      </c>
    </row>
    <row r="5279" spans="1:2" x14ac:dyDescent="0.25">
      <c r="A5279">
        <f ca="1">26826.4334570765*((RANDBETWEEN(1620,2416)))</f>
        <v>48233927.355823554</v>
      </c>
      <c r="B5279">
        <v>150768946.5474911</v>
      </c>
    </row>
    <row r="5280" spans="1:2" x14ac:dyDescent="0.25">
      <c r="A5280">
        <f ca="1">27276.1914390904*((RANDBETWEEN(1620,2416)))</f>
        <v>58343773.488214388</v>
      </c>
      <c r="B5280">
        <v>161092163.9475145</v>
      </c>
    </row>
    <row r="5281" spans="1:2" x14ac:dyDescent="0.25">
      <c r="A5281">
        <f ca="1">33097.9612643904*((RANDBETWEEN(1620,2416)))</f>
        <v>65699453.109814867</v>
      </c>
      <c r="B5281">
        <v>192254459.39949888</v>
      </c>
    </row>
    <row r="5282" spans="1:2" x14ac:dyDescent="0.25">
      <c r="A5282">
        <f ca="1">26711.0137961976*((RANDBETWEEN(1620,2416)))</f>
        <v>49041421.329818793</v>
      </c>
      <c r="B5282">
        <v>144526045.23584116</v>
      </c>
    </row>
    <row r="5283" spans="1:2" x14ac:dyDescent="0.25">
      <c r="A5283">
        <f ca="1">27230.2911974266*((RANDBETWEEN(1620,2416)))</f>
        <v>53453061.620548487</v>
      </c>
      <c r="B5283">
        <v>143903393.21022347</v>
      </c>
    </row>
    <row r="5284" spans="1:2" x14ac:dyDescent="0.25">
      <c r="A5284">
        <f ca="1">27835.0462484763*((RANDBETWEEN(1620,2416)))</f>
        <v>64577307.296464957</v>
      </c>
      <c r="B5284">
        <v>197974040.5910002</v>
      </c>
    </row>
    <row r="5285" spans="1:2" x14ac:dyDescent="0.25">
      <c r="A5285">
        <f ca="1">30551.1158019886*((RANDBETWEEN(1620,2416)))</f>
        <v>52303510.253004454</v>
      </c>
      <c r="B5285">
        <v>180607899.59169883</v>
      </c>
    </row>
    <row r="5286" spans="1:2" x14ac:dyDescent="0.25">
      <c r="A5286">
        <f ca="1">27650.0332751063*((RANDBETWEEN(1620,2416)))</f>
        <v>59088121.108902164</v>
      </c>
      <c r="B5286">
        <v>189689761.22754845</v>
      </c>
    </row>
    <row r="5287" spans="1:2" x14ac:dyDescent="0.25">
      <c r="A5287">
        <f ca="1">29598.4423029344*((RANDBETWEEN(1620,2416)))</f>
        <v>52093258.45316454</v>
      </c>
      <c r="B5287">
        <v>198324563.60513902</v>
      </c>
    </row>
    <row r="5288" spans="1:2" x14ac:dyDescent="0.25">
      <c r="A5288">
        <f ca="1">27999.9123656348*((RANDBETWEEN(1620,2416)))</f>
        <v>58211817.808154821</v>
      </c>
      <c r="B5288">
        <v>148828822.86172163</v>
      </c>
    </row>
    <row r="5289" spans="1:2" x14ac:dyDescent="0.25">
      <c r="A5289">
        <f ca="1">27249.3344183272*((RANDBETWEEN(1620,2416)))</f>
        <v>46024125.832554691</v>
      </c>
      <c r="B5289">
        <v>150242400.13122329</v>
      </c>
    </row>
    <row r="5290" spans="1:2" x14ac:dyDescent="0.25">
      <c r="A5290">
        <f ca="1">31022.8550597508*((RANDBETWEEN(1620,2416)))</f>
        <v>67226526.914479971</v>
      </c>
      <c r="B5290">
        <v>162166059.24111673</v>
      </c>
    </row>
    <row r="5291" spans="1:2" x14ac:dyDescent="0.25">
      <c r="A5291">
        <f ca="1">29991.2094767349*((RANDBETWEEN(1620,2416)))</f>
        <v>61451988.217829905</v>
      </c>
      <c r="B5291">
        <v>187886989.16782761</v>
      </c>
    </row>
    <row r="5292" spans="1:2" x14ac:dyDescent="0.25">
      <c r="A5292">
        <f ca="1">26235.8287100686*((RANDBETWEEN(1620,2416)))</f>
        <v>56144673.439546816</v>
      </c>
      <c r="B5292">
        <v>160153435.89995405</v>
      </c>
    </row>
    <row r="5293" spans="1:2" x14ac:dyDescent="0.25">
      <c r="A5293">
        <f ca="1">25269.8948048613*((RANDBETWEEN(1620,2416)))</f>
        <v>55088370.674597628</v>
      </c>
      <c r="B5293">
        <v>180603931.61892638</v>
      </c>
    </row>
    <row r="5294" spans="1:2" x14ac:dyDescent="0.25">
      <c r="A5294">
        <f ca="1">25650.2160236582*((RANDBETWEEN(1620,2416)))</f>
        <v>61560518.456779577</v>
      </c>
      <c r="B5294">
        <v>158010717.21278423</v>
      </c>
    </row>
    <row r="5295" spans="1:2" x14ac:dyDescent="0.25">
      <c r="A5295">
        <f ca="1">30989.1467021897*((RANDBETWEEN(1620,2416)))</f>
        <v>65573034.421833493</v>
      </c>
      <c r="B5295">
        <v>200170377.90188691</v>
      </c>
    </row>
    <row r="5296" spans="1:2" x14ac:dyDescent="0.25">
      <c r="A5296">
        <f ca="1">26272.3151139585*((RANDBETWEEN(1620,2416)))</f>
        <v>43795949.294968881</v>
      </c>
      <c r="B5296">
        <v>151868031.0058969</v>
      </c>
    </row>
    <row r="5297" spans="1:2" x14ac:dyDescent="0.25">
      <c r="A5297">
        <f ca="1">26478.9394776804*((RANDBETWEEN(1620,2416)))</f>
        <v>49753927.278561503</v>
      </c>
      <c r="B5297">
        <v>166959216.9445802</v>
      </c>
    </row>
    <row r="5298" spans="1:2" x14ac:dyDescent="0.25">
      <c r="A5298">
        <f ca="1">25951.8559921321*((RANDBETWEEN(1620,2416)))</f>
        <v>49905419.072869964</v>
      </c>
      <c r="B5298">
        <v>182183659.63793474</v>
      </c>
    </row>
    <row r="5299" spans="1:2" x14ac:dyDescent="0.25">
      <c r="A5299">
        <f ca="1">28229.5622576827*((RANDBETWEEN(1620,2416)))</f>
        <v>56148599.330530889</v>
      </c>
      <c r="B5299">
        <v>152387981.08542904</v>
      </c>
    </row>
    <row r="5300" spans="1:2" x14ac:dyDescent="0.25">
      <c r="A5300">
        <f ca="1">25447.3636743078*((RANDBETWEEN(1620,2416)))</f>
        <v>41784571.153213382</v>
      </c>
      <c r="B5300">
        <v>156160003.8980771</v>
      </c>
    </row>
    <row r="5301" spans="1:2" x14ac:dyDescent="0.25">
      <c r="A5301">
        <f ca="1">28214.8284841588*((RANDBETWEEN(1620,2416)))</f>
        <v>56345012.482865147</v>
      </c>
      <c r="B5301">
        <v>178155990.81245226</v>
      </c>
    </row>
    <row r="5302" spans="1:2" x14ac:dyDescent="0.25">
      <c r="A5302">
        <f ca="1">26156.8572615846*((RANDBETWEEN(1620,2416)))</f>
        <v>47631637.073345505</v>
      </c>
      <c r="B5302">
        <v>158979179.96196991</v>
      </c>
    </row>
    <row r="5303" spans="1:2" x14ac:dyDescent="0.25">
      <c r="A5303">
        <f ca="1">28660.5948353414*((RANDBETWEEN(1620,2416)))</f>
        <v>46888733.150618449</v>
      </c>
      <c r="B5303">
        <v>202264980.77838841</v>
      </c>
    </row>
    <row r="5304" spans="1:2" x14ac:dyDescent="0.25">
      <c r="A5304">
        <f ca="1">31068.3456284579*((RANDBETWEEN(1620,2416)))</f>
        <v>56140500.550623387</v>
      </c>
      <c r="B5304">
        <v>162749191.29854214</v>
      </c>
    </row>
    <row r="5305" spans="1:2" x14ac:dyDescent="0.25">
      <c r="A5305">
        <f ca="1">26639.9710542217*((RANDBETWEEN(1620,2416)))</f>
        <v>54292261.00850381</v>
      </c>
      <c r="B5305">
        <v>167632352.98623925</v>
      </c>
    </row>
    <row r="5306" spans="1:2" x14ac:dyDescent="0.25">
      <c r="A5306">
        <f ca="1">30283.3039015203*((RANDBETWEEN(1620,2416)))</f>
        <v>54843063.365653217</v>
      </c>
      <c r="B5306">
        <v>162692351.03117725</v>
      </c>
    </row>
    <row r="5307" spans="1:2" x14ac:dyDescent="0.25">
      <c r="A5307">
        <f ca="1">27952.546211897*((RANDBETWEEN(1620,2416)))</f>
        <v>55178326.222284704</v>
      </c>
      <c r="B5307">
        <v>160052675.94271159</v>
      </c>
    </row>
    <row r="5308" spans="1:2" x14ac:dyDescent="0.25">
      <c r="A5308">
        <f ca="1">25621.2889690588*((RANDBETWEEN(1620,2416)))</f>
        <v>59928194.89862863</v>
      </c>
      <c r="B5308">
        <v>162464469.43587229</v>
      </c>
    </row>
    <row r="5309" spans="1:2" x14ac:dyDescent="0.25">
      <c r="A5309">
        <f ca="1">26892.8303194256*((RANDBETWEEN(1620,2416)))</f>
        <v>47358274.192508519</v>
      </c>
      <c r="B5309">
        <v>194385550.9291403</v>
      </c>
    </row>
    <row r="5310" spans="1:2" x14ac:dyDescent="0.25">
      <c r="A5310">
        <f ca="1">30223.508835081*((RANDBETWEEN(1620,2416)))</f>
        <v>70390552.076903746</v>
      </c>
      <c r="B5310">
        <v>154515782.00491321</v>
      </c>
    </row>
    <row r="5311" spans="1:2" x14ac:dyDescent="0.25">
      <c r="A5311">
        <f ca="1">27274.1762126704*((RANDBETWEEN(1620,2416)))</f>
        <v>56239351.350526273</v>
      </c>
      <c r="B5311">
        <v>178876025.10887498</v>
      </c>
    </row>
    <row r="5312" spans="1:2" x14ac:dyDescent="0.25">
      <c r="A5312">
        <f ca="1">26457.2254109548*((RANDBETWEEN(1620,2416)))</f>
        <v>52729250.24403283</v>
      </c>
      <c r="B5312">
        <v>170977166.36505368</v>
      </c>
    </row>
    <row r="5313" spans="1:2" x14ac:dyDescent="0.25">
      <c r="A5313">
        <f ca="1">27004.792958763*((RANDBETWEEN(1620,2416)))</f>
        <v>44422884.41716522</v>
      </c>
      <c r="B5313">
        <v>147561198.387887</v>
      </c>
    </row>
    <row r="5314" spans="1:2" x14ac:dyDescent="0.25">
      <c r="A5314">
        <f ca="1">29747.2500564203*((RANDBETWEEN(1620,2416)))</f>
        <v>68507916.879936025</v>
      </c>
      <c r="B5314">
        <v>158600340.83931541</v>
      </c>
    </row>
    <row r="5315" spans="1:2" x14ac:dyDescent="0.25">
      <c r="A5315">
        <f ca="1">26231.752478621*((RANDBETWEEN(1620,2416)))</f>
        <v>43361086.847160451</v>
      </c>
      <c r="B5315">
        <v>176122247.14114958</v>
      </c>
    </row>
    <row r="5316" spans="1:2" x14ac:dyDescent="0.25">
      <c r="A5316">
        <f ca="1">28027.1125891896*((RANDBETWEEN(1620,2416)))</f>
        <v>56951092.781233318</v>
      </c>
      <c r="B5316">
        <v>173523476.4248009</v>
      </c>
    </row>
    <row r="5317" spans="1:2" x14ac:dyDescent="0.25">
      <c r="A5317">
        <f ca="1">27828.3294814592*((RANDBETWEEN(1620,2416)))</f>
        <v>62140659.732098483</v>
      </c>
      <c r="B5317">
        <v>169077893.91365439</v>
      </c>
    </row>
    <row r="5318" spans="1:2" x14ac:dyDescent="0.25">
      <c r="A5318">
        <f ca="1">26835.735109904*((RANDBETWEEN(1620,2416)))</f>
        <v>52168669.053653412</v>
      </c>
      <c r="B5318">
        <v>143223575.87188384</v>
      </c>
    </row>
    <row r="5319" spans="1:2" x14ac:dyDescent="0.25">
      <c r="A5319">
        <f ca="1">26491.0173458098*((RANDBETWEEN(1620,2416)))</f>
        <v>50597843.130496636</v>
      </c>
      <c r="B5319">
        <v>179548317.88307965</v>
      </c>
    </row>
    <row r="5320" spans="1:2" x14ac:dyDescent="0.25">
      <c r="A5320">
        <f ca="1">31127.9850013806*((RANDBETWEEN(1620,2416)))</f>
        <v>57337748.372543015</v>
      </c>
      <c r="B5320">
        <v>150990974.08313754</v>
      </c>
    </row>
    <row r="5321" spans="1:2" x14ac:dyDescent="0.25">
      <c r="A5321">
        <f ca="1">26613.2707427355*((RANDBETWEEN(1620,2416)))</f>
        <v>57644344.428764984</v>
      </c>
      <c r="B5321">
        <v>176757492.47018728</v>
      </c>
    </row>
    <row r="5322" spans="1:2" x14ac:dyDescent="0.25">
      <c r="A5322">
        <f ca="1">28066.4326520637*((RANDBETWEEN(1620,2416)))</f>
        <v>58827242.83872544</v>
      </c>
      <c r="B5322">
        <v>154752329.70276511</v>
      </c>
    </row>
    <row r="5323" spans="1:2" x14ac:dyDescent="0.25">
      <c r="A5323">
        <f ca="1">25983.5841005619*((RANDBETWEEN(1620,2416)))</f>
        <v>53552166.831258096</v>
      </c>
      <c r="B5323">
        <v>150422095.23503521</v>
      </c>
    </row>
    <row r="5324" spans="1:2" x14ac:dyDescent="0.25">
      <c r="A5324">
        <f ca="1">26800.3713359776*((RANDBETWEEN(1620,2416)))</f>
        <v>44247413.075699024</v>
      </c>
      <c r="B5324">
        <v>187105588.00932187</v>
      </c>
    </row>
    <row r="5325" spans="1:2" x14ac:dyDescent="0.25">
      <c r="A5325">
        <f ca="1">29827.8521052429*((RANDBETWEEN(1620,2416)))</f>
        <v>69081305.475742459</v>
      </c>
      <c r="B5325">
        <v>199173171.21612379</v>
      </c>
    </row>
    <row r="5326" spans="1:2" x14ac:dyDescent="0.25">
      <c r="A5326">
        <f ca="1">26025.6412091294*((RANDBETWEEN(1620,2416)))</f>
        <v>49266538.808881976</v>
      </c>
      <c r="B5326">
        <v>154022665.46451867</v>
      </c>
    </row>
    <row r="5327" spans="1:2" x14ac:dyDescent="0.25">
      <c r="A5327">
        <f ca="1">26693.8892218939*((RANDBETWEEN(1620,2416)))</f>
        <v>47701980.039524406</v>
      </c>
      <c r="B5327">
        <v>146164799.10984746</v>
      </c>
    </row>
    <row r="5328" spans="1:2" x14ac:dyDescent="0.25">
      <c r="A5328">
        <f ca="1">29396.1937725694*((RANDBETWEEN(1620,2416)))</f>
        <v>56323107.26824294</v>
      </c>
      <c r="B5328">
        <v>196238738.75493091</v>
      </c>
    </row>
    <row r="5329" spans="1:2" x14ac:dyDescent="0.25">
      <c r="A5329">
        <f ca="1">27430.4380172878*((RANDBETWEEN(1620,2416)))</f>
        <v>60730989.770275146</v>
      </c>
      <c r="B5329">
        <v>151942592.46492368</v>
      </c>
    </row>
    <row r="5330" spans="1:2" x14ac:dyDescent="0.25">
      <c r="A5330">
        <f ca="1">30563.2358428358*((RANDBETWEEN(1620,2416)))</f>
        <v>72159799.824935257</v>
      </c>
      <c r="B5330">
        <v>167105791.79550731</v>
      </c>
    </row>
    <row r="5331" spans="1:2" x14ac:dyDescent="0.25">
      <c r="A5331">
        <f ca="1">27915.9940764269*((RANDBETWEEN(1620,2416)))</f>
        <v>50807109.219096884</v>
      </c>
      <c r="B5331">
        <v>164543744.77604744</v>
      </c>
    </row>
    <row r="5332" spans="1:2" x14ac:dyDescent="0.25">
      <c r="A5332">
        <f ca="1">29995.812913712*((RANDBETWEEN(1620,2416)))</f>
        <v>51772773.089066982</v>
      </c>
      <c r="B5332">
        <v>182252369.54594401</v>
      </c>
    </row>
    <row r="5333" spans="1:2" x14ac:dyDescent="0.25">
      <c r="A5333">
        <f ca="1">26820.1233380808*((RANDBETWEEN(1620,2416)))</f>
        <v>44789605.974594995</v>
      </c>
      <c r="B5333">
        <v>174827306.27449241</v>
      </c>
    </row>
    <row r="5334" spans="1:2" x14ac:dyDescent="0.25">
      <c r="A5334">
        <f ca="1">26694.3398027055*((RANDBETWEEN(1620,2416)))</f>
        <v>53281902.2462001</v>
      </c>
      <c r="B5334">
        <v>163803514.85941213</v>
      </c>
    </row>
    <row r="5335" spans="1:2" x14ac:dyDescent="0.25">
      <c r="A5335">
        <f ca="1">27391.9904213354*((RANDBETWEEN(1620,2416)))</f>
        <v>51058670.14536912</v>
      </c>
      <c r="B5335">
        <v>168677911.21535984</v>
      </c>
    </row>
    <row r="5336" spans="1:2" x14ac:dyDescent="0.25">
      <c r="A5336">
        <f ca="1">28341.0901311855*((RANDBETWEEN(1620,2416)))</f>
        <v>55491854.476861194</v>
      </c>
      <c r="B5336">
        <v>191452217.1981622</v>
      </c>
    </row>
    <row r="5337" spans="1:2" x14ac:dyDescent="0.25">
      <c r="A5337">
        <f ca="1">27086.2180994735*((RANDBETWEEN(1620,2416)))</f>
        <v>61566973.740103237</v>
      </c>
      <c r="B5337">
        <v>144430540.2888014</v>
      </c>
    </row>
    <row r="5338" spans="1:2" x14ac:dyDescent="0.25">
      <c r="A5338">
        <f ca="1">27654.8180994945*((RANDBETWEEN(1620,2416)))</f>
        <v>55309636.198988959</v>
      </c>
      <c r="B5338">
        <v>144664081.18749222</v>
      </c>
    </row>
    <row r="5339" spans="1:2" x14ac:dyDescent="0.25">
      <c r="A5339">
        <f ca="1">26693.9163008103*((RANDBETWEEN(1620,2416)))</f>
        <v>52907342.108205996</v>
      </c>
      <c r="B5339">
        <v>174630730.83768639</v>
      </c>
    </row>
    <row r="5340" spans="1:2" x14ac:dyDescent="0.25">
      <c r="A5340">
        <f ca="1">25759.2056215155*((RANDBETWEEN(1620,2416)))</f>
        <v>58421878.349597059</v>
      </c>
      <c r="B5340">
        <v>152062109.32362393</v>
      </c>
    </row>
    <row r="5341" spans="1:2" x14ac:dyDescent="0.25">
      <c r="A5341">
        <f ca="1">26160.285709255*((RANDBETWEEN(1620,2416)))</f>
        <v>47742521.419390321</v>
      </c>
      <c r="B5341">
        <v>143542632.63305283</v>
      </c>
    </row>
    <row r="5342" spans="1:2" x14ac:dyDescent="0.25">
      <c r="A5342">
        <f ca="1">25628.9670088671*((RANDBETWEEN(1620,2416)))</f>
        <v>45901479.912881009</v>
      </c>
      <c r="B5342">
        <v>144762497.33321208</v>
      </c>
    </row>
    <row r="5343" spans="1:2" x14ac:dyDescent="0.25">
      <c r="A5343">
        <f ca="1">30409.7537512441*((RANDBETWEEN(1620,2416)))</f>
        <v>70945955.501652554</v>
      </c>
      <c r="B5343">
        <v>181871369.76767394</v>
      </c>
    </row>
    <row r="5344" spans="1:2" x14ac:dyDescent="0.25">
      <c r="A5344">
        <f ca="1">29739.2618034295*((RANDBETWEEN(1620,2416)))</f>
        <v>70065700.808879957</v>
      </c>
      <c r="B5344">
        <v>149482248.70656309</v>
      </c>
    </row>
    <row r="5345" spans="1:2" x14ac:dyDescent="0.25">
      <c r="A5345">
        <f ca="1">26325.6063702227*((RANDBETWEEN(1620,2416)))</f>
        <v>48439115.721209705</v>
      </c>
      <c r="B5345">
        <v>143775072.39364612</v>
      </c>
    </row>
    <row r="5346" spans="1:2" x14ac:dyDescent="0.25">
      <c r="A5346">
        <f ca="1">29468.5055662052*((RANDBETWEEN(1620,2416)))</f>
        <v>48387286.139708869</v>
      </c>
      <c r="B5346">
        <v>168455687.22355419</v>
      </c>
    </row>
    <row r="5347" spans="1:2" x14ac:dyDescent="0.25">
      <c r="A5347">
        <f ca="1">31240.7679721039*((RANDBETWEEN(1620,2416)))</f>
        <v>64293500.486589916</v>
      </c>
      <c r="B5347">
        <v>202780117.41419977</v>
      </c>
    </row>
    <row r="5348" spans="1:2" x14ac:dyDescent="0.25">
      <c r="A5348">
        <f ca="1">27064.1047172045*((RANDBETWEEN(1620,2416)))</f>
        <v>51963081.057032637</v>
      </c>
      <c r="B5348">
        <v>160276215.02919185</v>
      </c>
    </row>
    <row r="5349" spans="1:2" x14ac:dyDescent="0.25">
      <c r="A5349">
        <f ca="1">28105.6653177658*((RANDBETWEEN(1620,2416)))</f>
        <v>66329370.149927236</v>
      </c>
      <c r="B5349">
        <v>173628726.4013623</v>
      </c>
    </row>
    <row r="5350" spans="1:2" x14ac:dyDescent="0.25">
      <c r="A5350">
        <f ca="1">27874.7353335567*((RANDBETWEEN(1620,2416)))</f>
        <v>47052553.243043706</v>
      </c>
      <c r="B5350">
        <v>153292534.96031818</v>
      </c>
    </row>
    <row r="5351" spans="1:2" x14ac:dyDescent="0.25">
      <c r="A5351">
        <f ca="1">27146.6659840894*((RANDBETWEEN(1620,2416)))</f>
        <v>63848958.394578286</v>
      </c>
      <c r="B5351">
        <v>165749696.12159672</v>
      </c>
    </row>
    <row r="5352" spans="1:2" x14ac:dyDescent="0.25">
      <c r="A5352">
        <f ca="1">33796.6416115383*((RANDBETWEEN(1620,2416)))</f>
        <v>69959048.135884255</v>
      </c>
      <c r="B5352">
        <v>190814234.80447263</v>
      </c>
    </row>
    <row r="5353" spans="1:2" x14ac:dyDescent="0.25">
      <c r="A5353">
        <f ca="1">30867.4221045582*((RANDBETWEEN(1620,2416)))</f>
        <v>59481522.395483591</v>
      </c>
      <c r="B5353">
        <v>146514956.78143352</v>
      </c>
    </row>
    <row r="5354" spans="1:2" x14ac:dyDescent="0.25">
      <c r="A5354">
        <f ca="1">32622.1375581816*((RANDBETWEEN(1620,2416)))</f>
        <v>58458870.504261345</v>
      </c>
      <c r="B5354">
        <v>167267962.77845719</v>
      </c>
    </row>
    <row r="5355" spans="1:2" x14ac:dyDescent="0.25">
      <c r="A5355">
        <f ca="1">28170.7740385862*((RANDBETWEEN(1620,2416)))</f>
        <v>45862020.134818323</v>
      </c>
      <c r="B5355">
        <v>170378233.12463331</v>
      </c>
    </row>
    <row r="5356" spans="1:2" x14ac:dyDescent="0.25">
      <c r="A5356">
        <f ca="1">28662.6964433764*((RANDBETWEEN(1620,2416)))</f>
        <v>49185187.096833974</v>
      </c>
      <c r="B5356">
        <v>178186877.91327322</v>
      </c>
    </row>
    <row r="5357" spans="1:2" x14ac:dyDescent="0.25">
      <c r="A5357">
        <f ca="1">30511.275624488*((RANDBETWEEN(1620,2416)))</f>
        <v>50343604.780405253</v>
      </c>
      <c r="B5357">
        <v>196840785.82638368</v>
      </c>
    </row>
    <row r="5358" spans="1:2" x14ac:dyDescent="0.25">
      <c r="A5358">
        <f ca="1">25846.0767476198*((RANDBETWEEN(1620,2416)))</f>
        <v>59161669.675301686</v>
      </c>
      <c r="B5358">
        <v>145051592.98879835</v>
      </c>
    </row>
    <row r="5359" spans="1:2" x14ac:dyDescent="0.25">
      <c r="A5359">
        <f ca="1">26566.6779114599*((RANDBETWEEN(1620,2416)))</f>
        <v>60943959.128889039</v>
      </c>
      <c r="B5359">
        <v>169693143.63950801</v>
      </c>
    </row>
    <row r="5360" spans="1:2" x14ac:dyDescent="0.25">
      <c r="A5360">
        <f ca="1">26771.1327695472*((RANDBETWEEN(1620,2416)))</f>
        <v>63554669.194905005</v>
      </c>
      <c r="B5360">
        <v>177199904.77294263</v>
      </c>
    </row>
    <row r="5361" spans="1:2" x14ac:dyDescent="0.25">
      <c r="A5361">
        <f ca="1">27320.6444634473*((RANDBETWEEN(1620,2416)))</f>
        <v>45844041.409664571</v>
      </c>
      <c r="B5361">
        <v>179347852.85221997</v>
      </c>
    </row>
    <row r="5362" spans="1:2" x14ac:dyDescent="0.25">
      <c r="A5362">
        <f ca="1">27290.3312856895*((RANDBETWEEN(1620,2416)))</f>
        <v>60229761.147516832</v>
      </c>
      <c r="B5362">
        <v>158101854.0494976</v>
      </c>
    </row>
    <row r="5363" spans="1:2" x14ac:dyDescent="0.25">
      <c r="A5363">
        <f ca="1">25378.6334327723*((RANDBETWEEN(1620,2416)))</f>
        <v>50224315.563456446</v>
      </c>
      <c r="B5363">
        <v>150293713.96368751</v>
      </c>
    </row>
    <row r="5364" spans="1:2" x14ac:dyDescent="0.25">
      <c r="A5364">
        <f ca="1">27216.3617584173*((RANDBETWEEN(1620,2416)))</f>
        <v>45179160.518972747</v>
      </c>
      <c r="B5364">
        <v>193403117.96499234</v>
      </c>
    </row>
    <row r="5365" spans="1:2" x14ac:dyDescent="0.25">
      <c r="A5365">
        <f ca="1">28038.0821890768*((RANDBETWEEN(1620,2416)))</f>
        <v>53636851.227703884</v>
      </c>
      <c r="B5365">
        <v>149396504.67973208</v>
      </c>
    </row>
    <row r="5366" spans="1:2" x14ac:dyDescent="0.25">
      <c r="A5366">
        <f ca="1">28825.0555996808*((RANDBETWEEN(1620,2416)))</f>
        <v>61743269.094516233</v>
      </c>
      <c r="B5366">
        <v>148285014.74313754</v>
      </c>
    </row>
    <row r="5367" spans="1:2" x14ac:dyDescent="0.25">
      <c r="A5367">
        <f ca="1">26902.3068234432*((RANDBETWEEN(1620,2416)))</f>
        <v>47348060.009260111</v>
      </c>
      <c r="B5367">
        <v>157406711.02708077</v>
      </c>
    </row>
    <row r="5368" spans="1:2" x14ac:dyDescent="0.25">
      <c r="A5368">
        <f ca="1">33687.326554228*((RANDBETWEEN(1620,2416)))</f>
        <v>66970405.189805336</v>
      </c>
      <c r="B5368">
        <v>177363083.54738283</v>
      </c>
    </row>
    <row r="5369" spans="1:2" x14ac:dyDescent="0.25">
      <c r="A5369">
        <f ca="1">31720.2994987486*((RANDBETWEEN(1620,2416)))</f>
        <v>72036800.161658064</v>
      </c>
      <c r="B5369">
        <v>165760590.85149747</v>
      </c>
    </row>
    <row r="5370" spans="1:2" x14ac:dyDescent="0.25">
      <c r="A5370">
        <f ca="1">26263.4344303311*((RANDBETWEEN(1620,2416)))</f>
        <v>47746923.794341862</v>
      </c>
      <c r="B5370">
        <v>145668169.77546853</v>
      </c>
    </row>
    <row r="5371" spans="1:2" x14ac:dyDescent="0.25">
      <c r="A5371">
        <f ca="1">29900.0098463353*((RANDBETWEEN(1620,2416)))</f>
        <v>50740316.709231079</v>
      </c>
      <c r="B5371">
        <v>190541975.38260591</v>
      </c>
    </row>
    <row r="5372" spans="1:2" x14ac:dyDescent="0.25">
      <c r="A5372">
        <f ca="1">26865.2353839587*((RANDBETWEEN(1620,2416)))</f>
        <v>58512482.666262105</v>
      </c>
      <c r="B5372">
        <v>182519469.10348326</v>
      </c>
    </row>
    <row r="5373" spans="1:2" x14ac:dyDescent="0.25">
      <c r="A5373">
        <f ca="1">29920.2565623449*((RANDBETWEEN(1620,2416)))</f>
        <v>48919619.479433976</v>
      </c>
      <c r="B5373">
        <v>185759658.04984349</v>
      </c>
    </row>
    <row r="5374" spans="1:2" x14ac:dyDescent="0.25">
      <c r="A5374">
        <f ca="1">32864.8411805002*((RANDBETWEEN(1620,2416)))</f>
        <v>60668496.819203332</v>
      </c>
      <c r="B5374">
        <v>156661918.39443821</v>
      </c>
    </row>
    <row r="5375" spans="1:2" x14ac:dyDescent="0.25">
      <c r="A5375">
        <f ca="1">30792.7466378172*((RANDBETWEEN(1620,2416)))</f>
        <v>70145876.840947688</v>
      </c>
      <c r="B5375">
        <v>174654598.23476785</v>
      </c>
    </row>
    <row r="5376" spans="1:2" x14ac:dyDescent="0.25">
      <c r="A5376">
        <f ca="1">27044.366958964*((RANDBETWEEN(1620,2416)))</f>
        <v>56441593.843357764</v>
      </c>
      <c r="B5376">
        <v>202740895.60677123</v>
      </c>
    </row>
    <row r="5377" spans="1:2" x14ac:dyDescent="0.25">
      <c r="A5377">
        <f ca="1">31005.5320172844*((RANDBETWEEN(1620,2416)))</f>
        <v>69762447.038889855</v>
      </c>
      <c r="B5377">
        <v>178584437.60368574</v>
      </c>
    </row>
    <row r="5378" spans="1:2" x14ac:dyDescent="0.25">
      <c r="A5378">
        <f ca="1">29293.9895742226*((RANDBETWEEN(1620,2416)))</f>
        <v>57328337.59675359</v>
      </c>
      <c r="B5378">
        <v>170994851.23185652</v>
      </c>
    </row>
    <row r="5379" spans="1:2" x14ac:dyDescent="0.25">
      <c r="A5379">
        <f ca="1">31941.7346213585*((RANDBETWEEN(1620,2416)))</f>
        <v>63372401.488775298</v>
      </c>
      <c r="B5379">
        <v>183566590.33033881</v>
      </c>
    </row>
    <row r="5380" spans="1:2" x14ac:dyDescent="0.25">
      <c r="A5380">
        <f ca="1">27955.656606243*((RANDBETWEEN(1620,2416)))</f>
        <v>53143703.208467886</v>
      </c>
      <c r="B5380">
        <v>144719464.37383464</v>
      </c>
    </row>
    <row r="5381" spans="1:2" x14ac:dyDescent="0.25">
      <c r="A5381">
        <f ca="1">25506.7602202581*((RANDBETWEEN(1620,2416)))</f>
        <v>60655075.803773828</v>
      </c>
      <c r="B5381">
        <v>182745302.87789962</v>
      </c>
    </row>
    <row r="5382" spans="1:2" x14ac:dyDescent="0.25">
      <c r="A5382">
        <f ca="1">27939.8188569709*((RANDBETWEEN(1620,2416)))</f>
        <v>65295356.66874104</v>
      </c>
      <c r="B5382">
        <v>159647366.90571022</v>
      </c>
    </row>
    <row r="5383" spans="1:2" x14ac:dyDescent="0.25">
      <c r="A5383">
        <f ca="1">27409.0921308877*((RANDBETWEEN(1620,2416)))</f>
        <v>55640457.02570194</v>
      </c>
      <c r="B5383">
        <v>143522895.80283207</v>
      </c>
    </row>
    <row r="5384" spans="1:2" x14ac:dyDescent="0.25">
      <c r="A5384">
        <f ca="1">29507.5367868301*((RANDBETWEEN(1620,2416)))</f>
        <v>59369164.015102245</v>
      </c>
      <c r="B5384">
        <v>190691235.86998111</v>
      </c>
    </row>
    <row r="5385" spans="1:2" x14ac:dyDescent="0.25">
      <c r="A5385">
        <f ca="1">30896.4757029709*((RANDBETWEEN(1620,2416)))</f>
        <v>72730303.804793492</v>
      </c>
      <c r="B5385">
        <v>145700259.98613444</v>
      </c>
    </row>
    <row r="5386" spans="1:2" x14ac:dyDescent="0.25">
      <c r="A5386">
        <f ca="1">26261.5612505022*((RANDBETWEEN(1620,2416)))</f>
        <v>53153399.971016414</v>
      </c>
      <c r="B5386">
        <v>177147253.81890073</v>
      </c>
    </row>
    <row r="5387" spans="1:2" x14ac:dyDescent="0.25">
      <c r="A5387">
        <f ca="1">25125.7547595063*((RANDBETWEEN(1620,2416)))</f>
        <v>50628395.840405121</v>
      </c>
      <c r="B5387">
        <v>200258963.98765126</v>
      </c>
    </row>
    <row r="5388" spans="1:2" x14ac:dyDescent="0.25">
      <c r="A5388">
        <f ca="1">27091.0064620279*((RANDBETWEEN(1620,2416)))</f>
        <v>49928724.90951743</v>
      </c>
      <c r="B5388">
        <v>161440971.86504272</v>
      </c>
    </row>
    <row r="5389" spans="1:2" x14ac:dyDescent="0.25">
      <c r="A5389">
        <f ca="1">27505.7325283241*((RANDBETWEEN(1620,2416)))</f>
        <v>48245054.854680486</v>
      </c>
      <c r="B5389">
        <v>143667686.17082447</v>
      </c>
    </row>
    <row r="5390" spans="1:2" x14ac:dyDescent="0.25">
      <c r="A5390">
        <f ca="1">29562.2375165202*((RANDBETWEEN(1620,2416)))</f>
        <v>52945967.392087594</v>
      </c>
      <c r="B5390">
        <v>163520007.35202432</v>
      </c>
    </row>
    <row r="5391" spans="1:2" x14ac:dyDescent="0.25">
      <c r="A5391">
        <f ca="1">30807.1299614643*((RANDBETWEEN(1620,2416)))</f>
        <v>50030779.057417959</v>
      </c>
      <c r="B5391">
        <v>152753669.00481859</v>
      </c>
    </row>
    <row r="5392" spans="1:2" x14ac:dyDescent="0.25">
      <c r="A5392">
        <f ca="1">26601.8651637329*((RANDBETWEEN(1620,2416)))</f>
        <v>57859056.731119119</v>
      </c>
      <c r="B5392">
        <v>169604118.49721715</v>
      </c>
    </row>
    <row r="5393" spans="1:2" x14ac:dyDescent="0.25">
      <c r="A5393">
        <f ca="1">24465.631313388*((RANDBETWEEN(1620,2416)))</f>
        <v>44429586.465112604</v>
      </c>
      <c r="B5393">
        <v>144628025.06066546</v>
      </c>
    </row>
    <row r="5394" spans="1:2" x14ac:dyDescent="0.25">
      <c r="A5394">
        <f ca="1">25795.4040097902*((RANDBETWEEN(1620,2416)))</f>
        <v>55098982.964911953</v>
      </c>
      <c r="B5394">
        <v>159490415.29644009</v>
      </c>
    </row>
    <row r="5395" spans="1:2" x14ac:dyDescent="0.25">
      <c r="A5395">
        <f ca="1">33197.7473000788*((RANDBETWEEN(1620,2416)))</f>
        <v>63474092.837750666</v>
      </c>
      <c r="B5395">
        <v>151911897.73477873</v>
      </c>
    </row>
    <row r="5396" spans="1:2" x14ac:dyDescent="0.25">
      <c r="A5396">
        <f ca="1">27880.9700242949*((RANDBETWEEN(1620,2416)))</f>
        <v>55511011.318371184</v>
      </c>
      <c r="B5396">
        <v>153877063.25497651</v>
      </c>
    </row>
    <row r="5397" spans="1:2" x14ac:dyDescent="0.25">
      <c r="A5397">
        <f ca="1">31420.283152881*((RANDBETWEEN(1620,2416)))</f>
        <v>59258654.026333593</v>
      </c>
      <c r="B5397">
        <v>157467847.33866781</v>
      </c>
    </row>
    <row r="5398" spans="1:2" x14ac:dyDescent="0.25">
      <c r="A5398">
        <f ca="1">32436.9553231656*((RANDBETWEEN(1620,2416)))</f>
        <v>62116769.443862043</v>
      </c>
      <c r="B5398">
        <v>162181149.82207045</v>
      </c>
    </row>
    <row r="5399" spans="1:2" x14ac:dyDescent="0.25">
      <c r="A5399">
        <f ca="1">27303.0051929708*((RANDBETWEEN(1620,2416)))</f>
        <v>50483256.601803094</v>
      </c>
      <c r="B5399">
        <v>162438788.05052054</v>
      </c>
    </row>
    <row r="5400" spans="1:2" x14ac:dyDescent="0.25">
      <c r="A5400">
        <f ca="1">26080.7529108483*((RANDBETWEEN(1620,2416)))</f>
        <v>56673476.075273417</v>
      </c>
      <c r="B5400">
        <v>166879199.08198476</v>
      </c>
    </row>
    <row r="5401" spans="1:2" x14ac:dyDescent="0.25">
      <c r="A5401">
        <f ca="1">29404.0014254369*((RANDBETWEEN(1620,2416)))</f>
        <v>52986010.568637297</v>
      </c>
      <c r="B5401">
        <v>181300744.66691804</v>
      </c>
    </row>
    <row r="5402" spans="1:2" x14ac:dyDescent="0.25">
      <c r="A5402">
        <f ca="1">26262.8199918986*((RANDBETWEEN(1620,2416)))</f>
        <v>59196396.261739425</v>
      </c>
      <c r="B5402">
        <v>198761597.97265375</v>
      </c>
    </row>
    <row r="5403" spans="1:2" x14ac:dyDescent="0.25">
      <c r="A5403">
        <f ca="1">26969.3110734064*((RANDBETWEEN(1620,2416)))</f>
        <v>56500706.698786482</v>
      </c>
      <c r="B5403">
        <v>168236105.54002208</v>
      </c>
    </row>
    <row r="5404" spans="1:2" x14ac:dyDescent="0.25">
      <c r="A5404">
        <f ca="1">27236.9961435789*((RANDBETWEEN(1620,2416)))</f>
        <v>54473992.287157878</v>
      </c>
      <c r="B5404">
        <v>153658374.17963672</v>
      </c>
    </row>
    <row r="5405" spans="1:2" x14ac:dyDescent="0.25">
      <c r="A5405">
        <f ca="1">28491.2755581661*((RANDBETWEEN(1620,2416)))</f>
        <v>66669584.806108579</v>
      </c>
      <c r="B5405">
        <v>164183871.68187472</v>
      </c>
    </row>
    <row r="5406" spans="1:2" x14ac:dyDescent="0.25">
      <c r="A5406">
        <f ca="1">26725.9526626065*((RANDBETWEEN(1620,2416)))</f>
        <v>50752584.106289826</v>
      </c>
      <c r="B5406">
        <v>173344922.77369505</v>
      </c>
    </row>
    <row r="5407" spans="1:2" x14ac:dyDescent="0.25">
      <c r="A5407">
        <f ca="1">26670.7834015659*((RANDBETWEEN(1620,2416)))</f>
        <v>56942122.56234324</v>
      </c>
      <c r="B5407">
        <v>147450205.78439364</v>
      </c>
    </row>
    <row r="5408" spans="1:2" x14ac:dyDescent="0.25">
      <c r="A5408">
        <f ca="1">26634.3538915406*((RANDBETWEEN(1620,2416)))</f>
        <v>54680328.53933277</v>
      </c>
      <c r="B5408">
        <v>145447523.92429954</v>
      </c>
    </row>
    <row r="5409" spans="1:2" x14ac:dyDescent="0.25">
      <c r="A5409">
        <f ca="1">28073.2435046861*((RANDBETWEEN(1620,2416)))</f>
        <v>46854243.409321032</v>
      </c>
      <c r="B5409">
        <v>182475715.62622526</v>
      </c>
    </row>
    <row r="5410" spans="1:2" x14ac:dyDescent="0.25">
      <c r="A5410">
        <f ca="1">26141.8578064917*((RANDBETWEEN(1620,2416)))</f>
        <v>45042421.000585169</v>
      </c>
      <c r="B5410">
        <v>154237261.52383584</v>
      </c>
    </row>
    <row r="5411" spans="1:2" x14ac:dyDescent="0.25">
      <c r="A5411">
        <f ca="1">29160.5510910721*((RANDBETWEEN(1620,2416)))</f>
        <v>51351730.471377917</v>
      </c>
      <c r="B5411">
        <v>157337515.75662029</v>
      </c>
    </row>
    <row r="5412" spans="1:2" x14ac:dyDescent="0.25">
      <c r="A5412">
        <f ca="1">27887.4343022504*((RANDBETWEEN(1620,2416)))</f>
        <v>45791167.124295168</v>
      </c>
      <c r="B5412">
        <v>182748700.37362418</v>
      </c>
    </row>
    <row r="5413" spans="1:2" x14ac:dyDescent="0.25">
      <c r="A5413">
        <f ca="1">31359.1752161338*((RANDBETWEEN(1620,2416)))</f>
        <v>68613875.372900784</v>
      </c>
      <c r="B5413">
        <v>187136366.2522487</v>
      </c>
    </row>
    <row r="5414" spans="1:2" x14ac:dyDescent="0.25">
      <c r="A5414">
        <f ca="1">27146.8536921625*((RANDBETWEEN(1620,2416)))</f>
        <v>59668784.415373251</v>
      </c>
      <c r="B5414">
        <v>167903036.37619928</v>
      </c>
    </row>
    <row r="5415" spans="1:2" x14ac:dyDescent="0.25">
      <c r="A5415">
        <f ca="1">31287.7400007052*((RANDBETWEEN(1620,2416)))</f>
        <v>53595898.621208027</v>
      </c>
      <c r="B5415">
        <v>186174977.33399248</v>
      </c>
    </row>
    <row r="5416" spans="1:2" x14ac:dyDescent="0.25">
      <c r="A5416">
        <f ca="1">26323.4549967347*((RANDBETWEEN(1620,2416)))</f>
        <v>58885568.827695467</v>
      </c>
      <c r="B5416">
        <v>149546267.82521397</v>
      </c>
    </row>
    <row r="5417" spans="1:2" x14ac:dyDescent="0.25">
      <c r="A5417">
        <f ca="1">26071.3752348579*((RANDBETWEEN(1620,2416)))</f>
        <v>42600627.13375783</v>
      </c>
      <c r="B5417">
        <v>163110266.78851721</v>
      </c>
    </row>
    <row r="5418" spans="1:2" x14ac:dyDescent="0.25">
      <c r="A5418">
        <f ca="1">26986.9984745367*((RANDBETWEEN(1620,2416)))</f>
        <v>60612798.573809534</v>
      </c>
      <c r="B5418">
        <v>171221719.84037745</v>
      </c>
    </row>
    <row r="5419" spans="1:2" x14ac:dyDescent="0.25">
      <c r="A5419">
        <f ca="1">31675.8568871689*((RANDBETWEEN(1620,2416)))</f>
        <v>66107513.323521577</v>
      </c>
      <c r="B5419">
        <v>158845806.18533859</v>
      </c>
    </row>
    <row r="5420" spans="1:2" x14ac:dyDescent="0.25">
      <c r="A5420">
        <f ca="1">25929.5944914734*((RANDBETWEEN(1620,2416)))</f>
        <v>60052940.842252351</v>
      </c>
      <c r="B5420">
        <v>164233455.86452138</v>
      </c>
    </row>
    <row r="5421" spans="1:2" x14ac:dyDescent="0.25">
      <c r="A5421">
        <f ca="1">28944.7158696831*((RANDBETWEEN(1620,2416)))</f>
        <v>53084608.904998824</v>
      </c>
      <c r="B5421">
        <v>155298360.64666587</v>
      </c>
    </row>
    <row r="5422" spans="1:2" x14ac:dyDescent="0.25">
      <c r="A5422">
        <f ca="1">28635.7663983439*((RANDBETWEEN(1620,2416)))</f>
        <v>55095214.550413743</v>
      </c>
      <c r="B5422">
        <v>170996962.20874432</v>
      </c>
    </row>
    <row r="5423" spans="1:2" x14ac:dyDescent="0.25">
      <c r="A5423">
        <f ca="1">26060.7052919334*((RANDBETWEEN(1620,2416)))</f>
        <v>46388055.419641465</v>
      </c>
      <c r="B5423">
        <v>149757084.66108316</v>
      </c>
    </row>
    <row r="5424" spans="1:2" x14ac:dyDescent="0.25">
      <c r="A5424">
        <f ca="1">27852.170046536*((RANDBETWEEN(1620,2416)))</f>
        <v>50941619.015114382</v>
      </c>
      <c r="B5424">
        <v>162714225.11745158</v>
      </c>
    </row>
    <row r="5425" spans="1:2" x14ac:dyDescent="0.25">
      <c r="A5425">
        <f ca="1">28181.843420756*((RANDBETWEEN(1620,2416)))</f>
        <v>61323691.283564948</v>
      </c>
      <c r="B5425">
        <v>157689884.84247947</v>
      </c>
    </row>
    <row r="5426" spans="1:2" x14ac:dyDescent="0.25">
      <c r="A5426">
        <f ca="1">30212.529048907*((RANDBETWEEN(1620,2416)))</f>
        <v>54231489.642788045</v>
      </c>
      <c r="B5426">
        <v>157917070.32207847</v>
      </c>
    </row>
    <row r="5427" spans="1:2" x14ac:dyDescent="0.25">
      <c r="A5427">
        <f ca="1">25836.5465227392*((RANDBETWEEN(1620,2416)))</f>
        <v>46609129.927021556</v>
      </c>
      <c r="B5427">
        <v>148202892.02002576</v>
      </c>
    </row>
    <row r="5428" spans="1:2" x14ac:dyDescent="0.25">
      <c r="A5428">
        <f ca="1">31152.3222142886*((RANDBETWEEN(1620,2416)))</f>
        <v>73394871.136864007</v>
      </c>
      <c r="B5428">
        <v>200719707.58322155</v>
      </c>
    </row>
    <row r="5429" spans="1:2" x14ac:dyDescent="0.25">
      <c r="A5429">
        <f ca="1">26409.6590749751*((RANDBETWEEN(1620,2416)))</f>
        <v>47220470.426055506</v>
      </c>
      <c r="B5429">
        <v>158042966.78611153</v>
      </c>
    </row>
    <row r="5430" spans="1:2" x14ac:dyDescent="0.25">
      <c r="A5430">
        <f ca="1">26585.0808927783*((RANDBETWEEN(1620,2416)))</f>
        <v>54658926.31555222</v>
      </c>
      <c r="B5430">
        <v>165747352.77380008</v>
      </c>
    </row>
    <row r="5431" spans="1:2" x14ac:dyDescent="0.25">
      <c r="A5431">
        <f ca="1">30439.271247822*((RANDBETWEEN(1620,2416)))</f>
        <v>58473840.06706614</v>
      </c>
      <c r="B5431">
        <v>174878075.85925621</v>
      </c>
    </row>
    <row r="5432" spans="1:2" x14ac:dyDescent="0.25">
      <c r="A5432">
        <f ca="1">26033.608278103*((RANDBETWEEN(1620,2416)))</f>
        <v>46964629.333697729</v>
      </c>
      <c r="B5432">
        <v>146975776.5227122</v>
      </c>
    </row>
    <row r="5433" spans="1:2" x14ac:dyDescent="0.25">
      <c r="A5433">
        <f ca="1">27997.3267825071*((RANDBETWEEN(1620,2416)))</f>
        <v>51767057.220855676</v>
      </c>
      <c r="B5433">
        <v>144051592.56309435</v>
      </c>
    </row>
    <row r="5434" spans="1:2" x14ac:dyDescent="0.25">
      <c r="A5434">
        <f ca="1">29269.4955762128*((RANDBETWEEN(1620,2416)))</f>
        <v>64744124.214582749</v>
      </c>
      <c r="B5434">
        <v>172059676.45038366</v>
      </c>
    </row>
    <row r="5435" spans="1:2" x14ac:dyDescent="0.25">
      <c r="A5435">
        <f ca="1">28844.6581457488*((RANDBETWEEN(1620,2416)))</f>
        <v>65881199.204890281</v>
      </c>
      <c r="B5435">
        <v>150634877.07705089</v>
      </c>
    </row>
    <row r="5436" spans="1:2" x14ac:dyDescent="0.25">
      <c r="A5436">
        <f ca="1">25880.4548953801*((RANDBETWEEN(1620,2416)))</f>
        <v>42883913.761644773</v>
      </c>
      <c r="B5436">
        <v>152522520.18362197</v>
      </c>
    </row>
    <row r="5437" spans="1:2" x14ac:dyDescent="0.25">
      <c r="A5437">
        <f ca="1">27369.8925036192*((RANDBETWEEN(1620,2416)))</f>
        <v>48827888.226456583</v>
      </c>
      <c r="B5437">
        <v>153543728.93283665</v>
      </c>
    </row>
    <row r="5438" spans="1:2" x14ac:dyDescent="0.25">
      <c r="A5438">
        <f ca="1">27605.8963121511*((RANDBETWEEN(1620,2416)))</f>
        <v>56564481.543597504</v>
      </c>
      <c r="B5438">
        <v>203289999.70004526</v>
      </c>
    </row>
    <row r="5439" spans="1:2" x14ac:dyDescent="0.25">
      <c r="A5439">
        <f ca="1">27381.8271734442*((RANDBETWEEN(1620,2416)))</f>
        <v>47343179.182885028</v>
      </c>
      <c r="B5439">
        <v>154678859.23896641</v>
      </c>
    </row>
    <row r="5440" spans="1:2" x14ac:dyDescent="0.25">
      <c r="A5440">
        <f ca="1">26403.4243713525*((RANDBETWEEN(1620,2416)))</f>
        <v>59882966.474227466</v>
      </c>
      <c r="B5440">
        <v>154381791.55334029</v>
      </c>
    </row>
    <row r="5441" spans="1:2" x14ac:dyDescent="0.25">
      <c r="A5441">
        <f ca="1">31359.6312221324*((RANDBETWEEN(1620,2416)))</f>
        <v>56855011.405726075</v>
      </c>
      <c r="B5441">
        <v>163176188.38066542</v>
      </c>
    </row>
    <row r="5442" spans="1:2" x14ac:dyDescent="0.25">
      <c r="A5442">
        <f ca="1">27388.9651390801*((RANDBETWEEN(1620,2416)))</f>
        <v>57297715.070955493</v>
      </c>
      <c r="B5442">
        <v>164602107.10551977</v>
      </c>
    </row>
    <row r="5443" spans="1:2" x14ac:dyDescent="0.25">
      <c r="A5443">
        <f ca="1">25736.6782357052*((RANDBETWEEN(1620,2416)))</f>
        <v>60584140.566849932</v>
      </c>
      <c r="B5443">
        <v>176666465.81206369</v>
      </c>
    </row>
    <row r="5444" spans="1:2" x14ac:dyDescent="0.25">
      <c r="A5444">
        <f ca="1">31068.9974033915*((RANDBETWEEN(1620,2416)))</f>
        <v>68879967.243318871</v>
      </c>
      <c r="B5444">
        <v>197733223.2569696</v>
      </c>
    </row>
    <row r="5445" spans="1:2" x14ac:dyDescent="0.25">
      <c r="A5445">
        <f ca="1">27042.743456706*((RANDBETWEEN(1620,2416)))</f>
        <v>49271878.578118399</v>
      </c>
      <c r="B5445">
        <v>183272426.81711537</v>
      </c>
    </row>
    <row r="5446" spans="1:2" x14ac:dyDescent="0.25">
      <c r="A5446">
        <f ca="1">31130.1620302804*((RANDBETWEEN(1620,2416)))</f>
        <v>60112342.880471393</v>
      </c>
      <c r="B5446">
        <v>188319022.47881982</v>
      </c>
    </row>
    <row r="5447" spans="1:2" x14ac:dyDescent="0.25">
      <c r="A5447">
        <f ca="1">31985.5807333563*((RANDBETWEEN(1620,2416)))</f>
        <v>74910230.077520475</v>
      </c>
      <c r="B5447">
        <v>168847449.20875055</v>
      </c>
    </row>
    <row r="5448" spans="1:2" x14ac:dyDescent="0.25">
      <c r="A5448">
        <f ca="1">27959.9086856639*((RANDBETWEEN(1620,2416)))</f>
        <v>55081020.110757865</v>
      </c>
      <c r="B5448">
        <v>172661985.96832648</v>
      </c>
    </row>
    <row r="5449" spans="1:2" x14ac:dyDescent="0.25">
      <c r="A5449">
        <f ca="1">27484.9920830207*((RANDBETWEEN(1620,2416)))</f>
        <v>59037762.994328529</v>
      </c>
      <c r="B5449">
        <v>146872761.91791469</v>
      </c>
    </row>
    <row r="5450" spans="1:2" x14ac:dyDescent="0.25">
      <c r="A5450">
        <f ca="1">24863.5147257123*((RANDBETWEEN(1620,2416)))</f>
        <v>56663950.059898265</v>
      </c>
      <c r="B5450">
        <v>158756515.26243991</v>
      </c>
    </row>
    <row r="5451" spans="1:2" x14ac:dyDescent="0.25">
      <c r="A5451">
        <f ca="1">27731.2891080594*((RANDBETWEEN(1620,2416)))</f>
        <v>53022224.774609506</v>
      </c>
      <c r="B5451">
        <v>188847649.14906538</v>
      </c>
    </row>
    <row r="5452" spans="1:2" x14ac:dyDescent="0.25">
      <c r="A5452">
        <f ca="1">26615.3272533953*((RANDBETWEEN(1620,2416)))</f>
        <v>62572634.372732416</v>
      </c>
      <c r="B5452">
        <v>162673729.69321984</v>
      </c>
    </row>
    <row r="5453" spans="1:2" x14ac:dyDescent="0.25">
      <c r="A5453">
        <f ca="1">27062.0531477865*((RANDBETWEEN(1620,2416)))</f>
        <v>64055879.800810538</v>
      </c>
      <c r="B5453">
        <v>148644290.0803051</v>
      </c>
    </row>
    <row r="5454" spans="1:2" x14ac:dyDescent="0.25">
      <c r="A5454">
        <f ca="1">29711.3686541878*((RANDBETWEEN(1620,2416)))</f>
        <v>50420192.606156632</v>
      </c>
      <c r="B5454">
        <v>176809347.01010987</v>
      </c>
    </row>
    <row r="5455" spans="1:2" x14ac:dyDescent="0.25">
      <c r="A5455">
        <f ca="1">28578.4704969686*((RANDBETWEEN(1620,2416)))</f>
        <v>60186258.866615936</v>
      </c>
      <c r="B5455">
        <v>145724070.38226339</v>
      </c>
    </row>
    <row r="5456" spans="1:2" x14ac:dyDescent="0.25">
      <c r="A5456">
        <f ca="1">28683.5003568617*((RANDBETWEEN(1620,2416)))</f>
        <v>58342239.725856654</v>
      </c>
      <c r="B5456">
        <v>183414210.44621027</v>
      </c>
    </row>
    <row r="5457" spans="1:2" x14ac:dyDescent="0.25">
      <c r="A5457">
        <f ca="1">26065.0529206528*((RANDBETWEEN(1620,2416)))</f>
        <v>55961668.620641604</v>
      </c>
      <c r="B5457">
        <v>146770345.20629337</v>
      </c>
    </row>
    <row r="5458" spans="1:2" x14ac:dyDescent="0.25">
      <c r="A5458">
        <f ca="1">27622.910334558*((RANDBETWEEN(1620,2416)))</f>
        <v>59775977.963983513</v>
      </c>
      <c r="B5458">
        <v>182505033.02661359</v>
      </c>
    </row>
    <row r="5459" spans="1:2" x14ac:dyDescent="0.25">
      <c r="A5459">
        <f ca="1">27117.5466322409*((RANDBETWEEN(1620,2416)))</f>
        <v>47672646.979479417</v>
      </c>
      <c r="B5459">
        <v>180120343.62797958</v>
      </c>
    </row>
    <row r="5460" spans="1:2" x14ac:dyDescent="0.25">
      <c r="A5460">
        <f ca="1">27565.7078280381*((RANDBETWEEN(1620,2416)))</f>
        <v>59514363.20073431</v>
      </c>
      <c r="B5460">
        <v>188155495.80914229</v>
      </c>
    </row>
    <row r="5461" spans="1:2" x14ac:dyDescent="0.25">
      <c r="A5461">
        <f ca="1">26879.8307875272*((RANDBETWEEN(1620,2416)))</f>
        <v>45077476.230683185</v>
      </c>
      <c r="B5461">
        <v>196569731.22010648</v>
      </c>
    </row>
    <row r="5462" spans="1:2" x14ac:dyDescent="0.25">
      <c r="A5462">
        <f ca="1">25823.0186709834*((RANDBETWEEN(1620,2416)))</f>
        <v>61045616.138204664</v>
      </c>
      <c r="B5462">
        <v>143236973.04541165</v>
      </c>
    </row>
    <row r="5463" spans="1:2" x14ac:dyDescent="0.25">
      <c r="A5463">
        <f ca="1">28004.2830580848*((RANDBETWEEN(1620,2416)))</f>
        <v>57492793.118248157</v>
      </c>
      <c r="B5463">
        <v>168958386.66131192</v>
      </c>
    </row>
    <row r="5464" spans="1:2" x14ac:dyDescent="0.25">
      <c r="A5464">
        <f ca="1">28052.7029244523*((RANDBETWEEN(1620,2416)))</f>
        <v>50242390.937694095</v>
      </c>
      <c r="B5464">
        <v>163714358.66976556</v>
      </c>
    </row>
    <row r="5465" spans="1:2" x14ac:dyDescent="0.25">
      <c r="A5465">
        <f ca="1">29645.8898192518*((RANDBETWEEN(1620,2416)))</f>
        <v>60566552.900731437</v>
      </c>
      <c r="B5465">
        <v>171978985.53680259</v>
      </c>
    </row>
    <row r="5466" spans="1:2" x14ac:dyDescent="0.25">
      <c r="A5466">
        <f ca="1">26761.1950598054*((RANDBETWEEN(1620,2416)))</f>
        <v>62300062.099227078</v>
      </c>
      <c r="B5466">
        <v>162998143.75147846</v>
      </c>
    </row>
    <row r="5467" spans="1:2" x14ac:dyDescent="0.25">
      <c r="A5467">
        <f ca="1">28070.9271194073*((RANDBETWEEN(1620,2416)))</f>
        <v>54429527.684530705</v>
      </c>
      <c r="B5467">
        <v>162794756.67607731</v>
      </c>
    </row>
    <row r="5468" spans="1:2" x14ac:dyDescent="0.25">
      <c r="A5468">
        <f ca="1">25789.5878111238*((RANDBETWEEN(1620,2416)))</f>
        <v>62204485.8004307</v>
      </c>
      <c r="B5468">
        <v>162627816.72536138</v>
      </c>
    </row>
    <row r="5469" spans="1:2" x14ac:dyDescent="0.25">
      <c r="A5469">
        <f ca="1">25498.8687199639*((RANDBETWEEN(1620,2416)))</f>
        <v>44444528.17889715</v>
      </c>
      <c r="B5469">
        <v>143907951.9036127</v>
      </c>
    </row>
    <row r="5470" spans="1:2" x14ac:dyDescent="0.25">
      <c r="A5470">
        <f ca="1">25293.9742232636*((RANDBETWEEN(1620,2416)))</f>
        <v>45099156.040078983</v>
      </c>
      <c r="B5470">
        <v>147345126.05207348</v>
      </c>
    </row>
    <row r="5471" spans="1:2" x14ac:dyDescent="0.25">
      <c r="A5471">
        <f ca="1">25752.1605619449*((RANDBETWEEN(1620,2416)))</f>
        <v>46637162.777682245</v>
      </c>
      <c r="B5471">
        <v>142987988.6510669</v>
      </c>
    </row>
    <row r="5472" spans="1:2" x14ac:dyDescent="0.25">
      <c r="A5472">
        <f ca="1">25668.3509184405*((RANDBETWEEN(1620,2416)))</f>
        <v>54699255.807196788</v>
      </c>
      <c r="B5472">
        <v>149062711.12117201</v>
      </c>
    </row>
    <row r="5473" spans="1:2" x14ac:dyDescent="0.25">
      <c r="A5473">
        <f ca="1">26564.3395855851*((RANDBETWEEN(1620,2416)))</f>
        <v>56236706.902683727</v>
      </c>
      <c r="B5473">
        <v>148618269.15974939</v>
      </c>
    </row>
    <row r="5474" spans="1:2" x14ac:dyDescent="0.25">
      <c r="A5474">
        <f ca="1">30636.4540249125*((RANDBETWEEN(1620,2416)))</f>
        <v>64796100.262689851</v>
      </c>
      <c r="B5474">
        <v>171918977.75363854</v>
      </c>
    </row>
    <row r="5475" spans="1:2" x14ac:dyDescent="0.25">
      <c r="A5475">
        <f ca="1">27552.548931823*((RANDBETWEEN(1620,2416)))</f>
        <v>50972215.523872606</v>
      </c>
      <c r="B5475">
        <v>148320721.75158083</v>
      </c>
    </row>
    <row r="5476" spans="1:2" x14ac:dyDescent="0.25">
      <c r="A5476">
        <f ca="1">25813.0324640043*((RANDBETWEEN(1620,2416)))</f>
        <v>60479935.063162029</v>
      </c>
      <c r="B5476">
        <v>155739991.16318065</v>
      </c>
    </row>
    <row r="5477" spans="1:2" x14ac:dyDescent="0.25">
      <c r="A5477">
        <f ca="1">27940.9429308828*((RANDBETWEEN(1620,2416)))</f>
        <v>50070169.732142009</v>
      </c>
      <c r="B5477">
        <v>158201792.34302825</v>
      </c>
    </row>
    <row r="5478" spans="1:2" x14ac:dyDescent="0.25">
      <c r="A5478">
        <f ca="1">27785.0626140469*((RANDBETWEEN(1620,2416)))</f>
        <v>67128711.275537357</v>
      </c>
      <c r="B5478">
        <v>149419242.20534691</v>
      </c>
    </row>
    <row r="5479" spans="1:2" x14ac:dyDescent="0.25">
      <c r="A5479">
        <f ca="1">27367.1247145698*((RANDBETWEEN(1620,2416)))</f>
        <v>50410243.724237561</v>
      </c>
      <c r="B5479">
        <v>189516244.22592077</v>
      </c>
    </row>
    <row r="5480" spans="1:2" x14ac:dyDescent="0.25">
      <c r="A5480">
        <f ca="1">28200.5597640884*((RANDBETWEEN(1620,2416)))</f>
        <v>55273097.137613349</v>
      </c>
      <c r="B5480">
        <v>166240407.47165495</v>
      </c>
    </row>
    <row r="5481" spans="1:2" x14ac:dyDescent="0.25">
      <c r="A5481">
        <f ca="1">26982.8236240478*((RANDBETWEEN(1620,2416)))</f>
        <v>55935393.372651055</v>
      </c>
      <c r="B5481">
        <v>150180181.52190295</v>
      </c>
    </row>
    <row r="5482" spans="1:2" x14ac:dyDescent="0.25">
      <c r="A5482">
        <f ca="1">28866.8183051739*((RANDBETWEEN(1620,2416)))</f>
        <v>53634548.411013186</v>
      </c>
      <c r="B5482">
        <v>145769739.47423896</v>
      </c>
    </row>
    <row r="5483" spans="1:2" x14ac:dyDescent="0.25">
      <c r="A5483">
        <f ca="1">29576.1640003878*((RANDBETWEEN(1620,2416)))</f>
        <v>63500024.108832575</v>
      </c>
      <c r="B5483">
        <v>177165585.44762784</v>
      </c>
    </row>
    <row r="5484" spans="1:2" x14ac:dyDescent="0.25">
      <c r="A5484">
        <f ca="1">30181.762495692*((RANDBETWEEN(1620,2416)))</f>
        <v>70444233.664945066</v>
      </c>
      <c r="B5484">
        <v>171018763.33309805</v>
      </c>
    </row>
    <row r="5485" spans="1:2" x14ac:dyDescent="0.25">
      <c r="A5485">
        <f ca="1">25959.5990349062*((RANDBETWEEN(1620,2416)))</f>
        <v>51400006.089114241</v>
      </c>
      <c r="B5485">
        <v>167784405.42703173</v>
      </c>
    </row>
    <row r="5486" spans="1:2" x14ac:dyDescent="0.25">
      <c r="A5486">
        <f ca="1">26908.3950246908*((RANDBETWEEN(1620,2416)))</f>
        <v>63019461.147825941</v>
      </c>
      <c r="B5486">
        <v>202848830.39944625</v>
      </c>
    </row>
    <row r="5487" spans="1:2" x14ac:dyDescent="0.25">
      <c r="A5487">
        <f ca="1">25501.9062670816*((RANDBETWEEN(1620,2416)))</f>
        <v>54089543.192480125</v>
      </c>
      <c r="B5487">
        <v>165128821.03744119</v>
      </c>
    </row>
    <row r="5488" spans="1:2" x14ac:dyDescent="0.25">
      <c r="A5488">
        <f ca="1">28500.1572876587*((RANDBETWEEN(1620,2416)))</f>
        <v>46255755.277870096</v>
      </c>
      <c r="B5488">
        <v>201070506.61812449</v>
      </c>
    </row>
    <row r="5489" spans="1:2" x14ac:dyDescent="0.25">
      <c r="A5489">
        <f ca="1">26380.1410533011*((RANDBETWEEN(1620,2416)))</f>
        <v>61043646.397338852</v>
      </c>
      <c r="B5489">
        <v>145889404.21112511</v>
      </c>
    </row>
    <row r="5490" spans="1:2" x14ac:dyDescent="0.25">
      <c r="A5490">
        <f ca="1">29145.3995342013*((RANDBETWEEN(1620,2416)))</f>
        <v>54356170.131285489</v>
      </c>
      <c r="B5490">
        <v>161456299.76487562</v>
      </c>
    </row>
    <row r="5491" spans="1:2" x14ac:dyDescent="0.25">
      <c r="A5491">
        <f ca="1">25644.7474627085*((RANDBETWEEN(1620,2416)))</f>
        <v>60983209.466320895</v>
      </c>
      <c r="B5491">
        <v>150689749.40295652</v>
      </c>
    </row>
    <row r="5492" spans="1:2" x14ac:dyDescent="0.25">
      <c r="A5492">
        <f ca="1">25886.469434692*((RANDBETWEEN(1620,2416)))</f>
        <v>48304151.965135351</v>
      </c>
      <c r="B5492">
        <v>159130077.97306567</v>
      </c>
    </row>
    <row r="5493" spans="1:2" x14ac:dyDescent="0.25">
      <c r="A5493">
        <f ca="1">27122.8564986854*((RANDBETWEEN(1620,2416)))</f>
        <v>58693861.463155173</v>
      </c>
      <c r="B5493">
        <v>187653625.66889247</v>
      </c>
    </row>
    <row r="5494" spans="1:2" x14ac:dyDescent="0.25">
      <c r="A5494">
        <f ca="1">27377.987700658*((RANDBETWEEN(1620,2416)))</f>
        <v>59081697.45801992</v>
      </c>
      <c r="B5494">
        <v>164584005.59001797</v>
      </c>
    </row>
    <row r="5495" spans="1:2" x14ac:dyDescent="0.25">
      <c r="A5495">
        <f ca="1">32873.0269517368*((RANDBETWEEN(1620,2416)))</f>
        <v>53681653.012186185</v>
      </c>
      <c r="B5495">
        <v>150248020.78304198</v>
      </c>
    </row>
    <row r="5496" spans="1:2" x14ac:dyDescent="0.25">
      <c r="A5496">
        <f ca="1">26992.847287401*((RANDBETWEEN(1620,2416)))</f>
        <v>64458919.322313473</v>
      </c>
      <c r="B5496">
        <v>189130571.5303106</v>
      </c>
    </row>
    <row r="5497" spans="1:2" x14ac:dyDescent="0.25">
      <c r="A5497">
        <f ca="1">27972.1445700151*((RANDBETWEEN(1620,2416)))</f>
        <v>65454818.293835372</v>
      </c>
      <c r="B5497">
        <v>174342432.78075236</v>
      </c>
    </row>
    <row r="5498" spans="1:2" x14ac:dyDescent="0.25">
      <c r="A5498">
        <f ca="1">29697.9522533692*((RANDBETWEEN(1620,2416)))</f>
        <v>55653962.522813924</v>
      </c>
      <c r="B5498">
        <v>150896920.13571066</v>
      </c>
    </row>
    <row r="5499" spans="1:2" x14ac:dyDescent="0.25">
      <c r="A5499">
        <f ca="1">31219.9229906542*((RANDBETWEEN(1620,2416)))</f>
        <v>54166566.388785049</v>
      </c>
      <c r="B5499">
        <v>192284684.97716862</v>
      </c>
    </row>
    <row r="5500" spans="1:2" x14ac:dyDescent="0.25">
      <c r="A5500">
        <f ca="1">26834.4981123884*((RANDBETWEEN(1620,2416)))</f>
        <v>50958711.915425591</v>
      </c>
      <c r="B5500">
        <v>167380785.86076266</v>
      </c>
    </row>
    <row r="5501" spans="1:2" x14ac:dyDescent="0.25">
      <c r="A5501">
        <f ca="1">27510.4008767551*((RANDBETWEEN(1620,2416)))</f>
        <v>50894241.62199688</v>
      </c>
      <c r="B5501">
        <v>163291462.34169498</v>
      </c>
    </row>
    <row r="5502" spans="1:2" x14ac:dyDescent="0.25">
      <c r="A5502">
        <f ca="1">26561.6950371887*((RANDBETWEEN(1620,2416)))</f>
        <v>51556250.067183226</v>
      </c>
      <c r="B5502">
        <v>163345568.39672354</v>
      </c>
    </row>
    <row r="5503" spans="1:2" x14ac:dyDescent="0.25">
      <c r="A5503">
        <f ca="1">26073.1908721652*((RANDBETWEEN(1620,2416)))</f>
        <v>60359436.869062528</v>
      </c>
      <c r="B5503">
        <v>155739184.96249118</v>
      </c>
    </row>
    <row r="5504" spans="1:2" x14ac:dyDescent="0.25">
      <c r="A5504">
        <f ca="1">28262.1741998796*((RANDBETWEEN(1620,2416)))</f>
        <v>50674078.340384088</v>
      </c>
      <c r="B5504">
        <v>163670122.96171075</v>
      </c>
    </row>
    <row r="5505" spans="1:2" x14ac:dyDescent="0.25">
      <c r="A5505">
        <f ca="1">29924.2587446529*((RANDBETWEEN(1620,2416)))</f>
        <v>63319731.503685564</v>
      </c>
      <c r="B5505">
        <v>163641998.70808274</v>
      </c>
    </row>
    <row r="5506" spans="1:2" x14ac:dyDescent="0.25">
      <c r="A5506">
        <f ca="1">30804.1951003125*((RANDBETWEEN(1620,2416)))</f>
        <v>66229019.465671882</v>
      </c>
      <c r="B5506">
        <v>182787427.15982994</v>
      </c>
    </row>
    <row r="5507" spans="1:2" x14ac:dyDescent="0.25">
      <c r="A5507">
        <f ca="1">25595.9134719759*((RANDBETWEEN(1620,2416)))</f>
        <v>59382519.2549842</v>
      </c>
      <c r="B5507">
        <v>146033685.93215454</v>
      </c>
    </row>
    <row r="5508" spans="1:2" x14ac:dyDescent="0.25">
      <c r="A5508">
        <f ca="1">27399.5491060355*((RANDBETWEEN(1620,2416)))</f>
        <v>55210091.448661491</v>
      </c>
      <c r="B5508">
        <v>169874575.41981509</v>
      </c>
    </row>
    <row r="5509" spans="1:2" x14ac:dyDescent="0.25">
      <c r="A5509">
        <f ca="1">27642.9097987326*((RANDBETWEEN(1620,2416)))</f>
        <v>60206257.541639537</v>
      </c>
      <c r="B5509">
        <v>158447805.23729941</v>
      </c>
    </row>
    <row r="5510" spans="1:2" x14ac:dyDescent="0.25">
      <c r="A5510">
        <f ca="1">29954.6714188777*((RANDBETWEEN(1620,2416)))</f>
        <v>53259405.782764524</v>
      </c>
      <c r="B5510">
        <v>144687947.85760948</v>
      </c>
    </row>
    <row r="5511" spans="1:2" x14ac:dyDescent="0.25">
      <c r="A5511">
        <f ca="1">26671.2109889211*((RANDBETWEEN(1620,2416)))</f>
        <v>58649992.964637563</v>
      </c>
      <c r="B5511">
        <v>166026712.29426867</v>
      </c>
    </row>
    <row r="5512" spans="1:2" x14ac:dyDescent="0.25">
      <c r="A5512">
        <f ca="1">27946.0082639572*((RANDBETWEEN(1620,2416)))</f>
        <v>47843566.147894703</v>
      </c>
      <c r="B5512">
        <v>146026215.02541095</v>
      </c>
    </row>
    <row r="5513" spans="1:2" x14ac:dyDescent="0.25">
      <c r="A5513">
        <f ca="1">29816.7942801872*((RANDBETWEEN(1620,2416)))</f>
        <v>68489176.461590067</v>
      </c>
      <c r="B5513">
        <v>184824885.37480861</v>
      </c>
    </row>
    <row r="5514" spans="1:2" x14ac:dyDescent="0.25">
      <c r="A5514">
        <f ca="1">29146.5111240805*((RANDBETWEEN(1620,2416)))</f>
        <v>58671926.892774083</v>
      </c>
      <c r="B5514">
        <v>196953983.64548868</v>
      </c>
    </row>
    <row r="5515" spans="1:2" x14ac:dyDescent="0.25">
      <c r="A5515">
        <f ca="1">27875.9053579751*((RANDBETWEEN(1620,2416)))</f>
        <v>47890805.405001298</v>
      </c>
      <c r="B5515">
        <v>179265808.46445113</v>
      </c>
    </row>
    <row r="5516" spans="1:2" x14ac:dyDescent="0.25">
      <c r="A5516">
        <f ca="1">26332.3818461251*((RANDBETWEEN(1620,2416)))</f>
        <v>57641583.861167811</v>
      </c>
      <c r="B5516">
        <v>155780482.43541002</v>
      </c>
    </row>
    <row r="5517" spans="1:2" x14ac:dyDescent="0.25">
      <c r="A5517">
        <f ca="1">32310.6363036792*((RANDBETWEEN(1620,2416)))</f>
        <v>65946008.695809245</v>
      </c>
      <c r="B5517">
        <v>180746716.3024483</v>
      </c>
    </row>
    <row r="5518" spans="1:2" x14ac:dyDescent="0.25">
      <c r="A5518">
        <f ca="1">30717.448287366*((RANDBETWEEN(1620,2416)))</f>
        <v>71540937.061275467</v>
      </c>
      <c r="B5518">
        <v>171428226.07953453</v>
      </c>
    </row>
    <row r="5519" spans="1:2" x14ac:dyDescent="0.25">
      <c r="A5519">
        <f ca="1">29019.675606609*((RANDBETWEEN(1620,2416)))</f>
        <v>54818167.220884442</v>
      </c>
      <c r="B5519">
        <v>145657982.97471696</v>
      </c>
    </row>
    <row r="5520" spans="1:2" x14ac:dyDescent="0.25">
      <c r="A5520">
        <f ca="1">29411.9895754434*((RANDBETWEEN(1620,2416)))</f>
        <v>67647576.023519859</v>
      </c>
      <c r="B5520">
        <v>184682873.68981072</v>
      </c>
    </row>
    <row r="5521" spans="1:2" x14ac:dyDescent="0.25">
      <c r="A5521">
        <f ca="1">26856.7569343543*((RANDBETWEEN(1620,2416)))</f>
        <v>57956881.464336522</v>
      </c>
      <c r="B5521">
        <v>147088337.6758008</v>
      </c>
    </row>
    <row r="5522" spans="1:2" x14ac:dyDescent="0.25">
      <c r="A5522">
        <f ca="1">26990.9703049328*((RANDBETWEEN(1620,2416)))</f>
        <v>47854990.350645818</v>
      </c>
      <c r="B5522">
        <v>195408771.82394353</v>
      </c>
    </row>
    <row r="5523" spans="1:2" x14ac:dyDescent="0.25">
      <c r="A5523">
        <f ca="1">26384.5153599257*((RANDBETWEEN(1620,2416)))</f>
        <v>45961825.756990522</v>
      </c>
      <c r="B5523">
        <v>173996349.52601269</v>
      </c>
    </row>
    <row r="5524" spans="1:2" x14ac:dyDescent="0.25">
      <c r="A5524">
        <f ca="1">32492.1045399126*((RANDBETWEEN(1620,2416)))</f>
        <v>74017014.141920879</v>
      </c>
      <c r="B5524">
        <v>202870134.43642914</v>
      </c>
    </row>
    <row r="5525" spans="1:2" x14ac:dyDescent="0.25">
      <c r="A5525">
        <f ca="1">29271.3188350552*((RANDBETWEEN(1620,2416)))</f>
        <v>51107722.686006464</v>
      </c>
      <c r="B5525">
        <v>170859461.7856645</v>
      </c>
    </row>
    <row r="5526" spans="1:2" x14ac:dyDescent="0.25">
      <c r="A5526">
        <f ca="1">31766.6696099585*((RANDBETWEEN(1620,2416)))</f>
        <v>75064640.288331926</v>
      </c>
      <c r="B5526">
        <v>195316000.23995465</v>
      </c>
    </row>
    <row r="5527" spans="1:2" x14ac:dyDescent="0.25">
      <c r="A5527">
        <f ca="1">27197.7857943145*((RANDBETWEEN(1620,2416)))</f>
        <v>64893916.905234396</v>
      </c>
      <c r="B5527">
        <v>157978653.72445944</v>
      </c>
    </row>
    <row r="5528" spans="1:2" x14ac:dyDescent="0.25">
      <c r="A5528">
        <f ca="1">25529.519442769*((RANDBETWEEN(1620,2416)))</f>
        <v>47433847.124664791</v>
      </c>
      <c r="B5528">
        <v>163993716.78663161</v>
      </c>
    </row>
    <row r="5529" spans="1:2" x14ac:dyDescent="0.25">
      <c r="A5529">
        <f ca="1">32879.3108490364*((RANDBETWEEN(1620,2416)))</f>
        <v>69112311.404674411</v>
      </c>
      <c r="B5529">
        <v>201497767.08905742</v>
      </c>
    </row>
    <row r="5530" spans="1:2" x14ac:dyDescent="0.25">
      <c r="A5530">
        <f ca="1">28026.241398265*((RANDBETWEEN(1620,2416)))</f>
        <v>54623144.485218488</v>
      </c>
      <c r="B5530">
        <v>181996743.39444175</v>
      </c>
    </row>
    <row r="5531" spans="1:2" x14ac:dyDescent="0.25">
      <c r="A5531">
        <f ca="1">32136.2635778426*((RANDBETWEEN(1620,2416)))</f>
        <v>53731832.702152893</v>
      </c>
      <c r="B5531">
        <v>187774670.59161952</v>
      </c>
    </row>
    <row r="5532" spans="1:2" x14ac:dyDescent="0.25">
      <c r="A5532">
        <f ca="1">28406.4272980438*((RANDBETWEEN(1620,2416)))</f>
        <v>66783510.57770104</v>
      </c>
      <c r="B5532">
        <v>151079862.34085339</v>
      </c>
    </row>
    <row r="5533" spans="1:2" x14ac:dyDescent="0.25">
      <c r="A5533">
        <f ca="1">27222.8473306534*((RANDBETWEEN(1620,2416)))</f>
        <v>65307610.746237569</v>
      </c>
      <c r="B5533">
        <v>162186701.55949008</v>
      </c>
    </row>
    <row r="5534" spans="1:2" x14ac:dyDescent="0.25">
      <c r="A5534">
        <f ca="1">27398.1627996267*((RANDBETWEEN(1620,2416)))</f>
        <v>46850858.387361668</v>
      </c>
      <c r="B5534">
        <v>162028105.49342638</v>
      </c>
    </row>
    <row r="5535" spans="1:2" x14ac:dyDescent="0.25">
      <c r="A5535">
        <f ca="1">26517.507555042*((RANDBETWEEN(1620,2416)))</f>
        <v>64039780.745426513</v>
      </c>
      <c r="B5535">
        <v>163735088.8109706</v>
      </c>
    </row>
    <row r="5536" spans="1:2" x14ac:dyDescent="0.25">
      <c r="A5536">
        <f ca="1">28015.9166161629*((RANDBETWEEN(1620,2416)))</f>
        <v>66201610.963992909</v>
      </c>
      <c r="B5536">
        <v>173418366.14683998</v>
      </c>
    </row>
    <row r="5537" spans="1:2" x14ac:dyDescent="0.25">
      <c r="A5537">
        <f ca="1">31814.578298424*((RANDBETWEEN(1620,2416)))</f>
        <v>64170004.427921191</v>
      </c>
      <c r="B5537">
        <v>191808201.64554578</v>
      </c>
    </row>
    <row r="5538" spans="1:2" x14ac:dyDescent="0.25">
      <c r="A5538">
        <f ca="1">35116.5225143901*((RANDBETWEEN(1620,2416)))</f>
        <v>69671180.668550044</v>
      </c>
      <c r="B5538">
        <v>179984478.08657891</v>
      </c>
    </row>
    <row r="5539" spans="1:2" x14ac:dyDescent="0.25">
      <c r="A5539">
        <f ca="1">26393.602087335*((RANDBETWEEN(1620,2416)))</f>
        <v>52576055.357971281</v>
      </c>
      <c r="B5539">
        <v>155481219.32198331</v>
      </c>
    </row>
    <row r="5540" spans="1:2" x14ac:dyDescent="0.25">
      <c r="A5540">
        <f ca="1">27031.6317780124*((RANDBETWEEN(1620,2416)))</f>
        <v>49116474.940648489</v>
      </c>
      <c r="B5540">
        <v>175124061.21078959</v>
      </c>
    </row>
    <row r="5541" spans="1:2" x14ac:dyDescent="0.25">
      <c r="A5541">
        <f ca="1">27122.5415275108*((RANDBETWEEN(1620,2416)))</f>
        <v>53648387.141416334</v>
      </c>
      <c r="B5541">
        <v>171239834.96607047</v>
      </c>
    </row>
    <row r="5542" spans="1:2" x14ac:dyDescent="0.25">
      <c r="A5542">
        <f ca="1">25516.8355515882*((RANDBETWEEN(1620,2416)))</f>
        <v>50038514.516664535</v>
      </c>
      <c r="B5542">
        <v>183325396.94838578</v>
      </c>
    </row>
    <row r="5543" spans="1:2" x14ac:dyDescent="0.25">
      <c r="A5543">
        <f ca="1">28722.8290038856*((RANDBETWEEN(1620,2416)))</f>
        <v>47938401.607484989</v>
      </c>
      <c r="B5543">
        <v>200564770.98316601</v>
      </c>
    </row>
    <row r="5544" spans="1:2" x14ac:dyDescent="0.25">
      <c r="A5544">
        <f ca="1">30062.6531989339*((RANDBETWEEN(1620,2416)))</f>
        <v>55976660.256414972</v>
      </c>
      <c r="B5544">
        <v>162996919.14528942</v>
      </c>
    </row>
    <row r="5545" spans="1:2" x14ac:dyDescent="0.25">
      <c r="A5545">
        <f ca="1">34352.2407446889*((RANDBETWEEN(1620,2416)))</f>
        <v>69116708.378314048</v>
      </c>
      <c r="B5545">
        <v>160265599.340482</v>
      </c>
    </row>
    <row r="5546" spans="1:2" x14ac:dyDescent="0.25">
      <c r="A5546">
        <f ca="1">26180.199031857*((RANDBETWEEN(1620,2416)))</f>
        <v>44113635.368679121</v>
      </c>
      <c r="B5546">
        <v>144884600.49881655</v>
      </c>
    </row>
    <row r="5547" spans="1:2" x14ac:dyDescent="0.25">
      <c r="A5547">
        <f ca="1">29191.2006673772*((RANDBETWEEN(1620,2416)))</f>
        <v>63344905.44820863</v>
      </c>
      <c r="B5547">
        <v>196682218.45600784</v>
      </c>
    </row>
    <row r="5548" spans="1:2" x14ac:dyDescent="0.25">
      <c r="A5548">
        <f ca="1">32067.8934482533*((RANDBETWEEN(1620,2416)))</f>
        <v>55381251.985133491</v>
      </c>
      <c r="B5548">
        <v>156795637.07680291</v>
      </c>
    </row>
    <row r="5549" spans="1:2" x14ac:dyDescent="0.25">
      <c r="A5549">
        <f ca="1">28672.0797287904*((RANDBETWEEN(1620,2416)))</f>
        <v>64913588.50598152</v>
      </c>
      <c r="B5549">
        <v>154112825.5955061</v>
      </c>
    </row>
    <row r="5550" spans="1:2" x14ac:dyDescent="0.25">
      <c r="A5550">
        <f ca="1">31189.6161184102*((RANDBETWEEN(1620,2416)))</f>
        <v>53521381.25919193</v>
      </c>
      <c r="B5550">
        <v>185449289.02325547</v>
      </c>
    </row>
    <row r="5551" spans="1:2" x14ac:dyDescent="0.25">
      <c r="A5551">
        <f ca="1">26757.7478817814*((RANDBETWEEN(1620,2416)))</f>
        <v>51241087.193611316</v>
      </c>
      <c r="B5551">
        <v>143253986.354684</v>
      </c>
    </row>
    <row r="5552" spans="1:2" x14ac:dyDescent="0.25">
      <c r="A5552">
        <f ca="1">28781.8061981213*((RANDBETWEEN(1620,2416)))</f>
        <v>59089048.124743007</v>
      </c>
      <c r="B5552">
        <v>176591106.76305318</v>
      </c>
    </row>
    <row r="5553" spans="1:2" x14ac:dyDescent="0.25">
      <c r="A5553">
        <f ca="1">30684.6056059864*((RANDBETWEEN(1620,2416)))</f>
        <v>66340117.320142686</v>
      </c>
      <c r="B5553">
        <v>202105446.92742559</v>
      </c>
    </row>
    <row r="5554" spans="1:2" x14ac:dyDescent="0.25">
      <c r="A5554">
        <f ca="1">29107.7657963375*((RANDBETWEEN(1620,2416)))</f>
        <v>58885010.205990806</v>
      </c>
      <c r="B5554">
        <v>157225103.81364971</v>
      </c>
    </row>
    <row r="5555" spans="1:2" x14ac:dyDescent="0.25">
      <c r="A5555">
        <f ca="1">27642.7752052043*((RANDBETWEEN(1620,2416)))</f>
        <v>53295270.595633879</v>
      </c>
      <c r="B5555">
        <v>187133947.08319095</v>
      </c>
    </row>
    <row r="5556" spans="1:2" x14ac:dyDescent="0.25">
      <c r="A5556">
        <f ca="1">25710.0970485332*((RANDBETWEEN(1620,2416)))</f>
        <v>60367307.869956046</v>
      </c>
      <c r="B5556">
        <v>179977331.9521434</v>
      </c>
    </row>
    <row r="5557" spans="1:2" x14ac:dyDescent="0.25">
      <c r="A5557">
        <f ca="1">27282.3657763423*((RANDBETWEEN(1620,2416)))</f>
        <v>54564731.55268462</v>
      </c>
      <c r="B5557">
        <v>188297356.48809451</v>
      </c>
    </row>
    <row r="5558" spans="1:2" x14ac:dyDescent="0.25">
      <c r="A5558">
        <f ca="1">30952.1912876945*((RANDBETWEEN(1620,2416)))</f>
        <v>57509171.41253645</v>
      </c>
      <c r="B5558">
        <v>144145485.76327664</v>
      </c>
    </row>
    <row r="5559" spans="1:2" x14ac:dyDescent="0.25">
      <c r="A5559">
        <f ca="1">31220.9853086533*((RANDBETWEEN(1620,2416)))</f>
        <v>51608288.715203911</v>
      </c>
      <c r="B5559">
        <v>145001393.12322038</v>
      </c>
    </row>
    <row r="5560" spans="1:2" x14ac:dyDescent="0.25">
      <c r="A5560">
        <f ca="1">26345.2624579305*((RANDBETWEEN(1620,2416)))</f>
        <v>44707910.391108073</v>
      </c>
      <c r="B5560">
        <v>166553418.14228398</v>
      </c>
    </row>
    <row r="5561" spans="1:2" x14ac:dyDescent="0.25">
      <c r="A5561">
        <f ca="1">28410.5758756261*((RANDBETWEEN(1620,2416)))</f>
        <v>46508112.708399847</v>
      </c>
      <c r="B5561">
        <v>177388445.4771989</v>
      </c>
    </row>
    <row r="5562" spans="1:2" x14ac:dyDescent="0.25">
      <c r="A5562">
        <f ca="1">25499.3127859494*((RANDBETWEEN(1620,2416)))</f>
        <v>57500950.332315981</v>
      </c>
      <c r="B5562">
        <v>142945982.82577208</v>
      </c>
    </row>
    <row r="5563" spans="1:2" x14ac:dyDescent="0.25">
      <c r="A5563">
        <f ca="1">27031.0331798699*((RANDBETWEEN(1620,2416)))</f>
        <v>50223659.648198314</v>
      </c>
      <c r="B5563">
        <v>178464302.5178811</v>
      </c>
    </row>
    <row r="5564" spans="1:2" x14ac:dyDescent="0.25">
      <c r="A5564">
        <f ca="1">28215.5714316644*((RANDBETWEEN(1620,2416)))</f>
        <v>45878519.147886313</v>
      </c>
      <c r="B5564">
        <v>170775712.51683152</v>
      </c>
    </row>
    <row r="5565" spans="1:2" x14ac:dyDescent="0.25">
      <c r="A5565">
        <f ca="1">28865.3167078902*((RANDBETWEEN(1620,2416)))</f>
        <v>49273095.620368503</v>
      </c>
      <c r="B5565">
        <v>160362642.54750207</v>
      </c>
    </row>
    <row r="5566" spans="1:2" x14ac:dyDescent="0.25">
      <c r="A5566">
        <f ca="1">29687.2487440981*((RANDBETWEEN(1620,2416)))</f>
        <v>62491658.606326498</v>
      </c>
      <c r="B5566">
        <v>184452919.8080416</v>
      </c>
    </row>
    <row r="5567" spans="1:2" x14ac:dyDescent="0.25">
      <c r="A5567">
        <f ca="1">30348.3864074692*((RANDBETWEEN(1620,2416)))</f>
        <v>66220179.141097747</v>
      </c>
      <c r="B5567">
        <v>164617742.75936705</v>
      </c>
    </row>
    <row r="5568" spans="1:2" x14ac:dyDescent="0.25">
      <c r="A5568">
        <f ca="1">28790.810461665*((RANDBETWEEN(1620,2416)))</f>
        <v>58387763.616256692</v>
      </c>
      <c r="B5568">
        <v>178433549.96895847</v>
      </c>
    </row>
    <row r="5569" spans="1:2" x14ac:dyDescent="0.25">
      <c r="A5569">
        <f ca="1">26902.3389570429*((RANDBETWEEN(1620,2416)))</f>
        <v>54100603.642613314</v>
      </c>
      <c r="B5569">
        <v>154270093.67720866</v>
      </c>
    </row>
    <row r="5570" spans="1:2" x14ac:dyDescent="0.25">
      <c r="A5570">
        <f ca="1">29324.8985772502*((RANDBETWEEN(1620,2416)))</f>
        <v>61142413.533566609</v>
      </c>
      <c r="B5570">
        <v>149879879.37607533</v>
      </c>
    </row>
    <row r="5571" spans="1:2" x14ac:dyDescent="0.25">
      <c r="A5571">
        <f ca="1">31878.0281781678*((RANDBETWEEN(1620,2416)))</f>
        <v>74403317.767843589</v>
      </c>
      <c r="B5571">
        <v>168876213.6402483</v>
      </c>
    </row>
    <row r="5572" spans="1:2" x14ac:dyDescent="0.25">
      <c r="A5572">
        <f ca="1">29471.6602539913*((RANDBETWEEN(1620,2416)))</f>
        <v>50308124.05356317</v>
      </c>
      <c r="B5572">
        <v>185049266.14937606</v>
      </c>
    </row>
    <row r="5573" spans="1:2" x14ac:dyDescent="0.25">
      <c r="A5573">
        <f ca="1">25767.6248810755*((RANDBETWEEN(1620,2416)))</f>
        <v>48340064.276897632</v>
      </c>
      <c r="B5573">
        <v>159768570.21581602</v>
      </c>
    </row>
    <row r="5574" spans="1:2" x14ac:dyDescent="0.25">
      <c r="A5574">
        <f ca="1">26295.8890980809*((RANDBETWEEN(1620,2416)))</f>
        <v>49304792.05890166</v>
      </c>
      <c r="B5574">
        <v>161406716.22889262</v>
      </c>
    </row>
    <row r="5575" spans="1:2" x14ac:dyDescent="0.25">
      <c r="A5575">
        <f ca="1">27142.2270431757*((RANDBETWEEN(1620,2416)))</f>
        <v>47444612.871471129</v>
      </c>
      <c r="B5575">
        <v>153994918.83904755</v>
      </c>
    </row>
    <row r="5576" spans="1:2" x14ac:dyDescent="0.25">
      <c r="A5576">
        <f ca="1">32864.1524266543*((RANDBETWEEN(1620,2416)))</f>
        <v>60897274.446590453</v>
      </c>
      <c r="B5576">
        <v>196123940.61951709</v>
      </c>
    </row>
    <row r="5577" spans="1:2" x14ac:dyDescent="0.25">
      <c r="A5577">
        <f ca="1">26945.8036055549*((RANDBETWEEN(1620,2416)))</f>
        <v>56640079.178876504</v>
      </c>
      <c r="B5577">
        <v>145639251.99000922</v>
      </c>
    </row>
    <row r="5578" spans="1:2" x14ac:dyDescent="0.25">
      <c r="A5578">
        <f ca="1">31644.2043016695*((RANDBETWEEN(1620,2416)))</f>
        <v>67718597.20557268</v>
      </c>
      <c r="B5578">
        <v>151130255.58549178</v>
      </c>
    </row>
    <row r="5579" spans="1:2" x14ac:dyDescent="0.25">
      <c r="A5579">
        <f ca="1">27508.1791922007*((RANDBETWEEN(1620,2416)))</f>
        <v>52650654.973872229</v>
      </c>
      <c r="B5579">
        <v>163199248.1003519</v>
      </c>
    </row>
    <row r="5580" spans="1:2" x14ac:dyDescent="0.25">
      <c r="A5580">
        <f ca="1">28794.1461716812*((RANDBETWEEN(1620,2416)))</f>
        <v>62252944.023174748</v>
      </c>
      <c r="B5580">
        <v>144039201.84531328</v>
      </c>
    </row>
    <row r="5581" spans="1:2" x14ac:dyDescent="0.25">
      <c r="A5581">
        <f ca="1">26885.1441436354*((RANDBETWEEN(1620,2416)))</f>
        <v>59577479.422296025</v>
      </c>
      <c r="B5581">
        <v>146934792.18930161</v>
      </c>
    </row>
    <row r="5582" spans="1:2" x14ac:dyDescent="0.25">
      <c r="A5582">
        <f ca="1">31192.3906341591*((RANDBETWEEN(1620,2416)))</f>
        <v>71711306.067931771</v>
      </c>
      <c r="B5582">
        <v>166512573.93482554</v>
      </c>
    </row>
    <row r="5583" spans="1:2" x14ac:dyDescent="0.25">
      <c r="A5583">
        <f ca="1">26212.7484877724*((RANDBETWEEN(1620,2416)))</f>
        <v>57248642.697294965</v>
      </c>
      <c r="B5583">
        <v>143154085.68322277</v>
      </c>
    </row>
    <row r="5584" spans="1:2" x14ac:dyDescent="0.25">
      <c r="A5584">
        <f ca="1">28145.7487556476*((RANDBETWEEN(1620,2416)))</f>
        <v>56882558.235163711</v>
      </c>
      <c r="B5584">
        <v>155739221.78168109</v>
      </c>
    </row>
    <row r="5585" spans="1:2" x14ac:dyDescent="0.25">
      <c r="A5585">
        <f ca="1">28152.3021120612*((RANDBETWEEN(1620,2416)))</f>
        <v>62807786.012008592</v>
      </c>
      <c r="B5585">
        <v>149654408.193169</v>
      </c>
    </row>
    <row r="5586" spans="1:2" x14ac:dyDescent="0.25">
      <c r="A5586">
        <f ca="1">26708.2932038234*((RANDBETWEEN(1620,2416)))</f>
        <v>45724597.964945711</v>
      </c>
      <c r="B5586">
        <v>163539923.58922476</v>
      </c>
    </row>
    <row r="5587" spans="1:2" x14ac:dyDescent="0.25">
      <c r="A5587">
        <f ca="1">32345.8724087644*((RANDBETWEEN(1620,2416)))</f>
        <v>77015522.20526813</v>
      </c>
      <c r="B5587">
        <v>158300669.05131793</v>
      </c>
    </row>
    <row r="5588" spans="1:2" x14ac:dyDescent="0.25">
      <c r="A5588">
        <f ca="1">30903.5799780599*((RANDBETWEEN(1620,2416)))</f>
        <v>57511562.339169495</v>
      </c>
      <c r="B5588">
        <v>143577105.08694401</v>
      </c>
    </row>
    <row r="5589" spans="1:2" x14ac:dyDescent="0.25">
      <c r="A5589">
        <f ca="1">29624.5774829744*((RANDBETWEEN(1620,2416)))</f>
        <v>62418984.756626979</v>
      </c>
      <c r="B5589">
        <v>184330177.74931622</v>
      </c>
    </row>
    <row r="5590" spans="1:2" x14ac:dyDescent="0.25">
      <c r="A5590">
        <f ca="1">26835.0058647504*((RANDBETWEEN(1620,2416)))</f>
        <v>62471893.653139018</v>
      </c>
      <c r="B5590">
        <v>147341764.30499896</v>
      </c>
    </row>
    <row r="5591" spans="1:2" x14ac:dyDescent="0.25">
      <c r="A5591">
        <f ca="1">31809.6584085385*((RANDBETWEEN(1620,2416)))</f>
        <v>76565847.789352268</v>
      </c>
      <c r="B5591">
        <v>165176938.36805558</v>
      </c>
    </row>
    <row r="5592" spans="1:2" x14ac:dyDescent="0.25">
      <c r="A5592">
        <f ca="1">27433.0328503861*((RANDBETWEEN(1620,2416)))</f>
        <v>57828833.248613872</v>
      </c>
      <c r="B5592">
        <v>165562335.25044715</v>
      </c>
    </row>
    <row r="5593" spans="1:2" x14ac:dyDescent="0.25">
      <c r="A5593">
        <f ca="1">26075.0748237557*((RANDBETWEEN(1620,2416)))</f>
        <v>44379777.35003224</v>
      </c>
      <c r="B5593">
        <v>159805369.83839858</v>
      </c>
    </row>
    <row r="5594" spans="1:2" x14ac:dyDescent="0.25">
      <c r="A5594">
        <f ca="1">28231.8351258739*((RANDBETWEEN(1620,2416)))</f>
        <v>63493397.198090456</v>
      </c>
      <c r="B5594">
        <v>170575193.81863561</v>
      </c>
    </row>
    <row r="5595" spans="1:2" x14ac:dyDescent="0.25">
      <c r="A5595">
        <f ca="1">28086.8648062392*((RANDBETWEEN(1620,2416)))</f>
        <v>45584981.58052621</v>
      </c>
      <c r="B5595">
        <v>157077710.63867226</v>
      </c>
    </row>
    <row r="5596" spans="1:2" x14ac:dyDescent="0.25">
      <c r="A5596">
        <f ca="1">28742.5552416486*((RANDBETWEEN(1620,2416)))</f>
        <v>63348591.752593555</v>
      </c>
      <c r="B5596">
        <v>165377535.0466935</v>
      </c>
    </row>
    <row r="5597" spans="1:2" x14ac:dyDescent="0.25">
      <c r="A5597">
        <f ca="1">25528.8106781771*((RANDBETWEEN(1620,2416)))</f>
        <v>59992705.093716078</v>
      </c>
      <c r="B5597">
        <v>153583252.0332067</v>
      </c>
    </row>
    <row r="5598" spans="1:2" x14ac:dyDescent="0.25">
      <c r="A5598">
        <f ca="1">27742.5724418981*((RANDBETWEEN(1620,2416)))</f>
        <v>64445995.782529384</v>
      </c>
      <c r="B5598">
        <v>175265240.76107469</v>
      </c>
    </row>
    <row r="5599" spans="1:2" x14ac:dyDescent="0.25">
      <c r="A5599">
        <f ca="1">30382.3037055392*((RANDBETWEEN(1620,2416)))</f>
        <v>49614301.9511455</v>
      </c>
      <c r="B5599">
        <v>158397072.50877133</v>
      </c>
    </row>
    <row r="5600" spans="1:2" x14ac:dyDescent="0.25">
      <c r="A5600">
        <f ca="1">27229.9275774308*((RANDBETWEEN(1620,2416)))</f>
        <v>62792212.993555427</v>
      </c>
      <c r="B5600">
        <v>160194846.59533036</v>
      </c>
    </row>
    <row r="5601" spans="1:2" x14ac:dyDescent="0.25">
      <c r="A5601">
        <f ca="1">27355.9622711735*((RANDBETWEEN(1620,2416)))</f>
        <v>60101049.109768264</v>
      </c>
      <c r="B5601">
        <v>189054567.26009026</v>
      </c>
    </row>
    <row r="5602" spans="1:2" x14ac:dyDescent="0.25">
      <c r="A5602">
        <f ca="1">31490.7440526084*((RANDBETWEEN(1620,2416)))</f>
        <v>57124209.711431645</v>
      </c>
      <c r="B5602">
        <v>193274790.55985731</v>
      </c>
    </row>
    <row r="5603" spans="1:2" x14ac:dyDescent="0.25">
      <c r="A5603">
        <f ca="1">27391.7818007256*((RANDBETWEEN(1620,2416)))</f>
        <v>45662100.261809625</v>
      </c>
      <c r="B5603">
        <v>160747359.66579801</v>
      </c>
    </row>
    <row r="5604" spans="1:2" x14ac:dyDescent="0.25">
      <c r="A5604">
        <f ca="1">26208.2658159623*((RANDBETWEEN(1620,2416)))</f>
        <v>43243638.596337855</v>
      </c>
      <c r="B5604">
        <v>203236179.17986274</v>
      </c>
    </row>
    <row r="5605" spans="1:2" x14ac:dyDescent="0.25">
      <c r="A5605">
        <f ca="1">28205.9469018235*((RANDBETWEEN(1620,2416)))</f>
        <v>48880905.980860181</v>
      </c>
      <c r="B5605">
        <v>195274102.00619</v>
      </c>
    </row>
    <row r="5606" spans="1:2" x14ac:dyDescent="0.25">
      <c r="A5606">
        <f ca="1">29609.5787643373*((RANDBETWEEN(1620,2416)))</f>
        <v>70618845.352944389</v>
      </c>
      <c r="B5606">
        <v>147997045.00201377</v>
      </c>
    </row>
    <row r="5607" spans="1:2" x14ac:dyDescent="0.25">
      <c r="A5607">
        <f ca="1">27338.0815418573*((RANDBETWEEN(1620,2416)))</f>
        <v>55222924.714551724</v>
      </c>
      <c r="B5607">
        <v>170763716.22839716</v>
      </c>
    </row>
    <row r="5608" spans="1:2" x14ac:dyDescent="0.25">
      <c r="A5608">
        <f ca="1">25851.3388179934*((RANDBETWEEN(1620,2416)))</f>
        <v>46222193.806572191</v>
      </c>
      <c r="B5608">
        <v>162078961.13459605</v>
      </c>
    </row>
    <row r="5609" spans="1:2" x14ac:dyDescent="0.25">
      <c r="A5609">
        <f ca="1">28520.0506434431*((RANDBETWEEN(1620,2416)))</f>
        <v>63200432.225869857</v>
      </c>
      <c r="B5609">
        <v>159470862.33992574</v>
      </c>
    </row>
    <row r="5610" spans="1:2" x14ac:dyDescent="0.25">
      <c r="A5610">
        <f ca="1">28077.9608385622*((RANDBETWEEN(1620,2416)))</f>
        <v>47872923.229748547</v>
      </c>
      <c r="B5610">
        <v>160075674.41819394</v>
      </c>
    </row>
    <row r="5611" spans="1:2" x14ac:dyDescent="0.25">
      <c r="A5611">
        <f ca="1">33070.4338565484*((RANDBETWEEN(1620,2416)))</f>
        <v>70704587.585300401</v>
      </c>
      <c r="B5611">
        <v>172054277.21039185</v>
      </c>
    </row>
    <row r="5612" spans="1:2" x14ac:dyDescent="0.25">
      <c r="A5612">
        <f ca="1">26744.9903838914*((RANDBETWEEN(1620,2416)))</f>
        <v>59855288.479149021</v>
      </c>
      <c r="B5612">
        <v>148079448.19405854</v>
      </c>
    </row>
    <row r="5613" spans="1:2" x14ac:dyDescent="0.25">
      <c r="A5613">
        <f ca="1">27721.2233707397*((RANDBETWEEN(1620,2416)))</f>
        <v>53280191.31856174</v>
      </c>
      <c r="B5613">
        <v>168220477.28159374</v>
      </c>
    </row>
    <row r="5614" spans="1:2" x14ac:dyDescent="0.25">
      <c r="A5614">
        <f ca="1">24216.95836552*((RANDBETWEEN(1620,2416)))</f>
        <v>42646063.681680709</v>
      </c>
      <c r="B5614">
        <v>144728738.4252311</v>
      </c>
    </row>
    <row r="5615" spans="1:2" x14ac:dyDescent="0.25">
      <c r="A5615">
        <f ca="1">26578.6482975076*((RANDBETWEEN(1620,2416)))</f>
        <v>58180661.123244159</v>
      </c>
      <c r="B5615">
        <v>197933789.38331056</v>
      </c>
    </row>
    <row r="5616" spans="1:2" x14ac:dyDescent="0.25">
      <c r="A5616">
        <f ca="1">31884.0847010405*((RANDBETWEEN(1620,2416)))</f>
        <v>73365278.897094071</v>
      </c>
      <c r="B5616">
        <v>176947403.21636921</v>
      </c>
    </row>
    <row r="5617" spans="1:2" x14ac:dyDescent="0.25">
      <c r="A5617">
        <f ca="1">25967.8574196011*((RANDBETWEEN(1620,2416)))</f>
        <v>46118914.777211472</v>
      </c>
      <c r="B5617">
        <v>157725180.49348152</v>
      </c>
    </row>
    <row r="5618" spans="1:2" x14ac:dyDescent="0.25">
      <c r="A5618">
        <f ca="1">26624.9819120595*((RANDBETWEEN(1620,2416)))</f>
        <v>43798095.245337866</v>
      </c>
      <c r="B5618">
        <v>197224243.35457087</v>
      </c>
    </row>
    <row r="5619" spans="1:2" x14ac:dyDescent="0.25">
      <c r="A5619">
        <f ca="1">32368.8094218027*((RANDBETWEEN(1620,2416)))</f>
        <v>55706721.01492241</v>
      </c>
      <c r="B5619">
        <v>202275279.46940735</v>
      </c>
    </row>
    <row r="5620" spans="1:2" x14ac:dyDescent="0.25">
      <c r="A5620">
        <f ca="1">28803.3521800415*((RANDBETWEEN(1620,2416)))</f>
        <v>54467138.972458549</v>
      </c>
      <c r="B5620">
        <v>185710821.57907739</v>
      </c>
    </row>
    <row r="5621" spans="1:2" x14ac:dyDescent="0.25">
      <c r="A5621">
        <f ca="1">31012.9812822374*((RANDBETWEEN(1620,2416)))</f>
        <v>53218275.880319349</v>
      </c>
      <c r="B5621">
        <v>176591694.73021016</v>
      </c>
    </row>
    <row r="5622" spans="1:2" x14ac:dyDescent="0.25">
      <c r="A5622">
        <f ca="1">26689.339566613*((RANDBETWEEN(1620,2416)))</f>
        <v>60878383.551444247</v>
      </c>
      <c r="B5622">
        <v>145155966.92700595</v>
      </c>
    </row>
    <row r="5623" spans="1:2" x14ac:dyDescent="0.25">
      <c r="A5623">
        <f ca="1">25996.226319063*((RANDBETWEEN(1620,2416)))</f>
        <v>58751471.481082343</v>
      </c>
      <c r="B5623">
        <v>199789648.14749047</v>
      </c>
    </row>
    <row r="5624" spans="1:2" x14ac:dyDescent="0.25">
      <c r="A5624">
        <f ca="1">27388.9546067505*((RANDBETWEEN(1620,2416)))</f>
        <v>44917885.555070877</v>
      </c>
      <c r="B5624">
        <v>184167103.5509074</v>
      </c>
    </row>
    <row r="5625" spans="1:2" x14ac:dyDescent="0.25">
      <c r="A5625">
        <f ca="1">26108.4960991665*((RANDBETWEEN(1620,2416)))</f>
        <v>52425860.16712641</v>
      </c>
      <c r="B5625">
        <v>146573991.79468927</v>
      </c>
    </row>
    <row r="5626" spans="1:2" x14ac:dyDescent="0.25">
      <c r="A5626">
        <f ca="1">27917.6816016899*((RANDBETWEEN(1620,2416)))</f>
        <v>60441780.66765853</v>
      </c>
      <c r="B5626">
        <v>179023481.9301317</v>
      </c>
    </row>
    <row r="5627" spans="1:2" x14ac:dyDescent="0.25">
      <c r="A5627">
        <f ca="1">26280.9002123112*((RANDBETWEEN(1620,2416)))</f>
        <v>61076812.093411155</v>
      </c>
      <c r="B5627">
        <v>143686394.09915581</v>
      </c>
    </row>
    <row r="5628" spans="1:2" x14ac:dyDescent="0.25">
      <c r="A5628">
        <f ca="1">26747.1409260181*((RANDBETWEEN(1620,2416)))</f>
        <v>49589199.276837543</v>
      </c>
      <c r="B5628">
        <v>150287243.68423307</v>
      </c>
    </row>
    <row r="5629" spans="1:2" x14ac:dyDescent="0.25">
      <c r="A5629">
        <f ca="1">34050.050867428*((RANDBETWEEN(1620,2416)))</f>
        <v>81924422.387031749</v>
      </c>
      <c r="B5629">
        <v>177138793.74946511</v>
      </c>
    </row>
    <row r="5630" spans="1:2" x14ac:dyDescent="0.25">
      <c r="A5630">
        <f ca="1">31078.1196336111*((RANDBETWEEN(1620,2416)))</f>
        <v>55039349.871125221</v>
      </c>
      <c r="B5630">
        <v>176326193.71821791</v>
      </c>
    </row>
    <row r="5631" spans="1:2" x14ac:dyDescent="0.25">
      <c r="A5631">
        <f ca="1">28605.5891577271*((RANDBETWEEN(1620,2416)))</f>
        <v>46684321.505410589</v>
      </c>
      <c r="B5631">
        <v>161393412.65088731</v>
      </c>
    </row>
    <row r="5632" spans="1:2" x14ac:dyDescent="0.25">
      <c r="A5632">
        <f ca="1">27160.6601172539*((RANDBETWEEN(1620,2416)))</f>
        <v>65239905.601643965</v>
      </c>
      <c r="B5632">
        <v>194595681.3977977</v>
      </c>
    </row>
    <row r="5633" spans="1:2" x14ac:dyDescent="0.25">
      <c r="A5633">
        <f ca="1">28402.6420015106*((RANDBETWEEN(1620,2416)))</f>
        <v>59446729.709161669</v>
      </c>
      <c r="B5633">
        <v>147159346.70055458</v>
      </c>
    </row>
    <row r="5634" spans="1:2" x14ac:dyDescent="0.25">
      <c r="A5634">
        <f ca="1">28042.4447568004*((RANDBETWEEN(1620,2416)))</f>
        <v>57963733.312306464</v>
      </c>
      <c r="B5634">
        <v>149189931.53402945</v>
      </c>
    </row>
    <row r="5635" spans="1:2" x14ac:dyDescent="0.25">
      <c r="A5635">
        <f ca="1">27511.3345725211*((RANDBETWEEN(1620,2416)))</f>
        <v>65559510.286317892</v>
      </c>
      <c r="B5635">
        <v>185524386.10618129</v>
      </c>
    </row>
    <row r="5636" spans="1:2" x14ac:dyDescent="0.25">
      <c r="A5636">
        <f ca="1">25645.4538847317*((RANDBETWEEN(1620,2416)))</f>
        <v>45828426.092015482</v>
      </c>
      <c r="B5636">
        <v>152958328.43371096</v>
      </c>
    </row>
    <row r="5637" spans="1:2" x14ac:dyDescent="0.25">
      <c r="A5637">
        <f ca="1">26820.919123418*((RANDBETWEEN(1620,2416)))</f>
        <v>44978681.369972043</v>
      </c>
      <c r="B5637">
        <v>166116049.48898849</v>
      </c>
    </row>
    <row r="5638" spans="1:2" x14ac:dyDescent="0.25">
      <c r="A5638">
        <f ca="1">26815.5873566219*((RANDBETWEEN(1620,2416)))</f>
        <v>46203257.01545959</v>
      </c>
      <c r="B5638">
        <v>146936658.64742845</v>
      </c>
    </row>
    <row r="5639" spans="1:2" x14ac:dyDescent="0.25">
      <c r="A5639">
        <f ca="1">29988.6124962339*((RANDBETWEEN(1620,2416)))</f>
        <v>63186006.529564857</v>
      </c>
      <c r="B5639">
        <v>189760453.94745293</v>
      </c>
    </row>
    <row r="5640" spans="1:2" x14ac:dyDescent="0.25">
      <c r="A5640">
        <f ca="1">27220.715889901*((RANDBETWEEN(1620,2416)))</f>
        <v>58470097.731507324</v>
      </c>
      <c r="B5640">
        <v>182418673.6937241</v>
      </c>
    </row>
    <row r="5641" spans="1:2" x14ac:dyDescent="0.25">
      <c r="A5641">
        <f ca="1">27698.9737617832*((RANDBETWEEN(1620,2416)))</f>
        <v>52295662.462246753</v>
      </c>
      <c r="B5641">
        <v>158896005.75884449</v>
      </c>
    </row>
    <row r="5642" spans="1:2" x14ac:dyDescent="0.25">
      <c r="A5642">
        <f ca="1">31973.8754247452*((RANDBETWEEN(1620,2416)))</f>
        <v>68328171.782680556</v>
      </c>
      <c r="B5642">
        <v>203473556.01740521</v>
      </c>
    </row>
    <row r="5643" spans="1:2" x14ac:dyDescent="0.25">
      <c r="A5643">
        <f ca="1">31688.9328243337*((RANDBETWEEN(1620,2416)))</f>
        <v>74690814.666954458</v>
      </c>
      <c r="B5643">
        <v>198919270.51348412</v>
      </c>
    </row>
    <row r="5644" spans="1:2" x14ac:dyDescent="0.25">
      <c r="A5644">
        <f ca="1">26906.5390001639*((RANDBETWEEN(1620,2416)))</f>
        <v>59167479.261360444</v>
      </c>
      <c r="B5644">
        <v>148813174.86556143</v>
      </c>
    </row>
    <row r="5645" spans="1:2" x14ac:dyDescent="0.25">
      <c r="A5645">
        <f ca="1">27385.8487902922*((RANDBETWEEN(1620,2416)))</f>
        <v>48719424.997929901</v>
      </c>
      <c r="B5645">
        <v>146987532.23709187</v>
      </c>
    </row>
    <row r="5646" spans="1:2" x14ac:dyDescent="0.25">
      <c r="A5646">
        <f ca="1">31759.5529748708*((RANDBETWEEN(1620,2416)))</f>
        <v>56182649.212546445</v>
      </c>
      <c r="B5646">
        <v>176242063.27591342</v>
      </c>
    </row>
    <row r="5647" spans="1:2" x14ac:dyDescent="0.25">
      <c r="A5647">
        <f ca="1">27034.9954194912*((RANDBETWEEN(1620,2416)))</f>
        <v>49447006.622249454</v>
      </c>
      <c r="B5647">
        <v>183350055.66911152</v>
      </c>
    </row>
    <row r="5648" spans="1:2" x14ac:dyDescent="0.25">
      <c r="A5648">
        <f ca="1">26673.3261040664*((RANDBETWEEN(1620,2416)))</f>
        <v>58521277.472321592</v>
      </c>
      <c r="B5648">
        <v>175863847.55537999</v>
      </c>
    </row>
    <row r="5649" spans="1:2" x14ac:dyDescent="0.25">
      <c r="A5649">
        <f ca="1">27592.8269652775*((RANDBETWEEN(1620,2416)))</f>
        <v>63049609.615659155</v>
      </c>
      <c r="B5649">
        <v>157464841.07886887</v>
      </c>
    </row>
    <row r="5650" spans="1:2" x14ac:dyDescent="0.25">
      <c r="A5650">
        <f ca="1">26668.940999496*((RANDBETWEEN(1620,2416)))</f>
        <v>46617308.867118999</v>
      </c>
      <c r="B5650">
        <v>170424794.93504274</v>
      </c>
    </row>
    <row r="5651" spans="1:2" x14ac:dyDescent="0.25">
      <c r="A5651">
        <f ca="1">28698.0299812669*((RANDBETWEEN(1620,2416)))</f>
        <v>66579429.556539223</v>
      </c>
      <c r="B5651">
        <v>143908377.00732362</v>
      </c>
    </row>
    <row r="5652" spans="1:2" x14ac:dyDescent="0.25">
      <c r="A5652">
        <f ca="1">26635.9667855717*((RANDBETWEEN(1620,2416)))</f>
        <v>59025302.39682699</v>
      </c>
      <c r="B5652">
        <v>176272695.51761645</v>
      </c>
    </row>
    <row r="5653" spans="1:2" x14ac:dyDescent="0.25">
      <c r="A5653">
        <f ca="1">27532.9604831144*((RANDBETWEEN(1620,2416)))</f>
        <v>47384224.991439812</v>
      </c>
      <c r="B5653">
        <v>152910917.00432003</v>
      </c>
    </row>
    <row r="5654" spans="1:2" x14ac:dyDescent="0.25">
      <c r="A5654">
        <f ca="1">26854.9185341585*((RANDBETWEEN(1620,2416)))</f>
        <v>44740294.277908094</v>
      </c>
      <c r="B5654">
        <v>164954497.01659894</v>
      </c>
    </row>
    <row r="5655" spans="1:2" x14ac:dyDescent="0.25">
      <c r="A5655">
        <f ca="1">26266.1366820576*((RANDBETWEEN(1620,2416)))</f>
        <v>60201985.27527602</v>
      </c>
      <c r="B5655">
        <v>193362106.05618864</v>
      </c>
    </row>
    <row r="5656" spans="1:2" x14ac:dyDescent="0.25">
      <c r="A5656">
        <f ca="1">27820.3231388178*((RANDBETWEEN(1620,2416)))</f>
        <v>49464534.540818073</v>
      </c>
      <c r="B5656">
        <v>179401769.70360136</v>
      </c>
    </row>
    <row r="5657" spans="1:2" x14ac:dyDescent="0.25">
      <c r="A5657">
        <f ca="1">27551.3190162822*((RANDBETWEEN(1620,2416)))</f>
        <v>63588444.289579406</v>
      </c>
      <c r="B5657">
        <v>172932579.80751437</v>
      </c>
    </row>
    <row r="5658" spans="1:2" x14ac:dyDescent="0.25">
      <c r="A5658">
        <f ca="1">26705.0446724421*((RANDBETWEEN(1620,2416)))</f>
        <v>50979930.279691927</v>
      </c>
      <c r="B5658">
        <v>162935253.7457172</v>
      </c>
    </row>
    <row r="5659" spans="1:2" x14ac:dyDescent="0.25">
      <c r="A5659">
        <f ca="1">27199.4816995124*((RANDBETWEEN(1620,2416)))</f>
        <v>57798898.61146383</v>
      </c>
      <c r="B5659">
        <v>152876827.32462639</v>
      </c>
    </row>
    <row r="5660" spans="1:2" x14ac:dyDescent="0.25">
      <c r="A5660">
        <f ca="1">31939.4150973469*((RANDBETWEEN(1620,2416)))</f>
        <v>60078039.798109598</v>
      </c>
      <c r="B5660">
        <v>172552414.50117075</v>
      </c>
    </row>
    <row r="5661" spans="1:2" x14ac:dyDescent="0.25">
      <c r="A5661">
        <f ca="1">29791.2851504512*((RANDBETWEEN(1620,2416)))</f>
        <v>63574602.511062838</v>
      </c>
      <c r="B5661">
        <v>171618424.81353453</v>
      </c>
    </row>
    <row r="5662" spans="1:2" x14ac:dyDescent="0.25">
      <c r="A5662">
        <f ca="1">26429.8838675797*((RANDBETWEEN(1620,2416)))</f>
        <v>45221531.297428817</v>
      </c>
      <c r="B5662">
        <v>176524337.72634968</v>
      </c>
    </row>
    <row r="5663" spans="1:2" x14ac:dyDescent="0.25">
      <c r="A5663">
        <f ca="1">26159.6825597695*((RANDBETWEEN(1620,2416)))</f>
        <v>50174271.149637952</v>
      </c>
      <c r="B5663">
        <v>166694040.06456965</v>
      </c>
    </row>
    <row r="5664" spans="1:2" x14ac:dyDescent="0.25">
      <c r="A5664">
        <f ca="1">25518.8320447337*((RANDBETWEEN(1620,2416)))</f>
        <v>57442890.932695545</v>
      </c>
      <c r="B5664">
        <v>203120903.87475261</v>
      </c>
    </row>
    <row r="5665" spans="1:2" x14ac:dyDescent="0.25">
      <c r="A5665">
        <f ca="1">28876.2558818506*((RANDBETWEEN(1620,2416)))</f>
        <v>65404719.572391607</v>
      </c>
      <c r="B5665">
        <v>180047242.36637005</v>
      </c>
    </row>
    <row r="5666" spans="1:2" x14ac:dyDescent="0.25">
      <c r="A5666">
        <f ca="1">27632.4049558418*((RANDBETWEEN(1620,2416)))</f>
        <v>52722628.655746125</v>
      </c>
      <c r="B5666">
        <v>150240793.78882509</v>
      </c>
    </row>
    <row r="5667" spans="1:2" x14ac:dyDescent="0.25">
      <c r="A5667">
        <f ca="1">27219.0931172985*((RANDBETWEEN(1620,2416)))</f>
        <v>54764815.35200461</v>
      </c>
      <c r="B5667">
        <v>193707080.80641299</v>
      </c>
    </row>
    <row r="5668" spans="1:2" x14ac:dyDescent="0.25">
      <c r="A5668">
        <f ca="1">31732.6672294826*((RANDBETWEEN(1620,2416)))</f>
        <v>53215682.943842292</v>
      </c>
      <c r="B5668">
        <v>196066174.00974157</v>
      </c>
    </row>
    <row r="5669" spans="1:2" x14ac:dyDescent="0.25">
      <c r="A5669">
        <f ca="1">26773.442939028*((RANDBETWEEN(1620,2416)))</f>
        <v>47335447.116201572</v>
      </c>
      <c r="B5669">
        <v>158380578.5104529</v>
      </c>
    </row>
    <row r="5670" spans="1:2" x14ac:dyDescent="0.25">
      <c r="A5670">
        <f ca="1">29454.6712397267*((RANDBETWEEN(1620,2416)))</f>
        <v>66420283.645583607</v>
      </c>
      <c r="B5670">
        <v>157634381.19937989</v>
      </c>
    </row>
    <row r="5671" spans="1:2" x14ac:dyDescent="0.25">
      <c r="A5671">
        <f ca="1">25230.9482043661*((RANDBETWEEN(1620,2416)))</f>
        <v>41479678.847977936</v>
      </c>
      <c r="B5671">
        <v>183309333.53188613</v>
      </c>
    </row>
    <row r="5672" spans="1:2" x14ac:dyDescent="0.25">
      <c r="A5672">
        <f ca="1">32430.7944949115*((RANDBETWEEN(1620,2416)))</f>
        <v>73974642.242893159</v>
      </c>
      <c r="B5672">
        <v>175112983.69266897</v>
      </c>
    </row>
    <row r="5673" spans="1:2" x14ac:dyDescent="0.25">
      <c r="A5673">
        <f ca="1">26421.7006179224*((RANDBETWEEN(1620,2416)))</f>
        <v>49619953.760458209</v>
      </c>
      <c r="B5673">
        <v>143937510.18477222</v>
      </c>
    </row>
    <row r="5674" spans="1:2" x14ac:dyDescent="0.25">
      <c r="A5674">
        <f ca="1">31454.9309310207*((RANDBETWEEN(1620,2416)))</f>
        <v>70805049.52572763</v>
      </c>
      <c r="B5674">
        <v>189650972.47400531</v>
      </c>
    </row>
    <row r="5675" spans="1:2" x14ac:dyDescent="0.25">
      <c r="A5675">
        <f ca="1">25704.4737982658*((RANDBETWEEN(1620,2416)))</f>
        <v>59634379.211976759</v>
      </c>
      <c r="B5675">
        <v>183206783.42844903</v>
      </c>
    </row>
    <row r="5676" spans="1:2" x14ac:dyDescent="0.25">
      <c r="A5676">
        <f ca="1">31200.2610109332*((RANDBETWEEN(1620,2416)))</f>
        <v>74225420.945010141</v>
      </c>
      <c r="B5676">
        <v>157652062.75364977</v>
      </c>
    </row>
    <row r="5677" spans="1:2" x14ac:dyDescent="0.25">
      <c r="A5677">
        <f ca="1">29582.7849041416*((RANDBETWEEN(1620,2416)))</f>
        <v>67360001.226730466</v>
      </c>
      <c r="B5677">
        <v>186227315.6335735</v>
      </c>
    </row>
    <row r="5678" spans="1:2" x14ac:dyDescent="0.25">
      <c r="A5678">
        <f ca="1">27680.6975992237*((RANDBETWEEN(1620,2416)))</f>
        <v>58378591.236762889</v>
      </c>
      <c r="B5678">
        <v>166390793.39178926</v>
      </c>
    </row>
    <row r="5679" spans="1:2" x14ac:dyDescent="0.25">
      <c r="A5679">
        <f ca="1">30235.1806251413*((RANDBETWEEN(1620,2416)))</f>
        <v>51369571.882115021</v>
      </c>
      <c r="B5679">
        <v>161690285.14361942</v>
      </c>
    </row>
    <row r="5680" spans="1:2" x14ac:dyDescent="0.25">
      <c r="A5680">
        <f ca="1">25463.3900853841*((RANDBETWEEN(1620,2416)))</f>
        <v>50264732.028548248</v>
      </c>
      <c r="B5680">
        <v>145860920.12689257</v>
      </c>
    </row>
    <row r="5681" spans="1:2" x14ac:dyDescent="0.25">
      <c r="A5681">
        <f ca="1">28501.1142181121*((RANDBETWEEN(1620,2416)))</f>
        <v>66920616.184127174</v>
      </c>
      <c r="B5681">
        <v>159098390.67244622</v>
      </c>
    </row>
    <row r="5682" spans="1:2" x14ac:dyDescent="0.25">
      <c r="A5682">
        <f ca="1">27201.0286260894*((RANDBETWEEN(1620,2416)))</f>
        <v>60413484.578544639</v>
      </c>
      <c r="B5682">
        <v>154317617.42535138</v>
      </c>
    </row>
    <row r="5683" spans="1:2" x14ac:dyDescent="0.25">
      <c r="A5683">
        <f ca="1">26622.3069400212*((RANDBETWEEN(1620,2416)))</f>
        <v>61497529.031449042</v>
      </c>
      <c r="B5683">
        <v>149598433.75703964</v>
      </c>
    </row>
    <row r="5684" spans="1:2" x14ac:dyDescent="0.25">
      <c r="A5684">
        <f ca="1">26804.2335650408*((RANDBETWEEN(1620,2416)))</f>
        <v>50257937.934451483</v>
      </c>
      <c r="B5684">
        <v>170087652.94081119</v>
      </c>
    </row>
    <row r="5685" spans="1:2" x14ac:dyDescent="0.25">
      <c r="A5685">
        <f ca="1">29128.0913930594*((RANDBETWEEN(1620,2416)))</f>
        <v>59188281.710696608</v>
      </c>
      <c r="B5685">
        <v>168131713.77156085</v>
      </c>
    </row>
    <row r="5686" spans="1:2" x14ac:dyDescent="0.25">
      <c r="A5686">
        <f ca="1">33978.9477491608*((RANDBETWEEN(1620,2416)))</f>
        <v>63676548.081927255</v>
      </c>
      <c r="B5686">
        <v>194430912.38223433</v>
      </c>
    </row>
    <row r="5687" spans="1:2" x14ac:dyDescent="0.25">
      <c r="A5687">
        <f ca="1">28281.423161051*((RANDBETWEEN(1620,2416)))</f>
        <v>56675972.014746167</v>
      </c>
      <c r="B5687">
        <v>198837076.70665979</v>
      </c>
    </row>
    <row r="5688" spans="1:2" x14ac:dyDescent="0.25">
      <c r="A5688">
        <f ca="1">26047.1169735828*((RANDBETWEEN(1620,2416)))</f>
        <v>58111117.968063124</v>
      </c>
      <c r="B5688">
        <v>154434165.78426257</v>
      </c>
    </row>
    <row r="5689" spans="1:2" x14ac:dyDescent="0.25">
      <c r="A5689">
        <f ca="1">25953.869788619*((RANDBETWEEN(1620,2416)))</f>
        <v>51933693.447026543</v>
      </c>
      <c r="B5689">
        <v>160377606.13606352</v>
      </c>
    </row>
    <row r="5690" spans="1:2" x14ac:dyDescent="0.25">
      <c r="A5690">
        <f ca="1">27985.1449762977*((RANDBETWEEN(1620,2416)))</f>
        <v>65933001.564157344</v>
      </c>
      <c r="B5690">
        <v>197896981.39054742</v>
      </c>
    </row>
    <row r="5691" spans="1:2" x14ac:dyDescent="0.25">
      <c r="A5691">
        <f ca="1">25631.9092090064*((RANDBETWEEN(1620,2416)))</f>
        <v>48418676.495813012</v>
      </c>
      <c r="B5691">
        <v>196403434.87210846</v>
      </c>
    </row>
    <row r="5692" spans="1:2" x14ac:dyDescent="0.25">
      <c r="A5692">
        <f ca="1">30346.2454748692*((RANDBETWEEN(1620,2416)))</f>
        <v>60146258.531190693</v>
      </c>
      <c r="B5692">
        <v>161556135.78747776</v>
      </c>
    </row>
    <row r="5693" spans="1:2" x14ac:dyDescent="0.25">
      <c r="A5693">
        <f ca="1">28131.1161253263*((RANDBETWEEN(1620,2416)))</f>
        <v>57809443.637545444</v>
      </c>
      <c r="B5693">
        <v>150679978.75557643</v>
      </c>
    </row>
    <row r="5694" spans="1:2" x14ac:dyDescent="0.25">
      <c r="A5694">
        <f ca="1">26798.3343558785*((RANDBETWEEN(1620,2416)))</f>
        <v>51238415.288439684</v>
      </c>
      <c r="B5694">
        <v>163463137.99955654</v>
      </c>
    </row>
    <row r="5695" spans="1:2" x14ac:dyDescent="0.25">
      <c r="A5695">
        <f ca="1">27447.5401554574*((RANDBETWEEN(1620,2416)))</f>
        <v>45727601.898992084</v>
      </c>
      <c r="B5695">
        <v>170284107.16445643</v>
      </c>
    </row>
    <row r="5696" spans="1:2" x14ac:dyDescent="0.25">
      <c r="A5696">
        <f ca="1">26558.9157192931*((RANDBETWEEN(1620,2416)))</f>
        <v>47115516.486025907</v>
      </c>
      <c r="B5696">
        <v>148102617.59926039</v>
      </c>
    </row>
    <row r="5697" spans="1:2" x14ac:dyDescent="0.25">
      <c r="A5697">
        <f ca="1">25552.9946046455*((RANDBETWEEN(1620,2416)))</f>
        <v>60943892.132079557</v>
      </c>
      <c r="B5697">
        <v>201537799.27591842</v>
      </c>
    </row>
    <row r="5698" spans="1:2" x14ac:dyDescent="0.25">
      <c r="A5698">
        <f ca="1">29883.4507390785*((RANDBETWEEN(1620,2416)))</f>
        <v>66580328.246666871</v>
      </c>
      <c r="B5698">
        <v>180325082.65968674</v>
      </c>
    </row>
    <row r="5699" spans="1:2" x14ac:dyDescent="0.25">
      <c r="A5699">
        <f ca="1">27282.7201098659*((RANDBETWEEN(1620,2416)))</f>
        <v>47772042.912375204</v>
      </c>
      <c r="B5699">
        <v>194962078.83901772</v>
      </c>
    </row>
    <row r="5700" spans="1:2" x14ac:dyDescent="0.25">
      <c r="A5700">
        <f ca="1">26181.6023631868*((RANDBETWEEN(1620,2416)))</f>
        <v>44508724.017417639</v>
      </c>
      <c r="B5700">
        <v>162002522.43135375</v>
      </c>
    </row>
    <row r="5701" spans="1:2" x14ac:dyDescent="0.25">
      <c r="A5701">
        <f ca="1">32658.8578837778*((RANDBETWEEN(1620,2416)))</f>
        <v>65807598.635812342</v>
      </c>
      <c r="B5701">
        <v>163299969.47418347</v>
      </c>
    </row>
    <row r="5702" spans="1:2" x14ac:dyDescent="0.25">
      <c r="A5702">
        <f ca="1">31321.9730124046*((RANDBETWEEN(1620,2416)))</f>
        <v>57256566.666675545</v>
      </c>
      <c r="B5702">
        <v>192250081.21932921</v>
      </c>
    </row>
    <row r="5703" spans="1:2" x14ac:dyDescent="0.25">
      <c r="A5703">
        <f ca="1">28783.8222948659*((RANDBETWEEN(1620,2416)))</f>
        <v>47522090.608823679</v>
      </c>
      <c r="B5703">
        <v>175375259.60755694</v>
      </c>
    </row>
    <row r="5704" spans="1:2" x14ac:dyDescent="0.25">
      <c r="A5704">
        <f ca="1">32010.9586798594*((RANDBETWEEN(1620,2416)))</f>
        <v>75289774.815029413</v>
      </c>
      <c r="B5704">
        <v>178239454.76248151</v>
      </c>
    </row>
    <row r="5705" spans="1:2" x14ac:dyDescent="0.25">
      <c r="A5705">
        <f ca="1">26034.5579369071*((RANDBETWEEN(1620,2416)))</f>
        <v>62274662.585081771</v>
      </c>
      <c r="B5705">
        <v>146011106.19453964</v>
      </c>
    </row>
    <row r="5706" spans="1:2" x14ac:dyDescent="0.25">
      <c r="A5706">
        <f ca="1">25398.2468146967*((RANDBETWEEN(1620,2416)))</f>
        <v>47469323.296668164</v>
      </c>
      <c r="B5706">
        <v>144911479.94690448</v>
      </c>
    </row>
    <row r="5707" spans="1:2" x14ac:dyDescent="0.25">
      <c r="A5707">
        <f ca="1">26239.2534290644*((RANDBETWEEN(1620,2416)))</f>
        <v>47991594.521758877</v>
      </c>
      <c r="B5707">
        <v>162400107.24997658</v>
      </c>
    </row>
    <row r="5708" spans="1:2" x14ac:dyDescent="0.25">
      <c r="A5708">
        <f ca="1">31620.3184646648*((RANDBETWEEN(1620,2416)))</f>
        <v>73801823.296527669</v>
      </c>
      <c r="B5708">
        <v>191846202.61401197</v>
      </c>
    </row>
    <row r="5709" spans="1:2" x14ac:dyDescent="0.25">
      <c r="A5709">
        <f ca="1">27216.4212360623*((RANDBETWEEN(1620,2416)))</f>
        <v>54106245.417291932</v>
      </c>
      <c r="B5709">
        <v>201563776.52460682</v>
      </c>
    </row>
    <row r="5710" spans="1:2" x14ac:dyDescent="0.25">
      <c r="A5710">
        <f ca="1">27546.1365039595*((RANDBETWEEN(1620,2416)))</f>
        <v>52420297.767034851</v>
      </c>
      <c r="B5710">
        <v>163769529.73457083</v>
      </c>
    </row>
    <row r="5711" spans="1:2" x14ac:dyDescent="0.25">
      <c r="A5711">
        <f ca="1">30847.4052572577*((RANDBETWEEN(1620,2416)))</f>
        <v>69931067.718203187</v>
      </c>
      <c r="B5711">
        <v>147826018.24442422</v>
      </c>
    </row>
    <row r="5712" spans="1:2" x14ac:dyDescent="0.25">
      <c r="A5712">
        <f ca="1">26729.7212337318*((RANDBETWEEN(1620,2416)))</f>
        <v>44371337.247994818</v>
      </c>
      <c r="B5712">
        <v>145875106.89437512</v>
      </c>
    </row>
    <row r="5713" spans="1:2" x14ac:dyDescent="0.25">
      <c r="A5713">
        <f ca="1">25693.5045084949*((RANDBETWEEN(1620,2416)))</f>
        <v>42831072.015660994</v>
      </c>
      <c r="B5713">
        <v>142998025.88680705</v>
      </c>
    </row>
    <row r="5714" spans="1:2" x14ac:dyDescent="0.25">
      <c r="A5714">
        <f ca="1">30738.7381178271*((RANDBETWEEN(1620,2416)))</f>
        <v>51794773.728538714</v>
      </c>
      <c r="B5714">
        <v>155269975.46491599</v>
      </c>
    </row>
    <row r="5715" spans="1:2" x14ac:dyDescent="0.25">
      <c r="A5715">
        <f ca="1">26262.4438103369*((RANDBETWEEN(1620,2416)))</f>
        <v>42834045.85465955</v>
      </c>
      <c r="B5715">
        <v>146814679.36189032</v>
      </c>
    </row>
    <row r="5716" spans="1:2" x14ac:dyDescent="0.25">
      <c r="A5716">
        <f ca="1">26964.9564322466*((RANDBETWEEN(1620,2416)))</f>
        <v>46137040.455573983</v>
      </c>
      <c r="B5716">
        <v>152303480.67708868</v>
      </c>
    </row>
    <row r="5717" spans="1:2" x14ac:dyDescent="0.25">
      <c r="A5717">
        <f ca="1">27192.2827962497*((RANDBETWEEN(1620,2416)))</f>
        <v>44812882.048219532</v>
      </c>
      <c r="B5717">
        <v>146089614.96976343</v>
      </c>
    </row>
    <row r="5718" spans="1:2" x14ac:dyDescent="0.25">
      <c r="A5718">
        <f ca="1">27639.1984290701*((RANDBETWEEN(1620,2416)))</f>
        <v>64122940.355442703</v>
      </c>
      <c r="B5718">
        <v>197127386.20032501</v>
      </c>
    </row>
    <row r="5719" spans="1:2" x14ac:dyDescent="0.25">
      <c r="A5719">
        <f ca="1">29247.759603374*((RANDBETWEEN(1620,2416)))</f>
        <v>62619453.310823634</v>
      </c>
      <c r="B5719">
        <v>201821483.63218498</v>
      </c>
    </row>
    <row r="5720" spans="1:2" x14ac:dyDescent="0.25">
      <c r="A5720">
        <f ca="1">28291.2890323324*((RANDBETWEEN(1620,2416)))</f>
        <v>59043920.210477769</v>
      </c>
      <c r="B5720">
        <v>153927590.96093246</v>
      </c>
    </row>
    <row r="5721" spans="1:2" x14ac:dyDescent="0.25">
      <c r="A5721">
        <f ca="1">25535.9462469213*((RANDBETWEEN(1620,2416)))</f>
        <v>51684755.203768723</v>
      </c>
      <c r="B5721">
        <v>153931147.0759142</v>
      </c>
    </row>
    <row r="5722" spans="1:2" x14ac:dyDescent="0.25">
      <c r="A5722">
        <f ca="1">27599.2187746774*((RANDBETWEEN(1620,2416)))</f>
        <v>47857045.355290674</v>
      </c>
      <c r="B5722">
        <v>155211387.90157723</v>
      </c>
    </row>
    <row r="5723" spans="1:2" x14ac:dyDescent="0.25">
      <c r="A5723">
        <f ca="1">27306.1779635273*((RANDBETWEEN(1620,2416)))</f>
        <v>59527467.960489601</v>
      </c>
      <c r="B5723">
        <v>176668733.6492694</v>
      </c>
    </row>
    <row r="5724" spans="1:2" x14ac:dyDescent="0.25">
      <c r="A5724">
        <f ca="1">27605.3906689041*((RANDBETWEEN(1620,2416)))</f>
        <v>56287391.573895387</v>
      </c>
      <c r="B5724">
        <v>181450320.72803292</v>
      </c>
    </row>
    <row r="5725" spans="1:2" x14ac:dyDescent="0.25">
      <c r="A5725">
        <f ca="1">26819.8926651439*((RANDBETWEEN(1620,2416)))</f>
        <v>44279642.790152512</v>
      </c>
      <c r="B5725">
        <v>159336467.16580966</v>
      </c>
    </row>
    <row r="5726" spans="1:2" x14ac:dyDescent="0.25">
      <c r="A5726">
        <f ca="1">30470.3318772903*((RANDBETWEEN(1620,2416)))</f>
        <v>62951705.658481762</v>
      </c>
      <c r="B5726">
        <v>178382207.6697278</v>
      </c>
    </row>
    <row r="5727" spans="1:2" x14ac:dyDescent="0.25">
      <c r="A5727">
        <f ca="1">26367.7225155515*((RANDBETWEEN(1620,2416)))</f>
        <v>55846836.287938043</v>
      </c>
      <c r="B5727">
        <v>155553368.50283614</v>
      </c>
    </row>
    <row r="5728" spans="1:2" x14ac:dyDescent="0.25">
      <c r="A5728">
        <f ca="1">31084.0313481034*((RANDBETWEEN(1620,2416)))</f>
        <v>55547164.019060835</v>
      </c>
      <c r="B5728">
        <v>164061743.54904929</v>
      </c>
    </row>
    <row r="5729" spans="1:2" x14ac:dyDescent="0.25">
      <c r="A5729">
        <f ca="1">27335.6340768175*((RANDBETWEEN(1620,2416)))</f>
        <v>58416250.022158913</v>
      </c>
      <c r="B5729">
        <v>165843233.95034152</v>
      </c>
    </row>
    <row r="5730" spans="1:2" x14ac:dyDescent="0.25">
      <c r="A5730">
        <f ca="1">29561.3763428022*((RANDBETWEEN(1620,2416)))</f>
        <v>60453014.621030442</v>
      </c>
      <c r="B5730">
        <v>155886965.8096512</v>
      </c>
    </row>
    <row r="5731" spans="1:2" x14ac:dyDescent="0.25">
      <c r="A5731">
        <f ca="1">32929.0946627728*((RANDBETWEEN(1620,2416)))</f>
        <v>69184027.886485681</v>
      </c>
      <c r="B5731">
        <v>168739734.41253263</v>
      </c>
    </row>
    <row r="5732" spans="1:2" x14ac:dyDescent="0.25">
      <c r="A5732">
        <f ca="1">30063.0252089177*((RANDBETWEEN(1620,2416)))</f>
        <v>60516869.745551378</v>
      </c>
      <c r="B5732">
        <v>143274955.28350145</v>
      </c>
    </row>
    <row r="5733" spans="1:2" x14ac:dyDescent="0.25">
      <c r="A5733">
        <f ca="1">28948.7275489725*((RANDBETWEEN(1620,2416)))</f>
        <v>68405843.198221952</v>
      </c>
      <c r="B5733">
        <v>171477532.33536598</v>
      </c>
    </row>
    <row r="5734" spans="1:2" x14ac:dyDescent="0.25">
      <c r="A5734">
        <f ca="1">26412.6318016013*((RANDBETWEEN(1620,2416)))</f>
        <v>45984391.966587812</v>
      </c>
      <c r="B5734">
        <v>147708348.51377383</v>
      </c>
    </row>
    <row r="5735" spans="1:2" x14ac:dyDescent="0.25">
      <c r="A5735">
        <f ca="1">28187.5781181949*((RANDBETWEEN(1620,2416)))</f>
        <v>60772418.422828205</v>
      </c>
      <c r="B5735">
        <v>169150038.92071</v>
      </c>
    </row>
    <row r="5736" spans="1:2" x14ac:dyDescent="0.25">
      <c r="A5736">
        <f ca="1">28047.4132236126*((RANDBETWEEN(1620,2416)))</f>
        <v>58562998.810903095</v>
      </c>
      <c r="B5736">
        <v>187000199.72121769</v>
      </c>
    </row>
    <row r="5737" spans="1:2" x14ac:dyDescent="0.25">
      <c r="A5737">
        <f ca="1">26624.1328829847*((RANDBETWEEN(1620,2416)))</f>
        <v>51597569.52722434</v>
      </c>
      <c r="B5737">
        <v>188862912.71491194</v>
      </c>
    </row>
    <row r="5738" spans="1:2" x14ac:dyDescent="0.25">
      <c r="A5738">
        <f ca="1">26715.7025588373*((RANDBETWEEN(1620,2416)))</f>
        <v>64277980.356562704</v>
      </c>
      <c r="B5738">
        <v>152713450.49982697</v>
      </c>
    </row>
    <row r="5739" spans="1:2" x14ac:dyDescent="0.25">
      <c r="A5739">
        <f ca="1">27480.5003917938*((RANDBETWEEN(1620,2416)))</f>
        <v>52652638.750676893</v>
      </c>
      <c r="B5739">
        <v>173970293.61512852</v>
      </c>
    </row>
    <row r="5740" spans="1:2" x14ac:dyDescent="0.25">
      <c r="A5740">
        <f ca="1">28216.7044979368*((RANDBETWEEN(1620,2416)))</f>
        <v>57957111.038762286</v>
      </c>
      <c r="B5740">
        <v>153183474.32585999</v>
      </c>
    </row>
    <row r="5741" spans="1:2" x14ac:dyDescent="0.25">
      <c r="A5741">
        <f ca="1">26428.4396582276*((RANDBETWEEN(1620,2416)))</f>
        <v>43104785.082569174</v>
      </c>
      <c r="B5741">
        <v>157194804.8862313</v>
      </c>
    </row>
    <row r="5742" spans="1:2" x14ac:dyDescent="0.25">
      <c r="A5742">
        <f ca="1">30964.179334796*((RANDBETWEEN(1620,2416)))</f>
        <v>60504006.420191392</v>
      </c>
      <c r="B5742">
        <v>160410038.32851145</v>
      </c>
    </row>
    <row r="5743" spans="1:2" x14ac:dyDescent="0.25">
      <c r="A5743">
        <f ca="1">27459.45414807*((RANDBETWEEN(1620,2416)))</f>
        <v>50086044.366079688</v>
      </c>
      <c r="B5743">
        <v>151888407.20243269</v>
      </c>
    </row>
    <row r="5744" spans="1:2" x14ac:dyDescent="0.25">
      <c r="A5744">
        <f ca="1">27908.2894856416*((RANDBETWEEN(1620,2416)))</f>
        <v>49565122.126499541</v>
      </c>
      <c r="B5744">
        <v>197988638.44281894</v>
      </c>
    </row>
    <row r="5745" spans="1:2" x14ac:dyDescent="0.25">
      <c r="A5745">
        <f ca="1">26645.3850711057*((RANDBETWEEN(1620,2416)))</f>
        <v>61710711.824680872</v>
      </c>
      <c r="B5745">
        <v>148973914.50518516</v>
      </c>
    </row>
    <row r="5746" spans="1:2" x14ac:dyDescent="0.25">
      <c r="A5746">
        <f ca="1">29265.3225913922*((RANDBETWEEN(1620,2416)))</f>
        <v>69768529.057878911</v>
      </c>
      <c r="B5746">
        <v>162144729.85596475</v>
      </c>
    </row>
    <row r="5747" spans="1:2" x14ac:dyDescent="0.25">
      <c r="A5747">
        <f ca="1">27622.2887401608*((RANDBETWEEN(1620,2416)))</f>
        <v>55272199.769061819</v>
      </c>
      <c r="B5747">
        <v>199165746.95381662</v>
      </c>
    </row>
    <row r="5748" spans="1:2" x14ac:dyDescent="0.25">
      <c r="A5748">
        <f ca="1">28490.0486465351*((RANDBETWEEN(1620,2416)))</f>
        <v>53675251.650072068</v>
      </c>
      <c r="B5748">
        <v>184988231.60765567</v>
      </c>
    </row>
    <row r="5749" spans="1:2" x14ac:dyDescent="0.25">
      <c r="A5749">
        <f ca="1">27337.4644726652*((RANDBETWEEN(1620,2416)))</f>
        <v>62520781.248985387</v>
      </c>
      <c r="B5749">
        <v>153472944.69096789</v>
      </c>
    </row>
    <row r="5750" spans="1:2" x14ac:dyDescent="0.25">
      <c r="A5750">
        <f ca="1">26813.4634878516*((RANDBETWEEN(1620,2416)))</f>
        <v>59150500.454200737</v>
      </c>
      <c r="B5750">
        <v>160109156.85431182</v>
      </c>
    </row>
    <row r="5751" spans="1:2" x14ac:dyDescent="0.25">
      <c r="A5751">
        <f ca="1">33832.5666682071*((RANDBETWEEN(1620,2416)))</f>
        <v>64823197.736284763</v>
      </c>
      <c r="B5751">
        <v>143366303.70188028</v>
      </c>
    </row>
    <row r="5752" spans="1:2" x14ac:dyDescent="0.25">
      <c r="A5752">
        <f ca="1">26474.9102384944*((RANDBETWEEN(1620,2416)))</f>
        <v>48978583.941214614</v>
      </c>
      <c r="B5752">
        <v>158700545.93424636</v>
      </c>
    </row>
    <row r="5753" spans="1:2" x14ac:dyDescent="0.25">
      <c r="A5753">
        <f ca="1">26933.3546190405*((RANDBETWEEN(1620,2416)))</f>
        <v>47833637.803415947</v>
      </c>
      <c r="B5753">
        <v>152429297.13250193</v>
      </c>
    </row>
    <row r="5754" spans="1:2" x14ac:dyDescent="0.25">
      <c r="A5754">
        <f ca="1">26821.601900348*((RANDBETWEEN(1620,2416)))</f>
        <v>56861796.028737761</v>
      </c>
      <c r="B5754">
        <v>144396563.17927414</v>
      </c>
    </row>
    <row r="5755" spans="1:2" x14ac:dyDescent="0.25">
      <c r="A5755">
        <f ca="1">27405.4308888911*((RANDBETWEEN(1620,2416)))</f>
        <v>46753665.096448191</v>
      </c>
      <c r="B5755">
        <v>170414049.29159558</v>
      </c>
    </row>
    <row r="5756" spans="1:2" x14ac:dyDescent="0.25">
      <c r="A5756">
        <f ca="1">31403.431240982*((RANDBETWEEN(1620,2416)))</f>
        <v>63905982.575398445</v>
      </c>
      <c r="B5756">
        <v>201903846.50583717</v>
      </c>
    </row>
    <row r="5757" spans="1:2" x14ac:dyDescent="0.25">
      <c r="A5757">
        <f ca="1">28491.0158877151*((RANDBETWEEN(1620,2416)))</f>
        <v>58007708.347387984</v>
      </c>
      <c r="B5757">
        <v>176024461.33050215</v>
      </c>
    </row>
    <row r="5758" spans="1:2" x14ac:dyDescent="0.25">
      <c r="A5758">
        <f ca="1">27073.3270502115*((RANDBETWEEN(1620,2416)))</f>
        <v>59994492.74326878</v>
      </c>
      <c r="B5758">
        <v>163213030.94220954</v>
      </c>
    </row>
    <row r="5759" spans="1:2" x14ac:dyDescent="0.25">
      <c r="A5759">
        <f ca="1">31630.3455758883*((RANDBETWEEN(1620,2416)))</f>
        <v>72971207.243574381</v>
      </c>
      <c r="B5759">
        <v>189807903.73578143</v>
      </c>
    </row>
    <row r="5760" spans="1:2" x14ac:dyDescent="0.25">
      <c r="A5760">
        <f ca="1">26662.9137657721*((RANDBETWEEN(1620,2416)))</f>
        <v>55725489.770463727</v>
      </c>
      <c r="B5760">
        <v>150220978.29985586</v>
      </c>
    </row>
    <row r="5761" spans="1:2" x14ac:dyDescent="0.25">
      <c r="A5761">
        <f ca="1">25800.9706402509*((RANDBETWEEN(1620,2416)))</f>
        <v>61509514.006358251</v>
      </c>
      <c r="B5761">
        <v>147711131.3406862</v>
      </c>
    </row>
    <row r="5762" spans="1:2" x14ac:dyDescent="0.25">
      <c r="A5762">
        <f ca="1">28826.20719651*((RANDBETWEEN(1620,2416)))</f>
        <v>50359383.972302906</v>
      </c>
      <c r="B5762">
        <v>143171283.0409869</v>
      </c>
    </row>
    <row r="5763" spans="1:2" x14ac:dyDescent="0.25">
      <c r="A5763">
        <f ca="1">26852.2391079126*((RANDBETWEEN(1620,2416)))</f>
        <v>52684093.129724555</v>
      </c>
      <c r="B5763">
        <v>162797268.92498469</v>
      </c>
    </row>
    <row r="5764" spans="1:2" x14ac:dyDescent="0.25">
      <c r="A5764">
        <f ca="1">29905.7287885435*((RANDBETWEEN(1620,2416)))</f>
        <v>52364931.108739607</v>
      </c>
      <c r="B5764">
        <v>191894479.72011554</v>
      </c>
    </row>
    <row r="5765" spans="1:2" x14ac:dyDescent="0.25">
      <c r="A5765">
        <f ca="1">28565.5507467831*((RANDBETWEEN(1620,2416)))</f>
        <v>51532253.547196686</v>
      </c>
      <c r="B5765">
        <v>190960831.12233359</v>
      </c>
    </row>
    <row r="5766" spans="1:2" x14ac:dyDescent="0.25">
      <c r="A5766">
        <f ca="1">26276.4627431359*((RANDBETWEEN(1620,2416)))</f>
        <v>51186549.423628703</v>
      </c>
      <c r="B5766">
        <v>167709792.13864303</v>
      </c>
    </row>
    <row r="5767" spans="1:2" x14ac:dyDescent="0.25">
      <c r="A5767">
        <f ca="1">26842.7817874027*((RANDBETWEEN(1620,2416)))</f>
        <v>57040911.298230797</v>
      </c>
      <c r="B5767">
        <v>170524913.06682888</v>
      </c>
    </row>
    <row r="5768" spans="1:2" x14ac:dyDescent="0.25">
      <c r="A5768">
        <f ca="1">27388.2146467027*((RANDBETWEEN(1620,2416)))</f>
        <v>58829885.061117306</v>
      </c>
      <c r="B5768">
        <v>143859438.36024264</v>
      </c>
    </row>
    <row r="5769" spans="1:2" x14ac:dyDescent="0.25">
      <c r="A5769">
        <f ca="1">26465.5156282838*((RANDBETWEEN(1620,2416)))</f>
        <v>60526634.241885066</v>
      </c>
      <c r="B5769">
        <v>166241489.15365881</v>
      </c>
    </row>
    <row r="5770" spans="1:2" x14ac:dyDescent="0.25">
      <c r="A5770">
        <f ca="1">27617.5179432405*((RANDBETWEEN(1620,2416)))</f>
        <v>66530600.725266442</v>
      </c>
      <c r="B5770">
        <v>166479132.43613639</v>
      </c>
    </row>
    <row r="5771" spans="1:2" x14ac:dyDescent="0.25">
      <c r="A5771">
        <f ca="1">32539.2287353953*((RANDBETWEEN(1620,2416)))</f>
        <v>69276017.977656499</v>
      </c>
      <c r="B5771">
        <v>173155947.57548872</v>
      </c>
    </row>
    <row r="5772" spans="1:2" x14ac:dyDescent="0.25">
      <c r="A5772">
        <f ca="1">26415.643524739*((RANDBETWEEN(1620,2416)))</f>
        <v>60201251.592880212</v>
      </c>
      <c r="B5772">
        <v>147070524.12225553</v>
      </c>
    </row>
    <row r="5773" spans="1:2" x14ac:dyDescent="0.25">
      <c r="A5773">
        <f ca="1">28621.6789338518*((RANDBETWEEN(1620,2416)))</f>
        <v>55611922.168473996</v>
      </c>
      <c r="B5773">
        <v>172854124.96182907</v>
      </c>
    </row>
    <row r="5774" spans="1:2" x14ac:dyDescent="0.25">
      <c r="A5774">
        <f ca="1">32707.3565122323*((RANDBETWEEN(1620,2416)))</f>
        <v>69176059.023371309</v>
      </c>
      <c r="B5774">
        <v>193888639.76239735</v>
      </c>
    </row>
    <row r="5775" spans="1:2" x14ac:dyDescent="0.25">
      <c r="A5775">
        <f ca="1">30405.9850148335*((RANDBETWEEN(1620,2416)))</f>
        <v>52541542.10563226</v>
      </c>
      <c r="B5775">
        <v>174831906.25507513</v>
      </c>
    </row>
    <row r="5776" spans="1:2" x14ac:dyDescent="0.25">
      <c r="A5776">
        <f ca="1">26903.481211695*((RANDBETWEEN(1620,2416)))</f>
        <v>56604924.469406262</v>
      </c>
      <c r="B5776">
        <v>159430453.37089556</v>
      </c>
    </row>
    <row r="5777" spans="1:2" x14ac:dyDescent="0.25">
      <c r="A5777">
        <f ca="1">29504.457144892*((RANDBETWEEN(1620,2416)))</f>
        <v>55055317.032368407</v>
      </c>
      <c r="B5777">
        <v>191352964.569976</v>
      </c>
    </row>
    <row r="5778" spans="1:2" x14ac:dyDescent="0.25">
      <c r="A5778">
        <f ca="1">26901.7981210646*((RANDBETWEEN(1620,2416)))</f>
        <v>64537413.69243408</v>
      </c>
      <c r="B5778">
        <v>151995929.75836244</v>
      </c>
    </row>
    <row r="5779" spans="1:2" x14ac:dyDescent="0.25">
      <c r="A5779">
        <f ca="1">26213.2995017053*((RANDBETWEEN(1620,2416)))</f>
        <v>61810960.225021005</v>
      </c>
      <c r="B5779">
        <v>159706582.10062343</v>
      </c>
    </row>
    <row r="5780" spans="1:2" x14ac:dyDescent="0.25">
      <c r="A5780">
        <f ca="1">27255.9854906171*((RANDBETWEEN(1620,2416)))</f>
        <v>59908656.108376473</v>
      </c>
      <c r="B5780">
        <v>145067147.8397142</v>
      </c>
    </row>
    <row r="5781" spans="1:2" x14ac:dyDescent="0.25">
      <c r="A5781">
        <f ca="1">33251.2988166285*((RANDBETWEEN(1620,2416)))</f>
        <v>68530926.861071303</v>
      </c>
      <c r="B5781">
        <v>198966888.30528715</v>
      </c>
    </row>
    <row r="5782" spans="1:2" x14ac:dyDescent="0.25">
      <c r="A5782">
        <f ca="1">25708.1413790662*((RANDBETWEEN(1620,2416)))</f>
        <v>58897351.899440691</v>
      </c>
      <c r="B5782">
        <v>156606413.3889879</v>
      </c>
    </row>
    <row r="5783" spans="1:2" x14ac:dyDescent="0.25">
      <c r="A5783">
        <f ca="1">25664.968284823*((RANDBETWEEN(1620,2416)))</f>
        <v>42757837.162515134</v>
      </c>
      <c r="B5783">
        <v>149965718.42073205</v>
      </c>
    </row>
    <row r="5784" spans="1:2" x14ac:dyDescent="0.25">
      <c r="A5784">
        <f ca="1">31573.656078163*((RANDBETWEEN(1620,2416)))</f>
        <v>69146306.81117703</v>
      </c>
      <c r="B5784">
        <v>143029349.86802846</v>
      </c>
    </row>
    <row r="5785" spans="1:2" x14ac:dyDescent="0.25">
      <c r="A5785">
        <f ca="1">27806.1793550001*((RANDBETWEEN(1620,2416)))</f>
        <v>61924361.423585229</v>
      </c>
      <c r="B5785">
        <v>158225963.52241096</v>
      </c>
    </row>
    <row r="5786" spans="1:2" x14ac:dyDescent="0.25">
      <c r="A5786">
        <f ca="1">26424.1541819689*((RANDBETWEEN(1620,2416)))</f>
        <v>45053182.880257055</v>
      </c>
      <c r="B5786">
        <v>153347879.45208293</v>
      </c>
    </row>
    <row r="5787" spans="1:2" x14ac:dyDescent="0.25">
      <c r="A5787">
        <f ca="1">27222.3178681079*((RANDBETWEEN(1620,2416)))</f>
        <v>54744081.232764997</v>
      </c>
      <c r="B5787">
        <v>143792567.86423627</v>
      </c>
    </row>
    <row r="5788" spans="1:2" x14ac:dyDescent="0.25">
      <c r="A5788">
        <f ca="1">25770.5702684525*((RANDBETWEEN(1620,2416)))</f>
        <v>52468881.066569291</v>
      </c>
      <c r="B5788">
        <v>145634162.55659211</v>
      </c>
    </row>
    <row r="5789" spans="1:2" x14ac:dyDescent="0.25">
      <c r="A5789">
        <f ca="1">28291.4698273287*((RANDBETWEEN(1620,2416)))</f>
        <v>47161880.202156909</v>
      </c>
      <c r="B5789">
        <v>200928583.43128049</v>
      </c>
    </row>
    <row r="5790" spans="1:2" x14ac:dyDescent="0.25">
      <c r="A5790">
        <f ca="1">32430.7566184017*((RANDBETWEEN(1620,2416)))</f>
        <v>54256655.822586037</v>
      </c>
      <c r="B5790">
        <v>151245818.03092423</v>
      </c>
    </row>
    <row r="5791" spans="1:2" x14ac:dyDescent="0.25">
      <c r="A5791">
        <f ca="1">30238.1442449424*((RANDBETWEEN(1620,2416)))</f>
        <v>54821755.516080521</v>
      </c>
      <c r="B5791">
        <v>165754011.35982746</v>
      </c>
    </row>
    <row r="5792" spans="1:2" x14ac:dyDescent="0.25">
      <c r="A5792">
        <f ca="1">27159.5613796006*((RANDBETWEEN(1620,2416)))</f>
        <v>44351563.732887723</v>
      </c>
      <c r="B5792">
        <v>149375623.41169751</v>
      </c>
    </row>
    <row r="5793" spans="1:2" x14ac:dyDescent="0.25">
      <c r="A5793">
        <f ca="1">26647.3816460297*((RANDBETWEEN(1620,2416)))</f>
        <v>44234653.532409333</v>
      </c>
      <c r="B5793">
        <v>168958113.37381417</v>
      </c>
    </row>
    <row r="5794" spans="1:2" x14ac:dyDescent="0.25">
      <c r="A5794">
        <f ca="1">28891.3760848522*((RANDBETWEEN(1620,2416)))</f>
        <v>58158340.05880747</v>
      </c>
      <c r="B5794">
        <v>201880958.02516389</v>
      </c>
    </row>
    <row r="5795" spans="1:2" x14ac:dyDescent="0.25">
      <c r="A5795">
        <f ca="1">26255.3770309105*((RANDBETWEEN(1620,2416)))</f>
        <v>62120222.055134162</v>
      </c>
      <c r="B5795">
        <v>158137996.41075972</v>
      </c>
    </row>
    <row r="5796" spans="1:2" x14ac:dyDescent="0.25">
      <c r="A5796">
        <f ca="1">32168.3651466968*((RANDBETWEEN(1620,2416)))</f>
        <v>71992801.198307499</v>
      </c>
      <c r="B5796">
        <v>179367517.36965951</v>
      </c>
    </row>
    <row r="5797" spans="1:2" x14ac:dyDescent="0.25">
      <c r="A5797">
        <f ca="1">29396.7415746062*((RANDBETWEEN(1620,2416)))</f>
        <v>48798591.013846241</v>
      </c>
      <c r="B5797">
        <v>146012118.15579361</v>
      </c>
    </row>
    <row r="5798" spans="1:2" x14ac:dyDescent="0.25">
      <c r="A5798">
        <f ca="1">26559.0794739194*((RANDBETWEEN(1620,2416)))</f>
        <v>52586977.358360514</v>
      </c>
      <c r="B5798">
        <v>160218326.48593268</v>
      </c>
    </row>
    <row r="5799" spans="1:2" x14ac:dyDescent="0.25">
      <c r="A5799">
        <f ca="1">26506.3540655417*((RANDBETWEEN(1620,2416)))</f>
        <v>45802979.82525602</v>
      </c>
      <c r="B5799">
        <v>171757054.2828424</v>
      </c>
    </row>
    <row r="5800" spans="1:2" x14ac:dyDescent="0.25">
      <c r="A5800">
        <f ca="1">28359.1097615061*((RANDBETWEEN(1620,2416)))</f>
        <v>48749309.680029005</v>
      </c>
      <c r="B5800">
        <v>160269048.97561222</v>
      </c>
    </row>
    <row r="5801" spans="1:2" x14ac:dyDescent="0.25">
      <c r="A5801">
        <f ca="1">26092.2185535197*((RANDBETWEEN(1620,2416)))</f>
        <v>47226915.581870586</v>
      </c>
      <c r="B5801">
        <v>190989230.89856187</v>
      </c>
    </row>
    <row r="5802" spans="1:2" x14ac:dyDescent="0.25">
      <c r="A5802">
        <f ca="1">26159.8928913762*((RANDBETWEEN(1620,2416)))</f>
        <v>58441200.719334356</v>
      </c>
      <c r="B5802">
        <v>191854908.53949735</v>
      </c>
    </row>
    <row r="5803" spans="1:2" x14ac:dyDescent="0.25">
      <c r="A5803">
        <f ca="1">28623.7913597408*((RANDBETWEEN(1620,2416)))</f>
        <v>49204297.347394466</v>
      </c>
      <c r="B5803">
        <v>182093834.08710706</v>
      </c>
    </row>
    <row r="5804" spans="1:2" x14ac:dyDescent="0.25">
      <c r="A5804">
        <f ca="1">26363.0827618365*((RANDBETWEEN(1620,2416)))</f>
        <v>53833414.99967014</v>
      </c>
      <c r="B5804">
        <v>151868352.6934287</v>
      </c>
    </row>
    <row r="5805" spans="1:2" x14ac:dyDescent="0.25">
      <c r="A5805">
        <f ca="1">26522.0303083027*((RANDBETWEEN(1620,2416)))</f>
        <v>58640209.011657231</v>
      </c>
      <c r="B5805">
        <v>151697250.01608855</v>
      </c>
    </row>
    <row r="5806" spans="1:2" x14ac:dyDescent="0.25">
      <c r="A5806">
        <f ca="1">33362.0559868005*((RANDBETWEEN(1620,2416)))</f>
        <v>71728420.371621102</v>
      </c>
      <c r="B5806">
        <v>189706594.31811985</v>
      </c>
    </row>
    <row r="5807" spans="1:2" x14ac:dyDescent="0.25">
      <c r="A5807">
        <f ca="1">26597.1493154567*((RANDBETWEEN(1620,2416)))</f>
        <v>44656613.70065172</v>
      </c>
      <c r="B5807">
        <v>150393044.11140811</v>
      </c>
    </row>
    <row r="5808" spans="1:2" x14ac:dyDescent="0.25">
      <c r="A5808">
        <f ca="1">26887.1049802416*((RANDBETWEEN(1620,2416)))</f>
        <v>58694550.171867467</v>
      </c>
      <c r="B5808">
        <v>147288414.83173656</v>
      </c>
    </row>
    <row r="5809" spans="1:2" x14ac:dyDescent="0.25">
      <c r="A5809">
        <f ca="1">27536.3875263392*((RANDBETWEEN(1620,2416)))</f>
        <v>58762650.981207922</v>
      </c>
      <c r="B5809">
        <v>158499217.63798296</v>
      </c>
    </row>
    <row r="5810" spans="1:2" x14ac:dyDescent="0.25">
      <c r="A5810">
        <f ca="1">25941.0676055308*((RANDBETWEEN(1620,2416)))</f>
        <v>59041869.870188147</v>
      </c>
      <c r="B5810">
        <v>191517614.16907963</v>
      </c>
    </row>
    <row r="5811" spans="1:2" x14ac:dyDescent="0.25">
      <c r="A5811">
        <f ca="1">26433.4850812018*((RANDBETWEEN(1620,2416)))</f>
        <v>43086580.68235898</v>
      </c>
      <c r="B5811">
        <v>148196792.98226598</v>
      </c>
    </row>
    <row r="5812" spans="1:2" x14ac:dyDescent="0.25">
      <c r="A5812">
        <f ca="1">27472.0348440758*((RANDBETWEEN(1620,2416)))</f>
        <v>47499148.245407</v>
      </c>
      <c r="B5812">
        <v>149154819.66573322</v>
      </c>
    </row>
    <row r="5813" spans="1:2" x14ac:dyDescent="0.25">
      <c r="A5813">
        <f ca="1">31763.9529403083*((RANDBETWEEN(1620,2416)))</f>
        <v>76646418.444963858</v>
      </c>
      <c r="B5813">
        <v>202781720.71378636</v>
      </c>
    </row>
    <row r="5814" spans="1:2" x14ac:dyDescent="0.25">
      <c r="A5814">
        <f ca="1">30529.8876058094*((RANDBETWEEN(1620,2416)))</f>
        <v>63654815.658112586</v>
      </c>
      <c r="B5814">
        <v>146360642.60848665</v>
      </c>
    </row>
    <row r="5815" spans="1:2" x14ac:dyDescent="0.25">
      <c r="A5815">
        <f ca="1">30618.051688279*((RANDBETWEEN(1620,2416)))</f>
        <v>69319269.022263676</v>
      </c>
      <c r="B5815">
        <v>173091723.59666497</v>
      </c>
    </row>
    <row r="5816" spans="1:2" x14ac:dyDescent="0.25">
      <c r="A5816">
        <f ca="1">27042.0054882227*((RANDBETWEEN(1620,2416)))</f>
        <v>51433894.438599542</v>
      </c>
      <c r="B5816">
        <v>172823642.59921989</v>
      </c>
    </row>
    <row r="5817" spans="1:2" x14ac:dyDescent="0.25">
      <c r="A5817">
        <f ca="1">31784.6251512327*((RANDBETWEEN(1620,2416)))</f>
        <v>64967773.80911959</v>
      </c>
      <c r="B5817">
        <v>171229972.04601386</v>
      </c>
    </row>
    <row r="5818" spans="1:2" x14ac:dyDescent="0.25">
      <c r="A5818">
        <f ca="1">28192.238377922*((RANDBETWEEN(1620,2416)))</f>
        <v>64785763.792464666</v>
      </c>
      <c r="B5818">
        <v>145787182.49177551</v>
      </c>
    </row>
    <row r="5819" spans="1:2" x14ac:dyDescent="0.25">
      <c r="A5819">
        <f ca="1">28283.6289154041*((RANDBETWEEN(1620,2416)))</f>
        <v>57302632.182608671</v>
      </c>
      <c r="B5819">
        <v>195386297.8098101</v>
      </c>
    </row>
    <row r="5820" spans="1:2" x14ac:dyDescent="0.25">
      <c r="A5820">
        <f ca="1">26352.1895499437*((RANDBETWEEN(1620,2416)))</f>
        <v>50464442.988142274</v>
      </c>
      <c r="B5820">
        <v>152319719.58634704</v>
      </c>
    </row>
    <row r="5821" spans="1:2" x14ac:dyDescent="0.25">
      <c r="A5821">
        <f ca="1">32261.9937697283*((RANDBETWEEN(1620,2416)))</f>
        <v>76267353.271637708</v>
      </c>
      <c r="B5821">
        <v>180577986.75287709</v>
      </c>
    </row>
    <row r="5822" spans="1:2" x14ac:dyDescent="0.25">
      <c r="A5822">
        <f ca="1">27906.4476990981*((RANDBETWEEN(1620,2416)))</f>
        <v>47943277.147050552</v>
      </c>
      <c r="B5822">
        <v>178104647.42782253</v>
      </c>
    </row>
    <row r="5823" spans="1:2" x14ac:dyDescent="0.25">
      <c r="A5823">
        <f ca="1">28824.3059973707*((RANDBETWEEN(1620,2416)))</f>
        <v>64018783.620160289</v>
      </c>
      <c r="B5823">
        <v>199180895.51213554</v>
      </c>
    </row>
    <row r="5824" spans="1:2" x14ac:dyDescent="0.25">
      <c r="A5824">
        <f ca="1">29937.3470342103*((RANDBETWEEN(1620,2416)))</f>
        <v>50414492.405610174</v>
      </c>
      <c r="B5824">
        <v>194067587.70794505</v>
      </c>
    </row>
    <row r="5825" spans="1:2" x14ac:dyDescent="0.25">
      <c r="A5825">
        <f ca="1">29024.2419881622*((RANDBETWEEN(1620,2416)))</f>
        <v>57003611.264750578</v>
      </c>
      <c r="B5825">
        <v>167223254.13804823</v>
      </c>
    </row>
    <row r="5826" spans="1:2" x14ac:dyDescent="0.25">
      <c r="A5826">
        <f ca="1">27853.4511172113*((RANDBETWEEN(1620,2416)))</f>
        <v>48186470.432775572</v>
      </c>
      <c r="B5826">
        <v>145375981.67355919</v>
      </c>
    </row>
    <row r="5827" spans="1:2" x14ac:dyDescent="0.25">
      <c r="A5827">
        <f ca="1">26613.1646075056*((RANDBETWEEN(1620,2416)))</f>
        <v>50857757.564943217</v>
      </c>
      <c r="B5827">
        <v>180855314.43555805</v>
      </c>
    </row>
    <row r="5828" spans="1:2" x14ac:dyDescent="0.25">
      <c r="A5828">
        <f ca="1">26566.2439676959*((RANDBETWEEN(1620,2416)))</f>
        <v>52202669.396522522</v>
      </c>
      <c r="B5828">
        <v>147218430.99100477</v>
      </c>
    </row>
    <row r="5829" spans="1:2" x14ac:dyDescent="0.25">
      <c r="A5829">
        <f ca="1">26616.1451311389*((RANDBETWEEN(1620,2416)))</f>
        <v>52087796.021638818</v>
      </c>
      <c r="B5829">
        <v>198667836.63254941</v>
      </c>
    </row>
    <row r="5830" spans="1:2" x14ac:dyDescent="0.25">
      <c r="A5830">
        <f ca="1">27052.8906062694*((RANDBETWEEN(1620,2416)))</f>
        <v>60625527.848649807</v>
      </c>
      <c r="B5830">
        <v>152612470.26661396</v>
      </c>
    </row>
    <row r="5831" spans="1:2" x14ac:dyDescent="0.25">
      <c r="A5831">
        <f ca="1">28624.8237104849*((RANDBETWEEN(1620,2416)))</f>
        <v>54301290.57878992</v>
      </c>
      <c r="B5831">
        <v>154485211.86770347</v>
      </c>
    </row>
    <row r="5832" spans="1:2" x14ac:dyDescent="0.25">
      <c r="A5832">
        <f ca="1">28527.9888663782*((RANDBETWEEN(1620,2416)))</f>
        <v>50551596.271222174</v>
      </c>
      <c r="B5832">
        <v>173301811.64673167</v>
      </c>
    </row>
    <row r="5833" spans="1:2" x14ac:dyDescent="0.25">
      <c r="A5833">
        <f ca="1">29557.4009635341*((RANDBETWEEN(1620,2416)))</f>
        <v>59173916.728995316</v>
      </c>
      <c r="B5833">
        <v>143381435.31546599</v>
      </c>
    </row>
    <row r="5834" spans="1:2" x14ac:dyDescent="0.25">
      <c r="A5834">
        <f ca="1">29463.5348268048*((RANDBETWEEN(1620,2416)))</f>
        <v>66175099.221003488</v>
      </c>
      <c r="B5834">
        <v>165065798.31200647</v>
      </c>
    </row>
    <row r="5835" spans="1:2" x14ac:dyDescent="0.25">
      <c r="A5835">
        <f ca="1">26027.0219151932*((RANDBETWEEN(1620,2416)))</f>
        <v>43959640.014761336</v>
      </c>
      <c r="B5835">
        <v>147130123.61905673</v>
      </c>
    </row>
    <row r="5836" spans="1:2" x14ac:dyDescent="0.25">
      <c r="A5836">
        <f ca="1">29670.1458780028*((RANDBETWEEN(1620,2416)))</f>
        <v>60972149.779295802</v>
      </c>
      <c r="B5836">
        <v>186697399.14083815</v>
      </c>
    </row>
    <row r="5837" spans="1:2" x14ac:dyDescent="0.25">
      <c r="A5837">
        <f ca="1">29130.6152691135*((RANDBETWEEN(1620,2416)))</f>
        <v>56426001.776272826</v>
      </c>
      <c r="B5837">
        <v>198316894.74402285</v>
      </c>
    </row>
    <row r="5838" spans="1:2" x14ac:dyDescent="0.25">
      <c r="A5838">
        <f ca="1">28208.4426494779*((RANDBETWEEN(1620,2416)))</f>
        <v>57460597.676986575</v>
      </c>
      <c r="B5838">
        <v>188960499.5964576</v>
      </c>
    </row>
    <row r="5839" spans="1:2" x14ac:dyDescent="0.25">
      <c r="A5839">
        <f ca="1">27239.1644090793*((RANDBETWEEN(1620,2416)))</f>
        <v>45897992.029298559</v>
      </c>
      <c r="B5839">
        <v>173843710.17482638</v>
      </c>
    </row>
    <row r="5840" spans="1:2" x14ac:dyDescent="0.25">
      <c r="A5840">
        <f ca="1">27749.9800854952*((RANDBETWEEN(1620,2416)))</f>
        <v>64823953.4797168</v>
      </c>
      <c r="B5840">
        <v>176074247.5545032</v>
      </c>
    </row>
    <row r="5841" spans="1:2" x14ac:dyDescent="0.25">
      <c r="A5841">
        <f ca="1">26304.8681012271*((RANDBETWEEN(1620,2416)))</f>
        <v>52083638.840429619</v>
      </c>
      <c r="B5841">
        <v>164980448.74171638</v>
      </c>
    </row>
    <row r="5842" spans="1:2" x14ac:dyDescent="0.25">
      <c r="A5842">
        <f ca="1">26211.9355897423*((RANDBETWEEN(1620,2416)))</f>
        <v>62934857.350971237</v>
      </c>
      <c r="B5842">
        <v>165681326.4068293</v>
      </c>
    </row>
    <row r="5843" spans="1:2" x14ac:dyDescent="0.25">
      <c r="A5843">
        <f ca="1">28210.0393794096*((RANDBETWEEN(1620,2416)))</f>
        <v>51314061.631146066</v>
      </c>
      <c r="B5843">
        <v>192618499.12135616</v>
      </c>
    </row>
    <row r="5844" spans="1:2" x14ac:dyDescent="0.25">
      <c r="A5844">
        <f ca="1">28264.5500848705*((RANDBETWEEN(1620,2416)))</f>
        <v>47343121.392158166</v>
      </c>
      <c r="B5844">
        <v>172201554.7545909</v>
      </c>
    </row>
    <row r="5845" spans="1:2" x14ac:dyDescent="0.25">
      <c r="A5845">
        <f ca="1">29092.2534056498*((RANDBETWEEN(1620,2416)))</f>
        <v>49427738.536199041</v>
      </c>
      <c r="B5845">
        <v>194793235.96424851</v>
      </c>
    </row>
    <row r="5846" spans="1:2" x14ac:dyDescent="0.25">
      <c r="A5846">
        <f ca="1">31826.8156923056*((RANDBETWEEN(1620,2416)))</f>
        <v>56428944.222457759</v>
      </c>
      <c r="B5846">
        <v>170106073.93445313</v>
      </c>
    </row>
    <row r="5847" spans="1:2" x14ac:dyDescent="0.25">
      <c r="A5847">
        <f ca="1">31326.2025480991*((RANDBETWEEN(1620,2416)))</f>
        <v>56418490.789126433</v>
      </c>
      <c r="B5847">
        <v>164265066.9004423</v>
      </c>
    </row>
    <row r="5848" spans="1:2" x14ac:dyDescent="0.25">
      <c r="A5848">
        <f ca="1">28835.2373441288*((RANDBETWEEN(1620,2416)))</f>
        <v>53748882.409456074</v>
      </c>
      <c r="B5848">
        <v>154019832.07883179</v>
      </c>
    </row>
    <row r="5849" spans="1:2" x14ac:dyDescent="0.25">
      <c r="A5849">
        <f ca="1">31528.3269805259*((RANDBETWEEN(1620,2416)))</f>
        <v>56278063.660238728</v>
      </c>
      <c r="B5849">
        <v>145164504.56821153</v>
      </c>
    </row>
    <row r="5850" spans="1:2" x14ac:dyDescent="0.25">
      <c r="A5850">
        <f ca="1">33027.8177536687*((RANDBETWEEN(1620,2416)))</f>
        <v>70118057.09103857</v>
      </c>
      <c r="B5850">
        <v>162514570.3357521</v>
      </c>
    </row>
    <row r="5851" spans="1:2" x14ac:dyDescent="0.25">
      <c r="A5851">
        <f ca="1">30240.3170956841*((RANDBETWEEN(1620,2416)))</f>
        <v>68312876.319150388</v>
      </c>
      <c r="B5851">
        <v>183811504.9860695</v>
      </c>
    </row>
    <row r="5852" spans="1:2" x14ac:dyDescent="0.25">
      <c r="A5852">
        <f ca="1">27384.5604892265*((RANDBETWEEN(1620,2416)))</f>
        <v>51811588.445616618</v>
      </c>
      <c r="B5852">
        <v>191438681.69626641</v>
      </c>
    </row>
    <row r="5853" spans="1:2" x14ac:dyDescent="0.25">
      <c r="A5853">
        <f ca="1">25411.3054188465*((RANDBETWEEN(1620,2416)))</f>
        <v>53439975.295834154</v>
      </c>
      <c r="B5853">
        <v>143535098.40019935</v>
      </c>
    </row>
    <row r="5854" spans="1:2" x14ac:dyDescent="0.25">
      <c r="A5854">
        <f ca="1">26658.3259712126*((RANDBETWEEN(1620,2416)))</f>
        <v>52330293.881490245</v>
      </c>
      <c r="B5854">
        <v>178649415.81802019</v>
      </c>
    </row>
    <row r="5855" spans="1:2" x14ac:dyDescent="0.25">
      <c r="A5855">
        <f ca="1">26223.6296706871*((RANDBETWEEN(1620,2416)))</f>
        <v>53365086.379848227</v>
      </c>
      <c r="B5855">
        <v>160829122.9703024</v>
      </c>
    </row>
    <row r="5856" spans="1:2" x14ac:dyDescent="0.25">
      <c r="A5856">
        <f ca="1">26318.3408765115*((RANDBETWEEN(1620,2416)))</f>
        <v>48215200.485769048</v>
      </c>
      <c r="B5856">
        <v>160591414.64351159</v>
      </c>
    </row>
    <row r="5857" spans="1:2" x14ac:dyDescent="0.25">
      <c r="A5857">
        <f ca="1">26289.1898635771*((RANDBETWEEN(1620,2416)))</f>
        <v>51237631.044111855</v>
      </c>
      <c r="B5857">
        <v>153234443.69488049</v>
      </c>
    </row>
    <row r="5858" spans="1:2" x14ac:dyDescent="0.25">
      <c r="A5858">
        <f ca="1">29340.2060486555*((RANDBETWEEN(1620,2416)))</f>
        <v>69976391.426043436</v>
      </c>
      <c r="B5858">
        <v>163693961.53183824</v>
      </c>
    </row>
    <row r="5859" spans="1:2" x14ac:dyDescent="0.25">
      <c r="A5859">
        <f ca="1">30416.4310461729*((RANDBETWEEN(1620,2416)))</f>
        <v>57912884.711913183</v>
      </c>
      <c r="B5859">
        <v>176728706.33535612</v>
      </c>
    </row>
    <row r="5860" spans="1:2" x14ac:dyDescent="0.25">
      <c r="A5860">
        <f ca="1">29060.6226361985*((RANDBETWEEN(1620,2416)))</f>
        <v>63759006.063819505</v>
      </c>
      <c r="B5860">
        <v>188573005.4292773</v>
      </c>
    </row>
    <row r="5861" spans="1:2" x14ac:dyDescent="0.25">
      <c r="A5861">
        <f ca="1">26195.3104179478*((RANDBETWEEN(1620,2416)))</f>
        <v>60353995.202951662</v>
      </c>
      <c r="B5861">
        <v>188468217.75918168</v>
      </c>
    </row>
    <row r="5862" spans="1:2" x14ac:dyDescent="0.25">
      <c r="A5862">
        <f ca="1">28707.6648463868*((RANDBETWEEN(1620,2416)))</f>
        <v>60860249.474339977</v>
      </c>
      <c r="B5862">
        <v>176197669.77213365</v>
      </c>
    </row>
    <row r="5863" spans="1:2" x14ac:dyDescent="0.25">
      <c r="A5863">
        <f ca="1">32781.8596499654*((RANDBETWEEN(1620,2416)))</f>
        <v>55237433.510191649</v>
      </c>
      <c r="B5863">
        <v>161075823.21259034</v>
      </c>
    </row>
    <row r="5864" spans="1:2" x14ac:dyDescent="0.25">
      <c r="A5864">
        <f ca="1">26988.2570543948*((RANDBETWEEN(1620,2416)))</f>
        <v>55622797.789107725</v>
      </c>
      <c r="B5864">
        <v>176610512.84325957</v>
      </c>
    </row>
    <row r="5865" spans="1:2" x14ac:dyDescent="0.25">
      <c r="A5865">
        <f ca="1">28283.3573983181*((RANDBETWEEN(1620,2416)))</f>
        <v>59055650.247688107</v>
      </c>
      <c r="B5865">
        <v>190433010.06582838</v>
      </c>
    </row>
    <row r="5866" spans="1:2" x14ac:dyDescent="0.25">
      <c r="A5866">
        <f ca="1">27118.6671563193*((RANDBETWEEN(1620,2416)))</f>
        <v>47023768.8490576</v>
      </c>
      <c r="B5866">
        <v>145158589.40912715</v>
      </c>
    </row>
    <row r="5867" spans="1:2" x14ac:dyDescent="0.25">
      <c r="A5867">
        <f ca="1">26569.6326333366*((RANDBETWEEN(1620,2416)))</f>
        <v>44982388.048238792</v>
      </c>
      <c r="B5867">
        <v>157732610.17512926</v>
      </c>
    </row>
    <row r="5868" spans="1:2" x14ac:dyDescent="0.25">
      <c r="A5868">
        <f ca="1">26221.1836182164*((RANDBETWEEN(1620,2416)))</f>
        <v>48037208.388572402</v>
      </c>
      <c r="B5868">
        <v>158475661.89646587</v>
      </c>
    </row>
    <row r="5869" spans="1:2" x14ac:dyDescent="0.25">
      <c r="A5869">
        <f ca="1">26634.4117173109*((RANDBETWEEN(1620,2416)))</f>
        <v>63762781.651242383</v>
      </c>
      <c r="B5869">
        <v>170030172.34689423</v>
      </c>
    </row>
    <row r="5870" spans="1:2" x14ac:dyDescent="0.25">
      <c r="A5870">
        <f ca="1">28407.2215550317*((RANDBETWEEN(1620,2416)))</f>
        <v>51360256.571497276</v>
      </c>
      <c r="B5870">
        <v>167549941.83067751</v>
      </c>
    </row>
    <row r="5871" spans="1:2" x14ac:dyDescent="0.25">
      <c r="A5871">
        <f ca="1">31203.1222633307*((RANDBETWEEN(1620,2416)))</f>
        <v>63123916.338718072</v>
      </c>
      <c r="B5871">
        <v>169219233.62384298</v>
      </c>
    </row>
    <row r="5872" spans="1:2" x14ac:dyDescent="0.25">
      <c r="A5872">
        <f ca="1">32897.3320679872*((RANDBETWEEN(1620,2416)))</f>
        <v>72703103.8702517</v>
      </c>
      <c r="B5872">
        <v>159143752.1097416</v>
      </c>
    </row>
    <row r="5873" spans="1:2" x14ac:dyDescent="0.25">
      <c r="A5873">
        <f ca="1">26577.1158787246*((RANDBETWEEN(1620,2416)))</f>
        <v>64104003.499483705</v>
      </c>
      <c r="B5873">
        <v>160177272.49991888</v>
      </c>
    </row>
    <row r="5874" spans="1:2" x14ac:dyDescent="0.25">
      <c r="A5874">
        <f ca="1">27953.278883699*((RANDBETWEEN(1620,2416)))</f>
        <v>57248315.15381559</v>
      </c>
      <c r="B5874">
        <v>183469766.66575015</v>
      </c>
    </row>
    <row r="5875" spans="1:2" x14ac:dyDescent="0.25">
      <c r="A5875">
        <f ca="1">28245.6827095584*((RANDBETWEEN(1620,2416)))</f>
        <v>67648410.089392319</v>
      </c>
      <c r="B5875">
        <v>188780820.33254576</v>
      </c>
    </row>
    <row r="5876" spans="1:2" x14ac:dyDescent="0.25">
      <c r="A5876">
        <f ca="1">27939.7616491146*((RANDBETWEEN(1620,2416)))</f>
        <v>63283560.135244504</v>
      </c>
      <c r="B5876">
        <v>164662295.73164564</v>
      </c>
    </row>
    <row r="5877" spans="1:2" x14ac:dyDescent="0.25">
      <c r="A5877">
        <f ca="1">28059.9688482245*((RANDBETWEEN(1620,2416)))</f>
        <v>48431506.232035451</v>
      </c>
      <c r="B5877">
        <v>191568017.03008896</v>
      </c>
    </row>
    <row r="5878" spans="1:2" x14ac:dyDescent="0.25">
      <c r="A5878">
        <f ca="1">26945.9969264195*((RANDBETWEEN(1620,2416)))</f>
        <v>52921937.963487945</v>
      </c>
      <c r="B5878">
        <v>162208598.00238609</v>
      </c>
    </row>
    <row r="5879" spans="1:2" x14ac:dyDescent="0.25">
      <c r="A5879">
        <f ca="1">26394.2114659961*((RANDBETWEEN(1620,2416)))</f>
        <v>48987656.480888806</v>
      </c>
      <c r="B5879">
        <v>188169061.81501174</v>
      </c>
    </row>
    <row r="5880" spans="1:2" x14ac:dyDescent="0.25">
      <c r="A5880">
        <f ca="1">26325.7563691775*((RANDBETWEEN(1620,2416)))</f>
        <v>51782762.77817221</v>
      </c>
      <c r="B5880">
        <v>184331484.60107049</v>
      </c>
    </row>
    <row r="5881" spans="1:2" x14ac:dyDescent="0.25">
      <c r="A5881">
        <f ca="1">27576.3713489169*((RANDBETWEEN(1620,2416)))</f>
        <v>48038038.889813162</v>
      </c>
      <c r="B5881">
        <v>155298680.13154849</v>
      </c>
    </row>
    <row r="5882" spans="1:2" x14ac:dyDescent="0.25">
      <c r="A5882">
        <f ca="1">27660.0249759821*((RANDBETWEEN(1620,2416)))</f>
        <v>49290164.507200025</v>
      </c>
      <c r="B5882">
        <v>170017912.15044084</v>
      </c>
    </row>
    <row r="5883" spans="1:2" x14ac:dyDescent="0.25">
      <c r="A5883">
        <f ca="1">26857.7176558145*((RANDBETWEEN(1620,2416)))</f>
        <v>52882846.064298712</v>
      </c>
      <c r="B5883">
        <v>167128414.3036364</v>
      </c>
    </row>
    <row r="5884" spans="1:2" x14ac:dyDescent="0.25">
      <c r="A5884">
        <f ca="1">28514.8824141518*((RANDBETWEEN(1620,2416)))</f>
        <v>50499856.755462818</v>
      </c>
      <c r="B5884">
        <v>197913330.93016917</v>
      </c>
    </row>
    <row r="5885" spans="1:2" x14ac:dyDescent="0.25">
      <c r="A5885">
        <f ca="1">26490.6541452318*((RANDBETWEEN(1620,2416)))</f>
        <v>50623640.071537875</v>
      </c>
      <c r="B5885">
        <v>149403181.57176334</v>
      </c>
    </row>
    <row r="5886" spans="1:2" x14ac:dyDescent="0.25">
      <c r="A5886">
        <f ca="1">27701.0566934157*((RANDBETWEEN(1620,2416)))</f>
        <v>60305200.421565935</v>
      </c>
      <c r="B5886">
        <v>153088916.0609135</v>
      </c>
    </row>
    <row r="5887" spans="1:2" x14ac:dyDescent="0.25">
      <c r="A5887">
        <f ca="1">26974.4601051798*((RANDBETWEEN(1620,2416)))</f>
        <v>54110766.970990732</v>
      </c>
      <c r="B5887">
        <v>197475769.67546439</v>
      </c>
    </row>
    <row r="5888" spans="1:2" x14ac:dyDescent="0.25">
      <c r="A5888">
        <f ca="1">27135.289686824*((RANDBETWEEN(1620,2416)))</f>
        <v>60131801.94600191</v>
      </c>
      <c r="B5888">
        <v>143965966.34498459</v>
      </c>
    </row>
    <row r="5889" spans="1:2" x14ac:dyDescent="0.25">
      <c r="A5889">
        <f ca="1">27657.0702298356*((RANDBETWEEN(1620,2416)))</f>
        <v>60181784.820122324</v>
      </c>
      <c r="B5889">
        <v>192927825.73345357</v>
      </c>
    </row>
    <row r="5890" spans="1:2" x14ac:dyDescent="0.25">
      <c r="A5890">
        <f ca="1">31161.057151551*((RANDBETWEEN(1620,2416)))</f>
        <v>65531703.189711824</v>
      </c>
      <c r="B5890">
        <v>149141310.35211855</v>
      </c>
    </row>
    <row r="5891" spans="1:2" x14ac:dyDescent="0.25">
      <c r="A5891">
        <f ca="1">29330.7331919373*((RANDBETWEEN(1620,2416)))</f>
        <v>55581739.398721136</v>
      </c>
      <c r="B5891">
        <v>176423133.05801851</v>
      </c>
    </row>
    <row r="5892" spans="1:2" x14ac:dyDescent="0.25">
      <c r="A5892">
        <f ca="1">26400.0890682349*((RANDBETWEEN(1620,2416)))</f>
        <v>59717001.472347371</v>
      </c>
      <c r="B5892">
        <v>153013377.69554281</v>
      </c>
    </row>
    <row r="5893" spans="1:2" x14ac:dyDescent="0.25">
      <c r="A5893">
        <f ca="1">27050.3306507681*((RANDBETWEEN(1620,2416)))</f>
        <v>57752455.939389832</v>
      </c>
      <c r="B5893">
        <v>196237330.66105774</v>
      </c>
    </row>
    <row r="5894" spans="1:2" x14ac:dyDescent="0.25">
      <c r="A5894">
        <f ca="1">25528.2620481957*((RANDBETWEEN(1620,2416)))</f>
        <v>57642815.704825886</v>
      </c>
      <c r="B5894">
        <v>145736062.53172314</v>
      </c>
    </row>
    <row r="5895" spans="1:2" x14ac:dyDescent="0.25">
      <c r="A5895">
        <f ca="1">25221.9284814266*((RANDBETWEEN(1620,2416)))</f>
        <v>54630697.090770043</v>
      </c>
      <c r="B5895">
        <v>160750838.94717619</v>
      </c>
    </row>
    <row r="5896" spans="1:2" x14ac:dyDescent="0.25">
      <c r="A5896">
        <f ca="1">25487.6413836548*((RANDBETWEEN(1620,2416)))</f>
        <v>44373983.648943007</v>
      </c>
      <c r="B5896">
        <v>162631099.32396641</v>
      </c>
    </row>
    <row r="5897" spans="1:2" x14ac:dyDescent="0.25">
      <c r="A5897">
        <f ca="1">29259.8831820078*((RANDBETWEEN(1620,2416)))</f>
        <v>51760733.348971881</v>
      </c>
      <c r="B5897">
        <v>163742602.37052003</v>
      </c>
    </row>
    <row r="5898" spans="1:2" x14ac:dyDescent="0.25">
      <c r="A5898">
        <f ca="1">28945.2224432779*((RANDBETWEEN(1620,2416)))</f>
        <v>51522495.949034698</v>
      </c>
      <c r="B5898">
        <v>199294863.58604437</v>
      </c>
    </row>
    <row r="5899" spans="1:2" x14ac:dyDescent="0.25">
      <c r="A5899">
        <f ca="1">28023.716580704*((RANDBETWEEN(1620,2416)))</f>
        <v>55318816.530309722</v>
      </c>
      <c r="B5899">
        <v>185522803.82579926</v>
      </c>
    </row>
    <row r="5900" spans="1:2" x14ac:dyDescent="0.25">
      <c r="A5900">
        <f ca="1">26142.7072533277*((RANDBETWEEN(1620,2416)))</f>
        <v>50324711.462655783</v>
      </c>
      <c r="B5900">
        <v>173006838.81568193</v>
      </c>
    </row>
    <row r="5901" spans="1:2" x14ac:dyDescent="0.25">
      <c r="A5901">
        <f ca="1">28729.3473717171*((RANDBETWEEN(1620,2416)))</f>
        <v>57803446.911894895</v>
      </c>
      <c r="B5901">
        <v>184887505.91338524</v>
      </c>
    </row>
    <row r="5902" spans="1:2" x14ac:dyDescent="0.25">
      <c r="A5902">
        <f ca="1">27979.0879463073*((RANDBETWEEN(1620,2416)))</f>
        <v>58756084.687245384</v>
      </c>
      <c r="B5902">
        <v>144197061.42034507</v>
      </c>
    </row>
    <row r="5903" spans="1:2" x14ac:dyDescent="0.25">
      <c r="A5903">
        <f ca="1">26788.7566150619*((RANDBETWEEN(1620,2416)))</f>
        <v>57301150.399617314</v>
      </c>
      <c r="B5903">
        <v>162067418.70127109</v>
      </c>
    </row>
    <row r="5904" spans="1:2" x14ac:dyDescent="0.25">
      <c r="A5904">
        <f ca="1">30738.8542654294*((RANDBETWEEN(1620,2416)))</f>
        <v>55760281.637488872</v>
      </c>
      <c r="B5904">
        <v>149035150.76301485</v>
      </c>
    </row>
    <row r="5905" spans="1:2" x14ac:dyDescent="0.25">
      <c r="A5905">
        <f ca="1">26794.9711205911*((RANDBETWEEN(1620,2416)))</f>
        <v>57769957.735994503</v>
      </c>
      <c r="B5905">
        <v>172527452.91370237</v>
      </c>
    </row>
    <row r="5906" spans="1:2" x14ac:dyDescent="0.25">
      <c r="A5906">
        <f ca="1">27591.1956495627*((RANDBETWEEN(1620,2416)))</f>
        <v>57913919.668432102</v>
      </c>
      <c r="B5906">
        <v>185847813.01780599</v>
      </c>
    </row>
    <row r="5907" spans="1:2" x14ac:dyDescent="0.25">
      <c r="A5907">
        <f ca="1">34507.7225424953*((RANDBETWEEN(1620,2416)))</f>
        <v>69429537.755500466</v>
      </c>
      <c r="B5907">
        <v>198005605.61538601</v>
      </c>
    </row>
    <row r="5908" spans="1:2" x14ac:dyDescent="0.25">
      <c r="A5908">
        <f ca="1">26421.3611441255*((RANDBETWEEN(1620,2416)))</f>
        <v>58021309.07249967</v>
      </c>
      <c r="B5908">
        <v>145036179.88146949</v>
      </c>
    </row>
    <row r="5909" spans="1:2" x14ac:dyDescent="0.25">
      <c r="A5909">
        <f ca="1">26519.1358419443*((RANDBETWEEN(1620,2416)))</f>
        <v>54788534.649456866</v>
      </c>
      <c r="B5909">
        <v>142899507.18472415</v>
      </c>
    </row>
    <row r="5910" spans="1:2" x14ac:dyDescent="0.25">
      <c r="A5910">
        <f ca="1">29082.8325218192*((RANDBETWEEN(1620,2416)))</f>
        <v>50255134.597703576</v>
      </c>
      <c r="B5910">
        <v>144210004.6921283</v>
      </c>
    </row>
    <row r="5911" spans="1:2" x14ac:dyDescent="0.25">
      <c r="A5911">
        <f ca="1">30533.939418654*((RANDBETWEEN(1620,2416)))</f>
        <v>73250920.665350825</v>
      </c>
      <c r="B5911">
        <v>156297989.17523557</v>
      </c>
    </row>
    <row r="5912" spans="1:2" x14ac:dyDescent="0.25">
      <c r="A5912">
        <f ca="1">27644.9532405449*((RANDBETWEEN(1620,2416)))</f>
        <v>51419613.027413435</v>
      </c>
      <c r="B5912">
        <v>161046260.54304454</v>
      </c>
    </row>
    <row r="5913" spans="1:2" x14ac:dyDescent="0.25">
      <c r="A5913">
        <f ca="1">26324.6745499015*((RANDBETWEEN(1620,2416)))</f>
        <v>52386102.354303978</v>
      </c>
      <c r="B5913">
        <v>159362524.25939935</v>
      </c>
    </row>
    <row r="5914" spans="1:2" x14ac:dyDescent="0.25">
      <c r="A5914">
        <f ca="1">29522.560218137*((RANDBETWEEN(1620,2416)))</f>
        <v>58041353.388857372</v>
      </c>
      <c r="B5914">
        <v>170869387.20118266</v>
      </c>
    </row>
    <row r="5915" spans="1:2" x14ac:dyDescent="0.25">
      <c r="A5915">
        <f ca="1">31337.7365455059*((RANDBETWEEN(1620,2416)))</f>
        <v>64649750.493378662</v>
      </c>
      <c r="B5915">
        <v>168180546.32930464</v>
      </c>
    </row>
    <row r="5916" spans="1:2" x14ac:dyDescent="0.25">
      <c r="A5916">
        <f ca="1">33991.5909885608*((RANDBETWEEN(1620,2416)))</f>
        <v>75631289.949547753</v>
      </c>
      <c r="B5916">
        <v>160973750.71168047</v>
      </c>
    </row>
    <row r="5917" spans="1:2" x14ac:dyDescent="0.25">
      <c r="A5917">
        <f ca="1">25813.105809823*((RANDBETWEEN(1620,2416)))</f>
        <v>50129051.482676312</v>
      </c>
      <c r="B5917">
        <v>150837347.02386349</v>
      </c>
    </row>
    <row r="5918" spans="1:2" x14ac:dyDescent="0.25">
      <c r="A5918">
        <f ca="1">26356.5689470262*((RANDBETWEEN(1620,2416)))</f>
        <v>51685231.70511838</v>
      </c>
      <c r="B5918">
        <v>197807760.14025292</v>
      </c>
    </row>
    <row r="5919" spans="1:2" x14ac:dyDescent="0.25">
      <c r="A5919">
        <f ca="1">28576.5472925667*((RANDBETWEEN(1620,2416)))</f>
        <v>58696228.138931945</v>
      </c>
      <c r="B5919">
        <v>159120718.54370159</v>
      </c>
    </row>
    <row r="5920" spans="1:2" x14ac:dyDescent="0.25">
      <c r="A5920">
        <f ca="1">27068.5325630634*((RANDBETWEEN(1620,2416)))</f>
        <v>58792852.726973623</v>
      </c>
      <c r="B5920">
        <v>173190557.45958623</v>
      </c>
    </row>
    <row r="5921" spans="1:2" x14ac:dyDescent="0.25">
      <c r="A5921">
        <f ca="1">28936.3170314177*((RANDBETWEEN(1620,2416)))</f>
        <v>69881205.63087377</v>
      </c>
      <c r="B5921">
        <v>149971473.91031584</v>
      </c>
    </row>
    <row r="5922" spans="1:2" x14ac:dyDescent="0.25">
      <c r="A5922">
        <f ca="1">28472.9293393128*((RANDBETWEEN(1620,2416)))</f>
        <v>65231481.116365574</v>
      </c>
      <c r="B5922">
        <v>162159115.47069448</v>
      </c>
    </row>
    <row r="5923" spans="1:2" x14ac:dyDescent="0.25">
      <c r="A5923">
        <f ca="1">29259.8201529709*((RANDBETWEEN(1620,2416)))</f>
        <v>56968869.837834403</v>
      </c>
      <c r="B5923">
        <v>186496597.50906384</v>
      </c>
    </row>
    <row r="5924" spans="1:2" x14ac:dyDescent="0.25">
      <c r="A5924">
        <f ca="1">30034.7012111031*((RANDBETWEEN(1620,2416)))</f>
        <v>70971998.961836606</v>
      </c>
      <c r="B5924">
        <v>176477593.73054969</v>
      </c>
    </row>
    <row r="5925" spans="1:2" x14ac:dyDescent="0.25">
      <c r="A5925">
        <f ca="1">31141.7625315164*((RANDBETWEEN(1620,2416)))</f>
        <v>73899402.487288445</v>
      </c>
      <c r="B5925">
        <v>178439879.80493474</v>
      </c>
    </row>
    <row r="5926" spans="1:2" x14ac:dyDescent="0.25">
      <c r="A5926">
        <f ca="1">28470.9069186993*((RANDBETWEEN(1620,2416)))</f>
        <v>65112964.123065397</v>
      </c>
      <c r="B5926">
        <v>178445297.81614384</v>
      </c>
    </row>
    <row r="5927" spans="1:2" x14ac:dyDescent="0.25">
      <c r="A5927">
        <f ca="1">26586.8368356196*((RANDBETWEEN(1620,2416)))</f>
        <v>47670198.446265891</v>
      </c>
      <c r="B5927">
        <v>165291289.13435051</v>
      </c>
    </row>
    <row r="5928" spans="1:2" x14ac:dyDescent="0.25">
      <c r="A5928">
        <f ca="1">27176.3639266164*((RANDBETWEEN(1620,2416)))</f>
        <v>64951509.784613229</v>
      </c>
      <c r="B5928">
        <v>159675360.10273618</v>
      </c>
    </row>
    <row r="5929" spans="1:2" x14ac:dyDescent="0.25">
      <c r="A5929">
        <f ca="1">28086.1586554371*((RANDBETWEEN(1620,2416)))</f>
        <v>59205622.445661426</v>
      </c>
      <c r="B5929">
        <v>154466058.70691007</v>
      </c>
    </row>
    <row r="5930" spans="1:2" x14ac:dyDescent="0.25">
      <c r="A5930">
        <f ca="1">25960.7221022316*((RANDBETWEEN(1620,2416)))</f>
        <v>61708636.437004544</v>
      </c>
      <c r="B5930">
        <v>201522794.73513308</v>
      </c>
    </row>
    <row r="5931" spans="1:2" x14ac:dyDescent="0.25">
      <c r="A5931">
        <f ca="1">27678.8554411012*((RANDBETWEEN(1620,2416)))</f>
        <v>61862241.910861254</v>
      </c>
      <c r="B5931">
        <v>171844541.23565382</v>
      </c>
    </row>
    <row r="5932" spans="1:2" x14ac:dyDescent="0.25">
      <c r="A5932">
        <f ca="1">26044.9046085355*((RANDBETWEEN(1620,2416)))</f>
        <v>57507149.375646293</v>
      </c>
      <c r="B5932">
        <v>168300066.01871976</v>
      </c>
    </row>
    <row r="5933" spans="1:2" x14ac:dyDescent="0.25">
      <c r="A5933">
        <f ca="1">28546.8759004265*((RANDBETWEEN(1620,2416)))</f>
        <v>52326423.525481693</v>
      </c>
      <c r="B5933">
        <v>157192516.06491154</v>
      </c>
    </row>
    <row r="5934" spans="1:2" x14ac:dyDescent="0.25">
      <c r="A5934">
        <f ca="1">30839.0426432313*((RANDBETWEEN(1620,2416)))</f>
        <v>68586030.838546351</v>
      </c>
      <c r="B5934">
        <v>192607691.83705848</v>
      </c>
    </row>
    <row r="5935" spans="1:2" x14ac:dyDescent="0.25">
      <c r="A5935">
        <f ca="1">30090.4614878076*((RANDBETWEEN(1620,2416)))</f>
        <v>56750610.36600513</v>
      </c>
      <c r="B5935">
        <v>186889897.69013941</v>
      </c>
    </row>
    <row r="5936" spans="1:2" x14ac:dyDescent="0.25">
      <c r="A5936">
        <f ca="1">25830.8668275217*((RANDBETWEEN(1620,2416)))</f>
        <v>57886972.560476214</v>
      </c>
      <c r="B5936">
        <v>148793212.89537537</v>
      </c>
    </row>
    <row r="5937" spans="1:2" x14ac:dyDescent="0.25">
      <c r="A5937">
        <f ca="1">26713.0230600322*((RANDBETWEEN(1620,2416)))</f>
        <v>44664174.556373902</v>
      </c>
      <c r="B5937">
        <v>158147121.71498072</v>
      </c>
    </row>
    <row r="5938" spans="1:2" x14ac:dyDescent="0.25">
      <c r="A5938">
        <f ca="1">29039.836673753*((RANDBETWEEN(1620,2416)))</f>
        <v>51429550.749216564</v>
      </c>
      <c r="B5938">
        <v>202876244.19780344</v>
      </c>
    </row>
    <row r="5939" spans="1:2" x14ac:dyDescent="0.25">
      <c r="A5939">
        <f ca="1">32705.8914485586*((RANDBETWEEN(1620,2416)))</f>
        <v>55534603.679652564</v>
      </c>
      <c r="B5939">
        <v>160033909.15725142</v>
      </c>
    </row>
    <row r="5940" spans="1:2" x14ac:dyDescent="0.25">
      <c r="A5940">
        <f ca="1">27844.927198232*((RANDBETWEEN(1620,2416)))</f>
        <v>56942876.12038441</v>
      </c>
      <c r="B5940">
        <v>193224899.15984857</v>
      </c>
    </row>
    <row r="5941" spans="1:2" x14ac:dyDescent="0.25">
      <c r="A5941">
        <f ca="1">28856.2943073187*((RANDBETWEEN(1620,2416)))</f>
        <v>47699454.489997752</v>
      </c>
      <c r="B5941">
        <v>148997482.75459293</v>
      </c>
    </row>
    <row r="5942" spans="1:2" x14ac:dyDescent="0.25">
      <c r="A5942">
        <f ca="1">26274.9397790212*((RANDBETWEEN(1620,2416)))</f>
        <v>57542118.116056502</v>
      </c>
      <c r="B5942">
        <v>155011057.61689842</v>
      </c>
    </row>
    <row r="5943" spans="1:2" x14ac:dyDescent="0.25">
      <c r="A5943">
        <f ca="1">28307.3737798378*((RANDBETWEEN(1620,2416)))</f>
        <v>62276222.315643132</v>
      </c>
      <c r="B5943">
        <v>155044595.48081708</v>
      </c>
    </row>
    <row r="5944" spans="1:2" x14ac:dyDescent="0.25">
      <c r="A5944">
        <f ca="1">30145.1530272987*((RANDBETWEEN(1620,2416)))</f>
        <v>63003369.827054374</v>
      </c>
      <c r="B5944">
        <v>148122365.35932046</v>
      </c>
    </row>
    <row r="5945" spans="1:2" x14ac:dyDescent="0.25">
      <c r="A5945">
        <f ca="1">29158.6426388703*((RANDBETWEEN(1620,2416)))</f>
        <v>58608871.704129338</v>
      </c>
      <c r="B5945">
        <v>166483887.41103703</v>
      </c>
    </row>
    <row r="5946" spans="1:2" x14ac:dyDescent="0.25">
      <c r="A5946">
        <f ca="1">31007.3759724961*((RANDBETWEEN(1620,2416)))</f>
        <v>68836374.658941433</v>
      </c>
      <c r="B5946">
        <v>148583478.85115921</v>
      </c>
    </row>
    <row r="5947" spans="1:2" x14ac:dyDescent="0.25">
      <c r="A5947">
        <f ca="1">27463.2260496924*((RANDBETWEEN(1620,2416)))</f>
        <v>63961853.469733641</v>
      </c>
      <c r="B5947">
        <v>148930189.53303432</v>
      </c>
    </row>
    <row r="5948" spans="1:2" x14ac:dyDescent="0.25">
      <c r="A5948">
        <f ca="1">26527.2836768457*((RANDBETWEEN(1620,2416)))</f>
        <v>62524807.626325257</v>
      </c>
      <c r="B5948">
        <v>149415370.87020522</v>
      </c>
    </row>
    <row r="5949" spans="1:2" x14ac:dyDescent="0.25">
      <c r="A5949">
        <f ca="1">29098.511225142*((RANDBETWEEN(1620,2416)))</f>
        <v>58080628.405383363</v>
      </c>
      <c r="B5949">
        <v>193240397.00004569</v>
      </c>
    </row>
    <row r="5950" spans="1:2" x14ac:dyDescent="0.25">
      <c r="A5950">
        <f ca="1">31896.8734009436*((RANDBETWEEN(1620,2416)))</f>
        <v>55468662.844241001</v>
      </c>
      <c r="B5950">
        <v>191982011.2480545</v>
      </c>
    </row>
    <row r="5951" spans="1:2" x14ac:dyDescent="0.25">
      <c r="A5951">
        <f ca="1">26852.3154005714*((RANDBETWEEN(1620,2416)))</f>
        <v>54832428.047966838</v>
      </c>
      <c r="B5951">
        <v>158541251.72051913</v>
      </c>
    </row>
    <row r="5952" spans="1:2" x14ac:dyDescent="0.25">
      <c r="A5952">
        <f ca="1">26063.9287122883*((RANDBETWEEN(1620,2416)))</f>
        <v>43266121.662398547</v>
      </c>
      <c r="B5952">
        <v>186652347.72005272</v>
      </c>
    </row>
    <row r="5953" spans="1:2" x14ac:dyDescent="0.25">
      <c r="A5953">
        <f ca="1">26917.9202129621*((RANDBETWEEN(1620,2416)))</f>
        <v>54024265.867415003</v>
      </c>
      <c r="B5953">
        <v>173732342.70250356</v>
      </c>
    </row>
    <row r="5954" spans="1:2" x14ac:dyDescent="0.25">
      <c r="A5954">
        <f ca="1">27119.4376518859*((RANDBETWEEN(1620,2416)))</f>
        <v>59689882.271800824</v>
      </c>
      <c r="B5954">
        <v>166356427.42536765</v>
      </c>
    </row>
    <row r="5955" spans="1:2" x14ac:dyDescent="0.25">
      <c r="A5955">
        <f ca="1">30604.4121075024*((RANDBETWEEN(1620,2416)))</f>
        <v>54934919.732966736</v>
      </c>
      <c r="B5955">
        <v>187830747.36680198</v>
      </c>
    </row>
    <row r="5956" spans="1:2" x14ac:dyDescent="0.25">
      <c r="A5956">
        <f ca="1">27316.6956479992*((RANDBETWEEN(1620,2416)))</f>
        <v>58758212.338846363</v>
      </c>
      <c r="B5956">
        <v>198607637.58739316</v>
      </c>
    </row>
    <row r="5957" spans="1:2" x14ac:dyDescent="0.25">
      <c r="A5957">
        <f ca="1">28512.733951363*((RANDBETWEEN(1620,2416)))</f>
        <v>47359651.093213908</v>
      </c>
      <c r="B5957">
        <v>163245134.19265875</v>
      </c>
    </row>
    <row r="5958" spans="1:2" x14ac:dyDescent="0.25">
      <c r="A5958">
        <f ca="1">25709.8990968752*((RANDBETWEEN(1620,2416)))</f>
        <v>58258631.353519104</v>
      </c>
      <c r="B5958">
        <v>170679593.94095218</v>
      </c>
    </row>
    <row r="5959" spans="1:2" x14ac:dyDescent="0.25">
      <c r="A5959">
        <f ca="1">26210.8881911871*((RANDBETWEEN(1620,2416)))</f>
        <v>57139736.256787859</v>
      </c>
      <c r="B5959">
        <v>163315807.46227413</v>
      </c>
    </row>
    <row r="5960" spans="1:2" x14ac:dyDescent="0.25">
      <c r="A5960">
        <f ca="1">25919.7501856339*((RANDBETWEEN(1620,2416)))</f>
        <v>48495852.597321078</v>
      </c>
      <c r="B5960">
        <v>158594490.66558117</v>
      </c>
    </row>
    <row r="5961" spans="1:2" x14ac:dyDescent="0.25">
      <c r="A5961">
        <f ca="1">30838.7265915023*((RANDBETWEEN(1620,2416)))</f>
        <v>62540937.527566634</v>
      </c>
      <c r="B5961">
        <v>185054663.70549098</v>
      </c>
    </row>
    <row r="5962" spans="1:2" x14ac:dyDescent="0.25">
      <c r="A5962">
        <f ca="1">28037.0210327623*((RANDBETWEEN(1620,2416)))</f>
        <v>64260852.207091294</v>
      </c>
      <c r="B5962">
        <v>156992386.8873603</v>
      </c>
    </row>
    <row r="5963" spans="1:2" x14ac:dyDescent="0.25">
      <c r="A5963">
        <f ca="1">27799.9280425439*((RANDBETWEEN(1620,2416)))</f>
        <v>66803227.086233027</v>
      </c>
      <c r="B5963">
        <v>188823529.09523782</v>
      </c>
    </row>
    <row r="5964" spans="1:2" x14ac:dyDescent="0.25">
      <c r="A5964">
        <f ca="1">29710.8777071744*((RANDBETWEEN(1620,2416)))</f>
        <v>70325647.532881856</v>
      </c>
      <c r="B5964">
        <v>143367666.62598634</v>
      </c>
    </row>
    <row r="5965" spans="1:2" x14ac:dyDescent="0.25">
      <c r="A5965">
        <f ca="1">25591.5926393181*((RANDBETWEEN(1620,2416)))</f>
        <v>61343047.556445546</v>
      </c>
      <c r="B5965">
        <v>152998277.93318927</v>
      </c>
    </row>
    <row r="5966" spans="1:2" x14ac:dyDescent="0.25">
      <c r="A5966">
        <f ca="1">30427.8643017185*((RANDBETWEEN(1620,2416)))</f>
        <v>73361580.831443295</v>
      </c>
      <c r="B5966">
        <v>180019237.47555393</v>
      </c>
    </row>
    <row r="5967" spans="1:2" x14ac:dyDescent="0.25">
      <c r="A5967">
        <f ca="1">30619.0416245393*((RANDBETWEEN(1620,2416)))</f>
        <v>68311081.86434719</v>
      </c>
      <c r="B5967">
        <v>188247973.05705118</v>
      </c>
    </row>
    <row r="5968" spans="1:2" x14ac:dyDescent="0.25">
      <c r="A5968">
        <f ca="1">25519.3148786709*((RANDBETWEEN(1620,2416)))</f>
        <v>41570963.937355004</v>
      </c>
      <c r="B5968">
        <v>151403134.29955772</v>
      </c>
    </row>
    <row r="5969" spans="1:2" x14ac:dyDescent="0.25">
      <c r="A5969">
        <f ca="1">26277.1709599305*((RANDBETWEEN(1620,2416)))</f>
        <v>53158716.851939365</v>
      </c>
      <c r="B5969">
        <v>144209620.96239901</v>
      </c>
    </row>
    <row r="5970" spans="1:2" x14ac:dyDescent="0.25">
      <c r="A5970">
        <f ca="1">29939.3878704786*((RANDBETWEEN(1620,2416)))</f>
        <v>52573565.100560375</v>
      </c>
      <c r="B5970">
        <v>180702843.4521091</v>
      </c>
    </row>
    <row r="5971" spans="1:2" x14ac:dyDescent="0.25">
      <c r="A5971">
        <f ca="1">26548.3824185729*((RANDBETWEEN(1620,2416)))</f>
        <v>51848990.863472946</v>
      </c>
      <c r="B5971">
        <v>178338530.71133971</v>
      </c>
    </row>
    <row r="5972" spans="1:2" x14ac:dyDescent="0.25">
      <c r="A5972">
        <f ca="1">28498.202322498*((RANDBETWEEN(1620,2416)))</f>
        <v>55144021.494033605</v>
      </c>
      <c r="B5972">
        <v>143720114.1098198</v>
      </c>
    </row>
    <row r="5973" spans="1:2" x14ac:dyDescent="0.25">
      <c r="A5973">
        <f ca="1">27462.387780043*((RANDBETWEEN(1620,2416)))</f>
        <v>54485377.355605327</v>
      </c>
      <c r="B5973">
        <v>151310517.22890013</v>
      </c>
    </row>
    <row r="5974" spans="1:2" x14ac:dyDescent="0.25">
      <c r="A5974">
        <f ca="1">30577.3723681165*((RANDBETWEEN(1620,2416)))</f>
        <v>49871694.332398005</v>
      </c>
      <c r="B5974">
        <v>191178383.65004528</v>
      </c>
    </row>
    <row r="5975" spans="1:2" x14ac:dyDescent="0.25">
      <c r="A5975">
        <f ca="1">28239.4004864837*((RANDBETWEEN(1620,2416)))</f>
        <v>66786182.150533855</v>
      </c>
      <c r="B5975">
        <v>155728155.31926107</v>
      </c>
    </row>
    <row r="5976" spans="1:2" x14ac:dyDescent="0.25">
      <c r="A5976">
        <f ca="1">26509.0432437782*((RANDBETWEEN(1620,2416)))</f>
        <v>55960590.287615709</v>
      </c>
      <c r="B5976">
        <v>192230337.84469453</v>
      </c>
    </row>
    <row r="5977" spans="1:2" x14ac:dyDescent="0.25">
      <c r="A5977">
        <f ca="1">27543.094378191*((RANDBETWEEN(1620,2416)))</f>
        <v>53433603.093690589</v>
      </c>
      <c r="B5977">
        <v>174472659.96397719</v>
      </c>
    </row>
    <row r="5978" spans="1:2" x14ac:dyDescent="0.25">
      <c r="A5978">
        <f ca="1">26090.8916438312*((RANDBETWEEN(1620,2416)))</f>
        <v>42632516.946020246</v>
      </c>
      <c r="B5978">
        <v>178368639.65862405</v>
      </c>
    </row>
    <row r="5979" spans="1:2" x14ac:dyDescent="0.25">
      <c r="A5979">
        <f ca="1">27458.3282689556*((RANDBETWEEN(1620,2416)))</f>
        <v>55410906.446752317</v>
      </c>
      <c r="B5979">
        <v>202248349.12001389</v>
      </c>
    </row>
    <row r="5980" spans="1:2" x14ac:dyDescent="0.25">
      <c r="A5980">
        <f ca="1">26708.7663291383*((RANDBETWEEN(1620,2416)))</f>
        <v>52295764.472452715</v>
      </c>
      <c r="B5980">
        <v>167654092.26032746</v>
      </c>
    </row>
    <row r="5981" spans="1:2" x14ac:dyDescent="0.25">
      <c r="A5981">
        <f ca="1">27539.5518939815*((RANDBETWEEN(1620,2416)))</f>
        <v>64139616.361083023</v>
      </c>
      <c r="B5981">
        <v>146666723.71031713</v>
      </c>
    </row>
    <row r="5982" spans="1:2" x14ac:dyDescent="0.25">
      <c r="A5982">
        <f ca="1">29831.5668733583*((RANDBETWEEN(1620,2416)))</f>
        <v>52205242.028376952</v>
      </c>
      <c r="B5982">
        <v>158004651.01324424</v>
      </c>
    </row>
    <row r="5983" spans="1:2" x14ac:dyDescent="0.25">
      <c r="A5983">
        <f ca="1">33539.7243127739*((RANDBETWEEN(1620,2416)))</f>
        <v>67850862.284741551</v>
      </c>
      <c r="B5983">
        <v>173841595.16143847</v>
      </c>
    </row>
    <row r="5984" spans="1:2" x14ac:dyDescent="0.25">
      <c r="A5984">
        <f ca="1">26654.8722459718*((RANDBETWEEN(1620,2416)))</f>
        <v>45686451.029595666</v>
      </c>
      <c r="B5984">
        <v>169112167.19159532</v>
      </c>
    </row>
    <row r="5985" spans="1:2" x14ac:dyDescent="0.25">
      <c r="A5985">
        <f ca="1">30370.6382043993*((RANDBETWEEN(1620,2416)))</f>
        <v>71067293.398294359</v>
      </c>
      <c r="B5985">
        <v>154165983.87577188</v>
      </c>
    </row>
    <row r="5986" spans="1:2" x14ac:dyDescent="0.25">
      <c r="A5986">
        <f ca="1">27783.5533270067*((RANDBETWEEN(1620,2416)))</f>
        <v>59540154.779775269</v>
      </c>
      <c r="B5986">
        <v>181709513.86349374</v>
      </c>
    </row>
    <row r="5987" spans="1:2" x14ac:dyDescent="0.25">
      <c r="A5987">
        <f ca="1">26766.6037815709*((RANDBETWEEN(1620,2416)))</f>
        <v>63008585.301817805</v>
      </c>
      <c r="B5987">
        <v>154747112.23532924</v>
      </c>
    </row>
    <row r="5988" spans="1:2" x14ac:dyDescent="0.25">
      <c r="A5988">
        <f ca="1">27248.5235612854*((RANDBETWEEN(1620,2416)))</f>
        <v>65614444.735575192</v>
      </c>
      <c r="B5988">
        <v>145446012.34227753</v>
      </c>
    </row>
    <row r="5989" spans="1:2" x14ac:dyDescent="0.25">
      <c r="A5989">
        <f ca="1">27605.6437348024*((RANDBETWEEN(1620,2416)))</f>
        <v>49800581.297583506</v>
      </c>
      <c r="B5989">
        <v>153357937.53157043</v>
      </c>
    </row>
    <row r="5990" spans="1:2" x14ac:dyDescent="0.25">
      <c r="A5990">
        <f ca="1">28158.137089129*((RANDBETWEEN(1620,2416)))</f>
        <v>46320135.511617146</v>
      </c>
      <c r="B5990">
        <v>145741203.060891</v>
      </c>
    </row>
    <row r="5991" spans="1:2" x14ac:dyDescent="0.25">
      <c r="A5991">
        <f ca="1">26879.7355937037*((RANDBETWEEN(1620,2416)))</f>
        <v>51125257.099224456</v>
      </c>
      <c r="B5991">
        <v>172753817.67427695</v>
      </c>
    </row>
    <row r="5992" spans="1:2" x14ac:dyDescent="0.25">
      <c r="A5992">
        <f ca="1">31830.6577074931*((RANDBETWEEN(1620,2416)))</f>
        <v>63152024.891666338</v>
      </c>
      <c r="B5992">
        <v>184279893.5116404</v>
      </c>
    </row>
    <row r="5993" spans="1:2" x14ac:dyDescent="0.25">
      <c r="A5993">
        <f ca="1">30549.7996738889*((RANDBETWEEN(1620,2416)))</f>
        <v>66568013.489403978</v>
      </c>
      <c r="B5993">
        <v>143625529.44585997</v>
      </c>
    </row>
    <row r="5994" spans="1:2" x14ac:dyDescent="0.25">
      <c r="A5994">
        <f ca="1">28242.074301924*((RANDBETWEEN(1620,2416)))</f>
        <v>60776943.897740543</v>
      </c>
      <c r="B5994">
        <v>202335091.03495246</v>
      </c>
    </row>
    <row r="5995" spans="1:2" x14ac:dyDescent="0.25">
      <c r="A5995">
        <f ca="1">29167.4745160965*((RANDBETWEEN(1620,2416)))</f>
        <v>57839101.965419441</v>
      </c>
      <c r="B5995">
        <v>152731116.47440416</v>
      </c>
    </row>
    <row r="5996" spans="1:2" x14ac:dyDescent="0.25">
      <c r="A5996">
        <f ca="1">28287.5888212887*((RANDBETWEEN(1620,2416)))</f>
        <v>52586627.618775614</v>
      </c>
      <c r="B5996">
        <v>181782034.20284808</v>
      </c>
    </row>
    <row r="5997" spans="1:2" x14ac:dyDescent="0.25">
      <c r="A5997">
        <f ca="1">28986.3660716644*((RANDBETWEEN(1620,2416)))</f>
        <v>66233846.47375308</v>
      </c>
      <c r="B5997">
        <v>155345365.38013914</v>
      </c>
    </row>
    <row r="5998" spans="1:2" x14ac:dyDescent="0.25">
      <c r="A5998">
        <f ca="1">26989.4254123119*((RANDBETWEEN(1620,2416)))</f>
        <v>45288255.841859311</v>
      </c>
      <c r="B5998">
        <v>147154029.6051352</v>
      </c>
    </row>
    <row r="5999" spans="1:2" x14ac:dyDescent="0.25">
      <c r="A5999">
        <f ca="1">33556.6707864754*((RANDBETWEEN(1620,2416)))</f>
        <v>54999383.419033259</v>
      </c>
      <c r="B5999">
        <v>148860030.18125495</v>
      </c>
    </row>
    <row r="6000" spans="1:2" x14ac:dyDescent="0.25">
      <c r="A6000">
        <f ca="1">26217.7994531088*((RANDBETWEEN(1620,2416)))</f>
        <v>57731594.395745531</v>
      </c>
      <c r="B6000">
        <v>144023053.51062128</v>
      </c>
    </row>
    <row r="6001" spans="1:2" x14ac:dyDescent="0.25">
      <c r="A6001">
        <f ca="1">26349.1453440471*((RANDBETWEEN(1620,2416)))</f>
        <v>58337007.791720308</v>
      </c>
      <c r="B6001">
        <v>183324571.13583007</v>
      </c>
    </row>
    <row r="6002" spans="1:2" x14ac:dyDescent="0.25">
      <c r="A6002">
        <f ca="1">30023.8957847241*((RANDBETWEEN(1620,2416)))</f>
        <v>56805210.824697904</v>
      </c>
      <c r="B6002">
        <v>186107319.87858355</v>
      </c>
    </row>
    <row r="6003" spans="1:2" x14ac:dyDescent="0.25">
      <c r="A6003">
        <f ca="1">31210.8481238765*((RANDBETWEEN(1620,2416)))</f>
        <v>62484117.944000676</v>
      </c>
      <c r="B6003">
        <v>176639852.76766983</v>
      </c>
    </row>
    <row r="6004" spans="1:2" x14ac:dyDescent="0.25">
      <c r="A6004">
        <f ca="1">28641.6806441837*((RANDBETWEEN(1620,2416)))</f>
        <v>67107457.749322303</v>
      </c>
      <c r="B6004">
        <v>153962169.16628551</v>
      </c>
    </row>
    <row r="6005" spans="1:2" x14ac:dyDescent="0.25">
      <c r="A6005">
        <f ca="1">31976.7541094115*((RANDBETWEEN(1620,2416)))</f>
        <v>75145372.157117054</v>
      </c>
      <c r="B6005">
        <v>185886762.38103637</v>
      </c>
    </row>
    <row r="6006" spans="1:2" x14ac:dyDescent="0.25">
      <c r="A6006">
        <f ca="1">31894.5761631963*((RANDBETWEEN(1620,2416)))</f>
        <v>59834224.882156305</v>
      </c>
      <c r="B6006">
        <v>203232787.82529706</v>
      </c>
    </row>
    <row r="6007" spans="1:2" x14ac:dyDescent="0.25">
      <c r="A6007">
        <f ca="1">26826.9978942784*((RANDBETWEEN(1620,2416)))</f>
        <v>46437533.354995921</v>
      </c>
      <c r="B6007">
        <v>168454205.53939563</v>
      </c>
    </row>
    <row r="6008" spans="1:2" x14ac:dyDescent="0.25">
      <c r="A6008">
        <f ca="1">28276.8085246707*((RANDBETWEEN(1620,2416)))</f>
        <v>57712966.198852979</v>
      </c>
      <c r="B6008">
        <v>151246048.74394178</v>
      </c>
    </row>
    <row r="6009" spans="1:2" x14ac:dyDescent="0.25">
      <c r="A6009">
        <f ca="1">29597.1403901455*((RANDBETWEEN(1620,2416)))</f>
        <v>54014781.212015569</v>
      </c>
      <c r="B6009">
        <v>163872992.37138203</v>
      </c>
    </row>
    <row r="6010" spans="1:2" x14ac:dyDescent="0.25">
      <c r="A6010">
        <f ca="1">30729.5455554252*((RANDBETWEEN(1620,2416)))</f>
        <v>68096672.950822324</v>
      </c>
      <c r="B6010">
        <v>184264305.85602692</v>
      </c>
    </row>
    <row r="6011" spans="1:2" x14ac:dyDescent="0.25">
      <c r="A6011">
        <f ca="1">25586.4369612203*((RANDBETWEEN(1620,2416)))</f>
        <v>57825347.532357939</v>
      </c>
      <c r="B6011">
        <v>143851985.61325997</v>
      </c>
    </row>
    <row r="6012" spans="1:2" x14ac:dyDescent="0.25">
      <c r="A6012">
        <f ca="1">26236.940851496*((RANDBETWEEN(1620,2416)))</f>
        <v>46045831.194375478</v>
      </c>
      <c r="B6012">
        <v>153816572.29608038</v>
      </c>
    </row>
    <row r="6013" spans="1:2" x14ac:dyDescent="0.25">
      <c r="A6013">
        <f ca="1">27826.9129766787*((RANDBETWEEN(1620,2416)))</f>
        <v>59855689.812835895</v>
      </c>
      <c r="B6013">
        <v>168136990.47982845</v>
      </c>
    </row>
    <row r="6014" spans="1:2" x14ac:dyDescent="0.25">
      <c r="A6014">
        <f ca="1">27810.6415861387*((RANDBETWEEN(1620,2416)))</f>
        <v>62935481.909431867</v>
      </c>
      <c r="B6014">
        <v>153778720.96656123</v>
      </c>
    </row>
    <row r="6015" spans="1:2" x14ac:dyDescent="0.25">
      <c r="A6015">
        <f ca="1">28747.2721631096*((RANDBETWEEN(1620,2416)))</f>
        <v>56200917.078879327</v>
      </c>
      <c r="B6015">
        <v>163175322.37539822</v>
      </c>
    </row>
    <row r="6016" spans="1:2" x14ac:dyDescent="0.25">
      <c r="A6016">
        <f ca="1">26882.3928157837*((RANDBETWEEN(1620,2416)))</f>
        <v>52662607.526120216</v>
      </c>
      <c r="B6016">
        <v>144727512.74051633</v>
      </c>
    </row>
    <row r="6017" spans="1:2" x14ac:dyDescent="0.25">
      <c r="A6017">
        <f ca="1">31391.3908643771*((RANDBETWEEN(1620,2416)))</f>
        <v>66675314.195936903</v>
      </c>
      <c r="B6017">
        <v>153089549.53786165</v>
      </c>
    </row>
    <row r="6018" spans="1:2" x14ac:dyDescent="0.25">
      <c r="A6018">
        <f ca="1">28400.5597146081*((RANDBETWEEN(1620,2416)))</f>
        <v>67508130.441623405</v>
      </c>
      <c r="B6018">
        <v>162950881.45423472</v>
      </c>
    </row>
    <row r="6019" spans="1:2" x14ac:dyDescent="0.25">
      <c r="A6019">
        <f ca="1">27784.5114928396*((RANDBETWEEN(1620,2416)))</f>
        <v>65627016.146087237</v>
      </c>
      <c r="B6019">
        <v>166425507.27781081</v>
      </c>
    </row>
    <row r="6020" spans="1:2" x14ac:dyDescent="0.25">
      <c r="A6020">
        <f ca="1">25589.4257596232*((RANDBETWEEN(1620,2416)))</f>
        <v>49080518.606957279</v>
      </c>
      <c r="B6020">
        <v>151742564.32474187</v>
      </c>
    </row>
    <row r="6021" spans="1:2" x14ac:dyDescent="0.25">
      <c r="A6021">
        <f ca="1">28590.7671965105*((RANDBETWEEN(1620,2416)))</f>
        <v>53121645.451116569</v>
      </c>
      <c r="B6021">
        <v>145214872.12837321</v>
      </c>
    </row>
    <row r="6022" spans="1:2" x14ac:dyDescent="0.25">
      <c r="A6022">
        <f ca="1">28754.9932249232*((RANDBETWEEN(1620,2416)))</f>
        <v>56388541.714074381</v>
      </c>
      <c r="B6022">
        <v>144606257.33667091</v>
      </c>
    </row>
    <row r="6023" spans="1:2" x14ac:dyDescent="0.25">
      <c r="A6023">
        <f ca="1">26032.376729014*((RANDBETWEEN(1620,2416)))</f>
        <v>56542322.255418502</v>
      </c>
      <c r="B6023">
        <v>149060233.30896139</v>
      </c>
    </row>
    <row r="6024" spans="1:2" x14ac:dyDescent="0.25">
      <c r="A6024">
        <f ca="1">28261.9723843687*((RANDBETWEEN(1620,2416)))</f>
        <v>62119815.300842315</v>
      </c>
      <c r="B6024">
        <v>180234061.42845905</v>
      </c>
    </row>
    <row r="6025" spans="1:2" x14ac:dyDescent="0.25">
      <c r="A6025">
        <f ca="1">28369.2304108799*((RANDBETWEEN(1620,2416)))</f>
        <v>50383753.209722772</v>
      </c>
      <c r="B6025">
        <v>174360852.66467595</v>
      </c>
    </row>
    <row r="6026" spans="1:2" x14ac:dyDescent="0.25">
      <c r="A6026">
        <f ca="1">29789.4256283228*((RANDBETWEEN(1620,2416)))</f>
        <v>49390867.691759206</v>
      </c>
      <c r="B6026">
        <v>153236550.76641136</v>
      </c>
    </row>
    <row r="6027" spans="1:2" x14ac:dyDescent="0.25">
      <c r="A6027">
        <f ca="1">31558.7982978981*((RANDBETWEEN(1620,2416)))</f>
        <v>61444980.28600768</v>
      </c>
      <c r="B6027">
        <v>172932849.35277328</v>
      </c>
    </row>
    <row r="6028" spans="1:2" x14ac:dyDescent="0.25">
      <c r="A6028">
        <f ca="1">29539.2374102521*((RANDBETWEEN(1620,2416)))</f>
        <v>53111548.863633342</v>
      </c>
      <c r="B6028">
        <v>171506349.36157206</v>
      </c>
    </row>
    <row r="6029" spans="1:2" x14ac:dyDescent="0.25">
      <c r="A6029">
        <f ca="1">29950.8768458412*((RANDBETWEEN(1620,2416)))</f>
        <v>60321065.967524089</v>
      </c>
      <c r="B6029">
        <v>188841569.94088888</v>
      </c>
    </row>
    <row r="6030" spans="1:2" x14ac:dyDescent="0.25">
      <c r="A6030">
        <f ca="1">26868.4656725389*((RANDBETWEEN(1620,2416)))</f>
        <v>64323106.820058011</v>
      </c>
      <c r="B6030">
        <v>184066384.85412216</v>
      </c>
    </row>
    <row r="6031" spans="1:2" x14ac:dyDescent="0.25">
      <c r="A6031">
        <f ca="1">26576.961528543*((RANDBETWEEN(1620,2416)))</f>
        <v>51957959.788301513</v>
      </c>
      <c r="B6031">
        <v>153385320.11808556</v>
      </c>
    </row>
    <row r="6032" spans="1:2" x14ac:dyDescent="0.25">
      <c r="A6032">
        <f ca="1">27456.9827542199*((RANDBETWEEN(1620,2416)))</f>
        <v>44645053.958361603</v>
      </c>
      <c r="B6032">
        <v>180774498.15223765</v>
      </c>
    </row>
    <row r="6033" spans="1:2" x14ac:dyDescent="0.25">
      <c r="A6033">
        <f ca="1">27560.0658998511*((RANDBETWEEN(1620,2416)))</f>
        <v>59447062.145978786</v>
      </c>
      <c r="B6033">
        <v>167006091.14599898</v>
      </c>
    </row>
    <row r="6034" spans="1:2" x14ac:dyDescent="0.25">
      <c r="A6034">
        <f ca="1">29385.4664695298*((RANDBETWEEN(1620,2416)))</f>
        <v>49573281.934096791</v>
      </c>
      <c r="B6034">
        <v>166479255.70281863</v>
      </c>
    </row>
    <row r="6035" spans="1:2" x14ac:dyDescent="0.25">
      <c r="A6035">
        <f ca="1">33321.4946811302*((RANDBETWEEN(1620,2416)))</f>
        <v>76339544.314469352</v>
      </c>
      <c r="B6035">
        <v>159704057.57396218</v>
      </c>
    </row>
    <row r="6036" spans="1:2" x14ac:dyDescent="0.25">
      <c r="A6036">
        <f ca="1">26160.3513212862*((RANDBETWEEN(1620,2416)))</f>
        <v>61319863.497094773</v>
      </c>
      <c r="B6036">
        <v>188640696.36196291</v>
      </c>
    </row>
    <row r="6037" spans="1:2" x14ac:dyDescent="0.25">
      <c r="A6037">
        <f ca="1">29456.7564363268*((RANDBETWEEN(1620,2416)))</f>
        <v>65364542.53220915</v>
      </c>
      <c r="B6037">
        <v>183003782.72594535</v>
      </c>
    </row>
    <row r="6038" spans="1:2" x14ac:dyDescent="0.25">
      <c r="A6038">
        <f ca="1">30386.1794373208*((RANDBETWEEN(1620,2416)))</f>
        <v>51990753.01725591</v>
      </c>
      <c r="B6038">
        <v>177017366.28398663</v>
      </c>
    </row>
    <row r="6039" spans="1:2" x14ac:dyDescent="0.25">
      <c r="A6039">
        <f ca="1">25633.4572225649*((RANDBETWEEN(1620,2416)))</f>
        <v>46781059.431180976</v>
      </c>
      <c r="B6039">
        <v>156911516.55889744</v>
      </c>
    </row>
    <row r="6040" spans="1:2" x14ac:dyDescent="0.25">
      <c r="A6040">
        <f ca="1">28719.4756770182*((RANDBETWEEN(1620,2416)))</f>
        <v>62637176.451576792</v>
      </c>
      <c r="B6040">
        <v>145528287.89925194</v>
      </c>
    </row>
    <row r="6041" spans="1:2" x14ac:dyDescent="0.25">
      <c r="A6041">
        <f ca="1">29498.0188945855*((RANDBETWEEN(1620,2416)))</f>
        <v>66459036.569501042</v>
      </c>
      <c r="B6041">
        <v>187279445.85425276</v>
      </c>
    </row>
    <row r="6042" spans="1:2" x14ac:dyDescent="0.25">
      <c r="A6042">
        <f ca="1">30050.7786142252*((RANDBETWEEN(1620,2416)))</f>
        <v>60702572.800734892</v>
      </c>
      <c r="B6042">
        <v>153842403.9133954</v>
      </c>
    </row>
    <row r="6043" spans="1:2" x14ac:dyDescent="0.25">
      <c r="A6043">
        <f ca="1">30740.290118345*((RANDBETWEEN(1620,2416)))</f>
        <v>60373929.792429566</v>
      </c>
      <c r="B6043">
        <v>192092320.35422981</v>
      </c>
    </row>
    <row r="6044" spans="1:2" x14ac:dyDescent="0.25">
      <c r="A6044">
        <f ca="1">30024.2424940966*((RANDBETWEEN(1620,2416)))</f>
        <v>68515321.371528387</v>
      </c>
      <c r="B6044">
        <v>158225828.12303686</v>
      </c>
    </row>
    <row r="6045" spans="1:2" x14ac:dyDescent="0.25">
      <c r="A6045">
        <f ca="1">28574.9584450307*((RANDBETWEEN(1620,2416)))</f>
        <v>54635320.546898693</v>
      </c>
      <c r="B6045">
        <v>174566567.85905936</v>
      </c>
    </row>
    <row r="6046" spans="1:2" x14ac:dyDescent="0.25">
      <c r="A6046">
        <f ca="1">27013.1007813634*((RANDBETWEEN(1620,2416)))</f>
        <v>63318708.231515914</v>
      </c>
      <c r="B6046">
        <v>161493930.47713357</v>
      </c>
    </row>
    <row r="6047" spans="1:2" x14ac:dyDescent="0.25">
      <c r="A6047">
        <f ca="1">29302.3283532376*((RANDBETWEEN(1620,2416)))</f>
        <v>49345120.946852155</v>
      </c>
      <c r="B6047">
        <v>172046263.05574071</v>
      </c>
    </row>
    <row r="6048" spans="1:2" x14ac:dyDescent="0.25">
      <c r="A6048">
        <f ca="1">27008.2165431076*((RANDBETWEEN(1620,2416)))</f>
        <v>54421556.334361739</v>
      </c>
      <c r="B6048">
        <v>145972154.65450943</v>
      </c>
    </row>
    <row r="6049" spans="1:2" x14ac:dyDescent="0.25">
      <c r="A6049">
        <f ca="1">29846.8990825083*((RANDBETWEEN(1620,2416)))</f>
        <v>56709108.256765753</v>
      </c>
      <c r="B6049">
        <v>145782055.81435874</v>
      </c>
    </row>
    <row r="6050" spans="1:2" x14ac:dyDescent="0.25">
      <c r="A6050">
        <f ca="1">25397.0898381478*((RANDBETWEEN(1620,2416)))</f>
        <v>42006786.592296444</v>
      </c>
      <c r="B6050">
        <v>149847124.08543292</v>
      </c>
    </row>
    <row r="6051" spans="1:2" x14ac:dyDescent="0.25">
      <c r="A6051">
        <f ca="1">26980.4132369429*((RANDBETWEEN(1620,2416)))</f>
        <v>44139956.055638507</v>
      </c>
      <c r="B6051">
        <v>158328326.57042599</v>
      </c>
    </row>
    <row r="6052" spans="1:2" x14ac:dyDescent="0.25">
      <c r="A6052">
        <f ca="1">28287.3938137073*((RANDBETWEEN(1620,2416)))</f>
        <v>66645099.825094409</v>
      </c>
      <c r="B6052">
        <v>203615151.24314284</v>
      </c>
    </row>
    <row r="6053" spans="1:2" x14ac:dyDescent="0.25">
      <c r="A6053">
        <f ca="1">27022.2836376622*((RANDBETWEEN(1620,2416)))</f>
        <v>48721177.398704968</v>
      </c>
      <c r="B6053">
        <v>152044325.0490703</v>
      </c>
    </row>
    <row r="6054" spans="1:2" x14ac:dyDescent="0.25">
      <c r="A6054">
        <f ca="1">25971.7219090162*((RANDBETWEEN(1620,2416)))</f>
        <v>53501747.132573433</v>
      </c>
      <c r="B6054">
        <v>171087829.39368674</v>
      </c>
    </row>
    <row r="6055" spans="1:2" x14ac:dyDescent="0.25">
      <c r="A6055">
        <f ca="1">25729.9888652484*((RANDBETWEEN(1620,2416)))</f>
        <v>52669287.20716355</v>
      </c>
      <c r="B6055">
        <v>200940777.99947825</v>
      </c>
    </row>
    <row r="6056" spans="1:2" x14ac:dyDescent="0.25">
      <c r="A6056">
        <f ca="1">28105.1877551128*((RANDBETWEEN(1620,2416)))</f>
        <v>65850454.910229251</v>
      </c>
      <c r="B6056">
        <v>161396942.66638112</v>
      </c>
    </row>
    <row r="6057" spans="1:2" x14ac:dyDescent="0.25">
      <c r="A6057">
        <f ca="1">29012.1403562097*((RANDBETWEEN(1620,2416)))</f>
        <v>50307051.377667554</v>
      </c>
      <c r="B6057">
        <v>145080755.51210386</v>
      </c>
    </row>
    <row r="6058" spans="1:2" x14ac:dyDescent="0.25">
      <c r="A6058">
        <f ca="1">29926.5441767146*((RANDBETWEEN(1620,2416)))</f>
        <v>49797769.510053173</v>
      </c>
      <c r="B6058">
        <v>193120385.38824582</v>
      </c>
    </row>
    <row r="6059" spans="1:2" x14ac:dyDescent="0.25">
      <c r="A6059">
        <f ca="1">26183.9932449237*((RANDBETWEEN(1620,2416)))</f>
        <v>42863196.941940062</v>
      </c>
      <c r="B6059">
        <v>144746222.82139796</v>
      </c>
    </row>
    <row r="6060" spans="1:2" x14ac:dyDescent="0.25">
      <c r="A6060">
        <f ca="1">34181.455437312*((RANDBETWEEN(1620,2416)))</f>
        <v>80531509.010307133</v>
      </c>
      <c r="B6060">
        <v>148012210.40068644</v>
      </c>
    </row>
    <row r="6061" spans="1:2" x14ac:dyDescent="0.25">
      <c r="A6061">
        <f ca="1">33173.0494228519*((RANDBETWEEN(1620,2416)))</f>
        <v>69398019.392606184</v>
      </c>
      <c r="B6061">
        <v>146093175.54791772</v>
      </c>
    </row>
    <row r="6062" spans="1:2" x14ac:dyDescent="0.25">
      <c r="A6062">
        <f ca="1">27929.9082094448*((RANDBETWEEN(1620,2416)))</f>
        <v>45749189.647070542</v>
      </c>
      <c r="B6062">
        <v>197247006.70271304</v>
      </c>
    </row>
    <row r="6063" spans="1:2" x14ac:dyDescent="0.25">
      <c r="A6063">
        <f ca="1">26362.8118105324*((RANDBETWEEN(1620,2416)))</f>
        <v>57813646.300497457</v>
      </c>
      <c r="B6063">
        <v>180572108.33238298</v>
      </c>
    </row>
    <row r="6064" spans="1:2" x14ac:dyDescent="0.25">
      <c r="A6064">
        <f ca="1">30055.3916277134*((RANDBETWEEN(1620,2416)))</f>
        <v>69307733.093507186</v>
      </c>
      <c r="B6064">
        <v>149594437.09616581</v>
      </c>
    </row>
    <row r="6065" spans="1:2" x14ac:dyDescent="0.25">
      <c r="A6065">
        <f ca="1">27651.6470020412*((RANDBETWEEN(1620,2416)))</f>
        <v>47146058.138480201</v>
      </c>
      <c r="B6065">
        <v>183249975.08093759</v>
      </c>
    </row>
    <row r="6066" spans="1:2" x14ac:dyDescent="0.25">
      <c r="A6066">
        <f ca="1">26416.2683453377*((RANDBETWEEN(1620,2416)))</f>
        <v>61232910.02449289</v>
      </c>
      <c r="B6066">
        <v>150503472.33288565</v>
      </c>
    </row>
    <row r="6067" spans="1:2" x14ac:dyDescent="0.25">
      <c r="A6067">
        <f ca="1">28849.1959505621*((RANDBETWEEN(1620,2416)))</f>
        <v>68834181.538041219</v>
      </c>
      <c r="B6067">
        <v>151250313.76355007</v>
      </c>
    </row>
    <row r="6068" spans="1:2" x14ac:dyDescent="0.25">
      <c r="A6068">
        <f ca="1">26110.2228401683*((RANDBETWEEN(1620,2416)))</f>
        <v>48669455.374073759</v>
      </c>
      <c r="B6068">
        <v>155325981.58743936</v>
      </c>
    </row>
    <row r="6069" spans="1:2" x14ac:dyDescent="0.25">
      <c r="A6069">
        <f ca="1">26341.6993604921*((RANDBETWEEN(1620,2416)))</f>
        <v>62640561.079250224</v>
      </c>
      <c r="B6069">
        <v>143571212.85528821</v>
      </c>
    </row>
    <row r="6070" spans="1:2" x14ac:dyDescent="0.25">
      <c r="A6070">
        <f ca="1">25065.4299812544*((RANDBETWEEN(1620,2416)))</f>
        <v>59329872.765629269</v>
      </c>
      <c r="B6070">
        <v>193196375.12729234</v>
      </c>
    </row>
    <row r="6071" spans="1:2" x14ac:dyDescent="0.25">
      <c r="A6071">
        <f ca="1">30643.4811465412*((RANDBETWEEN(1620,2416)))</f>
        <v>60857953.557030842</v>
      </c>
      <c r="B6071">
        <v>177270393.93615907</v>
      </c>
    </row>
    <row r="6072" spans="1:2" x14ac:dyDescent="0.25">
      <c r="A6072">
        <f ca="1">27296.0068771236*((RANDBETWEEN(1620,2416)))</f>
        <v>61115759.397879764</v>
      </c>
      <c r="B6072">
        <v>148728725.35548964</v>
      </c>
    </row>
    <row r="6073" spans="1:2" x14ac:dyDescent="0.25">
      <c r="A6073">
        <f ca="1">28104.6568048539*((RANDBETWEEN(1620,2416)))</f>
        <v>50335440.33749333</v>
      </c>
      <c r="B6073">
        <v>165224638.49492347</v>
      </c>
    </row>
    <row r="6074" spans="1:2" x14ac:dyDescent="0.25">
      <c r="A6074">
        <f ca="1">26131.7705675292*((RANDBETWEEN(1620,2416)))</f>
        <v>56862732.75494346</v>
      </c>
      <c r="B6074">
        <v>196472599.82153708</v>
      </c>
    </row>
    <row r="6075" spans="1:2" x14ac:dyDescent="0.25">
      <c r="A6075">
        <f ca="1">25629.5338802824*((RANDBETWEEN(1620,2416)))</f>
        <v>44005909.672444835</v>
      </c>
      <c r="B6075">
        <v>144667662.2755568</v>
      </c>
    </row>
    <row r="6076" spans="1:2" x14ac:dyDescent="0.25">
      <c r="A6076">
        <f ca="1">27421.8246050868*((RANDBETWEEN(1620,2416)))</f>
        <v>59916686.762114629</v>
      </c>
      <c r="B6076">
        <v>169033936.17049095</v>
      </c>
    </row>
    <row r="6077" spans="1:2" x14ac:dyDescent="0.25">
      <c r="A6077">
        <f ca="1">29467.625180915*((RANDBETWEEN(1620,2416)))</f>
        <v>67775537.916104436</v>
      </c>
      <c r="B6077">
        <v>188809160.0156422</v>
      </c>
    </row>
    <row r="6078" spans="1:2" x14ac:dyDescent="0.25">
      <c r="A6078">
        <f ca="1">27151.6217072804*((RANDBETWEEN(1620,2416)))</f>
        <v>51941052.326027334</v>
      </c>
      <c r="B6078">
        <v>152720848.22835991</v>
      </c>
    </row>
    <row r="6079" spans="1:2" x14ac:dyDescent="0.25">
      <c r="A6079">
        <f ca="1">27077.8625311384*((RANDBETWEEN(1620,2416)))</f>
        <v>44895096.076627389</v>
      </c>
      <c r="B6079">
        <v>194175476.26625541</v>
      </c>
    </row>
    <row r="6080" spans="1:2" x14ac:dyDescent="0.25">
      <c r="A6080">
        <f ca="1">28864.3178533341*((RANDBETWEEN(1620,2416)))</f>
        <v>54236053.246414721</v>
      </c>
      <c r="B6080">
        <v>183845535.53100181</v>
      </c>
    </row>
    <row r="6081" spans="1:2" x14ac:dyDescent="0.25">
      <c r="A6081">
        <f ca="1">26259.6015470868*((RANDBETWEEN(1620,2416)))</f>
        <v>62182736.463501632</v>
      </c>
      <c r="B6081">
        <v>161113658.83070815</v>
      </c>
    </row>
    <row r="6082" spans="1:2" x14ac:dyDescent="0.25">
      <c r="A6082">
        <f ca="1">26863.2273344622*((RANDBETWEEN(1620,2416)))</f>
        <v>47386733.017991357</v>
      </c>
      <c r="B6082">
        <v>148665711.72600383</v>
      </c>
    </row>
    <row r="6083" spans="1:2" x14ac:dyDescent="0.25">
      <c r="A6083">
        <f ca="1">25253.5106441535*((RANDBETWEEN(1620,2416)))</f>
        <v>44395671.712421916</v>
      </c>
      <c r="B6083">
        <v>144542609.93987343</v>
      </c>
    </row>
    <row r="6084" spans="1:2" x14ac:dyDescent="0.25">
      <c r="A6084">
        <f ca="1">34919.7837471862*((RANDBETWEEN(1620,2416)))</f>
        <v>59328712.586469278</v>
      </c>
      <c r="B6084">
        <v>185395473.73469791</v>
      </c>
    </row>
    <row r="6085" spans="1:2" x14ac:dyDescent="0.25">
      <c r="A6085">
        <f ca="1">25092.9193185069*((RANDBETWEEN(1620,2416)))</f>
        <v>52795502.246138528</v>
      </c>
      <c r="B6085">
        <v>147210256.99340004</v>
      </c>
    </row>
    <row r="6086" spans="1:2" x14ac:dyDescent="0.25">
      <c r="A6086">
        <f ca="1">27296.2518985385*((RANDBETWEEN(1620,2416)))</f>
        <v>50170510.989513829</v>
      </c>
      <c r="B6086">
        <v>199170398.58329111</v>
      </c>
    </row>
    <row r="6087" spans="1:2" x14ac:dyDescent="0.25">
      <c r="A6087">
        <f ca="1">31122.1738417226*((RANDBETWEEN(1620,2416)))</f>
        <v>59318863.342323214</v>
      </c>
      <c r="B6087">
        <v>168386888.80604792</v>
      </c>
    </row>
    <row r="6088" spans="1:2" x14ac:dyDescent="0.25">
      <c r="A6088">
        <f ca="1">33137.241068654*((RANDBETWEEN(1620,2416)))</f>
        <v>77408595.136375681</v>
      </c>
      <c r="B6088">
        <v>162168387.59736839</v>
      </c>
    </row>
    <row r="6089" spans="1:2" x14ac:dyDescent="0.25">
      <c r="A6089">
        <f ca="1">29823.3181543563*((RANDBETWEEN(1620,2416)))</f>
        <v>59169463.218242891</v>
      </c>
      <c r="B6089">
        <v>164813616.35579363</v>
      </c>
    </row>
    <row r="6090" spans="1:2" x14ac:dyDescent="0.25">
      <c r="A6090">
        <f ca="1">29985.2004234925*((RANDBETWEEN(1620,2416)))</f>
        <v>62669068.88509924</v>
      </c>
      <c r="B6090">
        <v>181773855.98268485</v>
      </c>
    </row>
    <row r="6091" spans="1:2" x14ac:dyDescent="0.25">
      <c r="A6091">
        <f ca="1">27788.4614168352*((RANDBETWEEN(1620,2416)))</f>
        <v>63163172.800466314</v>
      </c>
      <c r="B6091">
        <v>153259888.40766501</v>
      </c>
    </row>
    <row r="6092" spans="1:2" x14ac:dyDescent="0.25">
      <c r="A6092">
        <f ca="1">26262.8064575854*((RANDBETWEEN(1620,2416)))</f>
        <v>61691332.368868001</v>
      </c>
      <c r="B6092">
        <v>147249743.46694681</v>
      </c>
    </row>
    <row r="6093" spans="1:2" x14ac:dyDescent="0.25">
      <c r="A6093">
        <f ca="1">29348.4728267676*((RANDBETWEEN(1620,2416)))</f>
        <v>69702622.963573009</v>
      </c>
      <c r="B6093">
        <v>164626082.90579855</v>
      </c>
    </row>
    <row r="6094" spans="1:2" x14ac:dyDescent="0.25">
      <c r="A6094">
        <f ca="1">26671.6674258564*((RANDBETWEEN(1620,2416)))</f>
        <v>51716363.13873557</v>
      </c>
      <c r="B6094">
        <v>152405792.88437906</v>
      </c>
    </row>
    <row r="6095" spans="1:2" x14ac:dyDescent="0.25">
      <c r="A6095">
        <f ca="1">27744.1558137977*((RANDBETWEEN(1620,2416)))</f>
        <v>60038353.181058124</v>
      </c>
      <c r="B6095">
        <v>187683605.31169406</v>
      </c>
    </row>
    <row r="6096" spans="1:2" x14ac:dyDescent="0.25">
      <c r="A6096">
        <f ca="1">30021.2314225675*((RANDBETWEEN(1620,2416)))</f>
        <v>65146072.186971478</v>
      </c>
      <c r="B6096">
        <v>177562308.47588181</v>
      </c>
    </row>
    <row r="6097" spans="1:2" x14ac:dyDescent="0.25">
      <c r="A6097">
        <f ca="1">30285.5489480644*((RANDBETWEEN(1620,2416)))</f>
        <v>60389384.602440506</v>
      </c>
      <c r="B6097">
        <v>175866670.29151016</v>
      </c>
    </row>
    <row r="6098" spans="1:2" x14ac:dyDescent="0.25">
      <c r="A6098">
        <f ca="1">25853.0296648318*((RANDBETWEEN(1620,2416)))</f>
        <v>43355530.747922949</v>
      </c>
      <c r="B6098">
        <v>163687711.53574228</v>
      </c>
    </row>
    <row r="6099" spans="1:2" x14ac:dyDescent="0.25">
      <c r="A6099">
        <f ca="1">26202.1827496295*((RANDBETWEEN(1620,2416)))</f>
        <v>58378463.166174561</v>
      </c>
      <c r="B6099">
        <v>185980412.77721334</v>
      </c>
    </row>
    <row r="6100" spans="1:2" x14ac:dyDescent="0.25">
      <c r="A6100">
        <f ca="1">25226.0337608614*((RANDBETWEEN(1620,2416)))</f>
        <v>42102250.346877605</v>
      </c>
      <c r="B6100">
        <v>160466371.02957538</v>
      </c>
    </row>
    <row r="6101" spans="1:2" x14ac:dyDescent="0.25">
      <c r="A6101">
        <f ca="1">29987.7611323221*((RANDBETWEEN(1620,2416)))</f>
        <v>57096697.195941284</v>
      </c>
      <c r="B6101">
        <v>200866698.90203312</v>
      </c>
    </row>
    <row r="6102" spans="1:2" x14ac:dyDescent="0.25">
      <c r="A6102">
        <f ca="1">25537.0776137953*((RANDBETWEEN(1620,2416)))</f>
        <v>42187252.21798984</v>
      </c>
      <c r="B6102">
        <v>146613533.77794921</v>
      </c>
    </row>
    <row r="6103" spans="1:2" x14ac:dyDescent="0.25">
      <c r="A6103">
        <f ca="1">26795.7092012914*((RANDBETWEEN(1620,2416)))</f>
        <v>50858256.06405104</v>
      </c>
      <c r="B6103">
        <v>173553549.84823555</v>
      </c>
    </row>
    <row r="6104" spans="1:2" x14ac:dyDescent="0.25">
      <c r="A6104">
        <f ca="1">27826.7803699476*((RANDBETWEEN(1620,2416)))</f>
        <v>55236159.034346081</v>
      </c>
      <c r="B6104">
        <v>178020391.38077658</v>
      </c>
    </row>
    <row r="6105" spans="1:2" x14ac:dyDescent="0.25">
      <c r="A6105">
        <f ca="1">28394.0647538322*((RANDBETWEEN(1620,2416)))</f>
        <v>52557413.859343335</v>
      </c>
      <c r="B6105">
        <v>155240281.46282753</v>
      </c>
    </row>
    <row r="6106" spans="1:2" x14ac:dyDescent="0.25">
      <c r="A6106">
        <f ca="1">27625.2625875155*((RANDBETWEEN(1620,2416)))</f>
        <v>48537586.366264746</v>
      </c>
      <c r="B6106">
        <v>196761955.29294908</v>
      </c>
    </row>
    <row r="6107" spans="1:2" x14ac:dyDescent="0.25">
      <c r="A6107">
        <f ca="1">32861.1138468503*((RANDBETWEEN(1620,2416)))</f>
        <v>58098449.281231314</v>
      </c>
      <c r="B6107">
        <v>159054233.27718198</v>
      </c>
    </row>
    <row r="6108" spans="1:2" x14ac:dyDescent="0.25">
      <c r="A6108">
        <f ca="1">27534.8707806895*((RANDBETWEEN(1620,2416)))</f>
        <v>51104720.168959767</v>
      </c>
      <c r="B6108">
        <v>165081360.89925784</v>
      </c>
    </row>
    <row r="6109" spans="1:2" x14ac:dyDescent="0.25">
      <c r="A6109">
        <f ca="1">27993.0261608991*((RANDBETWEEN(1620,2416)))</f>
        <v>65755618.4519521</v>
      </c>
      <c r="B6109">
        <v>149339701.65696257</v>
      </c>
    </row>
    <row r="6110" spans="1:2" x14ac:dyDescent="0.25">
      <c r="A6110">
        <f ca="1">26917.5486194129*((RANDBETWEEN(1620,2416)))</f>
        <v>54884881.634982876</v>
      </c>
      <c r="B6110">
        <v>149832472.45875818</v>
      </c>
    </row>
    <row r="6111" spans="1:2" x14ac:dyDescent="0.25">
      <c r="A6111">
        <f ca="1">28348.180542824*((RANDBETWEEN(1620,2416)))</f>
        <v>50913332.254911907</v>
      </c>
      <c r="B6111">
        <v>154301785.81549516</v>
      </c>
    </row>
    <row r="6112" spans="1:2" x14ac:dyDescent="0.25">
      <c r="A6112">
        <f ca="1">27294.2479639307*((RANDBETWEEN(1620,2416)))</f>
        <v>59665226.049152546</v>
      </c>
      <c r="B6112">
        <v>144047218.03923732</v>
      </c>
    </row>
    <row r="6113" spans="1:2" x14ac:dyDescent="0.25">
      <c r="A6113">
        <f ca="1">29947.8760222041*((RANDBETWEEN(1620,2416)))</f>
        <v>60105387.176563643</v>
      </c>
      <c r="B6113">
        <v>178328416.96913654</v>
      </c>
    </row>
    <row r="6114" spans="1:2" x14ac:dyDescent="0.25">
      <c r="A6114">
        <f ca="1">27291.1429554108*((RANDBETWEEN(1620,2416)))</f>
        <v>48469069.888809614</v>
      </c>
      <c r="B6114">
        <v>148105565.73799598</v>
      </c>
    </row>
    <row r="6115" spans="1:2" x14ac:dyDescent="0.25">
      <c r="A6115">
        <f ca="1">27435.1922818968*((RANDBETWEEN(1620,2416)))</f>
        <v>50837411.298354827</v>
      </c>
      <c r="B6115">
        <v>155226551.46434718</v>
      </c>
    </row>
    <row r="6116" spans="1:2" x14ac:dyDescent="0.25">
      <c r="A6116">
        <f ca="1">26704.5676760825*((RANDBETWEEN(1620,2416)))</f>
        <v>63102893.418582939</v>
      </c>
      <c r="B6116">
        <v>163858646.78947854</v>
      </c>
    </row>
    <row r="6117" spans="1:2" x14ac:dyDescent="0.25">
      <c r="A6117">
        <f ca="1">31693.5740940872*((RANDBETWEEN(1620,2416)))</f>
        <v>57587224.128956445</v>
      </c>
      <c r="B6117">
        <v>202752667.79200318</v>
      </c>
    </row>
    <row r="6118" spans="1:2" x14ac:dyDescent="0.25">
      <c r="A6118">
        <f ca="1">27619.6423165407*((RANDBETWEEN(1620,2416)))</f>
        <v>51096338.28560026</v>
      </c>
      <c r="B6118">
        <v>163535934.40548509</v>
      </c>
    </row>
    <row r="6119" spans="1:2" x14ac:dyDescent="0.25">
      <c r="A6119">
        <f ca="1">29417.211356034*((RANDBETWEEN(1620,2416)))</f>
        <v>59393349.727832615</v>
      </c>
      <c r="B6119">
        <v>192029046.89328861</v>
      </c>
    </row>
    <row r="6120" spans="1:2" x14ac:dyDescent="0.25">
      <c r="A6120">
        <f ca="1">25927.9304612763*((RANDBETWEEN(1620,2416)))</f>
        <v>57145158.736652948</v>
      </c>
      <c r="B6120">
        <v>194293463.10157105</v>
      </c>
    </row>
    <row r="6121" spans="1:2" x14ac:dyDescent="0.25">
      <c r="A6121">
        <f ca="1">26550.6401409313*((RANDBETWEEN(1620,2416)))</f>
        <v>50817925.22974252</v>
      </c>
      <c r="B6121">
        <v>151563092.65463781</v>
      </c>
    </row>
    <row r="6122" spans="1:2" x14ac:dyDescent="0.25">
      <c r="A6122">
        <f ca="1">26848.3554628339*((RANDBETWEEN(1620,2416)))</f>
        <v>49964789.51633396</v>
      </c>
      <c r="B6122">
        <v>152188984.289671</v>
      </c>
    </row>
    <row r="6123" spans="1:2" x14ac:dyDescent="0.25">
      <c r="A6123">
        <f ca="1">26801.8208220721*((RANDBETWEEN(1620,2416)))</f>
        <v>45938320.889031537</v>
      </c>
      <c r="B6123">
        <v>172273986.02839386</v>
      </c>
    </row>
    <row r="6124" spans="1:2" x14ac:dyDescent="0.25">
      <c r="A6124">
        <f ca="1">27452.1798911446*((RANDBETWEEN(1620,2416)))</f>
        <v>52104237.43339254</v>
      </c>
      <c r="B6124">
        <v>165145913.88057631</v>
      </c>
    </row>
    <row r="6125" spans="1:2" x14ac:dyDescent="0.25">
      <c r="A6125">
        <f ca="1">28427.987220372*((RANDBETWEEN(1620,2416)))</f>
        <v>50146969.456736222</v>
      </c>
      <c r="B6125">
        <v>189730733.29226014</v>
      </c>
    </row>
    <row r="6126" spans="1:2" x14ac:dyDescent="0.25">
      <c r="A6126">
        <f ca="1">29217.177371375*((RANDBETWEEN(1620,2416)))</f>
        <v>49201726.693395451</v>
      </c>
      <c r="B6126">
        <v>190257231.06207711</v>
      </c>
    </row>
    <row r="6127" spans="1:2" x14ac:dyDescent="0.25">
      <c r="A6127">
        <f ca="1">26230.5734886281*((RANDBETWEEN(1620,2416)))</f>
        <v>46008425.899053663</v>
      </c>
      <c r="B6127">
        <v>169549214.18171591</v>
      </c>
    </row>
    <row r="6128" spans="1:2" x14ac:dyDescent="0.25">
      <c r="A6128">
        <f ca="1">30849.5088070931*((RANDBETWEEN(1620,2416)))</f>
        <v>66141346.882407509</v>
      </c>
      <c r="B6128">
        <v>198666046.92699674</v>
      </c>
    </row>
    <row r="6129" spans="1:2" x14ac:dyDescent="0.25">
      <c r="A6129">
        <f ca="1">26969.1089016084*((RANDBETWEEN(1620,2416)))</f>
        <v>52374009.486923553</v>
      </c>
      <c r="B6129">
        <v>160745624.27264738</v>
      </c>
    </row>
    <row r="6130" spans="1:2" x14ac:dyDescent="0.25">
      <c r="A6130">
        <f ca="1">27840.8787232813*((RANDBETWEEN(1620,2416)))</f>
        <v>64117543.699716948</v>
      </c>
      <c r="B6130">
        <v>143507115.41836944</v>
      </c>
    </row>
    <row r="6131" spans="1:2" x14ac:dyDescent="0.25">
      <c r="A6131">
        <f ca="1">26336.6136730108*((RANDBETWEEN(1620,2416)))</f>
        <v>44956599.539829418</v>
      </c>
      <c r="B6131">
        <v>202013643.6708023</v>
      </c>
    </row>
    <row r="6132" spans="1:2" x14ac:dyDescent="0.25">
      <c r="A6132">
        <f ca="1">27226.1127779763*((RANDBETWEEN(1620,2416)))</f>
        <v>53771572.736503154</v>
      </c>
      <c r="B6132">
        <v>165128786.51292562</v>
      </c>
    </row>
    <row r="6133" spans="1:2" x14ac:dyDescent="0.25">
      <c r="A6133">
        <f ca="1">31089.9562504975*((RANDBETWEEN(1620,2416)))</f>
        <v>72781587.582414672</v>
      </c>
      <c r="B6133">
        <v>166581774.43785247</v>
      </c>
    </row>
    <row r="6134" spans="1:2" x14ac:dyDescent="0.25">
      <c r="A6134">
        <f ca="1">29162.2883508153*((RANDBETWEEN(1620,2416)))</f>
        <v>64477819.543652549</v>
      </c>
      <c r="B6134">
        <v>152669294.41342348</v>
      </c>
    </row>
    <row r="6135" spans="1:2" x14ac:dyDescent="0.25">
      <c r="A6135">
        <f ca="1">25706.8941063338*((RANDBETWEEN(1620,2416)))</f>
        <v>45424081.885891892</v>
      </c>
      <c r="B6135">
        <v>160000811.55448449</v>
      </c>
    </row>
    <row r="6136" spans="1:2" x14ac:dyDescent="0.25">
      <c r="A6136">
        <f ca="1">28601.305132761*((RANDBETWEEN(1620,2416)))</f>
        <v>48507813.505162612</v>
      </c>
      <c r="B6136">
        <v>172714784.74758071</v>
      </c>
    </row>
    <row r="6137" spans="1:2" x14ac:dyDescent="0.25">
      <c r="A6137">
        <f ca="1">27501.7477879562*((RANDBETWEEN(1620,2416)))</f>
        <v>48623090.0891065</v>
      </c>
      <c r="B6137">
        <v>142978934.15938219</v>
      </c>
    </row>
    <row r="6138" spans="1:2" x14ac:dyDescent="0.25">
      <c r="A6138">
        <f ca="1">27113.1094045577*((RANDBETWEEN(1620,2416)))</f>
        <v>60896043.722636685</v>
      </c>
      <c r="B6138">
        <v>201227134.37589011</v>
      </c>
    </row>
    <row r="6139" spans="1:2" x14ac:dyDescent="0.25">
      <c r="A6139">
        <f ca="1">24273.4778451788*((RANDBETWEEN(1620,2416)))</f>
        <v>41774655.371552646</v>
      </c>
      <c r="B6139">
        <v>146991021.009507</v>
      </c>
    </row>
    <row r="6140" spans="1:2" x14ac:dyDescent="0.25">
      <c r="A6140">
        <f ca="1">25800.796057464*((RANDBETWEEN(1620,2416)))</f>
        <v>54826691.622111097</v>
      </c>
      <c r="B6140">
        <v>164256490.45723584</v>
      </c>
    </row>
    <row r="6141" spans="1:2" x14ac:dyDescent="0.25">
      <c r="A6141">
        <f ca="1">26017.5696715243*((RANDBETWEEN(1620,2416)))</f>
        <v>48184539.031662948</v>
      </c>
      <c r="B6141">
        <v>163390333.71825507</v>
      </c>
    </row>
    <row r="6142" spans="1:2" x14ac:dyDescent="0.25">
      <c r="A6142">
        <f ca="1">26407.76840958*((RANDBETWEEN(1620,2416)))</f>
        <v>58810100.24813462</v>
      </c>
      <c r="B6142">
        <v>144248570.20902807</v>
      </c>
    </row>
    <row r="6143" spans="1:2" x14ac:dyDescent="0.25">
      <c r="A6143">
        <f ca="1">27578.2487941122*((RANDBETWEEN(1620,2416)))</f>
        <v>62492311.767458223</v>
      </c>
      <c r="B6143">
        <v>170825534.66777188</v>
      </c>
    </row>
    <row r="6144" spans="1:2" x14ac:dyDescent="0.25">
      <c r="A6144">
        <f ca="1">33621.1904758437*((RANDBETWEEN(1620,2416)))</f>
        <v>62031096.427931681</v>
      </c>
      <c r="B6144">
        <v>172902725.26285067</v>
      </c>
    </row>
    <row r="6145" spans="1:2" x14ac:dyDescent="0.25">
      <c r="A6145">
        <f ca="1">29412.4445753487*((RANDBETWEEN(1620,2416)))</f>
        <v>54236547.796943001</v>
      </c>
      <c r="B6145">
        <v>203183730.19148457</v>
      </c>
    </row>
    <row r="6146" spans="1:2" x14ac:dyDescent="0.25">
      <c r="A6146">
        <f ca="1">25844.9933571061*((RANDBETWEEN(1620,2416)))</f>
        <v>52749631.441853493</v>
      </c>
      <c r="B6146">
        <v>157641683.93260673</v>
      </c>
    </row>
    <row r="6147" spans="1:2" x14ac:dyDescent="0.25">
      <c r="A6147">
        <f ca="1">27012.0620564054*((RANDBETWEEN(1620,2416)))</f>
        <v>50863712.852211311</v>
      </c>
      <c r="B6147">
        <v>145377975.91242683</v>
      </c>
    </row>
    <row r="6148" spans="1:2" x14ac:dyDescent="0.25">
      <c r="A6148">
        <f ca="1">31695.5513571528*((RANDBETWEEN(1620,2416)))</f>
        <v>62408540.622233927</v>
      </c>
      <c r="B6148">
        <v>189480394.80540943</v>
      </c>
    </row>
    <row r="6149" spans="1:2" x14ac:dyDescent="0.25">
      <c r="A6149">
        <f ca="1">28728.0472537483*((RANDBETWEEN(1620,2416)))</f>
        <v>46596892.645579726</v>
      </c>
      <c r="B6149">
        <v>176440725.07722294</v>
      </c>
    </row>
    <row r="6150" spans="1:2" x14ac:dyDescent="0.25">
      <c r="A6150">
        <f ca="1">26374.390408279*((RANDBETWEEN(1620,2416)))</f>
        <v>50981696.659203224</v>
      </c>
      <c r="B6150">
        <v>149196340.66518292</v>
      </c>
    </row>
    <row r="6151" spans="1:2" x14ac:dyDescent="0.25">
      <c r="A6151">
        <f ca="1">27605.6046107762*((RANDBETWEEN(1620,2416)))</f>
        <v>54686702.733947553</v>
      </c>
      <c r="B6151">
        <v>152608782.13388669</v>
      </c>
    </row>
    <row r="6152" spans="1:2" x14ac:dyDescent="0.25">
      <c r="A6152">
        <f ca="1">26877.0272969248*((RANDBETWEEN(1620,2416)))</f>
        <v>49614992.390123114</v>
      </c>
      <c r="B6152">
        <v>143959555.27285069</v>
      </c>
    </row>
    <row r="6153" spans="1:2" x14ac:dyDescent="0.25">
      <c r="A6153">
        <f ca="1">26892.1306419722*((RANDBETWEEN(1620,2416)))</f>
        <v>54671701.595129564</v>
      </c>
      <c r="B6153">
        <v>148191128.55697402</v>
      </c>
    </row>
    <row r="6154" spans="1:2" x14ac:dyDescent="0.25">
      <c r="A6154">
        <f ca="1">29241.7065687268*((RANDBETWEEN(1620,2416)))</f>
        <v>47956398.772711955</v>
      </c>
      <c r="B6154">
        <v>181404274.68872234</v>
      </c>
    </row>
    <row r="6155" spans="1:2" x14ac:dyDescent="0.25">
      <c r="A6155">
        <f ca="1">27146.5337729567*((RANDBETWEEN(1620,2416)))</f>
        <v>52257077.512941554</v>
      </c>
      <c r="B6155">
        <v>144121315.50218794</v>
      </c>
    </row>
    <row r="6156" spans="1:2" x14ac:dyDescent="0.25">
      <c r="A6156">
        <f ca="1">27384.8981809341*((RANDBETWEEN(1620,2416)))</f>
        <v>59041840.478093848</v>
      </c>
      <c r="B6156">
        <v>178118323.7634654</v>
      </c>
    </row>
    <row r="6157" spans="1:2" x14ac:dyDescent="0.25">
      <c r="A6157">
        <f ca="1">32313.7285236404*((RANDBETWEEN(1620,2416)))</f>
        <v>76712791.515122369</v>
      </c>
      <c r="B6157">
        <v>149708542.92588696</v>
      </c>
    </row>
    <row r="6158" spans="1:2" x14ac:dyDescent="0.25">
      <c r="A6158">
        <f ca="1">26869.3372552819*((RANDBETWEEN(1620,2416)))</f>
        <v>62793641.165593691</v>
      </c>
      <c r="B6158">
        <v>147335343.85069919</v>
      </c>
    </row>
    <row r="6159" spans="1:2" x14ac:dyDescent="0.25">
      <c r="A6159">
        <f ca="1">28005.0425325381*((RANDBETWEEN(1620,2416)))</f>
        <v>57102281.723845154</v>
      </c>
      <c r="B6159">
        <v>146194246.53876078</v>
      </c>
    </row>
    <row r="6160" spans="1:2" x14ac:dyDescent="0.25">
      <c r="A6160">
        <f ca="1">26664.7125790282*((RANDBETWEEN(1620,2416)))</f>
        <v>43463481.503816001</v>
      </c>
      <c r="B6160">
        <v>174307571.73773766</v>
      </c>
    </row>
    <row r="6161" spans="1:2" x14ac:dyDescent="0.25">
      <c r="A6161">
        <f ca="1">26629.3060718513*((RANDBETWEEN(1620,2416)))</f>
        <v>46228475.340733893</v>
      </c>
      <c r="B6161">
        <v>176906668.06647348</v>
      </c>
    </row>
    <row r="6162" spans="1:2" x14ac:dyDescent="0.25">
      <c r="A6162">
        <f ca="1">27129.1681441125*((RANDBETWEEN(1620,2416)))</f>
        <v>56835607.261915728</v>
      </c>
      <c r="B6162">
        <v>166384974.57337585</v>
      </c>
    </row>
    <row r="6163" spans="1:2" x14ac:dyDescent="0.25">
      <c r="A6163">
        <f ca="1">27971.3050261816*((RANDBETWEEN(1620,2416)))</f>
        <v>47830931.594770581</v>
      </c>
      <c r="B6163">
        <v>198024295.19355416</v>
      </c>
    </row>
    <row r="6164" spans="1:2" x14ac:dyDescent="0.25">
      <c r="A6164">
        <f ca="1">26741.096771493*((RANDBETWEEN(1620,2416)))</f>
        <v>52893889.414013095</v>
      </c>
      <c r="B6164">
        <v>181781400.46827394</v>
      </c>
    </row>
    <row r="6165" spans="1:2" x14ac:dyDescent="0.25">
      <c r="A6165">
        <f ca="1">25957.4997545837*((RANDBETWEEN(1620,2416)))</f>
        <v>43037534.593099795</v>
      </c>
      <c r="B6165">
        <v>148462431.02442661</v>
      </c>
    </row>
    <row r="6166" spans="1:2" x14ac:dyDescent="0.25">
      <c r="A6166">
        <f ca="1">28699.2793476001*((RANDBETWEEN(1620,2416)))</f>
        <v>49420159.036567435</v>
      </c>
      <c r="B6166">
        <v>156445776.52189237</v>
      </c>
    </row>
    <row r="6167" spans="1:2" x14ac:dyDescent="0.25">
      <c r="A6167">
        <f ca="1">26183.8938231364*((RANDBETWEEN(1620,2416)))</f>
        <v>44119861.091984786</v>
      </c>
      <c r="B6167">
        <v>151360830.21291333</v>
      </c>
    </row>
    <row r="6168" spans="1:2" x14ac:dyDescent="0.25">
      <c r="A6168">
        <f ca="1">29448.3712800101*((RANDBETWEEN(1620,2416)))</f>
        <v>52388652.507138029</v>
      </c>
      <c r="B6168">
        <v>166951133.68809965</v>
      </c>
    </row>
    <row r="6169" spans="1:2" x14ac:dyDescent="0.25">
      <c r="A6169">
        <f ca="1">31865.7450523697*((RANDBETWEEN(1620,2416)))</f>
        <v>68224560.157123476</v>
      </c>
      <c r="B6169">
        <v>199292866.23513725</v>
      </c>
    </row>
    <row r="6170" spans="1:2" x14ac:dyDescent="0.25">
      <c r="A6170">
        <f ca="1">29572.642339489*((RANDBETWEEN(1620,2416)))</f>
        <v>62723574.402056269</v>
      </c>
      <c r="B6170">
        <v>162429573.40114266</v>
      </c>
    </row>
    <row r="6171" spans="1:2" x14ac:dyDescent="0.25">
      <c r="A6171">
        <f ca="1">25129.9786531923*((RANDBETWEEN(1620,2416)))</f>
        <v>46590980.423018545</v>
      </c>
      <c r="B6171">
        <v>181872962.64402276</v>
      </c>
    </row>
    <row r="6172" spans="1:2" x14ac:dyDescent="0.25">
      <c r="A6172">
        <f ca="1">27413.5813256648*((RANDBETWEEN(1620,2416)))</f>
        <v>56280082.461589783</v>
      </c>
      <c r="B6172">
        <v>152739800.9310073</v>
      </c>
    </row>
    <row r="6173" spans="1:2" x14ac:dyDescent="0.25">
      <c r="A6173">
        <f ca="1">26400.429951077*((RANDBETWEEN(1620,2416)))</f>
        <v>48180784.66071561</v>
      </c>
      <c r="B6173">
        <v>173418860.73834673</v>
      </c>
    </row>
    <row r="6174" spans="1:2" x14ac:dyDescent="0.25">
      <c r="A6174">
        <f ca="1">28453.1200650776*((RANDBETWEEN(1620,2416)))</f>
        <v>57304583.811066329</v>
      </c>
      <c r="B6174">
        <v>159581947.81526545</v>
      </c>
    </row>
    <row r="6175" spans="1:2" x14ac:dyDescent="0.25">
      <c r="A6175">
        <f ca="1">30882.9903549784*((RANDBETWEEN(1620,2416)))</f>
        <v>67201387.012433067</v>
      </c>
      <c r="B6175">
        <v>148153598.77939287</v>
      </c>
    </row>
    <row r="6176" spans="1:2" x14ac:dyDescent="0.25">
      <c r="A6176">
        <f ca="1">30834.6934627846*((RANDBETWEEN(1620,2416)))</f>
        <v>71012299.04479301</v>
      </c>
      <c r="B6176">
        <v>198366723.4862271</v>
      </c>
    </row>
    <row r="6177" spans="1:2" x14ac:dyDescent="0.25">
      <c r="A6177">
        <f ca="1">30249.397705402*((RANDBETWEEN(1620,2416)))</f>
        <v>49215770.066688977</v>
      </c>
      <c r="B6177">
        <v>150712168.96977413</v>
      </c>
    </row>
    <row r="6178" spans="1:2" x14ac:dyDescent="0.25">
      <c r="A6178">
        <f ca="1">27508.8692172274*((RANDBETWEEN(1620,2416)))</f>
        <v>47150201.838327743</v>
      </c>
      <c r="B6178">
        <v>184762122.58392039</v>
      </c>
    </row>
    <row r="6179" spans="1:2" x14ac:dyDescent="0.25">
      <c r="A6179">
        <f ca="1">28453.3081610763*((RANDBETWEEN(1620,2416)))</f>
        <v>59382054.132166147</v>
      </c>
      <c r="B6179">
        <v>182650903.03468513</v>
      </c>
    </row>
    <row r="6180" spans="1:2" x14ac:dyDescent="0.25">
      <c r="A6180">
        <f ca="1">29885.2096622806*((RANDBETWEEN(1620,2416)))</f>
        <v>63027907.177749708</v>
      </c>
      <c r="B6180">
        <v>152746731.63208732</v>
      </c>
    </row>
    <row r="6181" spans="1:2" x14ac:dyDescent="0.25">
      <c r="A6181">
        <f ca="1">27965.0595727244*((RANDBETWEEN(1620,2416)))</f>
        <v>49274434.967140444</v>
      </c>
      <c r="B6181">
        <v>157290179.52950585</v>
      </c>
    </row>
    <row r="6182" spans="1:2" x14ac:dyDescent="0.25">
      <c r="A6182">
        <f ca="1">26424.1404663636*((RANDBETWEEN(1620,2416)))</f>
        <v>50258715.167023592</v>
      </c>
      <c r="B6182">
        <v>166298764.90154496</v>
      </c>
    </row>
    <row r="6183" spans="1:2" x14ac:dyDescent="0.25">
      <c r="A6183">
        <f ca="1">29243.1679660878*((RANDBETWEEN(1620,2416)))</f>
        <v>59071199.29149726</v>
      </c>
      <c r="B6183">
        <v>177013009.84412557</v>
      </c>
    </row>
    <row r="6184" spans="1:2" x14ac:dyDescent="0.25">
      <c r="A6184">
        <f ca="1">26917.9681325204*((RANDBETWEEN(1620,2416)))</f>
        <v>44360811.482393675</v>
      </c>
      <c r="B6184">
        <v>189159501.31346643</v>
      </c>
    </row>
    <row r="6185" spans="1:2" x14ac:dyDescent="0.25">
      <c r="A6185">
        <f ca="1">27047.8098458423*((RANDBETWEEN(1620,2416)))</f>
        <v>49605683.257274732</v>
      </c>
      <c r="B6185">
        <v>149178763.75899357</v>
      </c>
    </row>
    <row r="6186" spans="1:2" x14ac:dyDescent="0.25">
      <c r="A6186">
        <f ca="1">28256.8156036291*((RANDBETWEEN(1620,2416)))</f>
        <v>63690862.370579995</v>
      </c>
      <c r="B6186">
        <v>144428557.58093226</v>
      </c>
    </row>
    <row r="6187" spans="1:2" x14ac:dyDescent="0.25">
      <c r="A6187">
        <f ca="1">27059.5978201314*((RANDBETWEEN(1620,2416)))</f>
        <v>58638148.476224653</v>
      </c>
      <c r="B6187">
        <v>161485472.2522409</v>
      </c>
    </row>
    <row r="6188" spans="1:2" x14ac:dyDescent="0.25">
      <c r="A6188">
        <f ca="1">26252.4090125479*((RANDBETWEEN(1620,2416)))</f>
        <v>62559490.67690175</v>
      </c>
      <c r="B6188">
        <v>159513676.18688157</v>
      </c>
    </row>
    <row r="6189" spans="1:2" x14ac:dyDescent="0.25">
      <c r="A6189">
        <f ca="1">27896.494683074*((RANDBETWEEN(1620,2416)))</f>
        <v>67202655.69152534</v>
      </c>
      <c r="B6189">
        <v>186665698.45636818</v>
      </c>
    </row>
    <row r="6190" spans="1:2" x14ac:dyDescent="0.25">
      <c r="A6190">
        <f ca="1">27180.3485991074*((RANDBETWEEN(1620,2416)))</f>
        <v>61074243.302194484</v>
      </c>
      <c r="B6190">
        <v>152466253.57052308</v>
      </c>
    </row>
    <row r="6191" spans="1:2" x14ac:dyDescent="0.25">
      <c r="A6191">
        <f ca="1">25256.9316934064*((RANDBETWEEN(1620,2416)))</f>
        <v>53746750.643568881</v>
      </c>
      <c r="B6191">
        <v>155234726.73152852</v>
      </c>
    </row>
    <row r="6192" spans="1:2" x14ac:dyDescent="0.25">
      <c r="A6192">
        <f ca="1">26383.2120301791*((RANDBETWEEN(1620,2416)))</f>
        <v>63715457.052882567</v>
      </c>
      <c r="B6192">
        <v>165086926.79524919</v>
      </c>
    </row>
    <row r="6193" spans="1:2" x14ac:dyDescent="0.25">
      <c r="A6193">
        <f ca="1">26246.4419848761*((RANDBETWEEN(1620,2416)))</f>
        <v>60209337.913305886</v>
      </c>
      <c r="B6193">
        <v>164301786.81557354</v>
      </c>
    </row>
    <row r="6194" spans="1:2" x14ac:dyDescent="0.25">
      <c r="A6194">
        <f ca="1">29358.1541495427*((RANDBETWEEN(1620,2416)))</f>
        <v>65703548.986676589</v>
      </c>
      <c r="B6194">
        <v>192286996.23373249</v>
      </c>
    </row>
    <row r="6195" spans="1:2" x14ac:dyDescent="0.25">
      <c r="A6195">
        <f ca="1">26725.1041479653*((RANDBETWEEN(1620,2416)))</f>
        <v>53931260.170594051</v>
      </c>
      <c r="B6195">
        <v>152685905.3413941</v>
      </c>
    </row>
    <row r="6196" spans="1:2" x14ac:dyDescent="0.25">
      <c r="A6196">
        <f ca="1">28492.168063439*((RANDBETWEEN(1620,2416)))</f>
        <v>67270008.797779515</v>
      </c>
      <c r="B6196">
        <v>160934342.64740732</v>
      </c>
    </row>
    <row r="6197" spans="1:2" x14ac:dyDescent="0.25">
      <c r="A6197">
        <f ca="1">32569.6777545876*((RANDBETWEEN(1620,2416)))</f>
        <v>55661579.282590128</v>
      </c>
      <c r="B6197">
        <v>169361070.00496024</v>
      </c>
    </row>
    <row r="6198" spans="1:2" x14ac:dyDescent="0.25">
      <c r="A6198">
        <f ca="1">29400.7683230179*((RANDBETWEEN(1620,2416)))</f>
        <v>54362020.629260086</v>
      </c>
      <c r="B6198">
        <v>142976430.47630942</v>
      </c>
    </row>
    <row r="6199" spans="1:2" x14ac:dyDescent="0.25">
      <c r="A6199">
        <f ca="1">29232.3377891496*((RANDBETWEEN(1620,2416)))</f>
        <v>51887399.575740613</v>
      </c>
      <c r="B6199">
        <v>190446632.72437841</v>
      </c>
    </row>
    <row r="6200" spans="1:2" x14ac:dyDescent="0.25">
      <c r="A6200">
        <f ca="1">33590.8092902139*((RANDBETWEEN(1620,2416)))</f>
        <v>63385857.130633637</v>
      </c>
      <c r="B6200">
        <v>170776037.07039034</v>
      </c>
    </row>
    <row r="6201" spans="1:2" x14ac:dyDescent="0.25">
      <c r="A6201">
        <f ca="1">25904.5980297411*((RANDBETWEEN(1620,2416)))</f>
        <v>49296450.050597318</v>
      </c>
      <c r="B6201">
        <v>144744915.09171578</v>
      </c>
    </row>
    <row r="6202" spans="1:2" x14ac:dyDescent="0.25">
      <c r="A6202">
        <f ca="1">26854.4187015265*((RANDBETWEEN(1620,2416)))</f>
        <v>61442909.989092626</v>
      </c>
      <c r="B6202">
        <v>158995255.39464793</v>
      </c>
    </row>
    <row r="6203" spans="1:2" x14ac:dyDescent="0.25">
      <c r="A6203">
        <f ca="1">27380.9088473987*((RANDBETWEEN(1620,2416)))</f>
        <v>59745143.105024062</v>
      </c>
      <c r="B6203">
        <v>163457926.65770224</v>
      </c>
    </row>
    <row r="6204" spans="1:2" x14ac:dyDescent="0.25">
      <c r="A6204">
        <f ca="1">27235.9756659819*((RANDBETWEEN(1620,2416)))</f>
        <v>63841126.961061552</v>
      </c>
      <c r="B6204">
        <v>156274173.68011788</v>
      </c>
    </row>
    <row r="6205" spans="1:2" x14ac:dyDescent="0.25">
      <c r="A6205">
        <f ca="1">27385.6089523281*((RANDBETWEEN(1620,2416)))</f>
        <v>63726312.032067545</v>
      </c>
      <c r="B6205">
        <v>185856481.21505886</v>
      </c>
    </row>
    <row r="6206" spans="1:2" x14ac:dyDescent="0.25">
      <c r="A6206">
        <f ca="1">29520.7647600536*((RANDBETWEEN(1620,2416)))</f>
        <v>70407023.952727899</v>
      </c>
      <c r="B6206">
        <v>155312096.02742019</v>
      </c>
    </row>
    <row r="6207" spans="1:2" x14ac:dyDescent="0.25">
      <c r="A6207">
        <f ca="1">29586.2961057575*((RANDBETWEEN(1620,2416)))</f>
        <v>52989056.325411715</v>
      </c>
      <c r="B6207">
        <v>163927716.22079989</v>
      </c>
    </row>
    <row r="6208" spans="1:2" x14ac:dyDescent="0.25">
      <c r="A6208">
        <f ca="1">25160.1407698623*((RANDBETWEEN(1620,2416)))</f>
        <v>56308395.042951934</v>
      </c>
      <c r="B6208">
        <v>153714836.26845896</v>
      </c>
    </row>
    <row r="6209" spans="1:2" x14ac:dyDescent="0.25">
      <c r="A6209">
        <f ca="1">31381.151716884*((RANDBETWEEN(1620,2416)))</f>
        <v>66025943.212323979</v>
      </c>
      <c r="B6209">
        <v>198987988.11976233</v>
      </c>
    </row>
    <row r="6210" spans="1:2" x14ac:dyDescent="0.25">
      <c r="A6210">
        <f ca="1">29205.7364960469*((RANDBETWEEN(1620,2416)))</f>
        <v>66238610.373034358</v>
      </c>
      <c r="B6210">
        <v>146311289.54626793</v>
      </c>
    </row>
    <row r="6211" spans="1:2" x14ac:dyDescent="0.25">
      <c r="A6211">
        <f ca="1">27365.9000656962*((RANDBETWEEN(1620,2416)))</f>
        <v>48054520.515362471</v>
      </c>
      <c r="B6211">
        <v>179310512.58450028</v>
      </c>
    </row>
    <row r="6212" spans="1:2" x14ac:dyDescent="0.25">
      <c r="A6212">
        <f ca="1">28640.3587359446*((RANDBETWEEN(1620,2416)))</f>
        <v>59400104.018349141</v>
      </c>
      <c r="B6212">
        <v>188598904.85623139</v>
      </c>
    </row>
    <row r="6213" spans="1:2" x14ac:dyDescent="0.25">
      <c r="A6213">
        <f ca="1">25721.3820853155*((RANDBETWEEN(1620,2416)))</f>
        <v>53654803.029968224</v>
      </c>
      <c r="B6213">
        <v>157771502.1832968</v>
      </c>
    </row>
    <row r="6214" spans="1:2" x14ac:dyDescent="0.25">
      <c r="A6214">
        <f ca="1">31161.4858085965*((RANDBETWEEN(1620,2416)))</f>
        <v>71733740.331389159</v>
      </c>
      <c r="B6214">
        <v>157974531.99125361</v>
      </c>
    </row>
    <row r="6215" spans="1:2" x14ac:dyDescent="0.25">
      <c r="A6215">
        <f ca="1">25859.012134082*((RANDBETWEEN(1620,2416)))</f>
        <v>49390713.176096648</v>
      </c>
      <c r="B6215">
        <v>154335845.1085611</v>
      </c>
    </row>
    <row r="6216" spans="1:2" x14ac:dyDescent="0.25">
      <c r="A6216">
        <f ca="1">29874.2997472248*((RANDBETWEEN(1620,2416)))</f>
        <v>58852370.502032772</v>
      </c>
      <c r="B6216">
        <v>171988844.61566347</v>
      </c>
    </row>
    <row r="6217" spans="1:2" x14ac:dyDescent="0.25">
      <c r="A6217">
        <f ca="1">26033.2309249234*((RANDBETWEEN(1620,2416)))</f>
        <v>43006897.487973444</v>
      </c>
      <c r="B6217">
        <v>145397410.45286903</v>
      </c>
    </row>
    <row r="6218" spans="1:2" x14ac:dyDescent="0.25">
      <c r="A6218">
        <f ca="1">27344.5547132773*((RANDBETWEEN(1620,2416)))</f>
        <v>56275093.599924758</v>
      </c>
      <c r="B6218">
        <v>146580615.02106887</v>
      </c>
    </row>
    <row r="6219" spans="1:2" x14ac:dyDescent="0.25">
      <c r="A6219">
        <f ca="1">34012.878257986*((RANDBETWEEN(1620,2416)))</f>
        <v>59522536.951475538</v>
      </c>
      <c r="B6219">
        <v>203514021.86546621</v>
      </c>
    </row>
    <row r="6220" spans="1:2" x14ac:dyDescent="0.25">
      <c r="A6220">
        <f ca="1">28328.2978987043*((RANDBETWEEN(1620,2416)))</f>
        <v>52633977.495792523</v>
      </c>
      <c r="B6220">
        <v>149893349.38398337</v>
      </c>
    </row>
    <row r="6221" spans="1:2" x14ac:dyDescent="0.25">
      <c r="A6221">
        <f ca="1">26667.4126623909*((RANDBETWEEN(1620,2416)))</f>
        <v>57334937.22414051</v>
      </c>
      <c r="B6221">
        <v>144706301.63918215</v>
      </c>
    </row>
    <row r="6222" spans="1:2" x14ac:dyDescent="0.25">
      <c r="A6222">
        <f ca="1">25876.3684203021*((RANDBETWEEN(1620,2416)))</f>
        <v>47534888.788095042</v>
      </c>
      <c r="B6222">
        <v>154422788.6492396</v>
      </c>
    </row>
    <row r="6223" spans="1:2" x14ac:dyDescent="0.25">
      <c r="A6223">
        <f ca="1">26432.1278744528*((RANDBETWEEN(1620,2416)))</f>
        <v>42872911.412362508</v>
      </c>
      <c r="B6223">
        <v>202668073.13667729</v>
      </c>
    </row>
    <row r="6224" spans="1:2" x14ac:dyDescent="0.25">
      <c r="A6224">
        <f ca="1">26948.1032801332*((RANDBETWEEN(1620,2416)))</f>
        <v>48102364.355037756</v>
      </c>
      <c r="B6224">
        <v>178156354.60423017</v>
      </c>
    </row>
    <row r="6225" spans="1:2" x14ac:dyDescent="0.25">
      <c r="A6225">
        <f ca="1">26678.4559102603*((RANDBETWEEN(1620,2416)))</f>
        <v>53436947.188251399</v>
      </c>
      <c r="B6225">
        <v>191103522.31420252</v>
      </c>
    </row>
    <row r="6226" spans="1:2" x14ac:dyDescent="0.25">
      <c r="A6226">
        <f ca="1">26250.0419132541*((RANDBETWEEN(1620,2416)))</f>
        <v>55518838.646532416</v>
      </c>
      <c r="B6226">
        <v>147078334.79218411</v>
      </c>
    </row>
    <row r="6227" spans="1:2" x14ac:dyDescent="0.25">
      <c r="A6227">
        <f ca="1">27056.0870354509*((RANDBETWEEN(1620,2416)))</f>
        <v>57845914.081793971</v>
      </c>
      <c r="B6227">
        <v>158789442.15326515</v>
      </c>
    </row>
    <row r="6228" spans="1:2" x14ac:dyDescent="0.25">
      <c r="A6228">
        <f ca="1">29371.2611974639*((RANDBETWEEN(1620,2416)))</f>
        <v>61709019.775871709</v>
      </c>
      <c r="B6228">
        <v>143350312.70440233</v>
      </c>
    </row>
    <row r="6229" spans="1:2" x14ac:dyDescent="0.25">
      <c r="A6229">
        <f ca="1">27431.8427908576*((RANDBETWEEN(1620,2416)))</f>
        <v>51105523.119367719</v>
      </c>
      <c r="B6229">
        <v>169389386.44156259</v>
      </c>
    </row>
    <row r="6230" spans="1:2" x14ac:dyDescent="0.25">
      <c r="A6230">
        <f ca="1">26746.7277595211*((RANDBETWEEN(1620,2416)))</f>
        <v>48251096.878175974</v>
      </c>
      <c r="B6230">
        <v>177396408.3838957</v>
      </c>
    </row>
    <row r="6231" spans="1:2" x14ac:dyDescent="0.25">
      <c r="A6231">
        <f ca="1">29307.8023329863*((RANDBETWEEN(1620,2416)))</f>
        <v>56183057.072334766</v>
      </c>
      <c r="B6231">
        <v>170127431.28208145</v>
      </c>
    </row>
    <row r="6232" spans="1:2" x14ac:dyDescent="0.25">
      <c r="A6232">
        <f ca="1">28667.725702723*((RANDBETWEEN(1620,2416)))</f>
        <v>58940844.044798568</v>
      </c>
      <c r="B6232">
        <v>189118502.7808603</v>
      </c>
    </row>
    <row r="6233" spans="1:2" x14ac:dyDescent="0.25">
      <c r="A6233">
        <f ca="1">30962.7758826001*((RANDBETWEEN(1620,2416)))</f>
        <v>65207606.008755893</v>
      </c>
      <c r="B6233">
        <v>203128890.35163808</v>
      </c>
    </row>
    <row r="6234" spans="1:2" x14ac:dyDescent="0.25">
      <c r="A6234">
        <f ca="1">31837.1267832515*((RANDBETWEEN(1620,2416)))</f>
        <v>68895542.358956218</v>
      </c>
      <c r="B6234">
        <v>196394008.96122584</v>
      </c>
    </row>
    <row r="6235" spans="1:2" x14ac:dyDescent="0.25">
      <c r="A6235">
        <f ca="1">27330.4362503269*((RANDBETWEEN(1620,2416)))</f>
        <v>61630133.744487152</v>
      </c>
      <c r="B6235">
        <v>161897671.70427269</v>
      </c>
    </row>
    <row r="6236" spans="1:2" x14ac:dyDescent="0.25">
      <c r="A6236">
        <f ca="1">27789.8317424954*((RANDBETWEEN(1620,2416)))</f>
        <v>47993039.419289567</v>
      </c>
      <c r="B6236">
        <v>166307577.57980084</v>
      </c>
    </row>
    <row r="6237" spans="1:2" x14ac:dyDescent="0.25">
      <c r="A6237">
        <f ca="1">26366.494698575*((RANDBETWEEN(1620,2416)))</f>
        <v>47670622.41502364</v>
      </c>
      <c r="B6237">
        <v>145732078.81931734</v>
      </c>
    </row>
    <row r="6238" spans="1:2" x14ac:dyDescent="0.25">
      <c r="A6238">
        <f ca="1">29215.3529198561*((RANDBETWEEN(1620,2416)))</f>
        <v>58430705.839712195</v>
      </c>
      <c r="B6238">
        <v>155503597.34527561</v>
      </c>
    </row>
    <row r="6239" spans="1:2" x14ac:dyDescent="0.25">
      <c r="A6239">
        <f ca="1">26268.9970205874*((RANDBETWEEN(1620,2416)))</f>
        <v>61758411.995401047</v>
      </c>
      <c r="B6239">
        <v>153724731.72821885</v>
      </c>
    </row>
    <row r="6240" spans="1:2" x14ac:dyDescent="0.25">
      <c r="A6240">
        <f ca="1">27988.3794370374*((RANDBETWEEN(1620,2416)))</f>
        <v>57600084.881423019</v>
      </c>
      <c r="B6240">
        <v>172475007.30069074</v>
      </c>
    </row>
    <row r="6241" spans="1:2" x14ac:dyDescent="0.25">
      <c r="A6241">
        <f ca="1">29226.7742208457*((RANDBETWEEN(1620,2416)))</f>
        <v>54858655.212527297</v>
      </c>
      <c r="B6241">
        <v>148024926.15783349</v>
      </c>
    </row>
    <row r="6242" spans="1:2" x14ac:dyDescent="0.25">
      <c r="A6242">
        <f ca="1">30817.8511461273*((RANDBETWEEN(1620,2416)))</f>
        <v>63484773.361022197</v>
      </c>
      <c r="B6242">
        <v>164584678.90759963</v>
      </c>
    </row>
    <row r="6243" spans="1:2" x14ac:dyDescent="0.25">
      <c r="A6243">
        <f ca="1">28371.2995088356*((RANDBETWEEN(1620,2416)))</f>
        <v>47096357.18466717</v>
      </c>
      <c r="B6243">
        <v>155348446.93961424</v>
      </c>
    </row>
    <row r="6244" spans="1:2" x14ac:dyDescent="0.25">
      <c r="A6244">
        <f ca="1">27528.3290144897*((RANDBETWEEN(1620,2416)))</f>
        <v>59571303.987355612</v>
      </c>
      <c r="B6244">
        <v>157792376.5063017</v>
      </c>
    </row>
    <row r="6245" spans="1:2" x14ac:dyDescent="0.25">
      <c r="A6245">
        <f ca="1">32829.2459195007*((RANDBETWEEN(1620,2416)))</f>
        <v>72224341.022901505</v>
      </c>
      <c r="B6245">
        <v>194439975.14096248</v>
      </c>
    </row>
    <row r="6246" spans="1:2" x14ac:dyDescent="0.25">
      <c r="A6246">
        <f ca="1">26796.2207505779*((RANDBETWEEN(1620,2416)))</f>
        <v>61845677.492333867</v>
      </c>
      <c r="B6246">
        <v>153225298.91509557</v>
      </c>
    </row>
    <row r="6247" spans="1:2" x14ac:dyDescent="0.25">
      <c r="A6247">
        <f ca="1">27435.2985810126*((RANDBETWEEN(1620,2416)))</f>
        <v>61290457.029982224</v>
      </c>
      <c r="B6247">
        <v>152691411.61333638</v>
      </c>
    </row>
    <row r="6248" spans="1:2" x14ac:dyDescent="0.25">
      <c r="A6248">
        <f ca="1">26173.8999551101*((RANDBETWEEN(1620,2416)))</f>
        <v>60383187.196438968</v>
      </c>
      <c r="B6248">
        <v>146999240.71761334</v>
      </c>
    </row>
    <row r="6249" spans="1:2" x14ac:dyDescent="0.25">
      <c r="A6249">
        <f ca="1">26870.2673093468*((RANDBETWEEN(1620,2416)))</f>
        <v>46700524.583644822</v>
      </c>
      <c r="B6249">
        <v>147802359.0293698</v>
      </c>
    </row>
    <row r="6250" spans="1:2" x14ac:dyDescent="0.25">
      <c r="A6250">
        <f ca="1">32118.9602437997*((RANDBETWEEN(1620,2416)))</f>
        <v>75929222.016342491</v>
      </c>
      <c r="B6250">
        <v>143004385.39716524</v>
      </c>
    </row>
    <row r="6251" spans="1:2" x14ac:dyDescent="0.25">
      <c r="A6251">
        <f ca="1">26664.6357499947*((RANDBETWEEN(1620,2416)))</f>
        <v>62315253.747737661</v>
      </c>
      <c r="B6251">
        <v>154631146.04259792</v>
      </c>
    </row>
    <row r="6252" spans="1:2" x14ac:dyDescent="0.25">
      <c r="A6252">
        <f ca="1">31951.174496381*((RANDBETWEEN(1620,2416)))</f>
        <v>72145752.012828276</v>
      </c>
      <c r="B6252">
        <v>145406201.06798276</v>
      </c>
    </row>
    <row r="6253" spans="1:2" x14ac:dyDescent="0.25">
      <c r="A6253">
        <f ca="1">25406.2259700944*((RANDBETWEEN(1620,2416)))</f>
        <v>54394729.801972181</v>
      </c>
      <c r="B6253">
        <v>164683946.27375153</v>
      </c>
    </row>
    <row r="6254" spans="1:2" x14ac:dyDescent="0.25">
      <c r="A6254">
        <f ca="1">33227.7942710158*((RANDBETWEEN(1620,2416)))</f>
        <v>60906546.898771912</v>
      </c>
      <c r="B6254">
        <v>150632813.31540516</v>
      </c>
    </row>
    <row r="6255" spans="1:2" x14ac:dyDescent="0.25">
      <c r="A6255">
        <f ca="1">29987.1825660694*((RANDBETWEEN(1620,2416)))</f>
        <v>63962660.413426086</v>
      </c>
      <c r="B6255">
        <v>199107858.1532453</v>
      </c>
    </row>
    <row r="6256" spans="1:2" x14ac:dyDescent="0.25">
      <c r="A6256">
        <f ca="1">27362.7327384116*((RANDBETWEEN(1620,2416)))</f>
        <v>58200532.534601405</v>
      </c>
      <c r="B6256">
        <v>147002716.34017402</v>
      </c>
    </row>
    <row r="6257" spans="1:2" x14ac:dyDescent="0.25">
      <c r="A6257">
        <f ca="1">32506.8759303311*((RANDBETWEEN(1620,2416)))</f>
        <v>53603838.409115911</v>
      </c>
      <c r="B6257">
        <v>195075205.91999266</v>
      </c>
    </row>
    <row r="6258" spans="1:2" x14ac:dyDescent="0.25">
      <c r="A6258">
        <f ca="1">27759.9339847038*((RANDBETWEEN(1620,2416)))</f>
        <v>61876892.85190475</v>
      </c>
      <c r="B6258">
        <v>183021848.01220435</v>
      </c>
    </row>
    <row r="6259" spans="1:2" x14ac:dyDescent="0.25">
      <c r="A6259">
        <f ca="1">29461.3182394413*((RANDBETWEEN(1620,2416)))</f>
        <v>54591822.69768472</v>
      </c>
      <c r="B6259">
        <v>166830027.90036237</v>
      </c>
    </row>
    <row r="6260" spans="1:2" x14ac:dyDescent="0.25">
      <c r="A6260">
        <f ca="1">28258.7336780294*((RANDBETWEEN(1620,2416)))</f>
        <v>62451801.428444944</v>
      </c>
      <c r="B6260">
        <v>166509069.60718286</v>
      </c>
    </row>
    <row r="6261" spans="1:2" x14ac:dyDescent="0.25">
      <c r="A6261">
        <f ca="1">26502.3851603026*((RANDBETWEEN(1620,2416)))</f>
        <v>58225740.197184853</v>
      </c>
      <c r="B6261">
        <v>163466140.82517558</v>
      </c>
    </row>
    <row r="6262" spans="1:2" x14ac:dyDescent="0.25">
      <c r="A6262">
        <f ca="1">29401.2633433243*((RANDBETWEEN(1620,2416)))</f>
        <v>53980719.498343326</v>
      </c>
      <c r="B6262">
        <v>171355081.05617702</v>
      </c>
    </row>
    <row r="6263" spans="1:2" x14ac:dyDescent="0.25">
      <c r="A6263">
        <f ca="1">27241.0475971353*((RANDBETWEEN(1620,2416)))</f>
        <v>59766858.428114876</v>
      </c>
      <c r="B6263">
        <v>173743840.96579957</v>
      </c>
    </row>
    <row r="6264" spans="1:2" x14ac:dyDescent="0.25">
      <c r="A6264">
        <f ca="1">25840.3054500269*((RANDBETWEEN(1620,2416)))</f>
        <v>42714024.908894449</v>
      </c>
      <c r="B6264">
        <v>166473954.01003477</v>
      </c>
    </row>
    <row r="6265" spans="1:2" x14ac:dyDescent="0.25">
      <c r="A6265">
        <f ca="1">25892.6806075525*((RANDBETWEEN(1620,2416)))</f>
        <v>59604950.758585885</v>
      </c>
      <c r="B6265">
        <v>149478757.08558869</v>
      </c>
    </row>
    <row r="6266" spans="1:2" x14ac:dyDescent="0.25">
      <c r="A6266">
        <f ca="1">27671.5978449658*((RANDBETWEEN(1620,2416)))</f>
        <v>66301148.436538085</v>
      </c>
      <c r="B6266">
        <v>187209532.62018055</v>
      </c>
    </row>
    <row r="6267" spans="1:2" x14ac:dyDescent="0.25">
      <c r="A6267">
        <f ca="1">30240.5638503824*((RANDBETWEEN(1620,2416)))</f>
        <v>63837830.288157254</v>
      </c>
      <c r="B6267">
        <v>166802297.08819568</v>
      </c>
    </row>
    <row r="6268" spans="1:2" x14ac:dyDescent="0.25">
      <c r="A6268">
        <f ca="1">28618.8464163297*((RANDBETWEEN(1620,2416)))</f>
        <v>55778131.665426649</v>
      </c>
      <c r="B6268">
        <v>165079772.10248348</v>
      </c>
    </row>
    <row r="6269" spans="1:2" x14ac:dyDescent="0.25">
      <c r="A6269">
        <f ca="1">26179.3201075849*((RANDBETWEEN(1620,2416)))</f>
        <v>52123026.334201597</v>
      </c>
      <c r="B6269">
        <v>147827079.27244192</v>
      </c>
    </row>
    <row r="6270" spans="1:2" x14ac:dyDescent="0.25">
      <c r="A6270">
        <f ca="1">33126.8781613834*((RANDBETWEEN(1620,2416)))</f>
        <v>75993058.502213493</v>
      </c>
      <c r="B6270">
        <v>203545824.39027885</v>
      </c>
    </row>
    <row r="6271" spans="1:2" x14ac:dyDescent="0.25">
      <c r="A6271">
        <f ca="1">26958.982466916*((RANDBETWEEN(1620,2416)))</f>
        <v>64512845.043330073</v>
      </c>
      <c r="B6271">
        <v>194098627.3424325</v>
      </c>
    </row>
    <row r="6272" spans="1:2" x14ac:dyDescent="0.25">
      <c r="A6272">
        <f ca="1">26102.8888842018*((RANDBETWEEN(1620,2416)))</f>
        <v>57165326.656401977</v>
      </c>
      <c r="B6272">
        <v>155515052.44967115</v>
      </c>
    </row>
    <row r="6273" spans="1:2" x14ac:dyDescent="0.25">
      <c r="A6273">
        <f ca="1">28978.0188189558*((RANDBETWEEN(1620,2416)))</f>
        <v>59289026.503583513</v>
      </c>
      <c r="B6273">
        <v>147108385.72742879</v>
      </c>
    </row>
    <row r="6274" spans="1:2" x14ac:dyDescent="0.25">
      <c r="A6274">
        <f ca="1">28531.4579024258*((RANDBETWEEN(1620,2416)))</f>
        <v>68618156.255334049</v>
      </c>
      <c r="B6274">
        <v>178970460.01077765</v>
      </c>
    </row>
    <row r="6275" spans="1:2" x14ac:dyDescent="0.25">
      <c r="A6275">
        <f ca="1">30036.3994541031*((RANDBETWEEN(1620,2416)))</f>
        <v>63617094.04379034</v>
      </c>
      <c r="B6275">
        <v>161875852.84532058</v>
      </c>
    </row>
    <row r="6276" spans="1:2" x14ac:dyDescent="0.25">
      <c r="A6276">
        <f ca="1">27564.2850437044*((RANDBETWEEN(1620,2416)))</f>
        <v>60283091.390581585</v>
      </c>
      <c r="B6276">
        <v>149274921.50786504</v>
      </c>
    </row>
    <row r="6277" spans="1:2" x14ac:dyDescent="0.25">
      <c r="A6277">
        <f ca="1">25816.0007386268*((RANDBETWEEN(1620,2416)))</f>
        <v>45436161.299983144</v>
      </c>
      <c r="B6277">
        <v>145175994.45240998</v>
      </c>
    </row>
    <row r="6278" spans="1:2" x14ac:dyDescent="0.25">
      <c r="A6278">
        <f ca="1">28013.9509320416*((RANDBETWEEN(1620,2416)))</f>
        <v>62162957.118200228</v>
      </c>
      <c r="B6278">
        <v>189037010.25035983</v>
      </c>
    </row>
    <row r="6279" spans="1:2" x14ac:dyDescent="0.25">
      <c r="A6279">
        <f ca="1">26130.6913423964*((RANDBETWEEN(1620,2416)))</f>
        <v>53829224.165336557</v>
      </c>
      <c r="B6279">
        <v>153071411.42998931</v>
      </c>
    </row>
    <row r="6280" spans="1:2" x14ac:dyDescent="0.25">
      <c r="A6280">
        <f ca="1">32194.9830561272*((RANDBETWEEN(1620,2416)))</f>
        <v>76108939.944684729</v>
      </c>
      <c r="B6280">
        <v>157593417.94453365</v>
      </c>
    </row>
    <row r="6281" spans="1:2" x14ac:dyDescent="0.25">
      <c r="A6281">
        <f ca="1">26639.352225592*((RANDBETWEEN(1620,2416)))</f>
        <v>61536903.641117543</v>
      </c>
      <c r="B6281">
        <v>157391333.30730647</v>
      </c>
    </row>
    <row r="6282" spans="1:2" x14ac:dyDescent="0.25">
      <c r="A6282">
        <f ca="1">30001.234489623*((RANDBETWEEN(1620,2416)))</f>
        <v>71312934.381833836</v>
      </c>
      <c r="B6282">
        <v>197179071.25693437</v>
      </c>
    </row>
    <row r="6283" spans="1:2" x14ac:dyDescent="0.25">
      <c r="A6283">
        <f ca="1">26239.4404433441*((RANDBETWEEN(1620,2416)))</f>
        <v>53528458.504422016</v>
      </c>
      <c r="B6283">
        <v>153722607.53914478</v>
      </c>
    </row>
    <row r="6284" spans="1:2" x14ac:dyDescent="0.25">
      <c r="A6284">
        <f ca="1">25781.9053603485*((RANDBETWEEN(1620,2416)))</f>
        <v>42849526.7088992</v>
      </c>
      <c r="B6284">
        <v>158287964.31781554</v>
      </c>
    </row>
    <row r="6285" spans="1:2" x14ac:dyDescent="0.25">
      <c r="A6285">
        <f ca="1">26629.6705341047*((RANDBETWEEN(1620,2416)))</f>
        <v>63538393.894373737</v>
      </c>
      <c r="B6285">
        <v>172934371.24137938</v>
      </c>
    </row>
    <row r="6286" spans="1:2" x14ac:dyDescent="0.25">
      <c r="A6286">
        <f ca="1">26820.8691249659*((RANDBETWEEN(1620,2416)))</f>
        <v>63860489.38654381</v>
      </c>
      <c r="B6286">
        <v>167625929.92654678</v>
      </c>
    </row>
    <row r="6287" spans="1:2" x14ac:dyDescent="0.25">
      <c r="A6287">
        <f ca="1">29077.4445302582*((RANDBETWEEN(1620,2416)))</f>
        <v>49315345.923317835</v>
      </c>
      <c r="B6287">
        <v>181874590.38846433</v>
      </c>
    </row>
    <row r="6288" spans="1:2" x14ac:dyDescent="0.25">
      <c r="A6288">
        <f ca="1">27025.0443367528*((RANDBETWEEN(1620,2416)))</f>
        <v>58482195.944733083</v>
      </c>
      <c r="B6288">
        <v>149314231.00110739</v>
      </c>
    </row>
    <row r="6289" spans="1:2" x14ac:dyDescent="0.25">
      <c r="A6289">
        <f ca="1">27147.257982769*((RANDBETWEEN(1620,2416)))</f>
        <v>56574885.636090651</v>
      </c>
      <c r="B6289">
        <v>157756137.61105585</v>
      </c>
    </row>
    <row r="6290" spans="1:2" x14ac:dyDescent="0.25">
      <c r="A6290">
        <f ca="1">29504.362053855*((RANDBETWEEN(1620,2416)))</f>
        <v>69423763.91272074</v>
      </c>
      <c r="B6290">
        <v>178089101.32073587</v>
      </c>
    </row>
    <row r="6291" spans="1:2" x14ac:dyDescent="0.25">
      <c r="A6291">
        <f ca="1">26724.8548643428*((RANDBETWEEN(1620,2416)))</f>
        <v>51899668.146553703</v>
      </c>
      <c r="B6291">
        <v>175055756.24211225</v>
      </c>
    </row>
    <row r="6292" spans="1:2" x14ac:dyDescent="0.25">
      <c r="A6292">
        <f ca="1">27256.5604618654*((RANDBETWEEN(1620,2416)))</f>
        <v>56829928.562989339</v>
      </c>
      <c r="B6292">
        <v>153179169.18901259</v>
      </c>
    </row>
    <row r="6293" spans="1:2" x14ac:dyDescent="0.25">
      <c r="A6293">
        <f ca="1">26780.6979337027*((RANDBETWEEN(1620,2416)))</f>
        <v>48392721.166200735</v>
      </c>
      <c r="B6293">
        <v>160586683.79647332</v>
      </c>
    </row>
    <row r="6294" spans="1:2" x14ac:dyDescent="0.25">
      <c r="A6294">
        <f ca="1">26060.2651541678*((RANDBETWEEN(1620,2416)))</f>
        <v>43572763.337768607</v>
      </c>
      <c r="B6294">
        <v>157781518.97640038</v>
      </c>
    </row>
    <row r="6295" spans="1:2" x14ac:dyDescent="0.25">
      <c r="A6295">
        <f ca="1">28305.8362853131*((RANDBETWEEN(1620,2416)))</f>
        <v>64197636.695090219</v>
      </c>
      <c r="B6295">
        <v>175616081.07560191</v>
      </c>
    </row>
    <row r="6296" spans="1:2" x14ac:dyDescent="0.25">
      <c r="A6296">
        <f ca="1">26694.242406173*((RANDBETWEEN(1620,2416)))</f>
        <v>50986002.995790333</v>
      </c>
      <c r="B6296">
        <v>185355743.68853375</v>
      </c>
    </row>
    <row r="6297" spans="1:2" x14ac:dyDescent="0.25">
      <c r="A6297">
        <f ca="1">27866.5445299416*((RANDBETWEEN(1620,2416)))</f>
        <v>59968803.828434289</v>
      </c>
      <c r="B6297">
        <v>169491495.75853732</v>
      </c>
    </row>
    <row r="6298" spans="1:2" x14ac:dyDescent="0.25">
      <c r="A6298">
        <f ca="1">25331.580473425*((RANDBETWEEN(1620,2416)))</f>
        <v>58946587.76165992</v>
      </c>
      <c r="B6298">
        <v>196510290.96879208</v>
      </c>
    </row>
    <row r="6299" spans="1:2" x14ac:dyDescent="0.25">
      <c r="A6299">
        <f ca="1">26435.4705392412*((RANDBETWEEN(1620,2416)))</f>
        <v>62731371.589619376</v>
      </c>
      <c r="B6299">
        <v>169156196.93507779</v>
      </c>
    </row>
    <row r="6300" spans="1:2" x14ac:dyDescent="0.25">
      <c r="A6300">
        <f ca="1">27728.4246937844*((RANDBETWEEN(1620,2416)))</f>
        <v>63581277.822847702</v>
      </c>
      <c r="B6300">
        <v>171906005.36528748</v>
      </c>
    </row>
    <row r="6301" spans="1:2" x14ac:dyDescent="0.25">
      <c r="A6301">
        <f ca="1">28276.6096007253*((RANDBETWEEN(1620,2416)))</f>
        <v>61077476.737566665</v>
      </c>
      <c r="B6301">
        <v>156550028.99614385</v>
      </c>
    </row>
    <row r="6302" spans="1:2" x14ac:dyDescent="0.25">
      <c r="A6302">
        <f ca="1">25506.7863985271*((RANDBETWEEN(1620,2416)))</f>
        <v>54176414.310471497</v>
      </c>
      <c r="B6302">
        <v>148777447.09380502</v>
      </c>
    </row>
    <row r="6303" spans="1:2" x14ac:dyDescent="0.25">
      <c r="A6303">
        <f ca="1">26384.7909202173*((RANDBETWEEN(1620,2416)))</f>
        <v>61107175.771223195</v>
      </c>
      <c r="B6303">
        <v>160598411.76483843</v>
      </c>
    </row>
    <row r="6304" spans="1:2" x14ac:dyDescent="0.25">
      <c r="A6304">
        <f ca="1">26241.0772527178*((RANDBETWEEN(1620,2416)))</f>
        <v>52167261.578402892</v>
      </c>
      <c r="B6304">
        <v>163236725.92638531</v>
      </c>
    </row>
    <row r="6305" spans="1:2" x14ac:dyDescent="0.25">
      <c r="A6305">
        <f ca="1">30591.3575066322*((RANDBETWEEN(1620,2416)))</f>
        <v>71430819.777986288</v>
      </c>
      <c r="B6305">
        <v>159759402.47137344</v>
      </c>
    </row>
    <row r="6306" spans="1:2" x14ac:dyDescent="0.25">
      <c r="A6306">
        <f ca="1">26177.1769344342*((RANDBETWEEN(1620,2416)))</f>
        <v>53872630.131065533</v>
      </c>
      <c r="B6306">
        <v>151324355.49034482</v>
      </c>
    </row>
    <row r="6307" spans="1:2" x14ac:dyDescent="0.25">
      <c r="A6307">
        <f ca="1">27928.4753261771*((RANDBETWEEN(1620,2416)))</f>
        <v>46780196.17134662</v>
      </c>
      <c r="B6307">
        <v>150706967.93591464</v>
      </c>
    </row>
    <row r="6308" spans="1:2" x14ac:dyDescent="0.25">
      <c r="A6308">
        <f ca="1">26171.7988085454*((RANDBETWEEN(1620,2416)))</f>
        <v>55458041.675307758</v>
      </c>
      <c r="B6308">
        <v>143912894.76287317</v>
      </c>
    </row>
    <row r="6309" spans="1:2" x14ac:dyDescent="0.25">
      <c r="A6309">
        <f ca="1">29922.1117312897*((RANDBETWEEN(1620,2416)))</f>
        <v>58198507.317358434</v>
      </c>
      <c r="B6309">
        <v>151577330.11866474</v>
      </c>
    </row>
    <row r="6310" spans="1:2" x14ac:dyDescent="0.25">
      <c r="A6310">
        <f ca="1">32093.4598806891*((RANDBETWEEN(1620,2416)))</f>
        <v>53531891.080989435</v>
      </c>
      <c r="B6310">
        <v>198229615.20807105</v>
      </c>
    </row>
    <row r="6311" spans="1:2" x14ac:dyDescent="0.25">
      <c r="A6311">
        <f ca="1">26546.076828481*((RANDBETWEEN(1620,2416)))</f>
        <v>46747641.294955127</v>
      </c>
      <c r="B6311">
        <v>145617159.49300829</v>
      </c>
    </row>
    <row r="6312" spans="1:2" x14ac:dyDescent="0.25">
      <c r="A6312">
        <f ca="1">29337.9327155936*((RANDBETWEEN(1620,2416)))</f>
        <v>50813299.463408194</v>
      </c>
      <c r="B6312">
        <v>180624195.18591866</v>
      </c>
    </row>
    <row r="6313" spans="1:2" x14ac:dyDescent="0.25">
      <c r="A6313">
        <f ca="1">27954.8915544463*((RANDBETWEEN(1620,2416)))</f>
        <v>65134897.321859971</v>
      </c>
      <c r="B6313">
        <v>175399456.4008159</v>
      </c>
    </row>
    <row r="6314" spans="1:2" x14ac:dyDescent="0.25">
      <c r="A6314">
        <f ca="1">30714.7192480283*((RANDBETWEEN(1620,2416)))</f>
        <v>54795059.138482541</v>
      </c>
      <c r="B6314">
        <v>155958526.42971516</v>
      </c>
    </row>
    <row r="6315" spans="1:2" x14ac:dyDescent="0.25">
      <c r="A6315">
        <f ca="1">29402.3579446067*((RANDBETWEEN(1620,2416)))</f>
        <v>65920086.51180812</v>
      </c>
      <c r="B6315">
        <v>194101506.47074643</v>
      </c>
    </row>
    <row r="6316" spans="1:2" x14ac:dyDescent="0.25">
      <c r="A6316">
        <f ca="1">25540.3159568095*((RANDBETWEEN(1620,2416)))</f>
        <v>60607169.765509039</v>
      </c>
      <c r="B6316">
        <v>152437983.57558116</v>
      </c>
    </row>
    <row r="6317" spans="1:2" x14ac:dyDescent="0.25">
      <c r="A6317">
        <f ca="1">27676.5525685643*((RANDBETWEEN(1620,2416)))</f>
        <v>57899347.973436564</v>
      </c>
      <c r="B6317">
        <v>165171245.24495786</v>
      </c>
    </row>
    <row r="6318" spans="1:2" x14ac:dyDescent="0.25">
      <c r="A6318">
        <f ca="1">31706.900631578*((RANDBETWEEN(1620,2416)))</f>
        <v>60401645.703156173</v>
      </c>
      <c r="B6318">
        <v>163273246.47368011</v>
      </c>
    </row>
    <row r="6319" spans="1:2" x14ac:dyDescent="0.25">
      <c r="A6319">
        <f ca="1">29578.2145802525*((RANDBETWEEN(1620,2416)))</f>
        <v>56287342.346220575</v>
      </c>
      <c r="B6319">
        <v>183431857.32223794</v>
      </c>
    </row>
    <row r="6320" spans="1:2" x14ac:dyDescent="0.25">
      <c r="A6320">
        <f ca="1">25652.5806287461*((RANDBETWEEN(1620,2416)))</f>
        <v>55896973.190037668</v>
      </c>
      <c r="B6320">
        <v>162807819.85664731</v>
      </c>
    </row>
    <row r="6321" spans="1:2" x14ac:dyDescent="0.25">
      <c r="A6321">
        <f ca="1">31301.8954687123*((RANDBETWEEN(1620,2416)))</f>
        <v>57376374.394149676</v>
      </c>
      <c r="B6321">
        <v>199536709.90452781</v>
      </c>
    </row>
    <row r="6322" spans="1:2" x14ac:dyDescent="0.25">
      <c r="A6322">
        <f ca="1">26270.0812815339*((RANDBETWEEN(1620,2416)))</f>
        <v>43319364.033249468</v>
      </c>
      <c r="B6322">
        <v>149189729.41077864</v>
      </c>
    </row>
    <row r="6323" spans="1:2" x14ac:dyDescent="0.25">
      <c r="A6323">
        <f ca="1">27263.0101677603*((RANDBETWEEN(1620,2416)))</f>
        <v>64095336.904404536</v>
      </c>
      <c r="B6323">
        <v>149628678.39987886</v>
      </c>
    </row>
    <row r="6324" spans="1:2" x14ac:dyDescent="0.25">
      <c r="A6324">
        <f ca="1">26320.0918942191*((RANDBETWEEN(1620,2416)))</f>
        <v>52587543.604649685</v>
      </c>
      <c r="B6324">
        <v>148753121.45062453</v>
      </c>
    </row>
    <row r="6325" spans="1:2" x14ac:dyDescent="0.25">
      <c r="A6325">
        <f ca="1">26631.8593804664*((RANDBETWEEN(1620,2416)))</f>
        <v>51745702.776246235</v>
      </c>
      <c r="B6325">
        <v>150627615.63357762</v>
      </c>
    </row>
    <row r="6326" spans="1:2" x14ac:dyDescent="0.25">
      <c r="A6326">
        <f ca="1">30262.2979698776*((RANDBETWEEN(1620,2416)))</f>
        <v>72447941.339886904</v>
      </c>
      <c r="B6326">
        <v>176773092.53068575</v>
      </c>
    </row>
    <row r="6327" spans="1:2" x14ac:dyDescent="0.25">
      <c r="A6327">
        <f ca="1">25772.3375592212*((RANDBETWEEN(1620,2416)))</f>
        <v>58425889.246754356</v>
      </c>
      <c r="B6327">
        <v>145517904.21456394</v>
      </c>
    </row>
    <row r="6328" spans="1:2" x14ac:dyDescent="0.25">
      <c r="A6328">
        <f ca="1">30800.5066878129*((RANDBETWEEN(1620,2416)))</f>
        <v>50451229.954637565</v>
      </c>
      <c r="B6328">
        <v>165688453.09138775</v>
      </c>
    </row>
    <row r="6329" spans="1:2" x14ac:dyDescent="0.25">
      <c r="A6329">
        <f ca="1">25911.5630321359*((RANDBETWEEN(1620,2416)))</f>
        <v>58456486.20049867</v>
      </c>
      <c r="B6329">
        <v>152220999.31394196</v>
      </c>
    </row>
    <row r="6330" spans="1:2" x14ac:dyDescent="0.25">
      <c r="A6330">
        <f ca="1">26553.4387607837*((RANDBETWEEN(1620,2416)))</f>
        <v>44928418.383246101</v>
      </c>
      <c r="B6330">
        <v>166111644.83491707</v>
      </c>
    </row>
    <row r="6331" spans="1:2" x14ac:dyDescent="0.25">
      <c r="A6331">
        <f ca="1">29493.3411156954*((RANDBETWEEN(1620,2416)))</f>
        <v>59340602.324779056</v>
      </c>
      <c r="B6331">
        <v>177758972.47127661</v>
      </c>
    </row>
    <row r="6332" spans="1:2" x14ac:dyDescent="0.25">
      <c r="A6332">
        <f ca="1">26476.1822514612*((RANDBETWEEN(1620,2416)))</f>
        <v>58538838.95798064</v>
      </c>
      <c r="B6332">
        <v>171896887.56072494</v>
      </c>
    </row>
    <row r="6333" spans="1:2" x14ac:dyDescent="0.25">
      <c r="A6333">
        <f ca="1">27740.1209434593*((RANDBETWEEN(1620,2416)))</f>
        <v>47879448.748410784</v>
      </c>
      <c r="B6333">
        <v>181799308.59511334</v>
      </c>
    </row>
    <row r="6334" spans="1:2" x14ac:dyDescent="0.25">
      <c r="A6334">
        <f ca="1">29547.936508013*((RANDBETWEEN(1620,2416)))</f>
        <v>58475366.349357754</v>
      </c>
      <c r="B6334">
        <v>171709439.7116107</v>
      </c>
    </row>
    <row r="6335" spans="1:2" x14ac:dyDescent="0.25">
      <c r="A6335">
        <f ca="1">26671.4158160421*((RANDBETWEEN(1620,2416)))</f>
        <v>54196316.938197486</v>
      </c>
      <c r="B6335">
        <v>144860495.67206115</v>
      </c>
    </row>
    <row r="6336" spans="1:2" x14ac:dyDescent="0.25">
      <c r="A6336">
        <f ca="1">30228.8688906299*((RANDBETWEEN(1620,2416)))</f>
        <v>56709358.038821749</v>
      </c>
      <c r="B6336">
        <v>191716183.86357269</v>
      </c>
    </row>
    <row r="6337" spans="1:2" x14ac:dyDescent="0.25">
      <c r="A6337">
        <f ca="1">29435.2408506192*((RANDBETWEEN(1620,2416)))</f>
        <v>49568945.592442662</v>
      </c>
      <c r="B6337">
        <v>199803055.86005872</v>
      </c>
    </row>
    <row r="6338" spans="1:2" x14ac:dyDescent="0.25">
      <c r="A6338">
        <f ca="1">27735.5768468694*((RANDBETWEEN(1620,2416)))</f>
        <v>52337033.510042503</v>
      </c>
      <c r="B6338">
        <v>151207187.45573992</v>
      </c>
    </row>
    <row r="6339" spans="1:2" x14ac:dyDescent="0.25">
      <c r="A6339">
        <f ca="1">26072.2067255892*((RANDBETWEEN(1620,2416)))</f>
        <v>47190694.173316389</v>
      </c>
      <c r="B6339">
        <v>154331781.64326143</v>
      </c>
    </row>
    <row r="6340" spans="1:2" x14ac:dyDescent="0.25">
      <c r="A6340">
        <f ca="1">27271.0304803691*((RANDBETWEEN(1620,2416)))</f>
        <v>51269537.303093977</v>
      </c>
      <c r="B6340">
        <v>152204051.77170542</v>
      </c>
    </row>
    <row r="6341" spans="1:2" x14ac:dyDescent="0.25">
      <c r="A6341">
        <f ca="1">26594.3439824034*((RANDBETWEEN(1620,2416)))</f>
        <v>53188687.964806728</v>
      </c>
      <c r="B6341">
        <v>173828350.63724369</v>
      </c>
    </row>
    <row r="6342" spans="1:2" x14ac:dyDescent="0.25">
      <c r="A6342">
        <f ca="1">27382.4449123506*((RANDBETWEEN(1620,2416)))</f>
        <v>65279748.671043888</v>
      </c>
      <c r="B6342">
        <v>153103117.22616836</v>
      </c>
    </row>
    <row r="6343" spans="1:2" x14ac:dyDescent="0.25">
      <c r="A6343">
        <f ca="1">27699.0108330623*((RANDBETWEEN(1620,2416)))</f>
        <v>65563558.641858354</v>
      </c>
      <c r="B6343">
        <v>144600515.23678797</v>
      </c>
    </row>
    <row r="6344" spans="1:2" x14ac:dyDescent="0.25">
      <c r="A6344">
        <f ca="1">27330.6471457009*((RANDBETWEEN(1620,2416)))</f>
        <v>57722326.77172026</v>
      </c>
      <c r="B6344">
        <v>200478897.63287181</v>
      </c>
    </row>
    <row r="6345" spans="1:2" x14ac:dyDescent="0.25">
      <c r="A6345">
        <f ca="1">32465.0310926362*((RANDBETWEEN(1620,2416)))</f>
        <v>57722825.28270708</v>
      </c>
      <c r="B6345">
        <v>180426849.11087501</v>
      </c>
    </row>
    <row r="6346" spans="1:2" x14ac:dyDescent="0.25">
      <c r="A6346">
        <f ca="1">29342.4080157824*((RANDBETWEEN(1620,2416)))</f>
        <v>61384317.569016732</v>
      </c>
      <c r="B6346">
        <v>158163412.75144482</v>
      </c>
    </row>
    <row r="6347" spans="1:2" x14ac:dyDescent="0.25">
      <c r="A6347">
        <f ca="1">26460.9092576915*((RANDBETWEEN(1620,2416)))</f>
        <v>59933959.46867121</v>
      </c>
      <c r="B6347">
        <v>152748740.3283897</v>
      </c>
    </row>
    <row r="6348" spans="1:2" x14ac:dyDescent="0.25">
      <c r="A6348">
        <f ca="1">26268.6823692229*((RANDBETWEEN(1620,2416)))</f>
        <v>47730195.864878066</v>
      </c>
      <c r="B6348">
        <v>151364345.76931959</v>
      </c>
    </row>
    <row r="6349" spans="1:2" x14ac:dyDescent="0.25">
      <c r="A6349">
        <f ca="1">28158.5884633648*((RANDBETWEEN(1620,2416)))</f>
        <v>61104136.965501539</v>
      </c>
      <c r="B6349">
        <v>196258659.27284154</v>
      </c>
    </row>
    <row r="6350" spans="1:2" x14ac:dyDescent="0.25">
      <c r="A6350">
        <f ca="1">25176.0745852391*((RANDBETWEEN(1620,2416)))</f>
        <v>53020813.076513506</v>
      </c>
      <c r="B6350">
        <v>154907247.7258431</v>
      </c>
    </row>
    <row r="6351" spans="1:2" x14ac:dyDescent="0.25">
      <c r="A6351">
        <f ca="1">31799.9826436692*((RANDBETWEEN(1620,2416)))</f>
        <v>65030964.506303474</v>
      </c>
      <c r="B6351">
        <v>149069584.69452009</v>
      </c>
    </row>
    <row r="6352" spans="1:2" x14ac:dyDescent="0.25">
      <c r="A6352">
        <f ca="1">27215.4822999678*((RANDBETWEEN(1620,2416)))</f>
        <v>55927816.126433767</v>
      </c>
      <c r="B6352">
        <v>155506029.70969486</v>
      </c>
    </row>
    <row r="6353" spans="1:2" x14ac:dyDescent="0.25">
      <c r="A6353">
        <f ca="1">26528.5368579636*((RANDBETWEEN(1620,2416)))</f>
        <v>55736455.938581444</v>
      </c>
      <c r="B6353">
        <v>159495726.10448793</v>
      </c>
    </row>
    <row r="6354" spans="1:2" x14ac:dyDescent="0.25">
      <c r="A6354">
        <f ca="1">27676.4748498434*((RANDBETWEEN(1620,2416)))</f>
        <v>55906479.19668363</v>
      </c>
      <c r="B6354">
        <v>148133178.04827422</v>
      </c>
    </row>
    <row r="6355" spans="1:2" x14ac:dyDescent="0.25">
      <c r="A6355">
        <f ca="1">28719.2753058346*((RANDBETWEEN(1620,2416)))</f>
        <v>52728589.461512387</v>
      </c>
      <c r="B6355">
        <v>176634077.23064458</v>
      </c>
    </row>
    <row r="6356" spans="1:2" x14ac:dyDescent="0.25">
      <c r="A6356">
        <f ca="1">28953.3827931711*((RANDBETWEEN(1620,2416)))</f>
        <v>64971390.987875938</v>
      </c>
      <c r="B6356">
        <v>181316520.02290511</v>
      </c>
    </row>
    <row r="6357" spans="1:2" x14ac:dyDescent="0.25">
      <c r="A6357">
        <f ca="1">27403.909800198*((RANDBETWEEN(1620,2416)))</f>
        <v>47162128.766140833</v>
      </c>
      <c r="B6357">
        <v>195486163.78402591</v>
      </c>
    </row>
    <row r="6358" spans="1:2" x14ac:dyDescent="0.25">
      <c r="A6358">
        <f ca="1">26405.5836179032*((RANDBETWEEN(1620,2416)))</f>
        <v>60310352.98329097</v>
      </c>
      <c r="B6358">
        <v>177921121.09919518</v>
      </c>
    </row>
    <row r="6359" spans="1:2" x14ac:dyDescent="0.25">
      <c r="A6359">
        <f ca="1">27281.1334513719*((RANDBETWEEN(1620,2416)))</f>
        <v>60182180.39372652</v>
      </c>
      <c r="B6359">
        <v>156393434.91153404</v>
      </c>
    </row>
    <row r="6360" spans="1:2" x14ac:dyDescent="0.25">
      <c r="A6360">
        <f ca="1">27260.5547209155*((RANDBETWEEN(1620,2416)))</f>
        <v>56184003.279806748</v>
      </c>
      <c r="B6360">
        <v>193198125.27952307</v>
      </c>
    </row>
    <row r="6361" spans="1:2" x14ac:dyDescent="0.25">
      <c r="A6361">
        <f ca="1">29439.6186289237*((RANDBETWEEN(1620,2416)))</f>
        <v>58025488.317608602</v>
      </c>
      <c r="B6361">
        <v>156675232.94714481</v>
      </c>
    </row>
    <row r="6362" spans="1:2" x14ac:dyDescent="0.25">
      <c r="A6362">
        <f ca="1">26797.4210334579*((RANDBETWEEN(1620,2416)))</f>
        <v>58579162.379138947</v>
      </c>
      <c r="B6362">
        <v>170348178.94564503</v>
      </c>
    </row>
    <row r="6363" spans="1:2" x14ac:dyDescent="0.25">
      <c r="A6363">
        <f ca="1">26639.4002542118*((RANDBETWEEN(1620,2416)))</f>
        <v>53784949.113253631</v>
      </c>
      <c r="B6363">
        <v>165721910.8031854</v>
      </c>
    </row>
    <row r="6364" spans="1:2" x14ac:dyDescent="0.25">
      <c r="A6364">
        <f ca="1">26183.5260961889*((RANDBETWEEN(1620,2416)))</f>
        <v>48884643.221584655</v>
      </c>
      <c r="B6364">
        <v>151872491.47408414</v>
      </c>
    </row>
    <row r="6365" spans="1:2" x14ac:dyDescent="0.25">
      <c r="A6365">
        <f ca="1">32654.3157900096*((RANDBETWEEN(1620,2416)))</f>
        <v>64851471.158958994</v>
      </c>
      <c r="B6365">
        <v>159546980.40623343</v>
      </c>
    </row>
    <row r="6366" spans="1:2" x14ac:dyDescent="0.25">
      <c r="A6366">
        <f ca="1">27764.60298266*((RANDBETWEEN(1620,2416)))</f>
        <v>58111314.042707369</v>
      </c>
      <c r="B6366">
        <v>183621210.60915571</v>
      </c>
    </row>
    <row r="6367" spans="1:2" x14ac:dyDescent="0.25">
      <c r="A6367">
        <f ca="1">28498.0871986324*((RANDBETWEEN(1620,2416)))</f>
        <v>52892449.840661697</v>
      </c>
      <c r="B6367">
        <v>154822276.97005117</v>
      </c>
    </row>
    <row r="6368" spans="1:2" x14ac:dyDescent="0.25">
      <c r="A6368">
        <f ca="1">28607.4833556226*((RANDBETWEEN(1620,2416)))</f>
        <v>57729901.411646396</v>
      </c>
      <c r="B6368">
        <v>191121871.82189646</v>
      </c>
    </row>
    <row r="6369" spans="1:2" x14ac:dyDescent="0.25">
      <c r="A6369">
        <f ca="1">29320.0713839854*((RANDBETWEEN(1620,2416)))</f>
        <v>59197224.124266557</v>
      </c>
      <c r="B6369">
        <v>176660809.70798069</v>
      </c>
    </row>
    <row r="6370" spans="1:2" x14ac:dyDescent="0.25">
      <c r="A6370">
        <f ca="1">28087.0602453753*((RANDBETWEEN(1620,2416)))</f>
        <v>61510661.937371887</v>
      </c>
      <c r="B6370">
        <v>171156963.95599794</v>
      </c>
    </row>
    <row r="6371" spans="1:2" x14ac:dyDescent="0.25">
      <c r="A6371">
        <f ca="1">31358.6635885076*((RANDBETWEEN(1620,2416)))</f>
        <v>63940315.056967057</v>
      </c>
      <c r="B6371">
        <v>176200698.48879471</v>
      </c>
    </row>
    <row r="6372" spans="1:2" x14ac:dyDescent="0.25">
      <c r="A6372">
        <f ca="1">31884.0125050121*((RANDBETWEEN(1620,2416)))</f>
        <v>69666567.323451519</v>
      </c>
      <c r="B6372">
        <v>168067774.71483347</v>
      </c>
    </row>
    <row r="6373" spans="1:2" x14ac:dyDescent="0.25">
      <c r="A6373">
        <f ca="1">31568.1479937695*((RANDBETWEEN(1620,2416)))</f>
        <v>57327756.75668548</v>
      </c>
      <c r="B6373">
        <v>199559293.69877246</v>
      </c>
    </row>
    <row r="6374" spans="1:2" x14ac:dyDescent="0.25">
      <c r="A6374">
        <f ca="1">28112.0948436228*((RANDBETWEEN(1620,2416)))</f>
        <v>57826579.093332164</v>
      </c>
      <c r="B6374">
        <v>157265694.17540962</v>
      </c>
    </row>
    <row r="6375" spans="1:2" x14ac:dyDescent="0.25">
      <c r="A6375">
        <f ca="1">26441.7241012217*((RANDBETWEEN(1620,2416)))</f>
        <v>59705413.020558514</v>
      </c>
      <c r="B6375">
        <v>144273068.08738831</v>
      </c>
    </row>
    <row r="6376" spans="1:2" x14ac:dyDescent="0.25">
      <c r="A6376">
        <f ca="1">30771.2756647146*((RANDBETWEEN(1620,2416)))</f>
        <v>54126673.894232914</v>
      </c>
      <c r="B6376">
        <v>165988938.442247</v>
      </c>
    </row>
    <row r="6377" spans="1:2" x14ac:dyDescent="0.25">
      <c r="A6377">
        <f ca="1">29516.8483115874*((RANDBETWEEN(1620,2416)))</f>
        <v>60302921.1005731</v>
      </c>
      <c r="B6377">
        <v>178516179.28796101</v>
      </c>
    </row>
    <row r="6378" spans="1:2" x14ac:dyDescent="0.25">
      <c r="A6378">
        <f ca="1">29110.285605277*((RANDBETWEEN(1620,2416)))</f>
        <v>60083629.489291742</v>
      </c>
      <c r="B6378">
        <v>202476230.63748357</v>
      </c>
    </row>
    <row r="6379" spans="1:2" x14ac:dyDescent="0.25">
      <c r="A6379">
        <f ca="1">27190.2027313791*((RANDBETWEEN(1620,2416)))</f>
        <v>47963517.618152797</v>
      </c>
      <c r="B6379">
        <v>169023395.2475712</v>
      </c>
    </row>
    <row r="6380" spans="1:2" x14ac:dyDescent="0.25">
      <c r="A6380">
        <f ca="1">25448.1125844448*((RANDBETWEEN(1620,2416)))</f>
        <v>58886932.520405307</v>
      </c>
      <c r="B6380">
        <v>147529273.82664442</v>
      </c>
    </row>
    <row r="6381" spans="1:2" x14ac:dyDescent="0.25">
      <c r="A6381">
        <f ca="1">27188.1675564068*((RANDBETWEEN(1620,2416)))</f>
        <v>59977097.629433446</v>
      </c>
      <c r="B6381">
        <v>184382001.75183767</v>
      </c>
    </row>
    <row r="6382" spans="1:2" x14ac:dyDescent="0.25">
      <c r="A6382">
        <f ca="1">26722.6706697846*((RANDBETWEEN(1620,2416)))</f>
        <v>64080964.266143486</v>
      </c>
      <c r="B6382">
        <v>175231256.6034925</v>
      </c>
    </row>
    <row r="6383" spans="1:2" x14ac:dyDescent="0.25">
      <c r="A6383">
        <f ca="1">30225.28432546*((RANDBETWEEN(1620,2416)))</f>
        <v>58334798.748137832</v>
      </c>
      <c r="B6383">
        <v>169690042.82321963</v>
      </c>
    </row>
    <row r="6384" spans="1:2" x14ac:dyDescent="0.25">
      <c r="A6384">
        <f ca="1">27910.4759911784*((RANDBETWEEN(1620,2416)))</f>
        <v>48982885.364518136</v>
      </c>
      <c r="B6384">
        <v>195209003.60952276</v>
      </c>
    </row>
    <row r="6385" spans="1:2" x14ac:dyDescent="0.25">
      <c r="A6385">
        <f ca="1">27013.1113188299*((RANDBETWEEN(1620,2416)))</f>
        <v>56565455.101629883</v>
      </c>
      <c r="B6385">
        <v>169534622.12125146</v>
      </c>
    </row>
    <row r="6386" spans="1:2" x14ac:dyDescent="0.25">
      <c r="A6386">
        <f ca="1">29399.9015348513*((RANDBETWEEN(1620,2416)))</f>
        <v>58094205.432866253</v>
      </c>
      <c r="B6386">
        <v>161918992.17974669</v>
      </c>
    </row>
    <row r="6387" spans="1:2" x14ac:dyDescent="0.25">
      <c r="A6387">
        <f ca="1">27556.7665994468*((RANDBETWEEN(1620,2416)))</f>
        <v>50153315.210993245</v>
      </c>
      <c r="B6387">
        <v>161895092.9722431</v>
      </c>
    </row>
    <row r="6388" spans="1:2" x14ac:dyDescent="0.25">
      <c r="A6388">
        <f ca="1">31573.6073514133*((RANDBETWEEN(1620,2416)))</f>
        <v>60210869.219145231</v>
      </c>
      <c r="B6388">
        <v>196143195.97326982</v>
      </c>
    </row>
    <row r="6389" spans="1:2" x14ac:dyDescent="0.25">
      <c r="A6389">
        <f ca="1">26067.6837289548*((RANDBETWEEN(1620,2416)))</f>
        <v>49007245.410435013</v>
      </c>
      <c r="B6389">
        <v>167176330.20854002</v>
      </c>
    </row>
    <row r="6390" spans="1:2" x14ac:dyDescent="0.25">
      <c r="A6390">
        <f ca="1">32202.6637178063*((RANDBETWEEN(1620,2416)))</f>
        <v>65435812.67458231</v>
      </c>
      <c r="B6390">
        <v>151526951.16310066</v>
      </c>
    </row>
    <row r="6391" spans="1:2" x14ac:dyDescent="0.25">
      <c r="A6391">
        <f ca="1">28835.0035335534*((RANDBETWEEN(1620,2416)))</f>
        <v>54642331.696083672</v>
      </c>
      <c r="B6391">
        <v>148787704.28494087</v>
      </c>
    </row>
    <row r="6392" spans="1:2" x14ac:dyDescent="0.25">
      <c r="A6392">
        <f ca="1">33389.3462259216*((RANDBETWEEN(1620,2416)))</f>
        <v>79166139.901660115</v>
      </c>
      <c r="B6392">
        <v>188531842.87071693</v>
      </c>
    </row>
    <row r="6393" spans="1:2" x14ac:dyDescent="0.25">
      <c r="A6393">
        <f ca="1">30510.8170076686*((RANDBETWEEN(1620,2416)))</f>
        <v>53607505.482473768</v>
      </c>
      <c r="B6393">
        <v>162486053.29573557</v>
      </c>
    </row>
    <row r="6394" spans="1:2" x14ac:dyDescent="0.25">
      <c r="A6394">
        <f ca="1">30937.7894418537*((RANDBETWEEN(1620,2416)))</f>
        <v>55811772.15310403</v>
      </c>
      <c r="B6394">
        <v>151776000.40931541</v>
      </c>
    </row>
    <row r="6395" spans="1:2" x14ac:dyDescent="0.25">
      <c r="A6395">
        <f ca="1">28935.4643346879*((RANDBETWEEN(1620,2416)))</f>
        <v>69184695.224238753</v>
      </c>
      <c r="B6395">
        <v>155113226.32326582</v>
      </c>
    </row>
    <row r="6396" spans="1:2" x14ac:dyDescent="0.25">
      <c r="A6396">
        <f ca="1">28113.6429147529*((RANDBETWEEN(1620,2416)))</f>
        <v>50913807.318617478</v>
      </c>
      <c r="B6396">
        <v>172249122.71913141</v>
      </c>
    </row>
    <row r="6397" spans="1:2" x14ac:dyDescent="0.25">
      <c r="A6397">
        <f ca="1">29201.8441237303*((RANDBETWEEN(1620,2416)))</f>
        <v>56826788.664779231</v>
      </c>
      <c r="B6397">
        <v>155777309.61076379</v>
      </c>
    </row>
    <row r="6398" spans="1:2" x14ac:dyDescent="0.25">
      <c r="A6398">
        <f ca="1">26313.0382301423*((RANDBETWEEN(1620,2416)))</f>
        <v>54257484.83055345</v>
      </c>
      <c r="B6398">
        <v>160997725.29110104</v>
      </c>
    </row>
    <row r="6399" spans="1:2" x14ac:dyDescent="0.25">
      <c r="A6399">
        <f ca="1">26423.107383292*((RANDBETWEEN(1620,2416)))</f>
        <v>59769068.901006587</v>
      </c>
      <c r="B6399">
        <v>151531511.86090872</v>
      </c>
    </row>
    <row r="6400" spans="1:2" x14ac:dyDescent="0.25">
      <c r="A6400">
        <f ca="1">25147.1351616511*((RANDBETWEEN(1620,2416)))</f>
        <v>46471905.778731287</v>
      </c>
      <c r="B6400">
        <v>143350186.39138892</v>
      </c>
    </row>
    <row r="6401" spans="1:2" x14ac:dyDescent="0.25">
      <c r="A6401">
        <f ca="1">27606.5595376416*((RANDBETWEEN(1620,2416)))</f>
        <v>60044266.99437049</v>
      </c>
      <c r="B6401">
        <v>180514266.74048477</v>
      </c>
    </row>
    <row r="6402" spans="1:2" x14ac:dyDescent="0.25">
      <c r="A6402">
        <f ca="1">27675.0131410582*((RANDBETWEEN(1620,2416)))</f>
        <v>61964354.422829211</v>
      </c>
      <c r="B6402">
        <v>178965859.64572796</v>
      </c>
    </row>
    <row r="6403" spans="1:2" x14ac:dyDescent="0.25">
      <c r="A6403">
        <f ca="1">29875.6484256275*((RANDBETWEEN(1620,2416)))</f>
        <v>51415990.940504983</v>
      </c>
      <c r="B6403">
        <v>193345374.89323187</v>
      </c>
    </row>
    <row r="6404" spans="1:2" x14ac:dyDescent="0.25">
      <c r="A6404">
        <f ca="1">26952.3551541589*((RANDBETWEEN(1620,2416)))</f>
        <v>48675953.408411019</v>
      </c>
      <c r="B6404">
        <v>164225549.33961341</v>
      </c>
    </row>
    <row r="6405" spans="1:2" x14ac:dyDescent="0.25">
      <c r="A6405">
        <f ca="1">26813.9742822882*((RANDBETWEEN(1620,2416)))</f>
        <v>63817258.791846</v>
      </c>
      <c r="B6405">
        <v>149734854.96099576</v>
      </c>
    </row>
    <row r="6406" spans="1:2" x14ac:dyDescent="0.25">
      <c r="A6406">
        <f ca="1">28048.4086101201*((RANDBETWEEN(1620,2416)))</f>
        <v>47934730.314695224</v>
      </c>
      <c r="B6406">
        <v>154664761.78593764</v>
      </c>
    </row>
    <row r="6407" spans="1:2" x14ac:dyDescent="0.25">
      <c r="A6407">
        <f ca="1">32392.3867526603*((RANDBETWEEN(1620,2416)))</f>
        <v>63359508.488203488</v>
      </c>
      <c r="B6407">
        <v>187385216.73645142</v>
      </c>
    </row>
    <row r="6408" spans="1:2" x14ac:dyDescent="0.25">
      <c r="A6408">
        <f ca="1">30063.6978837177*((RANDBETWEEN(1620,2416)))</f>
        <v>51078222.704436362</v>
      </c>
      <c r="B6408">
        <v>196837764.22673094</v>
      </c>
    </row>
    <row r="6409" spans="1:2" x14ac:dyDescent="0.25">
      <c r="A6409">
        <f ca="1">30548.3651813628*((RANDBETWEEN(1620,2416)))</f>
        <v>53490187.432566263</v>
      </c>
      <c r="B6409">
        <v>162966801.0607872</v>
      </c>
    </row>
    <row r="6410" spans="1:2" x14ac:dyDescent="0.25">
      <c r="A6410">
        <f ca="1">26873.2250468194*((RANDBETWEEN(1620,2416)))</f>
        <v>49903578.911943659</v>
      </c>
      <c r="B6410">
        <v>161697277.45586225</v>
      </c>
    </row>
    <row r="6411" spans="1:2" x14ac:dyDescent="0.25">
      <c r="A6411">
        <f ca="1">23865.8962398067*((RANDBETWEEN(1620,2416)))</f>
        <v>43030210.920371547</v>
      </c>
      <c r="B6411">
        <v>143998269.15819708</v>
      </c>
    </row>
    <row r="6412" spans="1:2" x14ac:dyDescent="0.25">
      <c r="A6412">
        <f ca="1">26365.4761857042*((RANDBETWEEN(1620,2416)))</f>
        <v>60983346.417533867</v>
      </c>
      <c r="B6412">
        <v>201497754.48959902</v>
      </c>
    </row>
    <row r="6413" spans="1:2" x14ac:dyDescent="0.25">
      <c r="A6413">
        <f ca="1">27612.0490172409*((RANDBETWEEN(1620,2416)))</f>
        <v>56770372.779447198</v>
      </c>
      <c r="B6413">
        <v>200262635.00357378</v>
      </c>
    </row>
    <row r="6414" spans="1:2" x14ac:dyDescent="0.25">
      <c r="A6414">
        <f ca="1">28096.6595476277*((RANDBETWEEN(1620,2416)))</f>
        <v>53467943.119135536</v>
      </c>
      <c r="B6414">
        <v>194702598.46315894</v>
      </c>
    </row>
    <row r="6415" spans="1:2" x14ac:dyDescent="0.25">
      <c r="A6415">
        <f ca="1">33447.7866495567*((RANDBETWEEN(1620,2416)))</f>
        <v>62580808.821320504</v>
      </c>
      <c r="B6415">
        <v>189840463.40390408</v>
      </c>
    </row>
    <row r="6416" spans="1:2" x14ac:dyDescent="0.25">
      <c r="A6416">
        <f ca="1">27309.5190904327*((RANDBETWEEN(1620,2416)))</f>
        <v>57705013.838084258</v>
      </c>
      <c r="B6416">
        <v>157171529.98063204</v>
      </c>
    </row>
    <row r="6417" spans="1:2" x14ac:dyDescent="0.25">
      <c r="A6417">
        <f ca="1">32162.649651533*((RANDBETWEEN(1620,2416)))</f>
        <v>71947847.270479351</v>
      </c>
      <c r="B6417">
        <v>147209709.97593623</v>
      </c>
    </row>
    <row r="6418" spans="1:2" x14ac:dyDescent="0.25">
      <c r="A6418">
        <f ca="1">26942.1300705953*((RANDBETWEEN(1620,2416)))</f>
        <v>52644922.157943241</v>
      </c>
      <c r="B6418">
        <v>155420081.48551327</v>
      </c>
    </row>
    <row r="6419" spans="1:2" x14ac:dyDescent="0.25">
      <c r="A6419">
        <f ca="1">25929.1731939897*((RANDBETWEEN(1620,2416)))</f>
        <v>46776228.441957459</v>
      </c>
      <c r="B6419">
        <v>192449688.19789678</v>
      </c>
    </row>
    <row r="6420" spans="1:2" x14ac:dyDescent="0.25">
      <c r="A6420">
        <f ca="1">31082.4093085321*((RANDBETWEEN(1620,2416)))</f>
        <v>59305236.960679285</v>
      </c>
      <c r="B6420">
        <v>181641995.97108847</v>
      </c>
    </row>
    <row r="6421" spans="1:2" x14ac:dyDescent="0.25">
      <c r="A6421">
        <f ca="1">27165.7207732774*((RANDBETWEEN(1620,2416)))</f>
        <v>47757337.119421631</v>
      </c>
      <c r="B6421">
        <v>173944860.10065773</v>
      </c>
    </row>
    <row r="6422" spans="1:2" x14ac:dyDescent="0.25">
      <c r="A6422">
        <f ca="1">30762.2059752535*((RANDBETWEEN(1620,2416)))</f>
        <v>51342121.772698089</v>
      </c>
      <c r="B6422">
        <v>170724105.20348126</v>
      </c>
    </row>
    <row r="6423" spans="1:2" x14ac:dyDescent="0.25">
      <c r="A6423">
        <f ca="1">29150.1277451502*((RANDBETWEEN(1620,2416)))</f>
        <v>53257283.390389487</v>
      </c>
      <c r="B6423">
        <v>146175355.260387</v>
      </c>
    </row>
    <row r="6424" spans="1:2" x14ac:dyDescent="0.25">
      <c r="A6424">
        <f ca="1">27916.3289793216*((RANDBETWEEN(1620,2416)))</f>
        <v>64710050.574067354</v>
      </c>
      <c r="B6424">
        <v>174478210.6877825</v>
      </c>
    </row>
    <row r="6425" spans="1:2" x14ac:dyDescent="0.25">
      <c r="A6425">
        <f ca="1">26197.6182755084*((RANDBETWEEN(1620,2416)))</f>
        <v>49146731.884853832</v>
      </c>
      <c r="B6425">
        <v>186719756.68672165</v>
      </c>
    </row>
    <row r="6426" spans="1:2" x14ac:dyDescent="0.25">
      <c r="A6426">
        <f ca="1">27995.3360861376*((RANDBETWEEN(1620,2416)))</f>
        <v>53751045.285384193</v>
      </c>
      <c r="B6426">
        <v>156956287.83383685</v>
      </c>
    </row>
    <row r="6427" spans="1:2" x14ac:dyDescent="0.25">
      <c r="A6427">
        <f ca="1">26930.4065483108*((RANDBETWEEN(1620,2416)))</f>
        <v>55665150.335358381</v>
      </c>
      <c r="B6427">
        <v>177361992.4168694</v>
      </c>
    </row>
    <row r="6428" spans="1:2" x14ac:dyDescent="0.25">
      <c r="A6428">
        <f ca="1">30196.1048310595*((RANDBETWEEN(1620,2416)))</f>
        <v>61418877.226375043</v>
      </c>
      <c r="B6428">
        <v>168592706.0005354</v>
      </c>
    </row>
    <row r="6429" spans="1:2" x14ac:dyDescent="0.25">
      <c r="A6429">
        <f ca="1">30562.0317105483*((RANDBETWEEN(1620,2416)))</f>
        <v>51069154.988326177</v>
      </c>
      <c r="B6429">
        <v>199481993.5635016</v>
      </c>
    </row>
    <row r="6430" spans="1:2" x14ac:dyDescent="0.25">
      <c r="A6430">
        <f ca="1">28989.1784895483*((RANDBETWEEN(1620,2416)))</f>
        <v>51977597.031760059</v>
      </c>
      <c r="B6430">
        <v>158653058.33408958</v>
      </c>
    </row>
    <row r="6431" spans="1:2" x14ac:dyDescent="0.25">
      <c r="A6431">
        <f ca="1">25324.0506861371*((RANDBETWEEN(1620,2416)))</f>
        <v>48444908.962580256</v>
      </c>
      <c r="B6431">
        <v>149553429.56672847</v>
      </c>
    </row>
    <row r="6432" spans="1:2" x14ac:dyDescent="0.25">
      <c r="A6432">
        <f ca="1">28202.855556429*((RANDBETWEEN(1620,2416)))</f>
        <v>59536228.079621591</v>
      </c>
      <c r="B6432">
        <v>196929408.74823254</v>
      </c>
    </row>
    <row r="6433" spans="1:2" x14ac:dyDescent="0.25">
      <c r="A6433">
        <f ca="1">29689.0501992505*((RANDBETWEEN(1620,2416)))</f>
        <v>61040687.209659085</v>
      </c>
      <c r="B6433">
        <v>168743025.30577651</v>
      </c>
    </row>
    <row r="6434" spans="1:2" x14ac:dyDescent="0.25">
      <c r="A6434">
        <f ca="1">26272.7877240711*((RANDBETWEEN(1620,2416)))</f>
        <v>53885487.622069873</v>
      </c>
      <c r="B6434">
        <v>161255179.06928352</v>
      </c>
    </row>
    <row r="6435" spans="1:2" x14ac:dyDescent="0.25">
      <c r="A6435">
        <f ca="1">29299.4567700915*((RANDBETWEEN(1620,2416)))</f>
        <v>68590028.298784256</v>
      </c>
      <c r="B6435">
        <v>171459190.67816496</v>
      </c>
    </row>
    <row r="6436" spans="1:2" x14ac:dyDescent="0.25">
      <c r="A6436">
        <f ca="1">26260.086525176*((RANDBETWEEN(1620,2416)))</f>
        <v>60109338.056127876</v>
      </c>
      <c r="B6436">
        <v>154297355.35609809</v>
      </c>
    </row>
    <row r="6437" spans="1:2" x14ac:dyDescent="0.25">
      <c r="A6437">
        <f ca="1">32719.1747958972*((RANDBETWEEN(1620,2416)))</f>
        <v>58076535.262717493</v>
      </c>
      <c r="B6437">
        <v>156495706.30934608</v>
      </c>
    </row>
    <row r="6438" spans="1:2" x14ac:dyDescent="0.25">
      <c r="A6438">
        <f ca="1">26229.9717068172*((RANDBETWEEN(1620,2416)))</f>
        <v>52459943.413634427</v>
      </c>
      <c r="B6438">
        <v>148748788.13208318</v>
      </c>
    </row>
    <row r="6439" spans="1:2" x14ac:dyDescent="0.25">
      <c r="A6439">
        <f ca="1">25645.755039791*((RANDBETWEEN(1620,2416)))</f>
        <v>43059222.711809061</v>
      </c>
      <c r="B6439">
        <v>145570530.24945834</v>
      </c>
    </row>
    <row r="6440" spans="1:2" x14ac:dyDescent="0.25">
      <c r="A6440">
        <f ca="1">29808.7292864526*((RANDBETWEEN(1620,2416)))</f>
        <v>65579204.430195823</v>
      </c>
      <c r="B6440">
        <v>149377877.56471688</v>
      </c>
    </row>
    <row r="6441" spans="1:2" x14ac:dyDescent="0.25">
      <c r="A6441">
        <f ca="1">27795.9752241962*((RANDBETWEEN(1620,2416)))</f>
        <v>54313335.588079304</v>
      </c>
      <c r="B6441">
        <v>173724264.13006645</v>
      </c>
    </row>
    <row r="6442" spans="1:2" x14ac:dyDescent="0.25">
      <c r="A6442">
        <f ca="1">32114.1656802907*((RANDBETWEEN(1620,2416)))</f>
        <v>62686851.407927506</v>
      </c>
      <c r="B6442">
        <v>172370699.98194048</v>
      </c>
    </row>
    <row r="6443" spans="1:2" x14ac:dyDescent="0.25">
      <c r="A6443">
        <f ca="1">33438.0888901682*((RANDBETWEEN(1620,2416)))</f>
        <v>77676680.491860762</v>
      </c>
      <c r="B6443">
        <v>161827786.33599141</v>
      </c>
    </row>
    <row r="6444" spans="1:2" x14ac:dyDescent="0.25">
      <c r="A6444">
        <f ca="1">31857.9769156402*((RANDBETWEEN(1620,2416)))</f>
        <v>73114057.021394238</v>
      </c>
      <c r="B6444">
        <v>184400232.09151196</v>
      </c>
    </row>
    <row r="6445" spans="1:2" x14ac:dyDescent="0.25">
      <c r="A6445">
        <f ca="1">28011.9550435972*((RANDBETWEEN(1620,2416)))</f>
        <v>56135957.907368816</v>
      </c>
      <c r="B6445">
        <v>158466500.76665956</v>
      </c>
    </row>
    <row r="6446" spans="1:2" x14ac:dyDescent="0.25">
      <c r="A6446">
        <f ca="1">27219.419454369*((RANDBETWEEN(1620,2416)))</f>
        <v>56344198.270543799</v>
      </c>
      <c r="B6446">
        <v>149884371.47727883</v>
      </c>
    </row>
    <row r="6447" spans="1:2" x14ac:dyDescent="0.25">
      <c r="A6447">
        <f ca="1">32165.7972919271*((RANDBETWEEN(1620,2416)))</f>
        <v>75396628.852277026</v>
      </c>
      <c r="B6447">
        <v>159131470.73926511</v>
      </c>
    </row>
    <row r="6448" spans="1:2" x14ac:dyDescent="0.25">
      <c r="A6448">
        <f ca="1">32061.7404542799*((RANDBETWEEN(1620,2416)))</f>
        <v>68548001.091250345</v>
      </c>
      <c r="B6448">
        <v>164942561.61792237</v>
      </c>
    </row>
    <row r="6449" spans="1:2" x14ac:dyDescent="0.25">
      <c r="A6449">
        <f ca="1">32458.5942091499*((RANDBETWEEN(1620,2416)))</f>
        <v>56120909.387620196</v>
      </c>
      <c r="B6449">
        <v>203112512.54656094</v>
      </c>
    </row>
    <row r="6450" spans="1:2" x14ac:dyDescent="0.25">
      <c r="A6450">
        <f ca="1">25887.9627659022*((RANDBETWEEN(1620,2416)))</f>
        <v>59697642.138170406</v>
      </c>
      <c r="B6450">
        <v>144457052.63492116</v>
      </c>
    </row>
    <row r="6451" spans="1:2" x14ac:dyDescent="0.25">
      <c r="A6451">
        <f ca="1">26999.0795844518*((RANDBETWEEN(1620,2416)))</f>
        <v>53323182.179292232</v>
      </c>
      <c r="B6451">
        <v>149777500.64638647</v>
      </c>
    </row>
    <row r="6452" spans="1:2" x14ac:dyDescent="0.25">
      <c r="A6452">
        <f ca="1">30590.5938237694*((RANDBETWEEN(1620,2416)))</f>
        <v>59039846.079874955</v>
      </c>
      <c r="B6452">
        <v>173352277.1724273</v>
      </c>
    </row>
    <row r="6453" spans="1:2" x14ac:dyDescent="0.25">
      <c r="A6453">
        <f ca="1">30888.4067014962*((RANDBETWEEN(1620,2416)))</f>
        <v>58904191.579753168</v>
      </c>
      <c r="B6453">
        <v>184160765.06638896</v>
      </c>
    </row>
    <row r="6454" spans="1:2" x14ac:dyDescent="0.25">
      <c r="A6454">
        <f ca="1">27006.6429605822*((RANDBETWEEN(1620,2416)))</f>
        <v>48044817.826875813</v>
      </c>
      <c r="B6454">
        <v>183873086.54635474</v>
      </c>
    </row>
    <row r="6455" spans="1:2" x14ac:dyDescent="0.25">
      <c r="A6455">
        <f ca="1">26114.6359339301*((RANDBETWEEN(1620,2416)))</f>
        <v>53247742.669283576</v>
      </c>
      <c r="B6455">
        <v>154442206.48329446</v>
      </c>
    </row>
    <row r="6456" spans="1:2" x14ac:dyDescent="0.25">
      <c r="A6456">
        <f ca="1">27465.7574567788*((RANDBETWEEN(1620,2416)))</f>
        <v>55370967.032866113</v>
      </c>
      <c r="B6456">
        <v>159233033.60906154</v>
      </c>
    </row>
    <row r="6457" spans="1:2" x14ac:dyDescent="0.25">
      <c r="A6457">
        <f ca="1">27506.2722448554*((RANDBETWEEN(1620,2416)))</f>
        <v>51299197.736655347</v>
      </c>
      <c r="B6457">
        <v>200547394.2953026</v>
      </c>
    </row>
    <row r="6458" spans="1:2" x14ac:dyDescent="0.25">
      <c r="A6458">
        <f ca="1">31773.8703593212*((RANDBETWEEN(1620,2416)))</f>
        <v>74700369.214764133</v>
      </c>
      <c r="B6458">
        <v>179439653.17834228</v>
      </c>
    </row>
    <row r="6459" spans="1:2" x14ac:dyDescent="0.25">
      <c r="A6459">
        <f ca="1">29834.8124685487*((RANDBETWEEN(1620,2416)))</f>
        <v>55343577.129157908</v>
      </c>
      <c r="B6459">
        <v>186732167.55944636</v>
      </c>
    </row>
    <row r="6460" spans="1:2" x14ac:dyDescent="0.25">
      <c r="A6460">
        <f ca="1">27669.2693320995*((RANDBETWEEN(1620,2416)))</f>
        <v>62228186.727891818</v>
      </c>
      <c r="B6460">
        <v>160671825.82294145</v>
      </c>
    </row>
    <row r="6461" spans="1:2" x14ac:dyDescent="0.25">
      <c r="A6461">
        <f ca="1">29023.1319552594*((RANDBETWEEN(1620,2416)))</f>
        <v>56682176.708621614</v>
      </c>
      <c r="B6461">
        <v>191763165.24214119</v>
      </c>
    </row>
    <row r="6462" spans="1:2" x14ac:dyDescent="0.25">
      <c r="A6462">
        <f ca="1">28421.4774697924*((RANDBETWEEN(1620,2416)))</f>
        <v>62015663.839087039</v>
      </c>
      <c r="B6462">
        <v>179597407.5679414</v>
      </c>
    </row>
    <row r="6463" spans="1:2" x14ac:dyDescent="0.25">
      <c r="A6463">
        <f ca="1">26049.5766144536*((RANDBETWEEN(1620,2416)))</f>
        <v>48400113.349654764</v>
      </c>
      <c r="B6463">
        <v>163993671.99227205</v>
      </c>
    </row>
    <row r="6464" spans="1:2" x14ac:dyDescent="0.25">
      <c r="A6464">
        <f ca="1">26804.343755637*((RANDBETWEEN(1620,2416)))</f>
        <v>46827188.541097805</v>
      </c>
      <c r="B6464">
        <v>154832296.20271391</v>
      </c>
    </row>
    <row r="6465" spans="1:2" x14ac:dyDescent="0.25">
      <c r="A6465">
        <f ca="1">30848.1629150148*((RANDBETWEEN(1620,2416)))</f>
        <v>63516367.442015447</v>
      </c>
      <c r="B6465">
        <v>173828272.361433</v>
      </c>
    </row>
    <row r="6466" spans="1:2" x14ac:dyDescent="0.25">
      <c r="A6466">
        <f ca="1">26268.4482148673*((RANDBETWEEN(1620,2416)))</f>
        <v>54795982.976213284</v>
      </c>
      <c r="B6466">
        <v>163334516.61227727</v>
      </c>
    </row>
    <row r="6467" spans="1:2" x14ac:dyDescent="0.25">
      <c r="A6467">
        <f ca="1">28601.7932003189*((RANDBETWEEN(1620,2416)))</f>
        <v>63038352.213502847</v>
      </c>
      <c r="B6467">
        <v>179546179.38849369</v>
      </c>
    </row>
    <row r="6468" spans="1:2" x14ac:dyDescent="0.25">
      <c r="A6468">
        <f ca="1">27102.6307459182*((RANDBETWEEN(1620,2416)))</f>
        <v>46453909.098503843</v>
      </c>
      <c r="B6468">
        <v>158324482.06274709</v>
      </c>
    </row>
    <row r="6469" spans="1:2" x14ac:dyDescent="0.25">
      <c r="A6469">
        <f ca="1">33251.842882854*((RANDBETWEEN(1620,2416)))</f>
        <v>71956987.998496011</v>
      </c>
      <c r="B6469">
        <v>189041829.14883465</v>
      </c>
    </row>
    <row r="6470" spans="1:2" x14ac:dyDescent="0.25">
      <c r="A6470">
        <f ca="1">30831.0549070298*((RANDBETWEEN(1620,2416)))</f>
        <v>52320300.177229568</v>
      </c>
      <c r="B6470">
        <v>182191437.47593874</v>
      </c>
    </row>
    <row r="6471" spans="1:2" x14ac:dyDescent="0.25">
      <c r="A6471">
        <f ca="1">26884.384404629*((RANDBETWEEN(1620,2416)))</f>
        <v>54387109.650564544</v>
      </c>
      <c r="B6471">
        <v>186839592.64878127</v>
      </c>
    </row>
    <row r="6472" spans="1:2" x14ac:dyDescent="0.25">
      <c r="A6472">
        <f ca="1">30937.4789544131*((RANDBETWEEN(1620,2416)))</f>
        <v>67722141.431210175</v>
      </c>
      <c r="B6472">
        <v>160324128.24627608</v>
      </c>
    </row>
    <row r="6473" spans="1:2" x14ac:dyDescent="0.25">
      <c r="A6473">
        <f ca="1">26684.2778795565*((RANDBETWEEN(1620,2416)))</f>
        <v>62547947.349680409</v>
      </c>
      <c r="B6473">
        <v>170355889.28052062</v>
      </c>
    </row>
    <row r="6474" spans="1:2" x14ac:dyDescent="0.25">
      <c r="A6474">
        <f ca="1">28394.5872163995*((RANDBETWEEN(1620,2416)))</f>
        <v>61701438.021236204</v>
      </c>
      <c r="B6474">
        <v>164186195.64943168</v>
      </c>
    </row>
    <row r="6475" spans="1:2" x14ac:dyDescent="0.25">
      <c r="A6475">
        <f ca="1">27046.782030512*((RANDBETWEEN(1620,2416)))</f>
        <v>64885230.091198288</v>
      </c>
      <c r="B6475">
        <v>145318471.00012338</v>
      </c>
    </row>
    <row r="6476" spans="1:2" x14ac:dyDescent="0.25">
      <c r="A6476">
        <f ca="1">30678.2580997876*((RANDBETWEEN(1620,2416)))</f>
        <v>52367786.576337509</v>
      </c>
      <c r="B6476">
        <v>157794414.47450131</v>
      </c>
    </row>
    <row r="6477" spans="1:2" x14ac:dyDescent="0.25">
      <c r="A6477">
        <f ca="1">27319.8446981759*((RANDBETWEEN(1620,2416)))</f>
        <v>65485667.741527669</v>
      </c>
      <c r="B6477">
        <v>202487570.40469554</v>
      </c>
    </row>
    <row r="6478" spans="1:2" x14ac:dyDescent="0.25">
      <c r="A6478">
        <f ca="1">33254.6849241931*((RANDBETWEEN(1620,2416)))</f>
        <v>55335795.713857301</v>
      </c>
      <c r="B6478">
        <v>183060566.96841449</v>
      </c>
    </row>
    <row r="6479" spans="1:2" x14ac:dyDescent="0.25">
      <c r="A6479">
        <f ca="1">29298.9247443405*((RANDBETWEEN(1620,2416)))</f>
        <v>69790038.741018981</v>
      </c>
      <c r="B6479">
        <v>178265777.18187153</v>
      </c>
    </row>
    <row r="6480" spans="1:2" x14ac:dyDescent="0.25">
      <c r="A6480">
        <f ca="1">29622.0632267137*((RANDBETWEEN(1620,2416)))</f>
        <v>67864146.852401137</v>
      </c>
      <c r="B6480">
        <v>171470390.59927914</v>
      </c>
    </row>
    <row r="6481" spans="1:2" x14ac:dyDescent="0.25">
      <c r="A6481">
        <f ca="1">27398.3580739617*((RANDBETWEEN(1620,2416)))</f>
        <v>48659483.93935591</v>
      </c>
      <c r="B6481">
        <v>148840343.65282804</v>
      </c>
    </row>
    <row r="6482" spans="1:2" x14ac:dyDescent="0.25">
      <c r="A6482">
        <f ca="1">31495.1262320129*((RANDBETWEEN(1620,2416)))</f>
        <v>62580815.823009677</v>
      </c>
      <c r="B6482">
        <v>193832585.45527083</v>
      </c>
    </row>
    <row r="6483" spans="1:2" x14ac:dyDescent="0.25">
      <c r="A6483">
        <f ca="1">27929.9984245932*((RANDBETWEEN(1620,2416)))</f>
        <v>57954746.731030934</v>
      </c>
      <c r="B6483">
        <v>190861924.87760156</v>
      </c>
    </row>
    <row r="6484" spans="1:2" x14ac:dyDescent="0.25">
      <c r="A6484">
        <f ca="1">27972.0710555806*((RANDBETWEEN(1620,2416)))</f>
        <v>47888185.647154048</v>
      </c>
      <c r="B6484">
        <v>180788642.06163079</v>
      </c>
    </row>
    <row r="6485" spans="1:2" x14ac:dyDescent="0.25">
      <c r="A6485">
        <f ca="1">26355.8787584002*((RANDBETWEEN(1620,2416)))</f>
        <v>48732019.824281946</v>
      </c>
      <c r="B6485">
        <v>154550925.97477475</v>
      </c>
    </row>
    <row r="6486" spans="1:2" x14ac:dyDescent="0.25">
      <c r="A6486">
        <f ca="1">30519.5101719029*((RANDBETWEEN(1620,2416)))</f>
        <v>58261744.918162569</v>
      </c>
      <c r="B6486">
        <v>189771929.37509704</v>
      </c>
    </row>
    <row r="6487" spans="1:2" x14ac:dyDescent="0.25">
      <c r="A6487">
        <f ca="1">27614.4301419548*((RANDBETWEEN(1620,2416)))</f>
        <v>65749958.167994402</v>
      </c>
      <c r="B6487">
        <v>178153809.25960845</v>
      </c>
    </row>
    <row r="6488" spans="1:2" x14ac:dyDescent="0.25">
      <c r="A6488">
        <f ca="1">25603.0436624514*((RANDBETWEEN(1620,2416)))</f>
        <v>54944131.699620657</v>
      </c>
      <c r="B6488">
        <v>143874158.9496448</v>
      </c>
    </row>
    <row r="6489" spans="1:2" x14ac:dyDescent="0.25">
      <c r="A6489">
        <f ca="1">29820.2207572546*((RANDBETWEEN(1620,2416)))</f>
        <v>56539138.555754773</v>
      </c>
      <c r="B6489">
        <v>153525042.78999811</v>
      </c>
    </row>
    <row r="6490" spans="1:2" x14ac:dyDescent="0.25">
      <c r="A6490">
        <f ca="1">26377.9515953539*((RANDBETWEEN(1620,2416)))</f>
        <v>53784643.302926548</v>
      </c>
      <c r="B6490">
        <v>172216118.21344545</v>
      </c>
    </row>
    <row r="6491" spans="1:2" x14ac:dyDescent="0.25">
      <c r="A6491">
        <f ca="1">27151.1743231187*((RANDBETWEEN(1620,2416)))</f>
        <v>49252230.222137332</v>
      </c>
      <c r="B6491">
        <v>153585146.26979935</v>
      </c>
    </row>
    <row r="6492" spans="1:2" x14ac:dyDescent="0.25">
      <c r="A6492">
        <f ca="1">25634.3122195162*((RANDBETWEEN(1620,2416)))</f>
        <v>53319369.416593656</v>
      </c>
      <c r="B6492">
        <v>166279422.58385691</v>
      </c>
    </row>
    <row r="6493" spans="1:2" x14ac:dyDescent="0.25">
      <c r="A6493">
        <f ca="1">28107.777485517*((RANDBETWEEN(1620,2416)))</f>
        <v>57986344.952621661</v>
      </c>
      <c r="B6493">
        <v>172917249.69627529</v>
      </c>
    </row>
    <row r="6494" spans="1:2" x14ac:dyDescent="0.25">
      <c r="A6494">
        <f ca="1">29649.578250828*((RANDBETWEEN(1620,2416)))</f>
        <v>70150902.141458958</v>
      </c>
      <c r="B6494">
        <v>187393257.77258256</v>
      </c>
    </row>
    <row r="6495" spans="1:2" x14ac:dyDescent="0.25">
      <c r="A6495">
        <f ca="1">25565.3467943308*((RANDBETWEEN(1620,2416)))</f>
        <v>43077609.348447442</v>
      </c>
      <c r="B6495">
        <v>148222997.77464008</v>
      </c>
    </row>
    <row r="6496" spans="1:2" x14ac:dyDescent="0.25">
      <c r="A6496">
        <f ca="1">27006.7398089043*((RANDBETWEEN(1620,2416)))</f>
        <v>56822180.557934664</v>
      </c>
      <c r="B6496">
        <v>171251384.80171764</v>
      </c>
    </row>
    <row r="6497" spans="1:2" x14ac:dyDescent="0.25">
      <c r="A6497">
        <f ca="1">26655.5827861144*((RANDBETWEEN(1620,2416)))</f>
        <v>60801384.335126951</v>
      </c>
      <c r="B6497">
        <v>154019074.22112077</v>
      </c>
    </row>
    <row r="6498" spans="1:2" x14ac:dyDescent="0.25">
      <c r="A6498">
        <f ca="1">26627.5462087653*((RANDBETWEEN(1620,2416)))</f>
        <v>50113041.964896329</v>
      </c>
      <c r="B6498">
        <v>145722173.9410128</v>
      </c>
    </row>
    <row r="6499" spans="1:2" x14ac:dyDescent="0.25">
      <c r="A6499">
        <f ca="1">29810.4768709238*((RANDBETWEEN(1620,2416)))</f>
        <v>55536918.410531051</v>
      </c>
      <c r="B6499">
        <v>147663288.09655607</v>
      </c>
    </row>
    <row r="6500" spans="1:2" x14ac:dyDescent="0.25">
      <c r="A6500">
        <f ca="1">26590.9756538121*((RANDBETWEEN(1620,2416)))</f>
        <v>61371971.808998354</v>
      </c>
      <c r="B6500">
        <v>151654841.80045584</v>
      </c>
    </row>
    <row r="6501" spans="1:2" x14ac:dyDescent="0.25">
      <c r="A6501">
        <f ca="1">25851.9653968356*((RANDBETWEEN(1620,2416)))</f>
        <v>42552335.043191448</v>
      </c>
      <c r="B6501">
        <v>144911110.37906921</v>
      </c>
    </row>
    <row r="6502" spans="1:2" x14ac:dyDescent="0.25">
      <c r="A6502">
        <f ca="1">28459.1318378821*((RANDBETWEEN(1620,2416)))</f>
        <v>50429581.616727076</v>
      </c>
      <c r="B6502">
        <v>176097529.56555215</v>
      </c>
    </row>
    <row r="6503" spans="1:2" x14ac:dyDescent="0.25">
      <c r="A6503">
        <f ca="1">29073.0081152319*((RANDBETWEEN(1620,2416)))</f>
        <v>60035761.7579538</v>
      </c>
      <c r="B6503">
        <v>153125465.22767812</v>
      </c>
    </row>
    <row r="6504" spans="1:2" x14ac:dyDescent="0.25">
      <c r="A6504">
        <f ca="1">29660.260882869*((RANDBETWEEN(1620,2416)))</f>
        <v>68337241.074130222</v>
      </c>
      <c r="B6504">
        <v>169913318.64713368</v>
      </c>
    </row>
    <row r="6505" spans="1:2" x14ac:dyDescent="0.25">
      <c r="A6505">
        <f ca="1">30618.7019543129*((RANDBETWEEN(1620,2416)))</f>
        <v>59798324.916773163</v>
      </c>
      <c r="B6505">
        <v>202193193.9685913</v>
      </c>
    </row>
    <row r="6506" spans="1:2" x14ac:dyDescent="0.25">
      <c r="A6506">
        <f ca="1">27138.8467738329*((RANDBETWEEN(1620,2416)))</f>
        <v>55064720.104106881</v>
      </c>
      <c r="B6506">
        <v>164612259.59286621</v>
      </c>
    </row>
    <row r="6507" spans="1:2" x14ac:dyDescent="0.25">
      <c r="A6507">
        <f ca="1">26537.9953320466*((RANDBETWEEN(1620,2416)))</f>
        <v>61276231.221695602</v>
      </c>
      <c r="B6507">
        <v>148132127.05302984</v>
      </c>
    </row>
    <row r="6508" spans="1:2" x14ac:dyDescent="0.25">
      <c r="A6508">
        <f ca="1">33500.6276316119*((RANDBETWEEN(1620,2416)))</f>
        <v>70552321.792174563</v>
      </c>
      <c r="B6508">
        <v>185576048.06677976</v>
      </c>
    </row>
    <row r="6509" spans="1:2" x14ac:dyDescent="0.25">
      <c r="A6509">
        <f ca="1">27646.3305570026*((RANDBETWEEN(1620,2416)))</f>
        <v>52085686.769392975</v>
      </c>
      <c r="B6509">
        <v>196705125.00058404</v>
      </c>
    </row>
    <row r="6510" spans="1:2" x14ac:dyDescent="0.25">
      <c r="A6510">
        <f ca="1">25256.4269812249*((RANDBETWEEN(1620,2416)))</f>
        <v>50538110.38943094</v>
      </c>
      <c r="B6510">
        <v>200499941.67072403</v>
      </c>
    </row>
    <row r="6511" spans="1:2" x14ac:dyDescent="0.25">
      <c r="A6511">
        <f ca="1">25852.2173953309*((RANDBETWEEN(1620,2416)))</f>
        <v>42837124.22406324</v>
      </c>
      <c r="B6511">
        <v>186791388.46253616</v>
      </c>
    </row>
    <row r="6512" spans="1:2" x14ac:dyDescent="0.25">
      <c r="A6512">
        <f ca="1">25966.2561461155*((RANDBETWEEN(1620,2416)))</f>
        <v>44480196.778295889</v>
      </c>
      <c r="B6512">
        <v>152476119.79753053</v>
      </c>
    </row>
    <row r="6513" spans="1:2" x14ac:dyDescent="0.25">
      <c r="A6513">
        <f ca="1">29792.8660284236*((RANDBETWEEN(1620,2416)))</f>
        <v>70400542.425164998</v>
      </c>
      <c r="B6513">
        <v>144097028.91604412</v>
      </c>
    </row>
    <row r="6514" spans="1:2" x14ac:dyDescent="0.25">
      <c r="A6514">
        <f ca="1">29089.5706721032*((RANDBETWEEN(1620,2416)))</f>
        <v>61146277.552760936</v>
      </c>
      <c r="B6514">
        <v>159574059.60596299</v>
      </c>
    </row>
    <row r="6515" spans="1:2" x14ac:dyDescent="0.25">
      <c r="A6515">
        <f ca="1">30951.3963186731*((RANDBETWEEN(1620,2416)))</f>
        <v>52184054.19328291</v>
      </c>
      <c r="B6515">
        <v>164926892.60378206</v>
      </c>
    </row>
    <row r="6516" spans="1:2" x14ac:dyDescent="0.25">
      <c r="A6516">
        <f ca="1">29547.1033723067*((RANDBETWEEN(1620,2416)))</f>
        <v>47866307.463136777</v>
      </c>
      <c r="B6516">
        <v>198484467.47686946</v>
      </c>
    </row>
    <row r="6517" spans="1:2" x14ac:dyDescent="0.25">
      <c r="A6517">
        <f ca="1">28363.4462719524*((RANDBETWEEN(1620,2416)))</f>
        <v>54968358.875043795</v>
      </c>
      <c r="B6517">
        <v>145161365.76306868</v>
      </c>
    </row>
    <row r="6518" spans="1:2" x14ac:dyDescent="0.25">
      <c r="A6518">
        <f ca="1">25834.9335939996*((RANDBETWEEN(1620,2416)))</f>
        <v>44668600.184025288</v>
      </c>
      <c r="B6518">
        <v>147132965.92981648</v>
      </c>
    </row>
    <row r="6519" spans="1:2" x14ac:dyDescent="0.25">
      <c r="A6519">
        <f ca="1">28469.1399446034*((RANDBETWEEN(1620,2416)))</f>
        <v>48710698.445216447</v>
      </c>
      <c r="B6519">
        <v>180921054.71782649</v>
      </c>
    </row>
    <row r="6520" spans="1:2" x14ac:dyDescent="0.25">
      <c r="A6520">
        <f ca="1">27989.0214236766*((RANDBETWEEN(1620,2416)))</f>
        <v>56257933.061589874</v>
      </c>
      <c r="B6520">
        <v>180178347.98992574</v>
      </c>
    </row>
    <row r="6521" spans="1:2" x14ac:dyDescent="0.25">
      <c r="A6521">
        <f ca="1">27233.4144168864*((RANDBETWEEN(1620,2416)))</f>
        <v>62418985.84350352</v>
      </c>
      <c r="B6521">
        <v>156407170.99347007</v>
      </c>
    </row>
    <row r="6522" spans="1:2" x14ac:dyDescent="0.25">
      <c r="A6522">
        <f ca="1">26725.3247166509*((RANDBETWEEN(1620,2416)))</f>
        <v>47891781.892238393</v>
      </c>
      <c r="B6522">
        <v>181860889.98326802</v>
      </c>
    </row>
    <row r="6523" spans="1:2" x14ac:dyDescent="0.25">
      <c r="A6523">
        <f ca="1">29162.0140668605*((RANDBETWEEN(1620,2416)))</f>
        <v>59927938.907398313</v>
      </c>
      <c r="B6523">
        <v>160869678.68904635</v>
      </c>
    </row>
    <row r="6524" spans="1:2" x14ac:dyDescent="0.25">
      <c r="A6524">
        <f ca="1">29295.506942916*((RANDBETWEEN(1620,2416)))</f>
        <v>64274342.232757635</v>
      </c>
      <c r="B6524">
        <v>176534373.41354614</v>
      </c>
    </row>
    <row r="6525" spans="1:2" x14ac:dyDescent="0.25">
      <c r="A6525">
        <f ca="1">27964.5408407997*((RANDBETWEEN(1620,2416)))</f>
        <v>59256862.041654482</v>
      </c>
      <c r="B6525">
        <v>154621014.10397714</v>
      </c>
    </row>
    <row r="6526" spans="1:2" x14ac:dyDescent="0.25">
      <c r="A6526">
        <f ca="1">25984.8086871181*((RANDBETWEEN(1620,2416)))</f>
        <v>49968787.105328143</v>
      </c>
      <c r="B6526">
        <v>157363068.63226193</v>
      </c>
    </row>
    <row r="6527" spans="1:2" x14ac:dyDescent="0.25">
      <c r="A6527">
        <f ca="1">26539.5520593279*((RANDBETWEEN(1620,2416)))</f>
        <v>47771193.706790194</v>
      </c>
      <c r="B6527">
        <v>174835416.39082313</v>
      </c>
    </row>
    <row r="6528" spans="1:2" x14ac:dyDescent="0.25">
      <c r="A6528">
        <f ca="1">29954.461506085*((RANDBETWEEN(1620,2416)))</f>
        <v>51341947.021429673</v>
      </c>
      <c r="B6528">
        <v>154958304.81706226</v>
      </c>
    </row>
    <row r="6529" spans="1:2" x14ac:dyDescent="0.25">
      <c r="A6529">
        <f ca="1">33844.5658239605*((RANDBETWEEN(1620,2416)))</f>
        <v>80245465.568610385</v>
      </c>
      <c r="B6529">
        <v>203642940.63133049</v>
      </c>
    </row>
    <row r="6530" spans="1:2" x14ac:dyDescent="0.25">
      <c r="A6530">
        <f ca="1">29276.7241943593*((RANDBETWEEN(1620,2416)))</f>
        <v>56357694.074141696</v>
      </c>
      <c r="B6530">
        <v>162978410.48289394</v>
      </c>
    </row>
    <row r="6531" spans="1:2" x14ac:dyDescent="0.25">
      <c r="A6531">
        <f ca="1">26309.610880049*((RANDBETWEEN(1620,2416)))</f>
        <v>49961951.061213084</v>
      </c>
      <c r="B6531">
        <v>177219255.65526816</v>
      </c>
    </row>
    <row r="6532" spans="1:2" x14ac:dyDescent="0.25">
      <c r="A6532">
        <f ca="1">26006.5044593679*((RANDBETWEEN(1620,2416)))</f>
        <v>46707682.009024836</v>
      </c>
      <c r="B6532">
        <v>143224233.51173204</v>
      </c>
    </row>
    <row r="6533" spans="1:2" x14ac:dyDescent="0.25">
      <c r="A6533">
        <f ca="1">27687.5921008259*((RANDBETWEEN(1620,2416)))</f>
        <v>50668293.544511385</v>
      </c>
      <c r="B6533">
        <v>176149257.18106478</v>
      </c>
    </row>
    <row r="6534" spans="1:2" x14ac:dyDescent="0.25">
      <c r="A6534">
        <f ca="1">26686.5135576839*((RANDBETWEEN(1620,2416)))</f>
        <v>55934932.416905552</v>
      </c>
      <c r="B6534">
        <v>164042285.15140978</v>
      </c>
    </row>
    <row r="6535" spans="1:2" x14ac:dyDescent="0.25">
      <c r="A6535">
        <f ca="1">26976.7568023012*((RANDBETWEEN(1620,2416)))</f>
        <v>52658629.278092004</v>
      </c>
      <c r="B6535">
        <v>158538314.44130382</v>
      </c>
    </row>
    <row r="6536" spans="1:2" x14ac:dyDescent="0.25">
      <c r="A6536">
        <f ca="1">27201.0053624139*((RANDBETWEEN(1620,2416)))</f>
        <v>63187935.456887476</v>
      </c>
      <c r="B6536">
        <v>187230761.97489351</v>
      </c>
    </row>
    <row r="6537" spans="1:2" x14ac:dyDescent="0.25">
      <c r="A6537">
        <f ca="1">29071.3197239814*((RANDBETWEEN(1620,2416)))</f>
        <v>58113568.12823879</v>
      </c>
      <c r="B6537">
        <v>171689862.98546109</v>
      </c>
    </row>
    <row r="6538" spans="1:2" x14ac:dyDescent="0.25">
      <c r="A6538">
        <f ca="1">28003.3102368963*((RANDBETWEEN(1620,2416)))</f>
        <v>64715649.957467288</v>
      </c>
      <c r="B6538">
        <v>168018425.67184156</v>
      </c>
    </row>
    <row r="6539" spans="1:2" x14ac:dyDescent="0.25">
      <c r="A6539">
        <f ca="1">32004.0614505556*((RANDBETWEEN(1620,2416)))</f>
        <v>70088894.576716661</v>
      </c>
      <c r="B6539">
        <v>147941123.87252709</v>
      </c>
    </row>
    <row r="6540" spans="1:2" x14ac:dyDescent="0.25">
      <c r="A6540">
        <f ca="1">26379.5812419143*((RANDBETWEEN(1620,2416)))</f>
        <v>61912877.174772948</v>
      </c>
      <c r="B6540">
        <v>148620192.71841884</v>
      </c>
    </row>
    <row r="6541" spans="1:2" x14ac:dyDescent="0.25">
      <c r="A6541">
        <f ca="1">29152.6627760484*((RANDBETWEEN(1620,2416)))</f>
        <v>56322944.483325459</v>
      </c>
      <c r="B6541">
        <v>201963186.81121162</v>
      </c>
    </row>
    <row r="6542" spans="1:2" x14ac:dyDescent="0.25">
      <c r="A6542">
        <f ca="1">28297.4363277699*((RANDBETWEEN(1620,2416)))</f>
        <v>56000626.492656611</v>
      </c>
      <c r="B6542">
        <v>174832569.1439032</v>
      </c>
    </row>
    <row r="6543" spans="1:2" x14ac:dyDescent="0.25">
      <c r="A6543">
        <f ca="1">25448.8621683637*((RANDBETWEEN(1620,2416)))</f>
        <v>50515991.404202029</v>
      </c>
      <c r="B6543">
        <v>162233334.17274398</v>
      </c>
    </row>
    <row r="6544" spans="1:2" x14ac:dyDescent="0.25">
      <c r="A6544">
        <f ca="1">28499.238821133*((RANDBETWEEN(1620,2416)))</f>
        <v>66118234.065028563</v>
      </c>
      <c r="B6544">
        <v>197613830.6133382</v>
      </c>
    </row>
    <row r="6545" spans="1:2" x14ac:dyDescent="0.25">
      <c r="A6545">
        <f ca="1">25976.2913946548*((RANDBETWEEN(1620,2416)))</f>
        <v>43458335.503257513</v>
      </c>
      <c r="B6545">
        <v>177027378.50008979</v>
      </c>
    </row>
    <row r="6546" spans="1:2" x14ac:dyDescent="0.25">
      <c r="A6546">
        <f ca="1">26196.5930054756*((RANDBETWEEN(1620,2416)))</f>
        <v>61457207.190845869</v>
      </c>
      <c r="B6546">
        <v>169230438.27319497</v>
      </c>
    </row>
    <row r="6547" spans="1:2" x14ac:dyDescent="0.25">
      <c r="A6547">
        <f ca="1">27856.2019473478*((RANDBETWEEN(1620,2416)))</f>
        <v>62899303.997111328</v>
      </c>
      <c r="B6547">
        <v>154248806.94873428</v>
      </c>
    </row>
    <row r="6548" spans="1:2" x14ac:dyDescent="0.25">
      <c r="A6548">
        <f ca="1">28289.0708305956*((RANDBETWEEN(1620,2416)))</f>
        <v>53409765.728164509</v>
      </c>
      <c r="B6548">
        <v>167576101.19101688</v>
      </c>
    </row>
    <row r="6549" spans="1:2" x14ac:dyDescent="0.25">
      <c r="A6549">
        <f ca="1">27507.1232101338*((RANDBETWEEN(1620,2416)))</f>
        <v>48935172.190828025</v>
      </c>
      <c r="B6549">
        <v>182008182.62127179</v>
      </c>
    </row>
    <row r="6550" spans="1:2" x14ac:dyDescent="0.25">
      <c r="A6550">
        <f ca="1">26040.6473856291*((RANDBETWEEN(1620,2416)))</f>
        <v>62211106.604267977</v>
      </c>
      <c r="B6550">
        <v>188336197.99577951</v>
      </c>
    </row>
    <row r="6551" spans="1:2" x14ac:dyDescent="0.25">
      <c r="A6551">
        <f ca="1">30223.9378475123*((RANDBETWEEN(1620,2416)))</f>
        <v>51592261.905703418</v>
      </c>
      <c r="B6551">
        <v>154858571.68087333</v>
      </c>
    </row>
    <row r="6552" spans="1:2" x14ac:dyDescent="0.25">
      <c r="A6552">
        <f ca="1">27150.2677707533*((RANDBETWEEN(1620,2416)))</f>
        <v>45259496.373845674</v>
      </c>
      <c r="B6552">
        <v>144437892.38279688</v>
      </c>
    </row>
    <row r="6553" spans="1:2" x14ac:dyDescent="0.25">
      <c r="A6553">
        <f ca="1">29433.4030859592*((RANDBETWEEN(1620,2416)))</f>
        <v>54569529.321368419</v>
      </c>
      <c r="B6553">
        <v>146373752.7840268</v>
      </c>
    </row>
    <row r="6554" spans="1:2" x14ac:dyDescent="0.25">
      <c r="A6554">
        <f ca="1">26834.0826195275*((RANDBETWEEN(1620,2416)))</f>
        <v>47093814.997270726</v>
      </c>
      <c r="B6554">
        <v>167392980.76706886</v>
      </c>
    </row>
    <row r="6555" spans="1:2" x14ac:dyDescent="0.25">
      <c r="A6555">
        <f ca="1">28239.2453736857*((RANDBETWEEN(1620,2416)))</f>
        <v>49390440.158576295</v>
      </c>
      <c r="B6555">
        <v>149808399.33129004</v>
      </c>
    </row>
    <row r="6556" spans="1:2" x14ac:dyDescent="0.25">
      <c r="A6556">
        <f ca="1">32862.9014096165*((RANDBETWEEN(1620,2416)))</f>
        <v>60894956.312019318</v>
      </c>
      <c r="B6556">
        <v>175751204.00263074</v>
      </c>
    </row>
    <row r="6557" spans="1:2" x14ac:dyDescent="0.25">
      <c r="A6557">
        <f ca="1">29380.0558765152*((RANDBETWEEN(1620,2416)))</f>
        <v>57702429.74147591</v>
      </c>
      <c r="B6557">
        <v>159739779.46208134</v>
      </c>
    </row>
    <row r="6558" spans="1:2" x14ac:dyDescent="0.25">
      <c r="A6558">
        <f ca="1">26513.8498124031*((RANDBETWEEN(1620,2416)))</f>
        <v>55148807.609798469</v>
      </c>
      <c r="B6558">
        <v>145071702.17794064</v>
      </c>
    </row>
    <row r="6559" spans="1:2" x14ac:dyDescent="0.25">
      <c r="A6559">
        <f ca="1">28034.1261968715*((RANDBETWEEN(1620,2416)))</f>
        <v>49760573.999446906</v>
      </c>
      <c r="B6559">
        <v>164929151.69761404</v>
      </c>
    </row>
    <row r="6560" spans="1:2" x14ac:dyDescent="0.25">
      <c r="A6560">
        <f ca="1">30081.8650036959*((RANDBETWEEN(1620,2416)))</f>
        <v>60554794.252439924</v>
      </c>
      <c r="B6560">
        <v>153877418.73211151</v>
      </c>
    </row>
    <row r="6561" spans="1:2" x14ac:dyDescent="0.25">
      <c r="A6561">
        <f ca="1">26332.0698673054*((RANDBETWEEN(1620,2416)))</f>
        <v>46923748.503538288</v>
      </c>
      <c r="B6561">
        <v>151480887.81727323</v>
      </c>
    </row>
    <row r="6562" spans="1:2" x14ac:dyDescent="0.25">
      <c r="A6562">
        <f ca="1">28247.3325114698*((RANDBETWEEN(1620,2416)))</f>
        <v>63302272.158203885</v>
      </c>
      <c r="B6562">
        <v>147884050.86111802</v>
      </c>
    </row>
    <row r="6563" spans="1:2" x14ac:dyDescent="0.25">
      <c r="A6563">
        <f ca="1">25886.1992308756*((RANDBETWEEN(1620,2416)))</f>
        <v>44317173.083258964</v>
      </c>
      <c r="B6563">
        <v>147996884.25359097</v>
      </c>
    </row>
    <row r="6564" spans="1:2" x14ac:dyDescent="0.25">
      <c r="A6564">
        <f ca="1">27788.0181870369*((RANDBETWEEN(1620,2416)))</f>
        <v>52463778.337125652</v>
      </c>
      <c r="B6564">
        <v>167091184.02558485</v>
      </c>
    </row>
    <row r="6565" spans="1:2" x14ac:dyDescent="0.25">
      <c r="A6565">
        <f ca="1">28145.0669191478*((RANDBETWEEN(1620,2416)))</f>
        <v>66169052.326916471</v>
      </c>
      <c r="B6565">
        <v>154372968.47156879</v>
      </c>
    </row>
    <row r="6566" spans="1:2" x14ac:dyDescent="0.25">
      <c r="A6566">
        <f ca="1">28187.1139927279*((RANDBETWEEN(1620,2416)))</f>
        <v>48538210.295477368</v>
      </c>
      <c r="B6566">
        <v>145515822.66757125</v>
      </c>
    </row>
    <row r="6567" spans="1:2" x14ac:dyDescent="0.25">
      <c r="A6567">
        <f ca="1">27795.0313308878*((RANDBETWEEN(1620,2416)))</f>
        <v>63178106.215107888</v>
      </c>
      <c r="B6567">
        <v>154736923.25453535</v>
      </c>
    </row>
    <row r="6568" spans="1:2" x14ac:dyDescent="0.25">
      <c r="A6568">
        <f ca="1">29584.5229392471*((RANDBETWEEN(1620,2416)))</f>
        <v>65766394.493946403</v>
      </c>
      <c r="B6568">
        <v>150074180.19486484</v>
      </c>
    </row>
    <row r="6569" spans="1:2" x14ac:dyDescent="0.25">
      <c r="A6569">
        <f ca="1">25805.0876444197*((RANDBETWEEN(1620,2416)))</f>
        <v>43868648.995513536</v>
      </c>
      <c r="B6569">
        <v>144079207.68208122</v>
      </c>
    </row>
    <row r="6570" spans="1:2" x14ac:dyDescent="0.25">
      <c r="A6570">
        <f ca="1">35399.2930226138*((RANDBETWEEN(1620,2416)))</f>
        <v>58515031.366380557</v>
      </c>
      <c r="B6570">
        <v>153051815.51789677</v>
      </c>
    </row>
    <row r="6571" spans="1:2" x14ac:dyDescent="0.25">
      <c r="A6571">
        <f ca="1">28411.0222882881*((RANDBETWEEN(1620,2416)))</f>
        <v>50344331.494846463</v>
      </c>
      <c r="B6571">
        <v>168463577.42148608</v>
      </c>
    </row>
    <row r="6572" spans="1:2" x14ac:dyDescent="0.25">
      <c r="A6572">
        <f ca="1">31374.1771451006*((RANDBETWEEN(1620,2416)))</f>
        <v>72725342.622343153</v>
      </c>
      <c r="B6572">
        <v>182600519.22143289</v>
      </c>
    </row>
    <row r="6573" spans="1:2" x14ac:dyDescent="0.25">
      <c r="A6573">
        <f ca="1">28399.5756684932*((RANDBETWEEN(1620,2416)))</f>
        <v>48790470.998471245</v>
      </c>
      <c r="B6573">
        <v>179886189.85399884</v>
      </c>
    </row>
    <row r="6574" spans="1:2" x14ac:dyDescent="0.25">
      <c r="A6574">
        <f ca="1">27810.6442002943*((RANDBETWEEN(1620,2416)))</f>
        <v>53146141.066762492</v>
      </c>
      <c r="B6574">
        <v>173161822.98000094</v>
      </c>
    </row>
    <row r="6575" spans="1:2" x14ac:dyDescent="0.25">
      <c r="A6575">
        <f ca="1">26944.2957484208*((RANDBETWEEN(1620,2416)))</f>
        <v>57822458.676111117</v>
      </c>
      <c r="B6575">
        <v>155065617.87169451</v>
      </c>
    </row>
    <row r="6576" spans="1:2" x14ac:dyDescent="0.25">
      <c r="A6576">
        <f ca="1">34357.2962025592*((RANDBETWEEN(1620,2416)))</f>
        <v>79399711.524114445</v>
      </c>
      <c r="B6576">
        <v>153790163.28210932</v>
      </c>
    </row>
    <row r="6577" spans="1:2" x14ac:dyDescent="0.25">
      <c r="A6577">
        <f ca="1">26882.6719331803*((RANDBETWEEN(1620,2416)))</f>
        <v>57098795.186074942</v>
      </c>
      <c r="B6577">
        <v>170286912.25181678</v>
      </c>
    </row>
    <row r="6578" spans="1:2" x14ac:dyDescent="0.25">
      <c r="A6578">
        <f ca="1">27984.4539328227*((RANDBETWEEN(1620,2416)))</f>
        <v>51323488.512796894</v>
      </c>
      <c r="B6578">
        <v>168234780.43256563</v>
      </c>
    </row>
    <row r="6579" spans="1:2" x14ac:dyDescent="0.25">
      <c r="A6579">
        <f ca="1">34111.9312693628*((RANDBETWEEN(1620,2416)))</f>
        <v>78866785.0947669</v>
      </c>
      <c r="B6579">
        <v>157753598.14141908</v>
      </c>
    </row>
    <row r="6580" spans="1:2" x14ac:dyDescent="0.25">
      <c r="A6580">
        <f ca="1">29499.9586791442*((RANDBETWEEN(1620,2416)))</f>
        <v>56816920.416031696</v>
      </c>
      <c r="B6580">
        <v>176295876.0680123</v>
      </c>
    </row>
    <row r="6581" spans="1:2" x14ac:dyDescent="0.25">
      <c r="A6581">
        <f ca="1">26167.4257985761*((RANDBETWEEN(1620,2416)))</f>
        <v>57463667.053673051</v>
      </c>
      <c r="B6581">
        <v>145773303.05349424</v>
      </c>
    </row>
    <row r="6582" spans="1:2" x14ac:dyDescent="0.25">
      <c r="A6582">
        <f ca="1">28329.7858238482*((RANDBETWEEN(1620,2416)))</f>
        <v>63628698.960363105</v>
      </c>
      <c r="B6582">
        <v>156204281.19085237</v>
      </c>
    </row>
    <row r="6583" spans="1:2" x14ac:dyDescent="0.25">
      <c r="A6583">
        <f ca="1">29912.8073756052*((RANDBETWEEN(1620,2416)))</f>
        <v>57552241.390664481</v>
      </c>
      <c r="B6583">
        <v>145064637.77696258</v>
      </c>
    </row>
    <row r="6584" spans="1:2" x14ac:dyDescent="0.25">
      <c r="A6584">
        <f ca="1">31417.001068651*((RANDBETWEEN(1620,2416)))</f>
        <v>71442260.430112273</v>
      </c>
      <c r="B6584">
        <v>162033134.76400968</v>
      </c>
    </row>
    <row r="6585" spans="1:2" x14ac:dyDescent="0.25">
      <c r="A6585">
        <f ca="1">29122.196687862*((RANDBETWEEN(1620,2416)))</f>
        <v>64476543.46692656</v>
      </c>
      <c r="B6585">
        <v>165611978.71515787</v>
      </c>
    </row>
    <row r="6586" spans="1:2" x14ac:dyDescent="0.25">
      <c r="A6586">
        <f ca="1">31980.3615901574*((RANDBETWEEN(1620,2416)))</f>
        <v>76752867.816377714</v>
      </c>
      <c r="B6586">
        <v>146867940.61131409</v>
      </c>
    </row>
    <row r="6587" spans="1:2" x14ac:dyDescent="0.25">
      <c r="A6587">
        <f ca="1">27739.5942300606*((RANDBETWEEN(1620,2416)))</f>
        <v>51928520.398673519</v>
      </c>
      <c r="B6587">
        <v>159737533.80194971</v>
      </c>
    </row>
    <row r="6588" spans="1:2" x14ac:dyDescent="0.25">
      <c r="A6588">
        <f ca="1">35022.8844326472*((RANDBETWEEN(1620,2416)))</f>
        <v>78661398.435725555</v>
      </c>
      <c r="B6588">
        <v>164235168.35975376</v>
      </c>
    </row>
    <row r="6589" spans="1:2" x14ac:dyDescent="0.25">
      <c r="A6589">
        <f ca="1">30049.4386159573*((RANDBETWEEN(1620,2416)))</f>
        <v>58596405.301116727</v>
      </c>
      <c r="B6589">
        <v>186174082.10987061</v>
      </c>
    </row>
    <row r="6590" spans="1:2" x14ac:dyDescent="0.25">
      <c r="A6590">
        <f ca="1">28851.334952338*((RANDBETWEEN(1620,2416)))</f>
        <v>57962331.919247054</v>
      </c>
      <c r="B6590">
        <v>169030474.5620054</v>
      </c>
    </row>
    <row r="6591" spans="1:2" x14ac:dyDescent="0.25">
      <c r="A6591">
        <f ca="1">26064.816004408*((RANDBETWEEN(1620,2416)))</f>
        <v>44049539.047449566</v>
      </c>
      <c r="B6591">
        <v>180580065.06982708</v>
      </c>
    </row>
    <row r="6592" spans="1:2" x14ac:dyDescent="0.25">
      <c r="A6592">
        <f ca="1">29334.2670337631*((RANDBETWEEN(1620,2416)))</f>
        <v>53769711.472887807</v>
      </c>
      <c r="B6592">
        <v>159167723.08594495</v>
      </c>
    </row>
    <row r="6593" spans="1:2" x14ac:dyDescent="0.25">
      <c r="A6593">
        <f ca="1">28822.2800222039*((RANDBETWEEN(1620,2416)))</f>
        <v>60699721.72676146</v>
      </c>
      <c r="B6593">
        <v>158013223.7475003</v>
      </c>
    </row>
    <row r="6594" spans="1:2" x14ac:dyDescent="0.25">
      <c r="A6594">
        <f ca="1">27671.531933688*((RANDBETWEEN(1620,2416)))</f>
        <v>62842049.021405444</v>
      </c>
      <c r="B6594">
        <v>157568039.61069691</v>
      </c>
    </row>
    <row r="6595" spans="1:2" x14ac:dyDescent="0.25">
      <c r="A6595">
        <f ca="1">32277.8027684513*((RANDBETWEEN(1620,2416)))</f>
        <v>58648767.630276062</v>
      </c>
      <c r="B6595">
        <v>174758584.70624059</v>
      </c>
    </row>
    <row r="6596" spans="1:2" x14ac:dyDescent="0.25">
      <c r="A6596">
        <f ca="1">29240.3167391167*((RANDBETWEEN(1620,2416)))</f>
        <v>54854834.202582866</v>
      </c>
      <c r="B6596">
        <v>155337879.02993435</v>
      </c>
    </row>
    <row r="6597" spans="1:2" x14ac:dyDescent="0.25">
      <c r="A6597">
        <f ca="1">25921.4933738738*((RANDBETWEEN(1620,2416)))</f>
        <v>55135016.406229474</v>
      </c>
      <c r="B6597">
        <v>151295265.3158409</v>
      </c>
    </row>
    <row r="6598" spans="1:2" x14ac:dyDescent="0.25">
      <c r="A6598">
        <f ca="1">28555.7606424711*((RANDBETWEEN(1620,2416)))</f>
        <v>51971484.369297408</v>
      </c>
      <c r="B6598">
        <v>183481958.03163326</v>
      </c>
    </row>
    <row r="6599" spans="1:2" x14ac:dyDescent="0.25">
      <c r="A6599">
        <f ca="1">26903.7893027*((RANDBETWEEN(1620,2416)))</f>
        <v>61098505.506431684</v>
      </c>
      <c r="B6599">
        <v>155594472.55001575</v>
      </c>
    </row>
    <row r="6600" spans="1:2" x14ac:dyDescent="0.25">
      <c r="A6600">
        <f ca="1">26713.9240592139*((RANDBETWEEN(1620,2416)))</f>
        <v>46936364.572038785</v>
      </c>
      <c r="B6600">
        <v>156063510.65922821</v>
      </c>
    </row>
    <row r="6601" spans="1:2" x14ac:dyDescent="0.25">
      <c r="A6601">
        <f ca="1">27636.2513398168*((RANDBETWEEN(1620,2416)))</f>
        <v>64199011.862394392</v>
      </c>
      <c r="B6601">
        <v>163969276.66289586</v>
      </c>
    </row>
    <row r="6602" spans="1:2" x14ac:dyDescent="0.25">
      <c r="A6602">
        <f ca="1">31118.97231776*((RANDBETWEEN(1620,2416)))</f>
        <v>60090735.545594521</v>
      </c>
      <c r="B6602">
        <v>147585141.38979355</v>
      </c>
    </row>
    <row r="6603" spans="1:2" x14ac:dyDescent="0.25">
      <c r="A6603">
        <f ca="1">28485.492532457*((RANDBETWEEN(1620,2416)))</f>
        <v>49963553.901929609</v>
      </c>
      <c r="B6603">
        <v>158264551.13299471</v>
      </c>
    </row>
    <row r="6604" spans="1:2" x14ac:dyDescent="0.25">
      <c r="A6604">
        <f ca="1">30993.2911939981*((RANDBETWEEN(1620,2416)))</f>
        <v>66449616.319931932</v>
      </c>
      <c r="B6604">
        <v>174428681.07924792</v>
      </c>
    </row>
    <row r="6605" spans="1:2" x14ac:dyDescent="0.25">
      <c r="A6605">
        <f ca="1">25610.1194545855*((RANDBETWEEN(1620,2416)))</f>
        <v>43614033.431159146</v>
      </c>
      <c r="B6605">
        <v>145349793.00922024</v>
      </c>
    </row>
    <row r="6606" spans="1:2" x14ac:dyDescent="0.25">
      <c r="A6606">
        <f ca="1">28566.0454454289*((RANDBETWEEN(1620,2416)))</f>
        <v>57074958.799966924</v>
      </c>
      <c r="B6606">
        <v>163662873.28037697</v>
      </c>
    </row>
    <row r="6607" spans="1:2" x14ac:dyDescent="0.25">
      <c r="A6607">
        <f ca="1">31313.6713779062*((RANDBETWEEN(1620,2416)))</f>
        <v>75528575.3635097</v>
      </c>
      <c r="B6607">
        <v>168641395.18467653</v>
      </c>
    </row>
    <row r="6608" spans="1:2" x14ac:dyDescent="0.25">
      <c r="A6608">
        <f ca="1">27042.336342348*((RANDBETWEEN(1620,2416)))</f>
        <v>52651428.858551636</v>
      </c>
      <c r="B6608">
        <v>145643720.9283323</v>
      </c>
    </row>
    <row r="6609" spans="1:2" x14ac:dyDescent="0.25">
      <c r="A6609">
        <f ca="1">27351.8492163621*((RANDBETWEEN(1620,2416)))</f>
        <v>56372161.234922372</v>
      </c>
      <c r="B6609">
        <v>198536220.75006464</v>
      </c>
    </row>
    <row r="6610" spans="1:2" x14ac:dyDescent="0.25">
      <c r="A6610">
        <f ca="1">26757.1436958398*((RANDBETWEEN(1620,2416)))</f>
        <v>48216372.939903289</v>
      </c>
      <c r="B6610">
        <v>175198200.94112492</v>
      </c>
    </row>
    <row r="6611" spans="1:2" x14ac:dyDescent="0.25">
      <c r="A6611">
        <f ca="1">26015.7385406755*((RANDBETWEEN(1620,2416)))</f>
        <v>49091698.626254737</v>
      </c>
      <c r="B6611">
        <v>176090412.35667261</v>
      </c>
    </row>
    <row r="6612" spans="1:2" x14ac:dyDescent="0.25">
      <c r="A6612">
        <f ca="1">29967.9852286828*((RANDBETWEEN(1620,2416)))</f>
        <v>55260964.761691049</v>
      </c>
      <c r="B6612">
        <v>169223529.44418919</v>
      </c>
    </row>
    <row r="6613" spans="1:2" x14ac:dyDescent="0.25">
      <c r="A6613">
        <f ca="1">27102.6585694896*((RANDBETWEEN(1620,2416)))</f>
        <v>50410944.939250655</v>
      </c>
      <c r="B6613">
        <v>164591637.88154265</v>
      </c>
    </row>
    <row r="6614" spans="1:2" x14ac:dyDescent="0.25">
      <c r="A6614">
        <f ca="1">28277.9102914508*((RANDBETWEEN(1620,2416)))</f>
        <v>63766687.707221627</v>
      </c>
      <c r="B6614">
        <v>173040561.43529528</v>
      </c>
    </row>
    <row r="6615" spans="1:2" x14ac:dyDescent="0.25">
      <c r="A6615">
        <f ca="1">26466.6944663322*((RANDBETWEEN(1620,2416)))</f>
        <v>47057782.761138581</v>
      </c>
      <c r="B6615">
        <v>193400345.72265378</v>
      </c>
    </row>
    <row r="6616" spans="1:2" x14ac:dyDescent="0.25">
      <c r="A6616">
        <f ca="1">25469.985765704*((RANDBETWEEN(1620,2416)))</f>
        <v>46890243.794661038</v>
      </c>
      <c r="B6616">
        <v>202923124.87863755</v>
      </c>
    </row>
    <row r="6617" spans="1:2" x14ac:dyDescent="0.25">
      <c r="A6617">
        <f ca="1">27833.2056839612*((RANDBETWEEN(1620,2416)))</f>
        <v>49877104.585658543</v>
      </c>
      <c r="B6617">
        <v>186667042.31079271</v>
      </c>
    </row>
    <row r="6618" spans="1:2" x14ac:dyDescent="0.25">
      <c r="A6618">
        <f ca="1">26398.2723541043*((RANDBETWEEN(1620,2416)))</f>
        <v>48757609.038030699</v>
      </c>
      <c r="B6618">
        <v>166435711.76050118</v>
      </c>
    </row>
    <row r="6619" spans="1:2" x14ac:dyDescent="0.25">
      <c r="A6619">
        <f ca="1">26287.6414942861*((RANDBETWEEN(1620,2416)))</f>
        <v>47028590.633277744</v>
      </c>
      <c r="B6619">
        <v>150224044.12799779</v>
      </c>
    </row>
    <row r="6620" spans="1:2" x14ac:dyDescent="0.25">
      <c r="A6620">
        <f ca="1">27724.8571623337*((RANDBETWEEN(1620,2416)))</f>
        <v>64460292.90242593</v>
      </c>
      <c r="B6620">
        <v>163235127.85512188</v>
      </c>
    </row>
    <row r="6621" spans="1:2" x14ac:dyDescent="0.25">
      <c r="A6621">
        <f ca="1">25908.3630637777*((RANDBETWEEN(1620,2416)))</f>
        <v>59744685.225071281</v>
      </c>
      <c r="B6621">
        <v>146150079.22238645</v>
      </c>
    </row>
    <row r="6622" spans="1:2" x14ac:dyDescent="0.25">
      <c r="A6622">
        <f ca="1">28711.092292956*((RANDBETWEEN(1620,2416)))</f>
        <v>48665301.436560482</v>
      </c>
      <c r="B6622">
        <v>192508436.02645761</v>
      </c>
    </row>
    <row r="6623" spans="1:2" x14ac:dyDescent="0.25">
      <c r="A6623">
        <f ca="1">26559.1857761769*((RANDBETWEEN(1620,2416)))</f>
        <v>62600000.874448873</v>
      </c>
      <c r="B6623">
        <v>190717260.86818007</v>
      </c>
    </row>
    <row r="6624" spans="1:2" x14ac:dyDescent="0.25">
      <c r="A6624">
        <f ca="1">26398.7118529249*((RANDBETWEEN(1620,2416)))</f>
        <v>49365591.164969645</v>
      </c>
      <c r="B6624">
        <v>146881128.95486367</v>
      </c>
    </row>
    <row r="6625" spans="1:2" x14ac:dyDescent="0.25">
      <c r="A6625">
        <f ca="1">25868.6795923566*((RANDBETWEEN(1620,2416)))</f>
        <v>46020380.994802408</v>
      </c>
      <c r="B6625">
        <v>150520345.6407125</v>
      </c>
    </row>
    <row r="6626" spans="1:2" x14ac:dyDescent="0.25">
      <c r="A6626">
        <f ca="1">27566.6521737969*((RANDBETWEEN(1620,2416)))</f>
        <v>54278738.130206093</v>
      </c>
      <c r="B6626">
        <v>185660233.39133102</v>
      </c>
    </row>
    <row r="6627" spans="1:2" x14ac:dyDescent="0.25">
      <c r="A6627">
        <f ca="1">31187.058906744*((RANDBETWEEN(1620,2416)))</f>
        <v>64900269.584934242</v>
      </c>
      <c r="B6627">
        <v>173509137.13921282</v>
      </c>
    </row>
    <row r="6628" spans="1:2" x14ac:dyDescent="0.25">
      <c r="A6628">
        <f ca="1">27434.5070729992*((RANDBETWEEN(1620,2416)))</f>
        <v>46995310.616047584</v>
      </c>
      <c r="B6628">
        <v>189380576.68577117</v>
      </c>
    </row>
    <row r="6629" spans="1:2" x14ac:dyDescent="0.25">
      <c r="A6629">
        <f ca="1">25951.5553815367*((RANDBETWEEN(1620,2416)))</f>
        <v>57404840.503959179</v>
      </c>
      <c r="B6629">
        <v>166645068.83217609</v>
      </c>
    </row>
    <row r="6630" spans="1:2" x14ac:dyDescent="0.25">
      <c r="A6630">
        <f ca="1">29475.4188468866*((RANDBETWEEN(1620,2416)))</f>
        <v>58773985.180691943</v>
      </c>
      <c r="B6630">
        <v>179286349.66477364</v>
      </c>
    </row>
    <row r="6631" spans="1:2" x14ac:dyDescent="0.25">
      <c r="A6631">
        <f ca="1">28020.7248247956*((RANDBETWEEN(1620,2416)))</f>
        <v>55705200.951693736</v>
      </c>
      <c r="B6631">
        <v>165148708.34551245</v>
      </c>
    </row>
    <row r="6632" spans="1:2" x14ac:dyDescent="0.25">
      <c r="A6632">
        <f ca="1">28350.7145863061*((RANDBETWEEN(1620,2416)))</f>
        <v>54490073.434880383</v>
      </c>
      <c r="B6632">
        <v>180456084.77142596</v>
      </c>
    </row>
    <row r="6633" spans="1:2" x14ac:dyDescent="0.25">
      <c r="A6633">
        <f ca="1">25962.755858254*((RANDBETWEEN(1620,2416)))</f>
        <v>43461653.306717232</v>
      </c>
      <c r="B6633">
        <v>146536785.09576353</v>
      </c>
    </row>
    <row r="6634" spans="1:2" x14ac:dyDescent="0.25">
      <c r="A6634">
        <f ca="1">27354.8905657688*((RANDBETWEEN(1620,2416)))</f>
        <v>60235469.025822915</v>
      </c>
      <c r="B6634">
        <v>173961644.93298805</v>
      </c>
    </row>
    <row r="6635" spans="1:2" x14ac:dyDescent="0.25">
      <c r="A6635">
        <f ca="1">25622.6706978911*((RANDBETWEEN(1620,2416)))</f>
        <v>44173484.283164233</v>
      </c>
      <c r="B6635">
        <v>148848723.82165188</v>
      </c>
    </row>
    <row r="6636" spans="1:2" x14ac:dyDescent="0.25">
      <c r="A6636">
        <f ca="1">29370.059828208*((RANDBETWEEN(1620,2416)))</f>
        <v>59004450.194869891</v>
      </c>
      <c r="B6636">
        <v>149044134.81127191</v>
      </c>
    </row>
    <row r="6637" spans="1:2" x14ac:dyDescent="0.25">
      <c r="A6637">
        <f ca="1">27458.6814063789*((RANDBETWEEN(1620,2416)))</f>
        <v>51924366.539462537</v>
      </c>
      <c r="B6637">
        <v>151362162.29377806</v>
      </c>
    </row>
    <row r="6638" spans="1:2" x14ac:dyDescent="0.25">
      <c r="A6638">
        <f ca="1">28356.9733957792*((RANDBETWEEN(1620,2416)))</f>
        <v>58642220.982471414</v>
      </c>
      <c r="B6638">
        <v>167984493.75296125</v>
      </c>
    </row>
    <row r="6639" spans="1:2" x14ac:dyDescent="0.25">
      <c r="A6639">
        <f ca="1">25485.3764632321*((RANDBETWEEN(1620,2416)))</f>
        <v>46026589.892597154</v>
      </c>
      <c r="B6639">
        <v>145172920.38676751</v>
      </c>
    </row>
    <row r="6640" spans="1:2" x14ac:dyDescent="0.25">
      <c r="A6640">
        <f ca="1">28329.1689011015*((RANDBETWEEN(1620,2416)))</f>
        <v>67140130.295610562</v>
      </c>
      <c r="B6640">
        <v>155743404.74033019</v>
      </c>
    </row>
    <row r="6641" spans="1:2" x14ac:dyDescent="0.25">
      <c r="A6641">
        <f ca="1">26623.6366618956*((RANDBETWEEN(1620,2416)))</f>
        <v>56761593.363161452</v>
      </c>
      <c r="B6641">
        <v>176807579.65153188</v>
      </c>
    </row>
    <row r="6642" spans="1:2" x14ac:dyDescent="0.25">
      <c r="A6642">
        <f ca="1">26328.1399039537*((RANDBETWEEN(1620,2416)))</f>
        <v>43599399.680947259</v>
      </c>
      <c r="B6642">
        <v>153744146.7955364</v>
      </c>
    </row>
    <row r="6643" spans="1:2" x14ac:dyDescent="0.25">
      <c r="A6643">
        <f ca="1">26275.7153931304*((RANDBETWEEN(1620,2416)))</f>
        <v>59278013.926902108</v>
      </c>
      <c r="B6643">
        <v>143166870.47633135</v>
      </c>
    </row>
    <row r="6644" spans="1:2" x14ac:dyDescent="0.25">
      <c r="A6644">
        <f ca="1">31730.0242533982*((RANDBETWEEN(1620,2416)))</f>
        <v>54067961.327790551</v>
      </c>
      <c r="B6644">
        <v>198368480.09219551</v>
      </c>
    </row>
    <row r="6645" spans="1:2" x14ac:dyDescent="0.25">
      <c r="A6645">
        <f ca="1">26981.8985254442*((RANDBETWEEN(1620,2416)))</f>
        <v>62382149.390826896</v>
      </c>
      <c r="B6645">
        <v>177212080.16040498</v>
      </c>
    </row>
    <row r="6646" spans="1:2" x14ac:dyDescent="0.25">
      <c r="A6646">
        <f ca="1">31395.4163170223*((RANDBETWEEN(1620,2416)))</f>
        <v>75192022.079268441</v>
      </c>
      <c r="B6646">
        <v>174768437.0047124</v>
      </c>
    </row>
    <row r="6647" spans="1:2" x14ac:dyDescent="0.25">
      <c r="A6647">
        <f ca="1">29603.7891534741*((RANDBETWEEN(1620,2416)))</f>
        <v>61279843.54769136</v>
      </c>
      <c r="B6647">
        <v>155118527.17318216</v>
      </c>
    </row>
    <row r="6648" spans="1:2" x14ac:dyDescent="0.25">
      <c r="A6648">
        <f ca="1">26470.2963310267*((RANDBETWEEN(1620,2416)))</f>
        <v>49155340.286716513</v>
      </c>
      <c r="B6648">
        <v>185664476.04410207</v>
      </c>
    </row>
    <row r="6649" spans="1:2" x14ac:dyDescent="0.25">
      <c r="A6649">
        <f ca="1">25673.8722400362*((RANDBETWEEN(1620,2416)))</f>
        <v>43388844.085661232</v>
      </c>
      <c r="B6649">
        <v>154501898.18881801</v>
      </c>
    </row>
    <row r="6650" spans="1:2" x14ac:dyDescent="0.25">
      <c r="A6650">
        <f ca="1">28801.2776431315*((RANDBETWEEN(1620,2416)))</f>
        <v>60713093.271721303</v>
      </c>
      <c r="B6650">
        <v>157020457.80079448</v>
      </c>
    </row>
    <row r="6651" spans="1:2" x14ac:dyDescent="0.25">
      <c r="A6651">
        <f ca="1">27425.9864371158*((RANDBETWEEN(1620,2416)))</f>
        <v>55126232.738602772</v>
      </c>
      <c r="B6651">
        <v>197191820.16083801</v>
      </c>
    </row>
    <row r="6652" spans="1:2" x14ac:dyDescent="0.25">
      <c r="A6652">
        <f ca="1">30532.3013459727*((RANDBETWEEN(1620,2416)))</f>
        <v>69827373.178239569</v>
      </c>
      <c r="B6652">
        <v>155206982.92748269</v>
      </c>
    </row>
    <row r="6653" spans="1:2" x14ac:dyDescent="0.25">
      <c r="A6653">
        <f ca="1">27535.3043966408*((RANDBETWEEN(1620,2416)))</f>
        <v>58953086.713207863</v>
      </c>
      <c r="B6653">
        <v>146244930.25109372</v>
      </c>
    </row>
    <row r="6654" spans="1:2" x14ac:dyDescent="0.25">
      <c r="A6654">
        <f ca="1">26293.123413812*((RANDBETWEEN(1620,2416)))</f>
        <v>61972891.886354811</v>
      </c>
      <c r="B6654">
        <v>194711810.97600308</v>
      </c>
    </row>
    <row r="6655" spans="1:2" x14ac:dyDescent="0.25">
      <c r="A6655">
        <f ca="1">26842.0577866584*((RANDBETWEEN(1620,2416)))</f>
        <v>60072525.32654158</v>
      </c>
      <c r="B6655">
        <v>201020067.05369127</v>
      </c>
    </row>
    <row r="6656" spans="1:2" x14ac:dyDescent="0.25">
      <c r="A6656">
        <f ca="1">31976.0620428277*((RANDBETWEEN(1620,2416)))</f>
        <v>72969373.581732914</v>
      </c>
      <c r="B6656">
        <v>163408984.25905323</v>
      </c>
    </row>
    <row r="6657" spans="1:2" x14ac:dyDescent="0.25">
      <c r="A6657">
        <f ca="1">26688.9758402515*((RANDBETWEEN(1620,2416)))</f>
        <v>50522231.265596032</v>
      </c>
      <c r="B6657">
        <v>175946376.29802409</v>
      </c>
    </row>
    <row r="6658" spans="1:2" x14ac:dyDescent="0.25">
      <c r="A6658">
        <f ca="1">26686.4549381291*((RANDBETWEEN(1620,2416)))</f>
        <v>51664976.760217987</v>
      </c>
      <c r="B6658">
        <v>146628732.2644062</v>
      </c>
    </row>
    <row r="6659" spans="1:2" x14ac:dyDescent="0.25">
      <c r="A6659">
        <f ca="1">26529.8739938768*((RANDBETWEEN(1620,2416)))</f>
        <v>53935233.829551607</v>
      </c>
      <c r="B6659">
        <v>172692611.34536788</v>
      </c>
    </row>
    <row r="6660" spans="1:2" x14ac:dyDescent="0.25">
      <c r="A6660">
        <f ca="1">26327.7157381809*((RANDBETWEEN(1620,2416)))</f>
        <v>52839725.48652897</v>
      </c>
      <c r="B6660">
        <v>146172627.60202137</v>
      </c>
    </row>
    <row r="6661" spans="1:2" x14ac:dyDescent="0.25">
      <c r="A6661">
        <f ca="1">25596.0687313899*((RANDBETWEEN(1620,2416)))</f>
        <v>51627270.631213486</v>
      </c>
      <c r="B6661">
        <v>158788547.97933865</v>
      </c>
    </row>
    <row r="6662" spans="1:2" x14ac:dyDescent="0.25">
      <c r="A6662">
        <f ca="1">25793.5189936013*((RANDBETWEEN(1620,2416)))</f>
        <v>46995791.606341489</v>
      </c>
      <c r="B6662">
        <v>157527109.13264716</v>
      </c>
    </row>
    <row r="6663" spans="1:2" x14ac:dyDescent="0.25">
      <c r="A6663">
        <f ca="1">26236.0155800449*((RANDBETWEEN(1620,2416)))</f>
        <v>54518440.375333324</v>
      </c>
      <c r="B6663">
        <v>194226141.50746062</v>
      </c>
    </row>
    <row r="6664" spans="1:2" x14ac:dyDescent="0.25">
      <c r="A6664">
        <f ca="1">29017.5456502471*((RANDBETWEEN(1620,2416)))</f>
        <v>57222600.022287324</v>
      </c>
      <c r="B6664">
        <v>152158181.57047147</v>
      </c>
    </row>
    <row r="6665" spans="1:2" x14ac:dyDescent="0.25">
      <c r="A6665">
        <f ca="1">32467.6543272623*((RANDBETWEEN(1620,2416)))</f>
        <v>70811954.087759182</v>
      </c>
      <c r="B6665">
        <v>165570080.22801825</v>
      </c>
    </row>
    <row r="6666" spans="1:2" x14ac:dyDescent="0.25">
      <c r="A6666">
        <f ca="1">26446.2098613604*((RANDBETWEEN(1620,2416)))</f>
        <v>43451122.802215151</v>
      </c>
      <c r="B6666">
        <v>193166625.69204518</v>
      </c>
    </row>
    <row r="6667" spans="1:2" x14ac:dyDescent="0.25">
      <c r="A6667">
        <f ca="1">29055.3182006431*((RANDBETWEEN(1620,2416)))</f>
        <v>64531861.723628327</v>
      </c>
      <c r="B6667">
        <v>168174936.71501762</v>
      </c>
    </row>
    <row r="6668" spans="1:2" x14ac:dyDescent="0.25">
      <c r="A6668">
        <f ca="1">27839.8332749772*((RANDBETWEEN(1620,2416)))</f>
        <v>46937958.901611574</v>
      </c>
      <c r="B6668">
        <v>192126775.59312883</v>
      </c>
    </row>
    <row r="6669" spans="1:2" x14ac:dyDescent="0.25">
      <c r="A6669">
        <f ca="1">27690.6233929953*((RANDBETWEEN(1620,2416)))</f>
        <v>53553665.642052941</v>
      </c>
      <c r="B6669">
        <v>165216261.90893769</v>
      </c>
    </row>
    <row r="6670" spans="1:2" x14ac:dyDescent="0.25">
      <c r="A6670">
        <f ca="1">27223.0869162236*((RANDBETWEEN(1620,2416)))</f>
        <v>59890791.215691894</v>
      </c>
      <c r="B6670">
        <v>183177457.17736366</v>
      </c>
    </row>
    <row r="6671" spans="1:2" x14ac:dyDescent="0.25">
      <c r="A6671">
        <f ca="1">29887.5630900211*((RANDBETWEEN(1620,2416)))</f>
        <v>71700263.852960691</v>
      </c>
      <c r="B6671">
        <v>182216025.27464691</v>
      </c>
    </row>
    <row r="6672" spans="1:2" x14ac:dyDescent="0.25">
      <c r="A6672">
        <f ca="1">26102.3213301376*((RANDBETWEEN(1620,2416)))</f>
        <v>56955265.142360158</v>
      </c>
      <c r="B6672">
        <v>154458077.21082145</v>
      </c>
    </row>
    <row r="6673" spans="1:2" x14ac:dyDescent="0.25">
      <c r="A6673">
        <f ca="1">27077.3206884499*((RANDBETWEEN(1620,2416)))</f>
        <v>46193909.09449546</v>
      </c>
      <c r="B6673">
        <v>151679824.89172772</v>
      </c>
    </row>
    <row r="6674" spans="1:2" x14ac:dyDescent="0.25">
      <c r="A6674">
        <f ca="1">28798.1271782652*((RANDBETWEEN(1620,2416)))</f>
        <v>52527783.973155782</v>
      </c>
      <c r="B6674">
        <v>195638963.93560034</v>
      </c>
    </row>
    <row r="6675" spans="1:2" x14ac:dyDescent="0.25">
      <c r="A6675">
        <f ca="1">26797.3904511232*((RANDBETWEEN(1620,2416)))</f>
        <v>45394779.424202666</v>
      </c>
      <c r="B6675">
        <v>167217084.03638548</v>
      </c>
    </row>
    <row r="6676" spans="1:2" x14ac:dyDescent="0.25">
      <c r="A6676">
        <f ca="1">27743.1634195486*((RANDBETWEEN(1620,2416)))</f>
        <v>65224177.199358717</v>
      </c>
      <c r="B6676">
        <v>146822653.6425522</v>
      </c>
    </row>
    <row r="6677" spans="1:2" x14ac:dyDescent="0.25">
      <c r="A6677">
        <f ca="1">26078.0786337031*((RANDBETWEEN(1620,2416)))</f>
        <v>48218367.393716976</v>
      </c>
      <c r="B6677">
        <v>152579515.12678581</v>
      </c>
    </row>
    <row r="6678" spans="1:2" x14ac:dyDescent="0.25">
      <c r="A6678">
        <f ca="1">27837.5309713521*((RANDBETWEEN(1620,2416)))</f>
        <v>62356069.375828654</v>
      </c>
      <c r="B6678">
        <v>151882446.13495657</v>
      </c>
    </row>
    <row r="6679" spans="1:2" x14ac:dyDescent="0.25">
      <c r="A6679">
        <f ca="1">25560.5813586121*((RANDBETWEEN(1620,2416)))</f>
        <v>53549417.946292311</v>
      </c>
      <c r="B6679">
        <v>147330304.1304934</v>
      </c>
    </row>
    <row r="6680" spans="1:2" x14ac:dyDescent="0.25">
      <c r="A6680">
        <f ca="1">26976.4247431232*((RANDBETWEEN(1620,2416)))</f>
        <v>51282183.436677255</v>
      </c>
      <c r="B6680">
        <v>195887234.00878251</v>
      </c>
    </row>
    <row r="6681" spans="1:2" x14ac:dyDescent="0.25">
      <c r="A6681">
        <f ca="1">26059.2429515776*((RANDBETWEEN(1620,2416)))</f>
        <v>42450506.768119931</v>
      </c>
      <c r="B6681">
        <v>144412823.25327477</v>
      </c>
    </row>
    <row r="6682" spans="1:2" x14ac:dyDescent="0.25">
      <c r="A6682">
        <f ca="1">27334.1671984972*((RANDBETWEEN(1620,2416)))</f>
        <v>52536269.355511695</v>
      </c>
      <c r="B6682">
        <v>156295936.5774011</v>
      </c>
    </row>
    <row r="6683" spans="1:2" x14ac:dyDescent="0.25">
      <c r="A6683">
        <f ca="1">27827.9980940364*((RANDBETWEEN(1620,2416)))</f>
        <v>63392179.658214971</v>
      </c>
      <c r="B6683">
        <v>176110132.90901038</v>
      </c>
    </row>
    <row r="6684" spans="1:2" x14ac:dyDescent="0.25">
      <c r="A6684">
        <f ca="1">27721.9935148268*((RANDBETWEEN(1620,2416)))</f>
        <v>45602679.331890106</v>
      </c>
      <c r="B6684">
        <v>150172707.75269863</v>
      </c>
    </row>
    <row r="6685" spans="1:2" x14ac:dyDescent="0.25">
      <c r="A6685">
        <f ca="1">26678.3277109479*((RANDBETWEEN(1620,2416)))</f>
        <v>49061444.660433099</v>
      </c>
      <c r="B6685">
        <v>154359061.67910555</v>
      </c>
    </row>
    <row r="6686" spans="1:2" x14ac:dyDescent="0.25">
      <c r="A6686">
        <f ca="1">27030.1940808478*((RANDBETWEEN(1620,2416)))</f>
        <v>57574313.39220576</v>
      </c>
      <c r="B6686">
        <v>175695766.13162914</v>
      </c>
    </row>
    <row r="6687" spans="1:2" x14ac:dyDescent="0.25">
      <c r="A6687">
        <f ca="1">27623.9328004399*((RANDBETWEEN(1620,2416)))</f>
        <v>47015933.626348712</v>
      </c>
      <c r="B6687">
        <v>158435062.5481624</v>
      </c>
    </row>
    <row r="6688" spans="1:2" x14ac:dyDescent="0.25">
      <c r="A6688">
        <f ca="1">26456.1974942477*((RANDBETWEEN(1620,2416)))</f>
        <v>44790342.357761279</v>
      </c>
      <c r="B6688">
        <v>153504408.46292332</v>
      </c>
    </row>
    <row r="6689" spans="1:2" x14ac:dyDescent="0.25">
      <c r="A6689">
        <f ca="1">28383.4387925007*((RANDBETWEEN(1620,2416)))</f>
        <v>52140377.061823748</v>
      </c>
      <c r="B6689">
        <v>182885132.70960382</v>
      </c>
    </row>
    <row r="6690" spans="1:2" x14ac:dyDescent="0.25">
      <c r="A6690">
        <f ca="1">27931.7565769167*((RANDBETWEEN(1620,2416)))</f>
        <v>53573109.114526287</v>
      </c>
      <c r="B6690">
        <v>181072696.79511911</v>
      </c>
    </row>
    <row r="6691" spans="1:2" x14ac:dyDescent="0.25">
      <c r="A6691">
        <f ca="1">25901.7069738209*((RANDBETWEEN(1620,2416)))</f>
        <v>58822776.537547179</v>
      </c>
      <c r="B6691">
        <v>152441020.81866693</v>
      </c>
    </row>
    <row r="6692" spans="1:2" x14ac:dyDescent="0.25">
      <c r="A6692">
        <f ca="1">30669.2925590741*((RANDBETWEEN(1620,2416)))</f>
        <v>55971458.920310214</v>
      </c>
      <c r="B6692">
        <v>191745970.49483356</v>
      </c>
    </row>
    <row r="6693" spans="1:2" x14ac:dyDescent="0.25">
      <c r="A6693">
        <f ca="1">30795.6712612808*((RANDBETWEEN(1620,2416)))</f>
        <v>66580241.266889043</v>
      </c>
      <c r="B6693">
        <v>163205378.98412213</v>
      </c>
    </row>
    <row r="6694" spans="1:2" x14ac:dyDescent="0.25">
      <c r="A6694">
        <f ca="1">28146.2421719898*((RANDBETWEEN(1620,2416)))</f>
        <v>59501155.95158644</v>
      </c>
      <c r="B6694">
        <v>146948879.63525864</v>
      </c>
    </row>
    <row r="6695" spans="1:2" x14ac:dyDescent="0.25">
      <c r="A6695">
        <f ca="1">27341.4481181834*((RANDBETWEEN(1620,2416)))</f>
        <v>51347239.565948486</v>
      </c>
      <c r="B6695">
        <v>148613951.7569021</v>
      </c>
    </row>
    <row r="6696" spans="1:2" x14ac:dyDescent="0.25">
      <c r="A6696">
        <f ca="1">28176.9410138011*((RANDBETWEEN(1620,2416)))</f>
        <v>47900799.723461851</v>
      </c>
      <c r="B6696">
        <v>153997768.95329452</v>
      </c>
    </row>
    <row r="6697" spans="1:2" x14ac:dyDescent="0.25">
      <c r="A6697">
        <f ca="1">28193.1950102108*((RANDBETWEEN(1620,2416)))</f>
        <v>65774723.958821878</v>
      </c>
      <c r="B6697">
        <v>190121160.92577815</v>
      </c>
    </row>
    <row r="6698" spans="1:2" x14ac:dyDescent="0.25">
      <c r="A6698">
        <f ca="1">26294.2859936714*((RANDBETWEEN(1620,2416)))</f>
        <v>58399609.191944204</v>
      </c>
      <c r="B6698">
        <v>158703661.18076527</v>
      </c>
    </row>
    <row r="6699" spans="1:2" x14ac:dyDescent="0.25">
      <c r="A6699">
        <f ca="1">27464.7307276988*((RANDBETWEEN(1620,2416)))</f>
        <v>46964689.544364981</v>
      </c>
      <c r="B6699">
        <v>166787672.53245857</v>
      </c>
    </row>
    <row r="6700" spans="1:2" x14ac:dyDescent="0.25">
      <c r="A6700">
        <f ca="1">31405.1275611707*((RANDBETWEEN(1620,2416)))</f>
        <v>63155711.5255142</v>
      </c>
      <c r="B6700">
        <v>194123432.34780973</v>
      </c>
    </row>
    <row r="6701" spans="1:2" x14ac:dyDescent="0.25">
      <c r="A6701">
        <f ca="1">26266.4555685292*((RANDBETWEEN(1620,2416)))</f>
        <v>44968171.933322072</v>
      </c>
      <c r="B6701">
        <v>151075250.40551287</v>
      </c>
    </row>
    <row r="6702" spans="1:2" x14ac:dyDescent="0.25">
      <c r="A6702">
        <f ca="1">27627.1178077926*((RANDBETWEEN(1620,2416)))</f>
        <v>57215760.979938433</v>
      </c>
      <c r="B6702">
        <v>159352752.69022983</v>
      </c>
    </row>
    <row r="6703" spans="1:2" x14ac:dyDescent="0.25">
      <c r="A6703">
        <f ca="1">30537.0135458165*((RANDBETWEEN(1620,2416)))</f>
        <v>54478032.165736727</v>
      </c>
      <c r="B6703">
        <v>163318066.35922998</v>
      </c>
    </row>
    <row r="6704" spans="1:2" x14ac:dyDescent="0.25">
      <c r="A6704">
        <f ca="1">32238.5283390435*((RANDBETWEEN(1620,2416)))</f>
        <v>73342651.971324041</v>
      </c>
      <c r="B6704">
        <v>155088418.50864309</v>
      </c>
    </row>
    <row r="6705" spans="1:2" x14ac:dyDescent="0.25">
      <c r="A6705">
        <f ca="1">28595.0636829484*((RANDBETWEEN(1620,2416)))</f>
        <v>56189300.136993572</v>
      </c>
      <c r="B6705">
        <v>172151276.57301494</v>
      </c>
    </row>
    <row r="6706" spans="1:2" x14ac:dyDescent="0.25">
      <c r="A6706">
        <f ca="1">29840.7551820269*((RANDBETWEEN(1620,2416)))</f>
        <v>68574055.408297807</v>
      </c>
      <c r="B6706">
        <v>162028847.30322808</v>
      </c>
    </row>
    <row r="6707" spans="1:2" x14ac:dyDescent="0.25">
      <c r="A6707">
        <f ca="1">29579.7321970784*((RANDBETWEEN(1620,2416)))</f>
        <v>67264311.016156197</v>
      </c>
      <c r="B6707">
        <v>202387332.45253593</v>
      </c>
    </row>
    <row r="6708" spans="1:2" x14ac:dyDescent="0.25">
      <c r="A6708">
        <f ca="1">27791.264248431*((RANDBETWEEN(1620,2416)))</f>
        <v>53192479.771496892</v>
      </c>
      <c r="B6708">
        <v>196598615.29240918</v>
      </c>
    </row>
    <row r="6709" spans="1:2" x14ac:dyDescent="0.25">
      <c r="A6709">
        <f ca="1">26591.8282594135*((RANDBETWEEN(1620,2416)))</f>
        <v>57305389.899036095</v>
      </c>
      <c r="B6709">
        <v>171113259.13385957</v>
      </c>
    </row>
    <row r="6710" spans="1:2" x14ac:dyDescent="0.25">
      <c r="A6710">
        <f ca="1">30747.2213954449*((RANDBETWEEN(1620,2416)))</f>
        <v>56605634.589014053</v>
      </c>
      <c r="B6710">
        <v>200283906.38622749</v>
      </c>
    </row>
    <row r="6711" spans="1:2" x14ac:dyDescent="0.25">
      <c r="A6711">
        <f ca="1">30251.8332798304*((RANDBETWEEN(1620,2416)))</f>
        <v>72604399.871592984</v>
      </c>
      <c r="B6711">
        <v>171575333.39336532</v>
      </c>
    </row>
    <row r="6712" spans="1:2" x14ac:dyDescent="0.25">
      <c r="A6712">
        <f ca="1">30243.0860621084*((RANDBETWEEN(1620,2416)))</f>
        <v>49991821.260665134</v>
      </c>
      <c r="B6712">
        <v>199970669.03884211</v>
      </c>
    </row>
    <row r="6713" spans="1:2" x14ac:dyDescent="0.25">
      <c r="A6713">
        <f ca="1">27582.070319051*((RANDBETWEEN(1620,2416)))</f>
        <v>45289759.463881716</v>
      </c>
      <c r="B6713">
        <v>167661411.72022504</v>
      </c>
    </row>
    <row r="6714" spans="1:2" x14ac:dyDescent="0.25">
      <c r="A6714">
        <f ca="1">26266.3971968523*((RANDBETWEEN(1620,2416)))</f>
        <v>44469010.454271019</v>
      </c>
      <c r="B6714">
        <v>160500486.40011805</v>
      </c>
    </row>
    <row r="6715" spans="1:2" x14ac:dyDescent="0.25">
      <c r="A6715">
        <f ca="1">25973.4787605279*((RANDBETWEEN(1620,2416)))</f>
        <v>54128729.73694022</v>
      </c>
      <c r="B6715">
        <v>186532685.7947678</v>
      </c>
    </row>
    <row r="6716" spans="1:2" x14ac:dyDescent="0.25">
      <c r="A6716">
        <f ca="1">27360.9896331257*((RANDBETWEEN(1620,2416)))</f>
        <v>53955871.556523956</v>
      </c>
      <c r="B6716">
        <v>153094329.15677696</v>
      </c>
    </row>
    <row r="6717" spans="1:2" x14ac:dyDescent="0.25">
      <c r="A6717">
        <f ca="1">27793.5849728314*((RANDBETWEEN(1620,2416)))</f>
        <v>47221300.868840531</v>
      </c>
      <c r="B6717">
        <v>174887748.54771376</v>
      </c>
    </row>
    <row r="6718" spans="1:2" x14ac:dyDescent="0.25">
      <c r="A6718">
        <f ca="1">28673.1954000347*((RANDBETWEEN(1620,2416)))</f>
        <v>47454138.387057431</v>
      </c>
      <c r="B6718">
        <v>163824765.37540439</v>
      </c>
    </row>
    <row r="6719" spans="1:2" x14ac:dyDescent="0.25">
      <c r="A6719">
        <f ca="1">24908.5139696252*((RANDBETWEEN(1620,2416)))</f>
        <v>52556964.475909203</v>
      </c>
      <c r="B6719">
        <v>144256190.85740161</v>
      </c>
    </row>
    <row r="6720" spans="1:2" x14ac:dyDescent="0.25">
      <c r="A6720">
        <f ca="1">26509.9417821126*((RANDBETWEEN(1620,2416)))</f>
        <v>60442667.263216637</v>
      </c>
      <c r="B6720">
        <v>181527316.86343068</v>
      </c>
    </row>
    <row r="6721" spans="1:2" x14ac:dyDescent="0.25">
      <c r="A6721">
        <f ca="1">27146.1482309613*((RANDBETWEEN(1620,2416)))</f>
        <v>63006210.044061199</v>
      </c>
      <c r="B6721">
        <v>150884122.25458688</v>
      </c>
    </row>
    <row r="6722" spans="1:2" x14ac:dyDescent="0.25">
      <c r="A6722">
        <f ca="1">25765.3788950303*((RANDBETWEEN(1620,2416)))</f>
        <v>44058797.910501763</v>
      </c>
      <c r="B6722">
        <v>178246899.90846321</v>
      </c>
    </row>
    <row r="6723" spans="1:2" x14ac:dyDescent="0.25">
      <c r="A6723">
        <f ca="1">32211.4844851138*((RANDBETWEEN(1620,2416)))</f>
        <v>60654225.285469204</v>
      </c>
      <c r="B6723">
        <v>174445330.49393263</v>
      </c>
    </row>
    <row r="6724" spans="1:2" x14ac:dyDescent="0.25">
      <c r="A6724">
        <f ca="1">25877.8797038702*((RANDBETWEEN(1620,2416)))</f>
        <v>58872176.326304756</v>
      </c>
      <c r="B6724">
        <v>166728054.97732964</v>
      </c>
    </row>
    <row r="6725" spans="1:2" x14ac:dyDescent="0.25">
      <c r="A6725">
        <f ca="1">32511.6369053094*((RANDBETWEEN(1620,2416)))</f>
        <v>64893227.26299753</v>
      </c>
      <c r="B6725">
        <v>147240810.80832383</v>
      </c>
    </row>
    <row r="6726" spans="1:2" x14ac:dyDescent="0.25">
      <c r="A6726">
        <f ca="1">26945.8938417644*((RANDBETWEEN(1620,2416)))</f>
        <v>45349939.335689552</v>
      </c>
      <c r="B6726">
        <v>173530942.15778413</v>
      </c>
    </row>
    <row r="6727" spans="1:2" x14ac:dyDescent="0.25">
      <c r="A6727">
        <f ca="1">27010.3614085378*((RANDBETWEEN(1620,2416)))</f>
        <v>48186484.752831385</v>
      </c>
      <c r="B6727">
        <v>148709312.75200763</v>
      </c>
    </row>
    <row r="6728" spans="1:2" x14ac:dyDescent="0.25">
      <c r="A6728">
        <f ca="1">27649.1067427373*((RANDBETWEEN(1620,2416)))</f>
        <v>52726846.558400102</v>
      </c>
      <c r="B6728">
        <v>145585175.90367943</v>
      </c>
    </row>
    <row r="6729" spans="1:2" x14ac:dyDescent="0.25">
      <c r="A6729">
        <f ca="1">28918.4000470117*((RANDBETWEEN(1620,2416)))</f>
        <v>48582912.078979582</v>
      </c>
      <c r="B6729">
        <v>147775510.97155663</v>
      </c>
    </row>
    <row r="6730" spans="1:2" x14ac:dyDescent="0.25">
      <c r="A6730">
        <f ca="1">26697.6037146051*((RANDBETWEEN(1620,2416)))</f>
        <v>52807860.147488944</v>
      </c>
      <c r="B6730">
        <v>164162878.99544543</v>
      </c>
    </row>
    <row r="6731" spans="1:2" x14ac:dyDescent="0.25">
      <c r="A6731">
        <f ca="1">29492.737169179*((RANDBETWEEN(1620,2416)))</f>
        <v>50904464.354002975</v>
      </c>
      <c r="B6731">
        <v>203081241.75371861</v>
      </c>
    </row>
    <row r="6732" spans="1:2" x14ac:dyDescent="0.25">
      <c r="A6732">
        <f ca="1">26819.5522826452*((RANDBETWEEN(1620,2416)))</f>
        <v>49240697.990936562</v>
      </c>
      <c r="B6732">
        <v>151392913.71879637</v>
      </c>
    </row>
    <row r="6733" spans="1:2" x14ac:dyDescent="0.25">
      <c r="A6733">
        <f ca="1">31650.2541819083*((RANDBETWEEN(1620,2416)))</f>
        <v>57255309.815072022</v>
      </c>
      <c r="B6733">
        <v>189772443.01113161</v>
      </c>
    </row>
    <row r="6734" spans="1:2" x14ac:dyDescent="0.25">
      <c r="A6734">
        <f ca="1">26287.8365836789*((RANDBETWEEN(1620,2416)))</f>
        <v>44084701.950829439</v>
      </c>
      <c r="B6734">
        <v>158384780.86020312</v>
      </c>
    </row>
    <row r="6735" spans="1:2" x14ac:dyDescent="0.25">
      <c r="A6735">
        <f ca="1">29469.8256914486*((RANDBETWEEN(1620,2416)))</f>
        <v>51660604.437109381</v>
      </c>
      <c r="B6735">
        <v>192939327.63697797</v>
      </c>
    </row>
    <row r="6736" spans="1:2" x14ac:dyDescent="0.25">
      <c r="A6736">
        <f ca="1">30617.6755111957*((RANDBETWEEN(1620,2416)))</f>
        <v>73145626.796246454</v>
      </c>
      <c r="B6736">
        <v>145512788.87693781</v>
      </c>
    </row>
    <row r="6737" spans="1:2" x14ac:dyDescent="0.25">
      <c r="A6737">
        <f ca="1">26878.2870650626*((RANDBETWEEN(1620,2416)))</f>
        <v>61846938.536708966</v>
      </c>
      <c r="B6737">
        <v>154379081.74611562</v>
      </c>
    </row>
    <row r="6738" spans="1:2" x14ac:dyDescent="0.25">
      <c r="A6738">
        <f ca="1">26804.2779063219*((RANDBETWEEN(1620,2416)))</f>
        <v>56288983.60327591</v>
      </c>
      <c r="B6738">
        <v>159538529.81706291</v>
      </c>
    </row>
    <row r="6739" spans="1:2" x14ac:dyDescent="0.25">
      <c r="A6739">
        <f ca="1">32388.5923594417*((RANDBETWEEN(1620,2416)))</f>
        <v>71999840.815038815</v>
      </c>
      <c r="B6739">
        <v>191562858.29508269</v>
      </c>
    </row>
    <row r="6740" spans="1:2" x14ac:dyDescent="0.25">
      <c r="A6740">
        <f ca="1">26117.9566005263*((RANDBETWEEN(1620,2416)))</f>
        <v>42807330.868262671</v>
      </c>
      <c r="B6740">
        <v>155214622.49748448</v>
      </c>
    </row>
    <row r="6741" spans="1:2" x14ac:dyDescent="0.25">
      <c r="A6741">
        <f ca="1">27067.5914295195*((RANDBETWEEN(1620,2416)))</f>
        <v>45554756.375881389</v>
      </c>
      <c r="B6741">
        <v>175214943.85430336</v>
      </c>
    </row>
    <row r="6742" spans="1:2" x14ac:dyDescent="0.25">
      <c r="A6742">
        <f ca="1">29950.0116317561*((RANDBETWEEN(1620,2416)))</f>
        <v>53340970.71615757</v>
      </c>
      <c r="B6742">
        <v>184071691.0641661</v>
      </c>
    </row>
    <row r="6743" spans="1:2" x14ac:dyDescent="0.25">
      <c r="A6743">
        <f ca="1">26449.6340115095*((RANDBETWEEN(1620,2416)))</f>
        <v>49143419.993384682</v>
      </c>
      <c r="B6743">
        <v>153534338.86498073</v>
      </c>
    </row>
    <row r="6744" spans="1:2" x14ac:dyDescent="0.25">
      <c r="A6744">
        <f ca="1">27609.5405627847*((RANDBETWEEN(1620,2416)))</f>
        <v>56268243.666955128</v>
      </c>
      <c r="B6744">
        <v>185666243.80467641</v>
      </c>
    </row>
    <row r="6745" spans="1:2" x14ac:dyDescent="0.25">
      <c r="A6745">
        <f ca="1">26188.6703922767*((RANDBETWEEN(1620,2416)))</f>
        <v>54236736.382405087</v>
      </c>
      <c r="B6745">
        <v>149970026.68553004</v>
      </c>
    </row>
    <row r="6746" spans="1:2" x14ac:dyDescent="0.25">
      <c r="A6746">
        <f ca="1">26144.4764048593*((RANDBETWEEN(1620,2416)))</f>
        <v>58772782.958123662</v>
      </c>
      <c r="B6746">
        <v>177918505.87950391</v>
      </c>
    </row>
    <row r="6747" spans="1:2" x14ac:dyDescent="0.25">
      <c r="A6747">
        <f ca="1">25605.7378166519*((RANDBETWEEN(1620,2416)))</f>
        <v>55564451.062134698</v>
      </c>
      <c r="B6747">
        <v>191254148.27588749</v>
      </c>
    </row>
    <row r="6748" spans="1:2" x14ac:dyDescent="0.25">
      <c r="A6748">
        <f ca="1">27256.8954863201*((RANDBETWEEN(1620,2416)))</f>
        <v>60810133.829980128</v>
      </c>
      <c r="B6748">
        <v>188173869.33839697</v>
      </c>
    </row>
    <row r="6749" spans="1:2" x14ac:dyDescent="0.25">
      <c r="A6749">
        <f ca="1">27684.4035329151*((RANDBETWEEN(1620,2416)))</f>
        <v>54815118.995171875</v>
      </c>
      <c r="B6749">
        <v>167880595.9873808</v>
      </c>
    </row>
    <row r="6750" spans="1:2" x14ac:dyDescent="0.25">
      <c r="A6750">
        <f ca="1">27704.7469820349*((RANDBETWEEN(1620,2416)))</f>
        <v>48677240.447435379</v>
      </c>
      <c r="B6750">
        <v>177959919.13441914</v>
      </c>
    </row>
    <row r="6751" spans="1:2" x14ac:dyDescent="0.25">
      <c r="A6751">
        <f ca="1">31286.2290635351*((RANDBETWEEN(1620,2416)))</f>
        <v>54250321.19616992</v>
      </c>
      <c r="B6751">
        <v>197586378.63671196</v>
      </c>
    </row>
    <row r="6752" spans="1:2" x14ac:dyDescent="0.25">
      <c r="A6752">
        <f ca="1">28132.4843563225*((RANDBETWEEN(1620,2416)))</f>
        <v>57362135.6025417</v>
      </c>
      <c r="B6752">
        <v>150227173.40592492</v>
      </c>
    </row>
    <row r="6753" spans="1:2" x14ac:dyDescent="0.25">
      <c r="A6753">
        <f ca="1">32242.1043056826*((RANDBETWEEN(1620,2416)))</f>
        <v>63323492.856360562</v>
      </c>
      <c r="B6753">
        <v>166659297.08058029</v>
      </c>
    </row>
    <row r="6754" spans="1:2" x14ac:dyDescent="0.25">
      <c r="A6754">
        <f ca="1">26979.5323987604*((RANDBETWEEN(1620,2416)))</f>
        <v>49615360.08132042</v>
      </c>
      <c r="B6754">
        <v>158921673.17130291</v>
      </c>
    </row>
    <row r="6755" spans="1:2" x14ac:dyDescent="0.25">
      <c r="A6755">
        <f ca="1">32130.8315070365*((RANDBETWEEN(1620,2416)))</f>
        <v>72037324.238775864</v>
      </c>
      <c r="B6755">
        <v>188622419.89793378</v>
      </c>
    </row>
    <row r="6756" spans="1:2" x14ac:dyDescent="0.25">
      <c r="A6756">
        <f ca="1">27330.1194459282*((RANDBETWEEN(1620,2416)))</f>
        <v>44411444.099633254</v>
      </c>
      <c r="B6756">
        <v>180065832.87702242</v>
      </c>
    </row>
    <row r="6757" spans="1:2" x14ac:dyDescent="0.25">
      <c r="A6757">
        <f ca="1">26421.1031660712*((RANDBETWEEN(1620,2416)))</f>
        <v>50305780.4281995</v>
      </c>
      <c r="B6757">
        <v>153849429.71089759</v>
      </c>
    </row>
    <row r="6758" spans="1:2" x14ac:dyDescent="0.25">
      <c r="A6758">
        <f ca="1">28435.1500400179*((RANDBETWEEN(1620,2416)))</f>
        <v>58405798.182196796</v>
      </c>
      <c r="B6758">
        <v>151555033.83229882</v>
      </c>
    </row>
    <row r="6759" spans="1:2" x14ac:dyDescent="0.25">
      <c r="A6759">
        <f ca="1">27894.7997701856*((RANDBETWEEN(1620,2416)))</f>
        <v>63572248.676253013</v>
      </c>
      <c r="B6759">
        <v>150020025.22540104</v>
      </c>
    </row>
    <row r="6760" spans="1:2" x14ac:dyDescent="0.25">
      <c r="A6760">
        <f ca="1">29698.7064140322*((RANDBETWEEN(1620,2416)))</f>
        <v>64060109.735067539</v>
      </c>
      <c r="B6760">
        <v>146848499.87434769</v>
      </c>
    </row>
    <row r="6761" spans="1:2" x14ac:dyDescent="0.25">
      <c r="A6761">
        <f ca="1">27532.3037688831*((RANDBETWEEN(1620,2416)))</f>
        <v>64205332.389035486</v>
      </c>
      <c r="B6761">
        <v>166209559.55923694</v>
      </c>
    </row>
    <row r="6762" spans="1:2" x14ac:dyDescent="0.25">
      <c r="A6762">
        <f ca="1">31027.9870001131*((RANDBETWEEN(1620,2416)))</f>
        <v>70402502.503256559</v>
      </c>
      <c r="B6762">
        <v>152885114.55175453</v>
      </c>
    </row>
    <row r="6763" spans="1:2" x14ac:dyDescent="0.25">
      <c r="A6763">
        <f ca="1">28046.7252910819*((RANDBETWEEN(1620,2416)))</f>
        <v>64479421.444197342</v>
      </c>
      <c r="B6763">
        <v>153661471.45123518</v>
      </c>
    </row>
    <row r="6764" spans="1:2" x14ac:dyDescent="0.25">
      <c r="A6764">
        <f ca="1">27000.3954724966*((RANDBETWEEN(1620,2416)))</f>
        <v>62397913.936939575</v>
      </c>
      <c r="B6764">
        <v>189843513.05733979</v>
      </c>
    </row>
    <row r="6765" spans="1:2" x14ac:dyDescent="0.25">
      <c r="A6765">
        <f ca="1">26804.2278212252*((RANDBETWEEN(1620,2416)))</f>
        <v>64651797.504795291</v>
      </c>
      <c r="B6765">
        <v>172841623.94668597</v>
      </c>
    </row>
    <row r="6766" spans="1:2" x14ac:dyDescent="0.25">
      <c r="A6766">
        <f ca="1">24188.1083547819*((RANDBETWEEN(1620,2416)))</f>
        <v>57204876.259059183</v>
      </c>
      <c r="B6766">
        <v>153543693.24453461</v>
      </c>
    </row>
    <row r="6767" spans="1:2" x14ac:dyDescent="0.25">
      <c r="A6767">
        <f ca="1">25362.396633249*((RANDBETWEEN(1620,2416)))</f>
        <v>60007430.434267096</v>
      </c>
      <c r="B6767">
        <v>147456534.21080011</v>
      </c>
    </row>
    <row r="6768" spans="1:2" x14ac:dyDescent="0.25">
      <c r="A6768">
        <f ca="1">25604.1141672805*((RANDBETWEEN(1620,2416)))</f>
        <v>59503961.324759811</v>
      </c>
      <c r="B6768">
        <v>165189717.14533466</v>
      </c>
    </row>
    <row r="6769" spans="1:2" x14ac:dyDescent="0.25">
      <c r="A6769">
        <f ca="1">26981.3543043192*((RANDBETWEEN(1620,2416)))</f>
        <v>63595052.095280468</v>
      </c>
      <c r="B6769">
        <v>168528753.3050307</v>
      </c>
    </row>
    <row r="6770" spans="1:2" x14ac:dyDescent="0.25">
      <c r="A6770">
        <f ca="1">25523.7184539215*((RANDBETWEEN(1620,2416)))</f>
        <v>47142307.984392963</v>
      </c>
      <c r="B6770">
        <v>167149802.24617431</v>
      </c>
    </row>
    <row r="6771" spans="1:2" x14ac:dyDescent="0.25">
      <c r="A6771">
        <f ca="1">25780.5090572927*((RANDBETWEEN(1620,2416)))</f>
        <v>59552975.922346197</v>
      </c>
      <c r="B6771">
        <v>152597104.79194838</v>
      </c>
    </row>
    <row r="6772" spans="1:2" x14ac:dyDescent="0.25">
      <c r="A6772">
        <f ca="1">27642.4076007001*((RANDBETWEEN(1620,2416)))</f>
        <v>52520574.441330135</v>
      </c>
      <c r="B6772">
        <v>191059331.53349277</v>
      </c>
    </row>
    <row r="6773" spans="1:2" x14ac:dyDescent="0.25">
      <c r="A6773">
        <f ca="1">28420.8758326414*((RANDBETWEEN(1620,2416)))</f>
        <v>65851169.304230072</v>
      </c>
      <c r="B6773">
        <v>168678987.480551</v>
      </c>
    </row>
    <row r="6774" spans="1:2" x14ac:dyDescent="0.25">
      <c r="A6774">
        <f ca="1">32419.784218486*((RANDBETWEEN(1620,2416)))</f>
        <v>72425797.944097832</v>
      </c>
      <c r="B6774">
        <v>143702642.34754366</v>
      </c>
    </row>
    <row r="6775" spans="1:2" x14ac:dyDescent="0.25">
      <c r="A6775">
        <f ca="1">27208.4131564882*((RANDBETWEEN(1620,2416)))</f>
        <v>62524933.433609843</v>
      </c>
      <c r="B6775">
        <v>167500737.04004496</v>
      </c>
    </row>
    <row r="6776" spans="1:2" x14ac:dyDescent="0.25">
      <c r="A6776">
        <f ca="1">30043.3473475981*((RANDBETWEEN(1620,2416)))</f>
        <v>59966521.30580575</v>
      </c>
      <c r="B6776">
        <v>145205973.04746866</v>
      </c>
    </row>
    <row r="6777" spans="1:2" x14ac:dyDescent="0.25">
      <c r="A6777">
        <f ca="1">29243.6061161524*((RANDBETWEEN(1620,2416)))</f>
        <v>47491616.332631506</v>
      </c>
      <c r="B6777">
        <v>177748407.54959714</v>
      </c>
    </row>
    <row r="6778" spans="1:2" x14ac:dyDescent="0.25">
      <c r="A6778">
        <f ca="1">27051.9745326027*((RANDBETWEEN(1620,2416)))</f>
        <v>50560140.401434474</v>
      </c>
      <c r="B6778">
        <v>199513438.88809022</v>
      </c>
    </row>
    <row r="6779" spans="1:2" x14ac:dyDescent="0.25">
      <c r="A6779">
        <f ca="1">27894.1251122841*((RANDBETWEEN(1620,2416)))</f>
        <v>56318238.601701535</v>
      </c>
      <c r="B6779">
        <v>150079518.30595833</v>
      </c>
    </row>
    <row r="6780" spans="1:2" x14ac:dyDescent="0.25">
      <c r="A6780">
        <f ca="1">30881.1503703148*((RANDBETWEEN(1620,2416)))</f>
        <v>59569739.064337179</v>
      </c>
      <c r="B6780">
        <v>156288660.29576856</v>
      </c>
    </row>
    <row r="6781" spans="1:2" x14ac:dyDescent="0.25">
      <c r="A6781">
        <f ca="1">27890.2938904043*((RANDBETWEEN(1620,2416)))</f>
        <v>53967718.677932255</v>
      </c>
      <c r="B6781">
        <v>198204070.95808411</v>
      </c>
    </row>
    <row r="6782" spans="1:2" x14ac:dyDescent="0.25">
      <c r="A6782">
        <f ca="1">28372.3372962881*((RANDBETWEEN(1620,2416)))</f>
        <v>48005994.705319412</v>
      </c>
      <c r="B6782">
        <v>145787156.29002881</v>
      </c>
    </row>
    <row r="6783" spans="1:2" x14ac:dyDescent="0.25">
      <c r="A6783">
        <f ca="1">27839.2951177917*((RANDBETWEEN(1620,2416)))</f>
        <v>54676375.611342967</v>
      </c>
      <c r="B6783">
        <v>182559346.73883593</v>
      </c>
    </row>
    <row r="6784" spans="1:2" x14ac:dyDescent="0.25">
      <c r="A6784">
        <f ca="1">25801.8880150385*((RANDBETWEEN(1620,2416)))</f>
        <v>48481747.580257379</v>
      </c>
      <c r="B6784">
        <v>148631392.23629278</v>
      </c>
    </row>
    <row r="6785" spans="1:2" x14ac:dyDescent="0.25">
      <c r="A6785">
        <f ca="1">28550.7645960233*((RANDBETWEEN(1620,2416)))</f>
        <v>65552555.512469605</v>
      </c>
      <c r="B6785">
        <v>146449896.5640136</v>
      </c>
    </row>
    <row r="6786" spans="1:2" x14ac:dyDescent="0.25">
      <c r="A6786">
        <f ca="1">26127.5198627292*((RANDBETWEEN(1620,2416)))</f>
        <v>51627979.248752832</v>
      </c>
      <c r="B6786">
        <v>151891900.32170397</v>
      </c>
    </row>
    <row r="6787" spans="1:2" x14ac:dyDescent="0.25">
      <c r="A6787">
        <f ca="1">29415.7940235985*((RANDBETWEEN(1620,2416)))</f>
        <v>56066503.408978812</v>
      </c>
      <c r="B6787">
        <v>148994044.27132887</v>
      </c>
    </row>
    <row r="6788" spans="1:2" x14ac:dyDescent="0.25">
      <c r="A6788">
        <f ca="1">27659.1199880735*((RANDBETWEEN(1620,2416)))</f>
        <v>46246048.620058842</v>
      </c>
      <c r="B6788">
        <v>165495640.65002963</v>
      </c>
    </row>
    <row r="6789" spans="1:2" x14ac:dyDescent="0.25">
      <c r="A6789">
        <f ca="1">26781.6074464272*((RANDBETWEEN(1620,2416)))</f>
        <v>55545053.843889989</v>
      </c>
      <c r="B6789">
        <v>163777465.63771614</v>
      </c>
    </row>
    <row r="6790" spans="1:2" x14ac:dyDescent="0.25">
      <c r="A6790">
        <f ca="1">27525.7320036253*((RANDBETWEEN(1620,2416)))</f>
        <v>50427141.0306416</v>
      </c>
      <c r="B6790">
        <v>144727321.70049715</v>
      </c>
    </row>
    <row r="6791" spans="1:2" x14ac:dyDescent="0.25">
      <c r="A6791">
        <f ca="1">33514.3101176456*((RANDBETWEEN(1620,2416)))</f>
        <v>57644613.402350515</v>
      </c>
      <c r="B6791">
        <v>176582843.46644109</v>
      </c>
    </row>
    <row r="6792" spans="1:2" x14ac:dyDescent="0.25">
      <c r="A6792">
        <f ca="1">27102.7864341044*((RANDBETWEEN(1620,2416)))</f>
        <v>52633611.255030826</v>
      </c>
      <c r="B6792">
        <v>178487282.0319362</v>
      </c>
    </row>
    <row r="6793" spans="1:2" x14ac:dyDescent="0.25">
      <c r="A6793">
        <f ca="1">30417.2864587868*((RANDBETWEEN(1620,2416)))</f>
        <v>63480876.839488141</v>
      </c>
      <c r="B6793">
        <v>157020342.82120335</v>
      </c>
    </row>
    <row r="6794" spans="1:2" x14ac:dyDescent="0.25">
      <c r="A6794">
        <f ca="1">27508.4371088879*((RANDBETWEEN(1620,2416)))</f>
        <v>46846868.396436118</v>
      </c>
      <c r="B6794">
        <v>181223536.49703622</v>
      </c>
    </row>
    <row r="6795" spans="1:2" x14ac:dyDescent="0.25">
      <c r="A6795">
        <f ca="1">28568.4306408151*((RANDBETWEEN(1620,2416)))</f>
        <v>69021328.428209245</v>
      </c>
      <c r="B6795">
        <v>150408051.43835795</v>
      </c>
    </row>
    <row r="6796" spans="1:2" x14ac:dyDescent="0.25">
      <c r="A6796">
        <f ca="1">29263.4896203717*((RANDBETWEEN(1620,2416)))</f>
        <v>68856991.076734558</v>
      </c>
      <c r="B6796">
        <v>199437534.64053079</v>
      </c>
    </row>
    <row r="6797" spans="1:2" x14ac:dyDescent="0.25">
      <c r="A6797">
        <f ca="1">30495.7873166702*((RANDBETWEEN(1620,2416)))</f>
        <v>52056308.949556045</v>
      </c>
      <c r="B6797">
        <v>185676637.70202613</v>
      </c>
    </row>
    <row r="6798" spans="1:2" x14ac:dyDescent="0.25">
      <c r="A6798">
        <f ca="1">30150.7097099221*((RANDBETWEEN(1620,2416)))</f>
        <v>62200914.131569296</v>
      </c>
      <c r="B6798">
        <v>159392390.35309416</v>
      </c>
    </row>
    <row r="6799" spans="1:2" x14ac:dyDescent="0.25">
      <c r="A6799">
        <f ca="1">27440.3263221301*((RANDBETWEEN(1620,2416)))</f>
        <v>52712866.864811972</v>
      </c>
      <c r="B6799">
        <v>195635438.5076066</v>
      </c>
    </row>
    <row r="6800" spans="1:2" x14ac:dyDescent="0.25">
      <c r="A6800">
        <f ca="1">31092.8531752705*((RANDBETWEEN(1620,2416)))</f>
        <v>51769600.536825441</v>
      </c>
      <c r="B6800">
        <v>184737020.0163177</v>
      </c>
    </row>
    <row r="6801" spans="1:2" x14ac:dyDescent="0.25">
      <c r="A6801">
        <f ca="1">26069.8367089735*((RANDBETWEEN(1620,2416)))</f>
        <v>52687139.988835454</v>
      </c>
      <c r="B6801">
        <v>167459278.50239101</v>
      </c>
    </row>
    <row r="6802" spans="1:2" x14ac:dyDescent="0.25">
      <c r="A6802">
        <f ca="1">27834.5189416875*((RANDBETWEEN(1620,2416)))</f>
        <v>49628947.273028843</v>
      </c>
      <c r="B6802">
        <v>166648497.61631429</v>
      </c>
    </row>
    <row r="6803" spans="1:2" x14ac:dyDescent="0.25">
      <c r="A6803">
        <f ca="1">27618.2626060224*((RANDBETWEEN(1620,2416)))</f>
        <v>47171992.531086229</v>
      </c>
      <c r="B6803">
        <v>160100284.36248305</v>
      </c>
    </row>
    <row r="6804" spans="1:2" x14ac:dyDescent="0.25">
      <c r="A6804">
        <f ca="1">26337.7856628925*((RANDBETWEEN(1620,2416)))</f>
        <v>60181840.239709355</v>
      </c>
      <c r="B6804">
        <v>190886088.47777298</v>
      </c>
    </row>
    <row r="6805" spans="1:2" x14ac:dyDescent="0.25">
      <c r="A6805">
        <f ca="1">29761.7994781407*((RANDBETWEEN(1620,2416)))</f>
        <v>51845054.690921091</v>
      </c>
      <c r="B6805">
        <v>196161230.5428938</v>
      </c>
    </row>
    <row r="6806" spans="1:2" x14ac:dyDescent="0.25">
      <c r="A6806">
        <f ca="1">28854.6448548774*((RANDBETWEEN(1620,2416)))</f>
        <v>64201584.80210223</v>
      </c>
      <c r="B6806">
        <v>202510451.83094376</v>
      </c>
    </row>
    <row r="6807" spans="1:2" x14ac:dyDescent="0.25">
      <c r="A6807">
        <f ca="1">27278.9920586569*((RANDBETWEEN(1620,2416)))</f>
        <v>63259982.584025368</v>
      </c>
      <c r="B6807">
        <v>150178175.29685745</v>
      </c>
    </row>
    <row r="6808" spans="1:2" x14ac:dyDescent="0.25">
      <c r="A6808">
        <f ca="1">26634.3451436179*((RANDBETWEEN(1620,2416)))</f>
        <v>63256569.716092572</v>
      </c>
      <c r="B6808">
        <v>151089912.77218515</v>
      </c>
    </row>
    <row r="6809" spans="1:2" x14ac:dyDescent="0.25">
      <c r="A6809">
        <f ca="1">28246.0137809175*((RANDBETWEEN(1620,2416)))</f>
        <v>52396355.563601933</v>
      </c>
      <c r="B6809">
        <v>162193280.70796472</v>
      </c>
    </row>
    <row r="6810" spans="1:2" x14ac:dyDescent="0.25">
      <c r="A6810">
        <f ca="1">28987.8669466073*((RANDBETWEEN(1620,2416)))</f>
        <v>64353064.621468306</v>
      </c>
      <c r="B6810">
        <v>165483357.16327274</v>
      </c>
    </row>
    <row r="6811" spans="1:2" x14ac:dyDescent="0.25">
      <c r="A6811">
        <f ca="1">30598.0774580985*((RANDBETWEEN(1620,2416)))</f>
        <v>53607831.706588618</v>
      </c>
      <c r="B6811">
        <v>199368696.2161949</v>
      </c>
    </row>
    <row r="6812" spans="1:2" x14ac:dyDescent="0.25">
      <c r="A6812">
        <f ca="1">29185.8016115866*((RANDBETWEEN(1620,2416)))</f>
        <v>65317824.006730795</v>
      </c>
      <c r="B6812">
        <v>162556058.53925532</v>
      </c>
    </row>
    <row r="6813" spans="1:2" x14ac:dyDescent="0.25">
      <c r="A6813">
        <f ca="1">28088.4796763506*((RANDBETWEEN(1620,2416)))</f>
        <v>66288812.036187351</v>
      </c>
      <c r="B6813">
        <v>152985646.44662789</v>
      </c>
    </row>
    <row r="6814" spans="1:2" x14ac:dyDescent="0.25">
      <c r="A6814">
        <f ca="1">29503.5757347798*((RANDBETWEEN(1620,2416)))</f>
        <v>55702750.987264335</v>
      </c>
      <c r="B6814">
        <v>165182861.27883288</v>
      </c>
    </row>
    <row r="6815" spans="1:2" x14ac:dyDescent="0.25">
      <c r="A6815">
        <f ca="1">27092.0353293577*((RANDBETWEEN(1620,2416)))</f>
        <v>44864410.505416289</v>
      </c>
      <c r="B6815">
        <v>144297046.22189513</v>
      </c>
    </row>
    <row r="6816" spans="1:2" x14ac:dyDescent="0.25">
      <c r="A6816">
        <f ca="1">29332.3962967863*((RANDBETWEEN(1620,2416)))</f>
        <v>59075446.14172776</v>
      </c>
      <c r="B6816">
        <v>149165320.69107911</v>
      </c>
    </row>
    <row r="6817" spans="1:2" x14ac:dyDescent="0.25">
      <c r="A6817">
        <f ca="1">27762.6262065286*((RANDBETWEEN(1620,2416)))</f>
        <v>58134939.27647081</v>
      </c>
      <c r="B6817">
        <v>158794164.1951544</v>
      </c>
    </row>
    <row r="6818" spans="1:2" x14ac:dyDescent="0.25">
      <c r="A6818">
        <f ca="1">29108.2717210613*((RANDBETWEEN(1620,2416)))</f>
        <v>49891577.729899101</v>
      </c>
      <c r="B6818">
        <v>150308094.3332749</v>
      </c>
    </row>
    <row r="6819" spans="1:2" x14ac:dyDescent="0.25">
      <c r="A6819">
        <f ca="1">31990.673993791*((RANDBETWEEN(1620,2416)))</f>
        <v>57583213.188823827</v>
      </c>
      <c r="B6819">
        <v>149021884.43269289</v>
      </c>
    </row>
    <row r="6820" spans="1:2" x14ac:dyDescent="0.25">
      <c r="A6820">
        <f ca="1">31172.8325974149*((RANDBETWEEN(1620,2416)))</f>
        <v>62127455.366647936</v>
      </c>
      <c r="B6820">
        <v>167195077.3621794</v>
      </c>
    </row>
    <row r="6821" spans="1:2" x14ac:dyDescent="0.25">
      <c r="A6821">
        <f ca="1">26054.5012974295*((RANDBETWEEN(1620,2416)))</f>
        <v>60316170.50354933</v>
      </c>
      <c r="B6821">
        <v>154997671.48823413</v>
      </c>
    </row>
    <row r="6822" spans="1:2" x14ac:dyDescent="0.25">
      <c r="A6822">
        <f ca="1">26868.5257316959*((RANDBETWEEN(1620,2416)))</f>
        <v>61636398.028510317</v>
      </c>
      <c r="B6822">
        <v>154105326.82706857</v>
      </c>
    </row>
    <row r="6823" spans="1:2" x14ac:dyDescent="0.25">
      <c r="A6823">
        <f ca="1">31125.1744899023*((RANDBETWEEN(1620,2416)))</f>
        <v>67666129.341047689</v>
      </c>
      <c r="B6823">
        <v>198363298.14573091</v>
      </c>
    </row>
    <row r="6824" spans="1:2" x14ac:dyDescent="0.25">
      <c r="A6824">
        <f ca="1">26367.0628918996*((RANDBETWEEN(1620,2416)))</f>
        <v>55133528.506961964</v>
      </c>
      <c r="B6824">
        <v>195074240.26650316</v>
      </c>
    </row>
    <row r="6825" spans="1:2" x14ac:dyDescent="0.25">
      <c r="A6825">
        <f ca="1">26972.8908739876*((RANDBETWEEN(1620,2416)))</f>
        <v>47634125.283462122</v>
      </c>
      <c r="B6825">
        <v>188844947.64350402</v>
      </c>
    </row>
    <row r="6826" spans="1:2" x14ac:dyDescent="0.25">
      <c r="A6826">
        <f ca="1">28662.7945623832*((RANDBETWEEN(1620,2416)))</f>
        <v>59790589.457131326</v>
      </c>
      <c r="B6826">
        <v>180130048.72965562</v>
      </c>
    </row>
    <row r="6827" spans="1:2" x14ac:dyDescent="0.25">
      <c r="A6827">
        <f ca="1">27593.3637550652*((RANDBETWEEN(1620,2416)))</f>
        <v>47736519.296262868</v>
      </c>
      <c r="B6827">
        <v>153695623.17103174</v>
      </c>
    </row>
    <row r="6828" spans="1:2" x14ac:dyDescent="0.25">
      <c r="A6828">
        <f ca="1">26798.9534944329*((RANDBETWEEN(1620,2416)))</f>
        <v>62414762.68853423</v>
      </c>
      <c r="B6828">
        <v>144599374.94799766</v>
      </c>
    </row>
    <row r="6829" spans="1:2" x14ac:dyDescent="0.25">
      <c r="A6829">
        <f ca="1">31700.9722185155*((RANDBETWEEN(1620,2416)))</f>
        <v>72500123.463745043</v>
      </c>
      <c r="B6829">
        <v>178959225.08311385</v>
      </c>
    </row>
    <row r="6830" spans="1:2" x14ac:dyDescent="0.25">
      <c r="A6830">
        <f ca="1">27410.3305020263*((RANDBETWEEN(1620,2416)))</f>
        <v>52161858.945356011</v>
      </c>
      <c r="B6830">
        <v>200106132.89329731</v>
      </c>
    </row>
    <row r="6831" spans="1:2" x14ac:dyDescent="0.25">
      <c r="A6831">
        <f ca="1">27878.2616964667*((RANDBETWEEN(1620,2416)))</f>
        <v>62196401.844817109</v>
      </c>
      <c r="B6831">
        <v>194114167.35516024</v>
      </c>
    </row>
    <row r="6832" spans="1:2" x14ac:dyDescent="0.25">
      <c r="A6832">
        <f ca="1">28353.0722787524*((RANDBETWEEN(1620,2416)))</f>
        <v>52198006.065183103</v>
      </c>
      <c r="B6832">
        <v>193100021.46115017</v>
      </c>
    </row>
    <row r="6833" spans="1:2" x14ac:dyDescent="0.25">
      <c r="A6833">
        <f ca="1">27021.939770439*((RANDBETWEEN(1620,2416)))</f>
        <v>59961684.350604244</v>
      </c>
      <c r="B6833">
        <v>176154143.22515872</v>
      </c>
    </row>
    <row r="6834" spans="1:2" x14ac:dyDescent="0.25">
      <c r="A6834">
        <f ca="1">26698.5331900801*((RANDBETWEEN(1620,2416)))</f>
        <v>54171323.842672423</v>
      </c>
      <c r="B6834">
        <v>180716435.90061253</v>
      </c>
    </row>
    <row r="6835" spans="1:2" x14ac:dyDescent="0.25">
      <c r="A6835">
        <f ca="1">29894.3645309114*((RANDBETWEEN(1620,2416)))</f>
        <v>48937074.737102039</v>
      </c>
      <c r="B6835">
        <v>151028386.02007145</v>
      </c>
    </row>
    <row r="6836" spans="1:2" x14ac:dyDescent="0.25">
      <c r="A6836">
        <f ca="1">26331.7911810265*((RANDBETWEEN(1620,2416)))</f>
        <v>58245922.092430696</v>
      </c>
      <c r="B6836">
        <v>152821293.53321505</v>
      </c>
    </row>
    <row r="6837" spans="1:2" x14ac:dyDescent="0.25">
      <c r="A6837">
        <f ca="1">29532.1341636121*((RANDBETWEEN(1620,2416)))</f>
        <v>50529481.553940229</v>
      </c>
      <c r="B6837">
        <v>159804239.28482109</v>
      </c>
    </row>
    <row r="6838" spans="1:2" x14ac:dyDescent="0.25">
      <c r="A6838">
        <f ca="1">26184.5666738098*((RANDBETWEEN(1620,2416)))</f>
        <v>54044945.614743404</v>
      </c>
      <c r="B6838">
        <v>162054217.71576035</v>
      </c>
    </row>
    <row r="6839" spans="1:2" x14ac:dyDescent="0.25">
      <c r="A6839">
        <f ca="1">24928.1158744514*((RANDBETWEEN(1620,2416)))</f>
        <v>48834178.998050213</v>
      </c>
      <c r="B6839">
        <v>146770726.58227584</v>
      </c>
    </row>
    <row r="6840" spans="1:2" x14ac:dyDescent="0.25">
      <c r="A6840">
        <f ca="1">28306.9290133088*((RANDBETWEEN(1620,2416)))</f>
        <v>60576828.088480748</v>
      </c>
      <c r="B6840">
        <v>144055540.06259775</v>
      </c>
    </row>
    <row r="6841" spans="1:2" x14ac:dyDescent="0.25">
      <c r="A6841">
        <f ca="1">28537.7742842745*((RANDBETWEEN(1620,2416)))</f>
        <v>52880495.748760559</v>
      </c>
      <c r="B6841">
        <v>198579039.99514893</v>
      </c>
    </row>
    <row r="6842" spans="1:2" x14ac:dyDescent="0.25">
      <c r="A6842">
        <f ca="1">29055.6764876514*((RANDBETWEEN(1620,2416)))</f>
        <v>64648880.185024403</v>
      </c>
      <c r="B6842">
        <v>159303795.08700913</v>
      </c>
    </row>
    <row r="6843" spans="1:2" x14ac:dyDescent="0.25">
      <c r="A6843">
        <f ca="1">27886.5605300274*((RANDBETWEEN(1620,2416)))</f>
        <v>63469811.766342334</v>
      </c>
      <c r="B6843">
        <v>165626847.04259011</v>
      </c>
    </row>
    <row r="6844" spans="1:2" x14ac:dyDescent="0.25">
      <c r="A6844">
        <f ca="1">25315.265935039*((RANDBETWEEN(1620,2416)))</f>
        <v>48225581.606249228</v>
      </c>
      <c r="B6844">
        <v>174228716.44137731</v>
      </c>
    </row>
    <row r="6845" spans="1:2" x14ac:dyDescent="0.25">
      <c r="A6845">
        <f ca="1">26467.9538668545*((RANDBETWEEN(1620,2416)))</f>
        <v>50315580.300890312</v>
      </c>
      <c r="B6845">
        <v>147845131.89948758</v>
      </c>
    </row>
    <row r="6846" spans="1:2" x14ac:dyDescent="0.25">
      <c r="A6846">
        <f ca="1">30250.6248383602*((RANDBETWEEN(1620,2416)))</f>
        <v>67307640.265351415</v>
      </c>
      <c r="B6846">
        <v>174122143.48366922</v>
      </c>
    </row>
    <row r="6847" spans="1:2" x14ac:dyDescent="0.25">
      <c r="A6847">
        <f ca="1">27397.5697146115*((RANDBETWEEN(1620,2416)))</f>
        <v>54740344.289793827</v>
      </c>
      <c r="B6847">
        <v>169725139.66543689</v>
      </c>
    </row>
    <row r="6848" spans="1:2" x14ac:dyDescent="0.25">
      <c r="A6848">
        <f ca="1">30433.6303352724*((RANDBETWEEN(1620,2416)))</f>
        <v>51645870.678957246</v>
      </c>
      <c r="B6848">
        <v>157051738.04527289</v>
      </c>
    </row>
    <row r="6849" spans="1:2" x14ac:dyDescent="0.25">
      <c r="A6849">
        <f ca="1">27122.2019446153*((RANDBETWEEN(1620,2416)))</f>
        <v>60374021.528713658</v>
      </c>
      <c r="B6849">
        <v>153837000.71217093</v>
      </c>
    </row>
    <row r="6850" spans="1:2" x14ac:dyDescent="0.25">
      <c r="A6850">
        <f ca="1">26783.9419835217*((RANDBETWEEN(1620,2416)))</f>
        <v>54237482.516631447</v>
      </c>
      <c r="B6850">
        <v>145834582.79929119</v>
      </c>
    </row>
    <row r="6851" spans="1:2" x14ac:dyDescent="0.25">
      <c r="A6851">
        <f ca="1">30898.8650605402*((RANDBETWEEN(1620,2416)))</f>
        <v>54876384.34751945</v>
      </c>
      <c r="B6851">
        <v>178944145.56297553</v>
      </c>
    </row>
    <row r="6852" spans="1:2" x14ac:dyDescent="0.25">
      <c r="A6852">
        <f ca="1">29867.7876327978*((RANDBETWEEN(1620,2416)))</f>
        <v>50745371.188123547</v>
      </c>
      <c r="B6852">
        <v>167414987.6324459</v>
      </c>
    </row>
    <row r="6853" spans="1:2" x14ac:dyDescent="0.25">
      <c r="A6853">
        <f ca="1">26993.5806178441*((RANDBETWEEN(1620,2416)))</f>
        <v>59979736.132849492</v>
      </c>
      <c r="B6853">
        <v>155483659.88346961</v>
      </c>
    </row>
    <row r="6854" spans="1:2" x14ac:dyDescent="0.25">
      <c r="A6854">
        <f ca="1">26557.06211629*((RANDBETWEEN(1620,2416)))</f>
        <v>48679094.859159552</v>
      </c>
      <c r="B6854">
        <v>171969659.66922885</v>
      </c>
    </row>
    <row r="6855" spans="1:2" x14ac:dyDescent="0.25">
      <c r="A6855">
        <f ca="1">27077.1078630433*((RANDBETWEEN(1620,2416)))</f>
        <v>45137538.807693169</v>
      </c>
      <c r="B6855">
        <v>179215233.19177532</v>
      </c>
    </row>
    <row r="6856" spans="1:2" x14ac:dyDescent="0.25">
      <c r="A6856">
        <f ca="1">26675.9202648464*((RANDBETWEEN(1620,2416)))</f>
        <v>56499599.120944612</v>
      </c>
      <c r="B6856">
        <v>154738791.37045571</v>
      </c>
    </row>
    <row r="6857" spans="1:2" x14ac:dyDescent="0.25">
      <c r="A6857">
        <f ca="1">27571.1952216897*((RANDBETWEEN(1620,2416)))</f>
        <v>49655722.594263226</v>
      </c>
      <c r="B6857">
        <v>160675148.63699991</v>
      </c>
    </row>
    <row r="6858" spans="1:2" x14ac:dyDescent="0.25">
      <c r="A6858">
        <f ca="1">26671.7916669668*((RANDBETWEEN(1620,2416)))</f>
        <v>53450270.50060156</v>
      </c>
      <c r="B6858">
        <v>153888621.67424199</v>
      </c>
    </row>
    <row r="6859" spans="1:2" x14ac:dyDescent="0.25">
      <c r="A6859">
        <f ca="1">30205.4591055276*((RANDBETWEEN(1620,2416)))</f>
        <v>51137842.265658252</v>
      </c>
      <c r="B6859">
        <v>184473817.36360791</v>
      </c>
    </row>
    <row r="6860" spans="1:2" x14ac:dyDescent="0.25">
      <c r="A6860">
        <f ca="1">29098.9670694014*((RANDBETWEEN(1620,2416)))</f>
        <v>62504581.265074134</v>
      </c>
      <c r="B6860">
        <v>180712449.68762141</v>
      </c>
    </row>
    <row r="6861" spans="1:2" x14ac:dyDescent="0.25">
      <c r="A6861">
        <f ca="1">27890.4324588676*((RANDBETWEEN(1620,2416)))</f>
        <v>61860979.19376836</v>
      </c>
      <c r="B6861">
        <v>169806288.77938795</v>
      </c>
    </row>
    <row r="6862" spans="1:2" x14ac:dyDescent="0.25">
      <c r="A6862">
        <f ca="1">25562.0707349787*((RANDBETWEEN(1620,2416)))</f>
        <v>43378834.037258938</v>
      </c>
      <c r="B6862">
        <v>148091936.04986611</v>
      </c>
    </row>
    <row r="6863" spans="1:2" x14ac:dyDescent="0.25">
      <c r="A6863">
        <f ca="1">29850.5014875258*((RANDBETWEEN(1620,2416)))</f>
        <v>66417365.809744939</v>
      </c>
      <c r="B6863">
        <v>159742883.89475298</v>
      </c>
    </row>
    <row r="6864" spans="1:2" x14ac:dyDescent="0.25">
      <c r="A6864">
        <f ca="1">26953.1011391747*((RANDBETWEEN(1620,2416)))</f>
        <v>49378081.286968127</v>
      </c>
      <c r="B6864">
        <v>157380044.02639943</v>
      </c>
    </row>
    <row r="6865" spans="1:2" x14ac:dyDescent="0.25">
      <c r="A6865">
        <f ca="1">27834.0933600856*((RANDBETWEEN(1620,2416)))</f>
        <v>57226895.948336065</v>
      </c>
      <c r="B6865">
        <v>187305596.01216722</v>
      </c>
    </row>
    <row r="6866" spans="1:2" x14ac:dyDescent="0.25">
      <c r="A6866">
        <f ca="1">26220.9093711516*((RANDBETWEEN(1620,2416)))</f>
        <v>54749258.76696457</v>
      </c>
      <c r="B6866">
        <v>147272661.25923917</v>
      </c>
    </row>
    <row r="6867" spans="1:2" x14ac:dyDescent="0.25">
      <c r="A6867">
        <f ca="1">25682.7496594751*((RANDBETWEEN(1620,2416)))</f>
        <v>43891819.16804295</v>
      </c>
      <c r="B6867">
        <v>164226152.77412334</v>
      </c>
    </row>
    <row r="6868" spans="1:2" x14ac:dyDescent="0.25">
      <c r="A6868">
        <f ca="1">27498.1147564369*((RANDBETWEEN(1620,2416)))</f>
        <v>62200735.579060368</v>
      </c>
      <c r="B6868">
        <v>153331523.40366361</v>
      </c>
    </row>
    <row r="6869" spans="1:2" x14ac:dyDescent="0.25">
      <c r="A6869">
        <f ca="1">28064.3060578536*((RANDBETWEEN(1620,2416)))</f>
        <v>45885140.404590629</v>
      </c>
      <c r="B6869">
        <v>183023447.76216936</v>
      </c>
    </row>
    <row r="6870" spans="1:2" x14ac:dyDescent="0.25">
      <c r="A6870">
        <f ca="1">31114.5284558075*((RANDBETWEEN(1620,2416)))</f>
        <v>59273176.708313316</v>
      </c>
      <c r="B6870">
        <v>201334997.06088907</v>
      </c>
    </row>
    <row r="6871" spans="1:2" x14ac:dyDescent="0.25">
      <c r="A6871">
        <f ca="1">28022.2048055618*((RANDBETWEEN(1620,2416)))</f>
        <v>51785034.480678163</v>
      </c>
      <c r="B6871">
        <v>151025511.05790049</v>
      </c>
    </row>
    <row r="6872" spans="1:2" x14ac:dyDescent="0.25">
      <c r="A6872">
        <f ca="1">26092.1132038169*((RANDBETWEEN(1620,2416)))</f>
        <v>42686697.201444365</v>
      </c>
      <c r="B6872">
        <v>150655979.98910493</v>
      </c>
    </row>
    <row r="6873" spans="1:2" x14ac:dyDescent="0.25">
      <c r="A6873">
        <f ca="1">27379.2889146672*((RANDBETWEEN(1620,2416)))</f>
        <v>57688161.743203767</v>
      </c>
      <c r="B6873">
        <v>145929618.2107785</v>
      </c>
    </row>
    <row r="6874" spans="1:2" x14ac:dyDescent="0.25">
      <c r="A6874">
        <f ca="1">31743.263557631*((RANDBETWEEN(1620,2416)))</f>
        <v>54439697.001337186</v>
      </c>
      <c r="B6874">
        <v>159101134.96185955</v>
      </c>
    </row>
    <row r="6875" spans="1:2" x14ac:dyDescent="0.25">
      <c r="A6875">
        <f ca="1">26368.7327865046*((RANDBETWEEN(1620,2416)))</f>
        <v>42901928.243642963</v>
      </c>
      <c r="B6875">
        <v>144338617.56660774</v>
      </c>
    </row>
    <row r="6876" spans="1:2" x14ac:dyDescent="0.25">
      <c r="A6876">
        <f ca="1">26577.0940089193*((RANDBETWEEN(1620,2416)))</f>
        <v>43931936.396743581</v>
      </c>
      <c r="B6876">
        <v>157558201.87412417</v>
      </c>
    </row>
    <row r="6877" spans="1:2" x14ac:dyDescent="0.25">
      <c r="A6877">
        <f ca="1">27702.2977012458*((RANDBETWEEN(1620,2416)))</f>
        <v>64601758.239305131</v>
      </c>
      <c r="B6877">
        <v>186483771.90602455</v>
      </c>
    </row>
    <row r="6878" spans="1:2" x14ac:dyDescent="0.25">
      <c r="A6878">
        <f ca="1">28707.5025519462*((RANDBETWEEN(1620,2416)))</f>
        <v>68209026.063424125</v>
      </c>
      <c r="B6878">
        <v>144518421.39282838</v>
      </c>
    </row>
    <row r="6879" spans="1:2" x14ac:dyDescent="0.25">
      <c r="A6879">
        <f ca="1">28681.7305729128*((RANDBETWEEN(1620,2416)))</f>
        <v>54954195.777700998</v>
      </c>
      <c r="B6879">
        <v>178333309.46461728</v>
      </c>
    </row>
    <row r="6880" spans="1:2" x14ac:dyDescent="0.25">
      <c r="A6880">
        <f ca="1">27366.2799643522*((RANDBETWEEN(1620,2416)))</f>
        <v>62942443.918009996</v>
      </c>
      <c r="B6880">
        <v>182252624.76314914</v>
      </c>
    </row>
    <row r="6881" spans="1:2" x14ac:dyDescent="0.25">
      <c r="A6881">
        <f ca="1">28059.8073851701*((RANDBETWEEN(1620,2416)))</f>
        <v>67624135.798260018</v>
      </c>
      <c r="B6881">
        <v>184817521.1818825</v>
      </c>
    </row>
    <row r="6882" spans="1:2" x14ac:dyDescent="0.25">
      <c r="A6882">
        <f ca="1">29952.6135614862*((RANDBETWEEN(1620,2416)))</f>
        <v>48942570.559468411</v>
      </c>
      <c r="B6882">
        <v>174584129.08611175</v>
      </c>
    </row>
    <row r="6883" spans="1:2" x14ac:dyDescent="0.25">
      <c r="A6883">
        <f ca="1">26887.7667708786*((RANDBETWEEN(1620,2416)))</f>
        <v>46946040.781954005</v>
      </c>
      <c r="B6883">
        <v>147665477.69379961</v>
      </c>
    </row>
    <row r="6884" spans="1:2" x14ac:dyDescent="0.25">
      <c r="A6884">
        <f ca="1">28633.1837020682*((RANDBETWEEN(1620,2416)))</f>
        <v>56407371.893074378</v>
      </c>
      <c r="B6884">
        <v>183968284.11769366</v>
      </c>
    </row>
    <row r="6885" spans="1:2" x14ac:dyDescent="0.25">
      <c r="A6885">
        <f ca="1">25421.7660431132*((RANDBETWEEN(1620,2416)))</f>
        <v>55165232.313555583</v>
      </c>
      <c r="B6885">
        <v>150582751.06356874</v>
      </c>
    </row>
    <row r="6886" spans="1:2" x14ac:dyDescent="0.25">
      <c r="A6886">
        <f ca="1">26659.745913935*((RANDBETWEEN(1620,2416)))</f>
        <v>49960363.842714131</v>
      </c>
      <c r="B6886">
        <v>188088878.21437377</v>
      </c>
    </row>
    <row r="6887" spans="1:2" x14ac:dyDescent="0.25">
      <c r="A6887">
        <f ca="1">26272.6184273281*((RANDBETWEEN(1620,2416)))</f>
        <v>59323572.408906847</v>
      </c>
      <c r="B6887">
        <v>155904925.74872974</v>
      </c>
    </row>
    <row r="6888" spans="1:2" x14ac:dyDescent="0.25">
      <c r="A6888">
        <f ca="1">30460.5037504515*((RANDBETWEEN(1620,2416)))</f>
        <v>56351931.938335329</v>
      </c>
      <c r="B6888">
        <v>161447333.24375293</v>
      </c>
    </row>
    <row r="6889" spans="1:2" x14ac:dyDescent="0.25">
      <c r="A6889">
        <f ca="1">26397.5890745965*((RANDBETWEEN(1620,2416)))</f>
        <v>46380564.004066087</v>
      </c>
      <c r="B6889">
        <v>180151349.69508255</v>
      </c>
    </row>
    <row r="6890" spans="1:2" x14ac:dyDescent="0.25">
      <c r="A6890">
        <f ca="1">28513.7252757761*((RANDBETWEEN(1620,2416)))</f>
        <v>59280034.848338507</v>
      </c>
      <c r="B6890">
        <v>171233061.65364492</v>
      </c>
    </row>
    <row r="6891" spans="1:2" x14ac:dyDescent="0.25">
      <c r="A6891">
        <f ca="1">29119.4372444955*((RANDBETWEEN(1620,2416)))</f>
        <v>63975403.626156636</v>
      </c>
      <c r="B6891">
        <v>194380506.13023564</v>
      </c>
    </row>
    <row r="6892" spans="1:2" x14ac:dyDescent="0.25">
      <c r="A6892">
        <f ca="1">30100.6185421703*((RANDBETWEEN(1620,2416)))</f>
        <v>64595927.391497433</v>
      </c>
      <c r="B6892">
        <v>152146708.02651373</v>
      </c>
    </row>
    <row r="6893" spans="1:2" x14ac:dyDescent="0.25">
      <c r="A6893">
        <f ca="1">27756.0857471173*((RANDBETWEEN(1620,2416)))</f>
        <v>51848368.175615162</v>
      </c>
      <c r="B6893">
        <v>162472590.06961185</v>
      </c>
    </row>
    <row r="6894" spans="1:2" x14ac:dyDescent="0.25">
      <c r="A6894">
        <f ca="1">26889.6891164509*((RANDBETWEEN(1620,2416)))</f>
        <v>50740843.362742789</v>
      </c>
      <c r="B6894">
        <v>146778090.57544363</v>
      </c>
    </row>
    <row r="6895" spans="1:2" x14ac:dyDescent="0.25">
      <c r="A6895">
        <f ca="1">25515.0820245775*((RANDBETWEEN(1620,2416)))</f>
        <v>56796572.586709574</v>
      </c>
      <c r="B6895">
        <v>158238665.9651688</v>
      </c>
    </row>
    <row r="6896" spans="1:2" x14ac:dyDescent="0.25">
      <c r="A6896">
        <f ca="1">26763.6716205748*((RANDBETWEEN(1620,2416)))</f>
        <v>64366630.247482419</v>
      </c>
      <c r="B6896">
        <v>162039899.34268874</v>
      </c>
    </row>
    <row r="6897" spans="1:2" x14ac:dyDescent="0.25">
      <c r="A6897">
        <f ca="1">25586.1633644811*((RANDBETWEEN(1620,2416)))</f>
        <v>44289648.783916831</v>
      </c>
      <c r="B6897">
        <v>149672910.70640308</v>
      </c>
    </row>
    <row r="6898" spans="1:2" x14ac:dyDescent="0.25">
      <c r="A6898">
        <f ca="1">28816.470823859*((RANDBETWEEN(1620,2416)))</f>
        <v>47835341.567605935</v>
      </c>
      <c r="B6898">
        <v>152655808.6654743</v>
      </c>
    </row>
    <row r="6899" spans="1:2" x14ac:dyDescent="0.25">
      <c r="A6899">
        <f ca="1">27539.0046764719*((RANDBETWEEN(1620,2416)))</f>
        <v>53177818.030267172</v>
      </c>
      <c r="B6899">
        <v>185452936.00415742</v>
      </c>
    </row>
    <row r="6900" spans="1:2" x14ac:dyDescent="0.25">
      <c r="A6900">
        <f ca="1">25996.9381741311*((RANDBETWEEN(1620,2416)))</f>
        <v>52929766.1225309</v>
      </c>
      <c r="B6900">
        <v>144941870.31711242</v>
      </c>
    </row>
    <row r="6901" spans="1:2" x14ac:dyDescent="0.25">
      <c r="A6901">
        <f ca="1">28683.9888478224*((RANDBETWEEN(1620,2416)))</f>
        <v>55446150.442840621</v>
      </c>
      <c r="B6901">
        <v>198790648.03507587</v>
      </c>
    </row>
    <row r="6902" spans="1:2" x14ac:dyDescent="0.25">
      <c r="A6902">
        <f ca="1">34226.1198339901*((RANDBETWEEN(1620,2416)))</f>
        <v>74852524.076936275</v>
      </c>
      <c r="B6902">
        <v>175031454.4305205</v>
      </c>
    </row>
    <row r="6903" spans="1:2" x14ac:dyDescent="0.25">
      <c r="A6903">
        <f ca="1">26938.9866380418*((RANDBETWEEN(1620,2416)))</f>
        <v>61340072.574821159</v>
      </c>
      <c r="B6903">
        <v>160558061.81889898</v>
      </c>
    </row>
    <row r="6904" spans="1:2" x14ac:dyDescent="0.25">
      <c r="A6904">
        <f ca="1">26392.4244279524*((RANDBETWEEN(1620,2416)))</f>
        <v>60174727.695731379</v>
      </c>
      <c r="B6904">
        <v>182098074.21706223</v>
      </c>
    </row>
    <row r="6905" spans="1:2" x14ac:dyDescent="0.25">
      <c r="A6905">
        <f ca="1">26443.7949997012*((RANDBETWEEN(1620,2416)))</f>
        <v>54632880.469382621</v>
      </c>
      <c r="B6905">
        <v>153090730.36689916</v>
      </c>
    </row>
    <row r="6906" spans="1:2" x14ac:dyDescent="0.25">
      <c r="A6906">
        <f ca="1">26891.0921803415*((RANDBETWEEN(1620,2416)))</f>
        <v>64807532.154622979</v>
      </c>
      <c r="B6906">
        <v>169346258.59972009</v>
      </c>
    </row>
    <row r="6907" spans="1:2" x14ac:dyDescent="0.25">
      <c r="A6907">
        <f ca="1">27888.0606484978*((RANDBETWEEN(1620,2416)))</f>
        <v>52485330.140472881</v>
      </c>
      <c r="B6907">
        <v>161784823.15785807</v>
      </c>
    </row>
    <row r="6908" spans="1:2" x14ac:dyDescent="0.25">
      <c r="A6908">
        <f ca="1">29320.1462552442*((RANDBETWEEN(1620,2416)))</f>
        <v>47997079.419834763</v>
      </c>
      <c r="B6908">
        <v>166648150.04524186</v>
      </c>
    </row>
    <row r="6909" spans="1:2" x14ac:dyDescent="0.25">
      <c r="A6909">
        <f ca="1">26010.3432968779*((RANDBETWEEN(1620,2416)))</f>
        <v>42969087.126442298</v>
      </c>
      <c r="B6909">
        <v>160894100.42072326</v>
      </c>
    </row>
    <row r="6910" spans="1:2" x14ac:dyDescent="0.25">
      <c r="A6910">
        <f ca="1">26117.5318796511*((RANDBETWEEN(1620,2416)))</f>
        <v>49597193.039457507</v>
      </c>
      <c r="B6910">
        <v>162808769.84081066</v>
      </c>
    </row>
    <row r="6911" spans="1:2" x14ac:dyDescent="0.25">
      <c r="A6911">
        <f ca="1">26437.7542677611*((RANDBETWEEN(1620,2416)))</f>
        <v>63159794.94568117</v>
      </c>
      <c r="B6911">
        <v>164667833.58148915</v>
      </c>
    </row>
    <row r="6912" spans="1:2" x14ac:dyDescent="0.25">
      <c r="A6912">
        <f ca="1">27354.0085117802*((RANDBETWEEN(1620,2416)))</f>
        <v>57990498.044973955</v>
      </c>
      <c r="B6912">
        <v>197989252.47547978</v>
      </c>
    </row>
    <row r="6913" spans="1:2" x14ac:dyDescent="0.25">
      <c r="A6913">
        <f ca="1">28848.3418461018*((RANDBETWEEN(1620,2416)))</f>
        <v>62341266.729426041</v>
      </c>
      <c r="B6913">
        <v>168797567.09599346</v>
      </c>
    </row>
    <row r="6914" spans="1:2" x14ac:dyDescent="0.25">
      <c r="A6914">
        <f ca="1">26437.8838998751*((RANDBETWEEN(1620,2416)))</f>
        <v>52056193.398854032</v>
      </c>
      <c r="B6914">
        <v>173046743.76837754</v>
      </c>
    </row>
    <row r="6915" spans="1:2" x14ac:dyDescent="0.25">
      <c r="A6915">
        <f ca="1">29161.0228120601*((RANDBETWEEN(1620,2416)))</f>
        <v>68965818.950522229</v>
      </c>
      <c r="B6915">
        <v>166345262.8933143</v>
      </c>
    </row>
    <row r="6916" spans="1:2" x14ac:dyDescent="0.25">
      <c r="A6916">
        <f ca="1">32672.2573721214*((RANDBETWEEN(1620,2416)))</f>
        <v>53811207.891883992</v>
      </c>
      <c r="B6916">
        <v>195071522.18269867</v>
      </c>
    </row>
    <row r="6917" spans="1:2" x14ac:dyDescent="0.25">
      <c r="A6917">
        <f ca="1">30101.5939300061*((RANDBETWEEN(1620,2416)))</f>
        <v>68631634.160413936</v>
      </c>
      <c r="B6917">
        <v>158713699.32593697</v>
      </c>
    </row>
    <row r="6918" spans="1:2" x14ac:dyDescent="0.25">
      <c r="A6918">
        <f ca="1">26566.6707252917*((RANDBETWEEN(1620,2416)))</f>
        <v>50237574.341526672</v>
      </c>
      <c r="B6918">
        <v>165959030.85816365</v>
      </c>
    </row>
    <row r="6919" spans="1:2" x14ac:dyDescent="0.25">
      <c r="A6919">
        <f ca="1">26689.375374807*((RANDBETWEEN(1620,2416)))</f>
        <v>62986925.884544529</v>
      </c>
      <c r="B6919">
        <v>154690263.00846317</v>
      </c>
    </row>
    <row r="6920" spans="1:2" x14ac:dyDescent="0.25">
      <c r="A6920">
        <f ca="1">28937.2245679481*((RANDBETWEEN(1620,2416)))</f>
        <v>62996337.884422913</v>
      </c>
      <c r="B6920">
        <v>179353027.11231971</v>
      </c>
    </row>
    <row r="6921" spans="1:2" x14ac:dyDescent="0.25">
      <c r="A6921">
        <f ca="1">34546.4548285768*((RANDBETWEEN(1620,2416)))</f>
        <v>61734514.778666683</v>
      </c>
      <c r="B6921">
        <v>195218413.32078281</v>
      </c>
    </row>
    <row r="6922" spans="1:2" x14ac:dyDescent="0.25">
      <c r="A6922">
        <f ca="1">29620.4359443299*((RANDBETWEEN(1620,2416)))</f>
        <v>48992201.051921621</v>
      </c>
      <c r="B6922">
        <v>153464681.69021869</v>
      </c>
    </row>
    <row r="6923" spans="1:2" x14ac:dyDescent="0.25">
      <c r="A6923">
        <f ca="1">27387.6650130143*((RANDBETWEEN(1620,2416)))</f>
        <v>61567470.949256085</v>
      </c>
      <c r="B6923">
        <v>159218165.33195534</v>
      </c>
    </row>
    <row r="6924" spans="1:2" x14ac:dyDescent="0.25">
      <c r="A6924">
        <f ca="1">27962.4883117592*((RANDBETWEEN(1620,2416)))</f>
        <v>46194030.691026129</v>
      </c>
      <c r="B6924">
        <v>172437737.41861519</v>
      </c>
    </row>
    <row r="6925" spans="1:2" x14ac:dyDescent="0.25">
      <c r="A6925">
        <f ca="1">26156.3361647414*((RANDBETWEEN(1620,2416)))</f>
        <v>62095142.05509606</v>
      </c>
      <c r="B6925">
        <v>196105387.81063247</v>
      </c>
    </row>
    <row r="6926" spans="1:2" x14ac:dyDescent="0.25">
      <c r="A6926">
        <f ca="1">29634.1603105714*((RANDBETWEEN(1620,2416)))</f>
        <v>56423441.231327921</v>
      </c>
      <c r="B6926">
        <v>179592095.02050233</v>
      </c>
    </row>
    <row r="6927" spans="1:2" x14ac:dyDescent="0.25">
      <c r="A6927">
        <f ca="1">28604.8889278004*((RANDBETWEEN(1620,2416)))</f>
        <v>61557720.972626418</v>
      </c>
      <c r="B6927">
        <v>179276969.89841455</v>
      </c>
    </row>
    <row r="6928" spans="1:2" x14ac:dyDescent="0.25">
      <c r="A6928">
        <f ca="1">27577.9577779066*((RANDBETWEEN(1620,2416)))</f>
        <v>62932899.649182849</v>
      </c>
      <c r="B6928">
        <v>154349810.34037173</v>
      </c>
    </row>
    <row r="6929" spans="1:2" x14ac:dyDescent="0.25">
      <c r="A6929">
        <f ca="1">26584.9747815755*((RANDBETWEEN(1620,2416)))</f>
        <v>50857056.757153913</v>
      </c>
      <c r="B6929">
        <v>150619720.96463987</v>
      </c>
    </row>
    <row r="6930" spans="1:2" x14ac:dyDescent="0.25">
      <c r="A6930">
        <f ca="1">25972.6219271455*((RANDBETWEEN(1620,2416)))</f>
        <v>45218334.775160275</v>
      </c>
      <c r="B6930">
        <v>203341230.18337607</v>
      </c>
    </row>
    <row r="6931" spans="1:2" x14ac:dyDescent="0.25">
      <c r="A6931">
        <f ca="1">27672.3278485159*((RANDBETWEEN(1620,2416)))</f>
        <v>59716883.497097239</v>
      </c>
      <c r="B6931">
        <v>148079816.93450201</v>
      </c>
    </row>
    <row r="6932" spans="1:2" x14ac:dyDescent="0.25">
      <c r="A6932">
        <f ca="1">28010.0507184073*((RANDBETWEEN(1620,2416)))</f>
        <v>65991679.492567487</v>
      </c>
      <c r="B6932">
        <v>168790865.99115792</v>
      </c>
    </row>
    <row r="6933" spans="1:2" x14ac:dyDescent="0.25">
      <c r="A6933">
        <f ca="1">28340.7515800974*((RANDBETWEEN(1620,2416)))</f>
        <v>66232336.442687586</v>
      </c>
      <c r="B6933">
        <v>157060097.13007766</v>
      </c>
    </row>
    <row r="6934" spans="1:2" x14ac:dyDescent="0.25">
      <c r="A6934">
        <f ca="1">27637.8360689507*((RANDBETWEEN(1620,2416)))</f>
        <v>63649936.466793351</v>
      </c>
      <c r="B6934">
        <v>193823703.27470678</v>
      </c>
    </row>
    <row r="6935" spans="1:2" x14ac:dyDescent="0.25">
      <c r="A6935">
        <f ca="1">34245.5888271531*((RANDBETWEEN(1620,2416)))</f>
        <v>74347173.343749419</v>
      </c>
      <c r="B6935">
        <v>157958771.95921063</v>
      </c>
    </row>
    <row r="6936" spans="1:2" x14ac:dyDescent="0.25">
      <c r="A6936">
        <f ca="1">27098.714344032*((RANDBETWEEN(1620,2416)))</f>
        <v>57882853.838852443</v>
      </c>
      <c r="B6936">
        <v>161187709.09347764</v>
      </c>
    </row>
    <row r="6937" spans="1:2" x14ac:dyDescent="0.25">
      <c r="A6937">
        <f ca="1">28109.8352834885*((RANDBETWEEN(1620,2416)))</f>
        <v>50878801.863114223</v>
      </c>
      <c r="B6937">
        <v>185290886.90772378</v>
      </c>
    </row>
    <row r="6938" spans="1:2" x14ac:dyDescent="0.25">
      <c r="A6938">
        <f ca="1">26157.0572264448*((RANDBETWEEN(1620,2416)))</f>
        <v>50613905.733170733</v>
      </c>
      <c r="B6938">
        <v>143905188.31591406</v>
      </c>
    </row>
    <row r="6939" spans="1:2" x14ac:dyDescent="0.25">
      <c r="A6939">
        <f ca="1">32685.5951766627*((RANDBETWEEN(1620,2416)))</f>
        <v>78053201.281870425</v>
      </c>
      <c r="B6939">
        <v>169217259.21561345</v>
      </c>
    </row>
    <row r="6940" spans="1:2" x14ac:dyDescent="0.25">
      <c r="A6940">
        <f ca="1">28049.4851993424*((RANDBETWEEN(1620,2416)))</f>
        <v>49703687.77323477</v>
      </c>
      <c r="B6940">
        <v>198980392.03679731</v>
      </c>
    </row>
    <row r="6941" spans="1:2" x14ac:dyDescent="0.25">
      <c r="A6941">
        <f ca="1">26264.4330880082*((RANDBETWEEN(1620,2416)))</f>
        <v>46776955.329742596</v>
      </c>
      <c r="B6941">
        <v>159042177.84658077</v>
      </c>
    </row>
    <row r="6942" spans="1:2" x14ac:dyDescent="0.25">
      <c r="A6942">
        <f ca="1">26907.8804451741*((RANDBETWEEN(1620,2416)))</f>
        <v>63906216.057288386</v>
      </c>
      <c r="B6942">
        <v>177106635.55036676</v>
      </c>
    </row>
    <row r="6943" spans="1:2" x14ac:dyDescent="0.25">
      <c r="A6943">
        <f ca="1">31044.7301415101*((RANDBETWEEN(1620,2416)))</f>
        <v>69912732.278680697</v>
      </c>
      <c r="B6943">
        <v>165066604.2955105</v>
      </c>
    </row>
    <row r="6944" spans="1:2" x14ac:dyDescent="0.25">
      <c r="A6944">
        <f ca="1">29077.4998710895*((RANDBETWEEN(1620,2416)))</f>
        <v>68622899.695771202</v>
      </c>
      <c r="B6944">
        <v>187139559.98152015</v>
      </c>
    </row>
    <row r="6945" spans="1:2" x14ac:dyDescent="0.25">
      <c r="A6945">
        <f ca="1">30158.6572774061*((RANDBETWEEN(1620,2416)))</f>
        <v>51872890.517138407</v>
      </c>
      <c r="B6945">
        <v>144834624.46342039</v>
      </c>
    </row>
    <row r="6946" spans="1:2" x14ac:dyDescent="0.25">
      <c r="A6946">
        <f ca="1">25777.2575499272*((RANDBETWEEN(1620,2416)))</f>
        <v>44233773.955675103</v>
      </c>
      <c r="B6946">
        <v>151508615.74423933</v>
      </c>
    </row>
    <row r="6947" spans="1:2" x14ac:dyDescent="0.25">
      <c r="A6947">
        <f ca="1">29071.1263120303*((RANDBETWEEN(1620,2416)))</f>
        <v>55380495.624417707</v>
      </c>
      <c r="B6947">
        <v>154631598.23649132</v>
      </c>
    </row>
    <row r="6948" spans="1:2" x14ac:dyDescent="0.25">
      <c r="A6948">
        <f ca="1">25885.3922002352*((RANDBETWEEN(1620,2416)))</f>
        <v>43254490.366592959</v>
      </c>
      <c r="B6948">
        <v>162084723.95815027</v>
      </c>
    </row>
    <row r="6949" spans="1:2" x14ac:dyDescent="0.25">
      <c r="A6949">
        <f ca="1">29313.1242234226*((RANDBETWEEN(1620,2416)))</f>
        <v>69266912.539947629</v>
      </c>
      <c r="B6949">
        <v>173539221.48808238</v>
      </c>
    </row>
    <row r="6950" spans="1:2" x14ac:dyDescent="0.25">
      <c r="A6950">
        <f ca="1">26863.6425027356*((RANDBETWEEN(1620,2416)))</f>
        <v>61356559.476248212</v>
      </c>
      <c r="B6950">
        <v>151437314.37593824</v>
      </c>
    </row>
    <row r="6951" spans="1:2" x14ac:dyDescent="0.25">
      <c r="A6951">
        <f ca="1">27835.2771960809*((RANDBETWEEN(1620,2416)))</f>
        <v>47681829.836886607</v>
      </c>
      <c r="B6951">
        <v>155232152.44821313</v>
      </c>
    </row>
    <row r="6952" spans="1:2" x14ac:dyDescent="0.25">
      <c r="A6952">
        <f ca="1">27329.4023676665*((RANDBETWEEN(1620,2416)))</f>
        <v>47443842.510269061</v>
      </c>
      <c r="B6952">
        <v>156826508.96800002</v>
      </c>
    </row>
    <row r="6953" spans="1:2" x14ac:dyDescent="0.25">
      <c r="A6953">
        <f ca="1">27487.0402508529*((RANDBETWEEN(1620,2416)))</f>
        <v>50136361.417555764</v>
      </c>
      <c r="B6953">
        <v>171033498.02675086</v>
      </c>
    </row>
    <row r="6954" spans="1:2" x14ac:dyDescent="0.25">
      <c r="A6954">
        <f ca="1">27086.7699760388*((RANDBETWEEN(1620,2416)))</f>
        <v>57748993.588914774</v>
      </c>
      <c r="B6954">
        <v>201542818.95844802</v>
      </c>
    </row>
    <row r="6955" spans="1:2" x14ac:dyDescent="0.25">
      <c r="A6955">
        <f ca="1">28221.875529894*((RANDBETWEEN(1620,2416)))</f>
        <v>67704279.396215707</v>
      </c>
      <c r="B6955">
        <v>186736326.2221314</v>
      </c>
    </row>
    <row r="6956" spans="1:2" x14ac:dyDescent="0.25">
      <c r="A6956">
        <f ca="1">28637.5500119256*((RANDBETWEEN(1620,2416)))</f>
        <v>54984096.022897139</v>
      </c>
      <c r="B6956">
        <v>177842873.64892581</v>
      </c>
    </row>
    <row r="6957" spans="1:2" x14ac:dyDescent="0.25">
      <c r="A6957">
        <f ca="1">26685.1443364773*((RANDBETWEEN(1620,2416)))</f>
        <v>52889956.074897975</v>
      </c>
      <c r="B6957">
        <v>170210260.05265531</v>
      </c>
    </row>
    <row r="6958" spans="1:2" x14ac:dyDescent="0.25">
      <c r="A6958">
        <f ca="1">27055.3247981338*((RANDBETWEEN(1620,2416)))</f>
        <v>62497800.283689067</v>
      </c>
      <c r="B6958">
        <v>183754245.71905315</v>
      </c>
    </row>
    <row r="6959" spans="1:2" x14ac:dyDescent="0.25">
      <c r="A6959">
        <f ca="1">26844.1290133057*((RANDBETWEEN(1620,2416)))</f>
        <v>58278604.087886661</v>
      </c>
      <c r="B6959">
        <v>173174436.37692738</v>
      </c>
    </row>
    <row r="6960" spans="1:2" x14ac:dyDescent="0.25">
      <c r="A6960">
        <f ca="1">27178.1577844042*((RANDBETWEEN(1620,2416)))</f>
        <v>61667240.012813076</v>
      </c>
      <c r="B6960">
        <v>171220535.33473077</v>
      </c>
    </row>
    <row r="6961" spans="1:2" x14ac:dyDescent="0.25">
      <c r="A6961">
        <f ca="1">27033.7097671027*((RANDBETWEEN(1620,2416)))</f>
        <v>61312453.751788899</v>
      </c>
      <c r="B6961">
        <v>154043368.69196874</v>
      </c>
    </row>
    <row r="6962" spans="1:2" x14ac:dyDescent="0.25">
      <c r="A6962">
        <f ca="1">26498.7754263031*((RANDBETWEEN(1620,2416)))</f>
        <v>48996235.763234437</v>
      </c>
      <c r="B6962">
        <v>144287202.49157971</v>
      </c>
    </row>
    <row r="6963" spans="1:2" x14ac:dyDescent="0.25">
      <c r="A6963">
        <f ca="1">28490.6919387524*((RANDBETWEEN(1620,2416)))</f>
        <v>54559675.062710881</v>
      </c>
      <c r="B6963">
        <v>202250706.58836985</v>
      </c>
    </row>
    <row r="6964" spans="1:2" x14ac:dyDescent="0.25">
      <c r="A6964">
        <f ca="1">27084.2917312149*((RANDBETWEEN(1620,2416)))</f>
        <v>55766556.674571425</v>
      </c>
      <c r="B6964">
        <v>151425500.481646</v>
      </c>
    </row>
    <row r="6965" spans="1:2" x14ac:dyDescent="0.25">
      <c r="A6965">
        <f ca="1">26166.7205419699*((RANDBETWEEN(1620,2416)))</f>
        <v>51155938.659551077</v>
      </c>
      <c r="B6965">
        <v>164002597.06515554</v>
      </c>
    </row>
    <row r="6966" spans="1:2" x14ac:dyDescent="0.25">
      <c r="A6966">
        <f ca="1">30259.557996998*((RANDBETWEEN(1620,2416)))</f>
        <v>65209347.48353067</v>
      </c>
      <c r="B6966">
        <v>177718893.94884396</v>
      </c>
    </row>
    <row r="6967" spans="1:2" x14ac:dyDescent="0.25">
      <c r="A6967">
        <f ca="1">25976.1402466141*((RANDBETWEEN(1620,2416)))</f>
        <v>62394688.872367129</v>
      </c>
      <c r="B6967">
        <v>147159860.891076</v>
      </c>
    </row>
    <row r="6968" spans="1:2" x14ac:dyDescent="0.25">
      <c r="A6968">
        <f ca="1">29309.1634949492*((RANDBETWEEN(1620,2416)))</f>
        <v>64509468.852383211</v>
      </c>
      <c r="B6968">
        <v>170802333.99239102</v>
      </c>
    </row>
    <row r="6969" spans="1:2" x14ac:dyDescent="0.25">
      <c r="A6969">
        <f ca="1">24998.3069301705*((RANDBETWEEN(1620,2416)))</f>
        <v>48921686.662343673</v>
      </c>
      <c r="B6969">
        <v>148144616.47428578</v>
      </c>
    </row>
    <row r="6970" spans="1:2" x14ac:dyDescent="0.25">
      <c r="A6970">
        <f ca="1">27642.2066325641*((RANDBETWEEN(1620,2416)))</f>
        <v>65373818.686014138</v>
      </c>
      <c r="B6970">
        <v>158526417.83426443</v>
      </c>
    </row>
    <row r="6971" spans="1:2" x14ac:dyDescent="0.25">
      <c r="A6971">
        <f ca="1">30082.2087261011*((RANDBETWEEN(1620,2416)))</f>
        <v>54749619.881504059</v>
      </c>
      <c r="B6971">
        <v>199553101.27182493</v>
      </c>
    </row>
    <row r="6972" spans="1:2" x14ac:dyDescent="0.25">
      <c r="A6972">
        <f ca="1">31166.7752377664*((RANDBETWEEN(1620,2416)))</f>
        <v>62614051.452672601</v>
      </c>
      <c r="B6972">
        <v>169983785.23800492</v>
      </c>
    </row>
    <row r="6973" spans="1:2" x14ac:dyDescent="0.25">
      <c r="A6973">
        <f ca="1">28438.3306453701*((RANDBETWEEN(1620,2416)))</f>
        <v>46781053.911633864</v>
      </c>
      <c r="B6973">
        <v>155365069.77132675</v>
      </c>
    </row>
    <row r="6974" spans="1:2" x14ac:dyDescent="0.25">
      <c r="A6974">
        <f ca="1">26302.1709174815*((RANDBETWEEN(1620,2416)))</f>
        <v>45423849.174490549</v>
      </c>
      <c r="B6974">
        <v>151662034.46029338</v>
      </c>
    </row>
    <row r="6975" spans="1:2" x14ac:dyDescent="0.25">
      <c r="A6975">
        <f ca="1">25536.8115162746*((RANDBETWEEN(1620,2416)))</f>
        <v>52937810.273237184</v>
      </c>
      <c r="B6975">
        <v>152508782.75685176</v>
      </c>
    </row>
    <row r="6976" spans="1:2" x14ac:dyDescent="0.25">
      <c r="A6976">
        <f ca="1">27304.7987507902*((RANDBETWEEN(1620,2416)))</f>
        <v>52589042.394021854</v>
      </c>
      <c r="B6976">
        <v>160864223.92286503</v>
      </c>
    </row>
    <row r="6977" spans="1:2" x14ac:dyDescent="0.25">
      <c r="A6977">
        <f ca="1">27972.4777884272*((RANDBETWEEN(1620,2416)))</f>
        <v>62182818.123673715</v>
      </c>
      <c r="B6977">
        <v>185771333.88587588</v>
      </c>
    </row>
    <row r="6978" spans="1:2" x14ac:dyDescent="0.25">
      <c r="A6978">
        <f ca="1">28369.0123361653*((RANDBETWEEN(1620,2416)))</f>
        <v>60425996.276032008</v>
      </c>
      <c r="B6978">
        <v>146436949.4395197</v>
      </c>
    </row>
    <row r="6979" spans="1:2" x14ac:dyDescent="0.25">
      <c r="A6979">
        <f ca="1">32774.8794393786*((RANDBETWEEN(1620,2416)))</f>
        <v>66106931.829226539</v>
      </c>
      <c r="B6979">
        <v>144028589.35434246</v>
      </c>
    </row>
    <row r="6980" spans="1:2" x14ac:dyDescent="0.25">
      <c r="A6980">
        <f ca="1">29760.9460802344*((RANDBETWEEN(1620,2416)))</f>
        <v>64015795.018584251</v>
      </c>
      <c r="B6980">
        <v>182651636.03332683</v>
      </c>
    </row>
    <row r="6981" spans="1:2" x14ac:dyDescent="0.25">
      <c r="A6981">
        <f ca="1">30471.0917554951*((RANDBETWEEN(1620,2416)))</f>
        <v>58260727.436506711</v>
      </c>
      <c r="B6981">
        <v>165474557.3029466</v>
      </c>
    </row>
    <row r="6982" spans="1:2" x14ac:dyDescent="0.25">
      <c r="A6982">
        <f ca="1">28952.29430596*((RANDBETWEEN(1620,2416)))</f>
        <v>68530080.622207209</v>
      </c>
      <c r="B6982">
        <v>154072357.00087142</v>
      </c>
    </row>
    <row r="6983" spans="1:2" x14ac:dyDescent="0.25">
      <c r="A6983">
        <f ca="1">26973.2335713338*((RANDBETWEEN(1620,2416)))</f>
        <v>62955527.155493192</v>
      </c>
      <c r="B6983">
        <v>165123950.69138992</v>
      </c>
    </row>
    <row r="6984" spans="1:2" x14ac:dyDescent="0.25">
      <c r="A6984">
        <f ca="1">28543.0471060636*((RANDBETWEEN(1620,2416)))</f>
        <v>60796690.335915439</v>
      </c>
      <c r="B6984">
        <v>163954961.19967002</v>
      </c>
    </row>
    <row r="6985" spans="1:2" x14ac:dyDescent="0.25">
      <c r="A6985">
        <f ca="1">31779.6426734071*((RANDBETWEEN(1620,2416)))</f>
        <v>56535984.315991186</v>
      </c>
      <c r="B6985">
        <v>197391395.80655849</v>
      </c>
    </row>
    <row r="6986" spans="1:2" x14ac:dyDescent="0.25">
      <c r="A6986">
        <f ca="1">31038.7961782495*((RANDBETWEEN(1620,2416)))</f>
        <v>55590483.955244839</v>
      </c>
      <c r="B6986">
        <v>181511165.45733729</v>
      </c>
    </row>
    <row r="6987" spans="1:2" x14ac:dyDescent="0.25">
      <c r="A6987">
        <f ca="1">26209.2162320902*((RANDBETWEEN(1620,2416)))</f>
        <v>61408193.631787442</v>
      </c>
      <c r="B6987">
        <v>159954775.33958831</v>
      </c>
    </row>
    <row r="6988" spans="1:2" x14ac:dyDescent="0.25">
      <c r="A6988">
        <f ca="1">30178.2872629509*((RANDBETWEEN(1620,2416)))</f>
        <v>64370286.731874213</v>
      </c>
      <c r="B6988">
        <v>158885446.21986017</v>
      </c>
    </row>
    <row r="6989" spans="1:2" x14ac:dyDescent="0.25">
      <c r="A6989">
        <f ca="1">28317.0509803563*((RANDBETWEEN(1620,2416)))</f>
        <v>51083959.968562722</v>
      </c>
      <c r="B6989">
        <v>178064642.93472832</v>
      </c>
    </row>
    <row r="6990" spans="1:2" x14ac:dyDescent="0.25">
      <c r="A6990">
        <f ca="1">25921.800996828*((RANDBETWEEN(1620,2416)))</f>
        <v>56535447.974081889</v>
      </c>
      <c r="B6990">
        <v>148956438.3408553</v>
      </c>
    </row>
    <row r="6991" spans="1:2" x14ac:dyDescent="0.25">
      <c r="A6991">
        <f ca="1">28974.888485674*((RANDBETWEEN(1620,2416)))</f>
        <v>54588689.90700987</v>
      </c>
      <c r="B6991">
        <v>163809753.51020133</v>
      </c>
    </row>
    <row r="6992" spans="1:2" x14ac:dyDescent="0.25">
      <c r="A6992">
        <f ca="1">32014.3969071018*((RANDBETWEEN(1620,2416)))</f>
        <v>64412966.577088825</v>
      </c>
      <c r="B6992">
        <v>193987217.55575114</v>
      </c>
    </row>
    <row r="6993" spans="1:2" x14ac:dyDescent="0.25">
      <c r="A6993">
        <f ca="1">25710.5031732561*((RANDBETWEEN(1620,2416)))</f>
        <v>61268129.061869383</v>
      </c>
      <c r="B6993">
        <v>174375234.27528441</v>
      </c>
    </row>
    <row r="6994" spans="1:2" x14ac:dyDescent="0.25">
      <c r="A6994">
        <f ca="1">26459.1989995519*((RANDBETWEEN(1620,2416)))</f>
        <v>58395452.192011073</v>
      </c>
      <c r="B6994">
        <v>152275256.70832974</v>
      </c>
    </row>
    <row r="6995" spans="1:2" x14ac:dyDescent="0.25">
      <c r="A6995">
        <f ca="1">26327.7216610864*((RANDBETWEEN(1620,2416)))</f>
        <v>43967295.174014367</v>
      </c>
      <c r="B6995">
        <v>152548406.37584493</v>
      </c>
    </row>
    <row r="6996" spans="1:2" x14ac:dyDescent="0.25">
      <c r="A6996">
        <f ca="1">28112.5336705459*((RANDBETWEEN(1620,2416)))</f>
        <v>61172873.267107852</v>
      </c>
      <c r="B6996">
        <v>191952662.37190908</v>
      </c>
    </row>
    <row r="6997" spans="1:2" x14ac:dyDescent="0.25">
      <c r="A6997">
        <f ca="1">27165.6058613236*((RANDBETWEEN(1620,2416)))</f>
        <v>64817135.585118189</v>
      </c>
      <c r="B6997">
        <v>164279631.93238586</v>
      </c>
    </row>
    <row r="6998" spans="1:2" x14ac:dyDescent="0.25">
      <c r="A6998">
        <f ca="1">27401.2213571491*((RANDBETWEEN(1620,2416)))</f>
        <v>61488340.725442544</v>
      </c>
      <c r="B6998">
        <v>144051710.97389618</v>
      </c>
    </row>
    <row r="6999" spans="1:2" x14ac:dyDescent="0.25">
      <c r="A6999">
        <f ca="1">27753.6136695863*((RANDBETWEEN(1620,2416)))</f>
        <v>57449980.296043582</v>
      </c>
      <c r="B6999">
        <v>173546321.85750249</v>
      </c>
    </row>
    <row r="7000" spans="1:2" x14ac:dyDescent="0.25">
      <c r="A7000">
        <f ca="1">28907.5103379472*((RANDBETWEEN(1620,2416)))</f>
        <v>49316212.636537924</v>
      </c>
      <c r="B7000">
        <v>202284366.12402558</v>
      </c>
    </row>
    <row r="7001" spans="1:2" x14ac:dyDescent="0.25">
      <c r="A7001">
        <f ca="1">28494.4214720209*((RANDBETWEEN(1620,2416)))</f>
        <v>64853303.270319492</v>
      </c>
      <c r="B7001">
        <v>144249916.05102092</v>
      </c>
    </row>
    <row r="7002" spans="1:2" x14ac:dyDescent="0.25">
      <c r="A7002">
        <f ca="1">26539.7782134849*((RANDBETWEEN(1620,2416)))</f>
        <v>55468136.466183402</v>
      </c>
      <c r="B7002">
        <v>171367067.48617506</v>
      </c>
    </row>
    <row r="7003" spans="1:2" x14ac:dyDescent="0.25">
      <c r="A7003">
        <f ca="1">26914.593182297*((RANDBETWEEN(1620,2416)))</f>
        <v>61338357.862454943</v>
      </c>
      <c r="B7003">
        <v>177722617.62656495</v>
      </c>
    </row>
    <row r="7004" spans="1:2" x14ac:dyDescent="0.25">
      <c r="A7004">
        <f ca="1">30211.6772781094*((RANDBETWEEN(1620,2416)))</f>
        <v>55257157.741662093</v>
      </c>
      <c r="B7004">
        <v>171679117.55562943</v>
      </c>
    </row>
    <row r="7005" spans="1:2" x14ac:dyDescent="0.25">
      <c r="A7005">
        <f ca="1">25884.1923008273*((RANDBETWEEN(1620,2416)))</f>
        <v>43407790.488487326</v>
      </c>
      <c r="B7005">
        <v>159748565.65123922</v>
      </c>
    </row>
    <row r="7006" spans="1:2" x14ac:dyDescent="0.25">
      <c r="A7006">
        <f ca="1">27164.3213774994*((RANDBETWEEN(1620,2416)))</f>
        <v>49547722.192558892</v>
      </c>
      <c r="B7006">
        <v>148385138.31942141</v>
      </c>
    </row>
    <row r="7007" spans="1:2" x14ac:dyDescent="0.25">
      <c r="A7007">
        <f ca="1">32361.8751395128*((RANDBETWEEN(1620,2416)))</f>
        <v>55306444.613427326</v>
      </c>
      <c r="B7007">
        <v>172328000.57622439</v>
      </c>
    </row>
    <row r="7008" spans="1:2" x14ac:dyDescent="0.25">
      <c r="A7008">
        <f ca="1">27171.6545437477*((RANDBETWEEN(1620,2416)))</f>
        <v>56870272.960063986</v>
      </c>
      <c r="B7008">
        <v>152966009.52589649</v>
      </c>
    </row>
    <row r="7009" spans="1:2" x14ac:dyDescent="0.25">
      <c r="A7009">
        <f ca="1">32139.7292581879*((RANDBETWEEN(1620,2416)))</f>
        <v>75464084.298225299</v>
      </c>
      <c r="B7009">
        <v>199423778.17170015</v>
      </c>
    </row>
    <row r="7010" spans="1:2" x14ac:dyDescent="0.25">
      <c r="A7010">
        <f ca="1">27078.3045675826*((RANDBETWEEN(1620,2416)))</f>
        <v>62659196.769386128</v>
      </c>
      <c r="B7010">
        <v>144680622.29383636</v>
      </c>
    </row>
    <row r="7011" spans="1:2" x14ac:dyDescent="0.25">
      <c r="A7011">
        <f ca="1">26515.8408958578*((RANDBETWEEN(1620,2416)))</f>
        <v>47622450.248960629</v>
      </c>
      <c r="B7011">
        <v>146626417.27367347</v>
      </c>
    </row>
    <row r="7012" spans="1:2" x14ac:dyDescent="0.25">
      <c r="A7012">
        <f ca="1">30039.4760837475*((RANDBETWEEN(1620,2416)))</f>
        <v>56834688.750450246</v>
      </c>
      <c r="B7012">
        <v>183113274.96697766</v>
      </c>
    </row>
    <row r="7013" spans="1:2" x14ac:dyDescent="0.25">
      <c r="A7013">
        <f ca="1">24355.0507491214*((RANDBETWEEN(1620,2416)))</f>
        <v>46712987.336814851</v>
      </c>
      <c r="B7013">
        <v>149823706.40238491</v>
      </c>
    </row>
    <row r="7014" spans="1:2" x14ac:dyDescent="0.25">
      <c r="A7014">
        <f ca="1">25886.0530896287*((RANDBETWEEN(1620,2416)))</f>
        <v>49183500.870294601</v>
      </c>
      <c r="B7014">
        <v>160665070.65169358</v>
      </c>
    </row>
    <row r="7015" spans="1:2" x14ac:dyDescent="0.25">
      <c r="A7015">
        <f ca="1">28386.5487124445*((RANDBETWEEN(1620,2416)))</f>
        <v>47235217.057507619</v>
      </c>
      <c r="B7015">
        <v>147251117.88026783</v>
      </c>
    </row>
    <row r="7016" spans="1:2" x14ac:dyDescent="0.25">
      <c r="A7016">
        <f ca="1">27394.9635491108*((RANDBETWEEN(1620,2416)))</f>
        <v>62542701.78262005</v>
      </c>
      <c r="B7016">
        <v>169143441.864636</v>
      </c>
    </row>
    <row r="7017" spans="1:2" x14ac:dyDescent="0.25">
      <c r="A7017">
        <f ca="1">29850.0974812897*((RANDBETWEEN(1620,2416)))</f>
        <v>57968889.308664687</v>
      </c>
      <c r="B7017">
        <v>200634375.81388581</v>
      </c>
    </row>
    <row r="7018" spans="1:2" x14ac:dyDescent="0.25">
      <c r="A7018">
        <f ca="1">29184.6209265601*((RANDBETWEEN(1620,2416)))</f>
        <v>50109994.130903728</v>
      </c>
      <c r="B7018">
        <v>146182962.57886302</v>
      </c>
    </row>
    <row r="7019" spans="1:2" x14ac:dyDescent="0.25">
      <c r="A7019">
        <f ca="1">28622.2636022746*((RANDBETWEEN(1620,2416)))</f>
        <v>53122921.245821588</v>
      </c>
      <c r="B7019">
        <v>192455469.12878859</v>
      </c>
    </row>
    <row r="7020" spans="1:2" x14ac:dyDescent="0.25">
      <c r="A7020">
        <f ca="1">30821.417838274*((RANDBETWEEN(1620,2416)))</f>
        <v>54708016.662936293</v>
      </c>
      <c r="B7020">
        <v>203586811.17293325</v>
      </c>
    </row>
    <row r="7021" spans="1:2" x14ac:dyDescent="0.25">
      <c r="A7021">
        <f ca="1">26254.116455136*((RANDBETWEEN(1620,2416)))</f>
        <v>48990181.305283681</v>
      </c>
      <c r="B7021">
        <v>152823707.67980707</v>
      </c>
    </row>
    <row r="7022" spans="1:2" x14ac:dyDescent="0.25">
      <c r="A7022">
        <f ca="1">26645.1730459326*((RANDBETWEEN(1620,2416)))</f>
        <v>62829318.04230918</v>
      </c>
      <c r="B7022">
        <v>188695695.23239091</v>
      </c>
    </row>
    <row r="7023" spans="1:2" x14ac:dyDescent="0.25">
      <c r="A7023">
        <f ca="1">33010.2272713366*((RANDBETWEEN(1620,2416)))</f>
        <v>59649480.679305308</v>
      </c>
      <c r="B7023">
        <v>167878587.93998703</v>
      </c>
    </row>
    <row r="7024" spans="1:2" x14ac:dyDescent="0.25">
      <c r="A7024">
        <f ca="1">26895.9351386292*((RANDBETWEEN(1620,2416)))</f>
        <v>56642839.401953153</v>
      </c>
      <c r="B7024">
        <v>190292623.53618231</v>
      </c>
    </row>
    <row r="7025" spans="1:2" x14ac:dyDescent="0.25">
      <c r="A7025">
        <f ca="1">25728.6478489337*((RANDBETWEEN(1620,2416)))</f>
        <v>48035385.533959232</v>
      </c>
      <c r="B7025">
        <v>161460728.77827758</v>
      </c>
    </row>
    <row r="7026" spans="1:2" x14ac:dyDescent="0.25">
      <c r="A7026">
        <f ca="1">29749.5972895601*((RANDBETWEEN(1620,2416)))</f>
        <v>64794622.896661915</v>
      </c>
      <c r="B7026">
        <v>161930055.9868553</v>
      </c>
    </row>
    <row r="7027" spans="1:2" x14ac:dyDescent="0.25">
      <c r="A7027">
        <f ca="1">26401.7383406466*((RANDBETWEEN(1620,2416)))</f>
        <v>50110499.37054722</v>
      </c>
      <c r="B7027">
        <v>180805207.96809903</v>
      </c>
    </row>
    <row r="7028" spans="1:2" x14ac:dyDescent="0.25">
      <c r="A7028">
        <f ca="1">25873.4420160319*((RANDBETWEEN(1620,2416)))</f>
        <v>49677008.670781322</v>
      </c>
      <c r="B7028">
        <v>167526547.1220817</v>
      </c>
    </row>
    <row r="7029" spans="1:2" x14ac:dyDescent="0.25">
      <c r="A7029">
        <f ca="1">28487.7425519438*((RANDBETWEEN(1620,2416)))</f>
        <v>58456847.716588646</v>
      </c>
      <c r="B7029">
        <v>174097055.13552463</v>
      </c>
    </row>
    <row r="7030" spans="1:2" x14ac:dyDescent="0.25">
      <c r="A7030">
        <f ca="1">26946.920140973*((RANDBETWEEN(1620,2416)))</f>
        <v>65103759.060590804</v>
      </c>
      <c r="B7030">
        <v>147341868.32232484</v>
      </c>
    </row>
    <row r="7031" spans="1:2" x14ac:dyDescent="0.25">
      <c r="A7031">
        <f ca="1">31722.9837500688*((RANDBETWEEN(1620,2416)))</f>
        <v>68648536.835148856</v>
      </c>
      <c r="B7031">
        <v>187793606.76807928</v>
      </c>
    </row>
    <row r="7032" spans="1:2" x14ac:dyDescent="0.25">
      <c r="A7032">
        <f ca="1">27924.9697044737*((RANDBETWEEN(1620,2416)))</f>
        <v>59368485.591711096</v>
      </c>
      <c r="B7032">
        <v>145677449.11787081</v>
      </c>
    </row>
    <row r="7033" spans="1:2" x14ac:dyDescent="0.25">
      <c r="A7033">
        <f ca="1">28880.1237500824*((RANDBETWEEN(1620,2416)))</f>
        <v>54005831.41265405</v>
      </c>
      <c r="B7033">
        <v>155873353.5670014</v>
      </c>
    </row>
    <row r="7034" spans="1:2" x14ac:dyDescent="0.25">
      <c r="A7034">
        <f ca="1">27595.6220820023*((RANDBETWEEN(1620,2416)))</f>
        <v>50113649.700916208</v>
      </c>
      <c r="B7034">
        <v>168430626.75289029</v>
      </c>
    </row>
    <row r="7035" spans="1:2" x14ac:dyDescent="0.25">
      <c r="A7035">
        <f ca="1">30844.1889105627*((RANDBETWEEN(1620,2416)))</f>
        <v>62922145.37754795</v>
      </c>
      <c r="B7035">
        <v>185492933.27783138</v>
      </c>
    </row>
    <row r="7036" spans="1:2" x14ac:dyDescent="0.25">
      <c r="A7036">
        <f ca="1">25495.8742469992*((RANDBETWEEN(1620,2416)))</f>
        <v>55631997.606952228</v>
      </c>
      <c r="B7036">
        <v>168653327.6466915</v>
      </c>
    </row>
    <row r="7037" spans="1:2" x14ac:dyDescent="0.25">
      <c r="A7037">
        <f ca="1">27896.1648022833*((RANDBETWEEN(1620,2416)))</f>
        <v>62571097.651521549</v>
      </c>
      <c r="B7037">
        <v>149609213.73874426</v>
      </c>
    </row>
    <row r="7038" spans="1:2" x14ac:dyDescent="0.25">
      <c r="A7038">
        <f ca="1">31089.7089047908*((RANDBETWEEN(1620,2416)))</f>
        <v>67651206.576824695</v>
      </c>
      <c r="B7038">
        <v>188207970.21719614</v>
      </c>
    </row>
    <row r="7039" spans="1:2" x14ac:dyDescent="0.25">
      <c r="A7039">
        <f ca="1">27991.8978839741*((RANDBETWEEN(1620,2416)))</f>
        <v>55703876.789108463</v>
      </c>
      <c r="B7039">
        <v>183125706.07107979</v>
      </c>
    </row>
    <row r="7040" spans="1:2" x14ac:dyDescent="0.25">
      <c r="A7040">
        <f ca="1">26707.764389202*((RANDBETWEEN(1620,2416)))</f>
        <v>57982556.48895745</v>
      </c>
      <c r="B7040">
        <v>183560158.20647377</v>
      </c>
    </row>
    <row r="7041" spans="1:2" x14ac:dyDescent="0.25">
      <c r="A7041">
        <f ca="1">30160.9995480564*((RANDBETWEEN(1620,2416)))</f>
        <v>61860210.073063672</v>
      </c>
      <c r="B7041">
        <v>145471158.17552781</v>
      </c>
    </row>
    <row r="7042" spans="1:2" x14ac:dyDescent="0.25">
      <c r="A7042">
        <f ca="1">29067.0997100504*((RANDBETWEEN(1620,2416)))</f>
        <v>50315149.598097242</v>
      </c>
      <c r="B7042">
        <v>183599814.5407145</v>
      </c>
    </row>
    <row r="7043" spans="1:2" x14ac:dyDescent="0.25">
      <c r="A7043">
        <f ca="1">27257.7653003916*((RANDBETWEEN(1620,2416)))</f>
        <v>48954946.479503319</v>
      </c>
      <c r="B7043">
        <v>172557283.39739788</v>
      </c>
    </row>
    <row r="7044" spans="1:2" x14ac:dyDescent="0.25">
      <c r="A7044">
        <f ca="1">26866.0967496077*((RANDBETWEEN(1620,2416)))</f>
        <v>52173959.887738101</v>
      </c>
      <c r="B7044">
        <v>192552201.7032842</v>
      </c>
    </row>
    <row r="7045" spans="1:2" x14ac:dyDescent="0.25">
      <c r="A7045">
        <f ca="1">26653.7264218335*((RANDBETWEEN(1620,2416)))</f>
        <v>54773407.796867892</v>
      </c>
      <c r="B7045">
        <v>168384739.67461318</v>
      </c>
    </row>
    <row r="7046" spans="1:2" x14ac:dyDescent="0.25">
      <c r="A7046">
        <f ca="1">26684.4586120029*((RANDBETWEEN(1620,2416)))</f>
        <v>64416283.089375108</v>
      </c>
      <c r="B7046">
        <v>175329419.30533895</v>
      </c>
    </row>
    <row r="7047" spans="1:2" x14ac:dyDescent="0.25">
      <c r="A7047">
        <f ca="1">28537.3259106804*((RANDBETWEEN(1620,2416)))</f>
        <v>57388562.406378329</v>
      </c>
      <c r="B7047">
        <v>188322404.4232296</v>
      </c>
    </row>
    <row r="7048" spans="1:2" x14ac:dyDescent="0.25">
      <c r="A7048">
        <f ca="1">27907.2026959314*((RANDBETWEEN(1620,2416)))</f>
        <v>58186517.621017016</v>
      </c>
      <c r="B7048">
        <v>177204310.29180962</v>
      </c>
    </row>
    <row r="7049" spans="1:2" x14ac:dyDescent="0.25">
      <c r="A7049">
        <f ca="1">31122.0416583202*((RANDBETWEEN(1620,2416)))</f>
        <v>61995106.983373791</v>
      </c>
      <c r="B7049">
        <v>172192152.17776173</v>
      </c>
    </row>
    <row r="7050" spans="1:2" x14ac:dyDescent="0.25">
      <c r="A7050">
        <f ca="1">29021.799355662*((RANDBETWEEN(1620,2416)))</f>
        <v>51165432.264032178</v>
      </c>
      <c r="B7050">
        <v>160036726.66686726</v>
      </c>
    </row>
    <row r="7051" spans="1:2" x14ac:dyDescent="0.25">
      <c r="A7051">
        <f ca="1">28590.7726569494*((RANDBETWEEN(1620,2416)))</f>
        <v>48804448.925412677</v>
      </c>
      <c r="B7051">
        <v>184528429.57961231</v>
      </c>
    </row>
    <row r="7052" spans="1:2" x14ac:dyDescent="0.25">
      <c r="A7052">
        <f ca="1">30344.1455302455*((RANDBETWEEN(1620,2416)))</f>
        <v>65968172.382753693</v>
      </c>
      <c r="B7052">
        <v>196665291.10369945</v>
      </c>
    </row>
    <row r="7053" spans="1:2" x14ac:dyDescent="0.25">
      <c r="A7053">
        <f ca="1">27327.1688919384*((RANDBETWEEN(1620,2416)))</f>
        <v>59245302.157722443</v>
      </c>
      <c r="B7053">
        <v>169086191.007269</v>
      </c>
    </row>
    <row r="7054" spans="1:2" x14ac:dyDescent="0.25">
      <c r="A7054">
        <f ca="1">25588.7383403612*((RANDBETWEEN(1620,2416)))</f>
        <v>48644191.585026786</v>
      </c>
      <c r="B7054">
        <v>189101429.03860638</v>
      </c>
    </row>
    <row r="7055" spans="1:2" x14ac:dyDescent="0.25">
      <c r="A7055">
        <f ca="1">29059.6312701892*((RANDBETWEEN(1620,2416)))</f>
        <v>49459492.421861991</v>
      </c>
      <c r="B7055">
        <v>159248463.07401916</v>
      </c>
    </row>
    <row r="7056" spans="1:2" x14ac:dyDescent="0.25">
      <c r="A7056">
        <f ca="1">29203.6286573143*((RANDBETWEEN(1620,2416)))</f>
        <v>61502841.952303931</v>
      </c>
      <c r="B7056">
        <v>200550842.00044191</v>
      </c>
    </row>
    <row r="7057" spans="1:2" x14ac:dyDescent="0.25">
      <c r="A7057">
        <f ca="1">26779.8097065009*((RANDBETWEEN(1620,2416)))</f>
        <v>55032508.946859337</v>
      </c>
      <c r="B7057">
        <v>160622236.50353029</v>
      </c>
    </row>
    <row r="7058" spans="1:2" x14ac:dyDescent="0.25">
      <c r="A7058">
        <f ca="1">27232.9508772758*((RANDBETWEEN(1620,2416)))</f>
        <v>55119492.575606294</v>
      </c>
      <c r="B7058">
        <v>164796487.6131027</v>
      </c>
    </row>
    <row r="7059" spans="1:2" x14ac:dyDescent="0.25">
      <c r="A7059">
        <f ca="1">27072.1685142682*((RANDBETWEEN(1620,2416)))</f>
        <v>45670748.283570431</v>
      </c>
      <c r="B7059">
        <v>145046417.51649895</v>
      </c>
    </row>
    <row r="7060" spans="1:2" x14ac:dyDescent="0.25">
      <c r="A7060">
        <f ca="1">26951.4682829871*((RANDBETWEEN(1620,2416)))</f>
        <v>59993968.397929363</v>
      </c>
      <c r="B7060">
        <v>188248738.30591273</v>
      </c>
    </row>
    <row r="7061" spans="1:2" x14ac:dyDescent="0.25">
      <c r="A7061">
        <f ca="1">27883.9875803158*((RANDBETWEEN(1620,2416)))</f>
        <v>65443718.851001263</v>
      </c>
      <c r="B7061">
        <v>185740895.71200407</v>
      </c>
    </row>
    <row r="7062" spans="1:2" x14ac:dyDescent="0.25">
      <c r="A7062">
        <f ca="1">28146.9162642628*((RANDBETWEEN(1620,2416)))</f>
        <v>66314134.718603164</v>
      </c>
      <c r="B7062">
        <v>195972893.58234638</v>
      </c>
    </row>
    <row r="7063" spans="1:2" x14ac:dyDescent="0.25">
      <c r="A7063">
        <f ca="1">31749.4745258382*((RANDBETWEEN(1620,2416)))</f>
        <v>55466331.996639267</v>
      </c>
      <c r="B7063">
        <v>184564569.87381899</v>
      </c>
    </row>
    <row r="7064" spans="1:2" x14ac:dyDescent="0.25">
      <c r="A7064">
        <f ca="1">27176.8780636507*((RANDBETWEEN(1620,2416)))</f>
        <v>60006546.764540687</v>
      </c>
      <c r="B7064">
        <v>203083041.55277371</v>
      </c>
    </row>
    <row r="7065" spans="1:2" x14ac:dyDescent="0.25">
      <c r="A7065">
        <f ca="1">29639.7705432568*((RANDBETWEEN(1620,2416)))</f>
        <v>59457379.709773161</v>
      </c>
      <c r="B7065">
        <v>144960284.66587129</v>
      </c>
    </row>
    <row r="7066" spans="1:2" x14ac:dyDescent="0.25">
      <c r="A7066">
        <f ca="1">27243.9365665742*((RANDBETWEEN(1620,2416)))</f>
        <v>57212266.789805807</v>
      </c>
      <c r="B7066">
        <v>169675054.84677926</v>
      </c>
    </row>
    <row r="7067" spans="1:2" x14ac:dyDescent="0.25">
      <c r="A7067">
        <f ca="1">28042.9061170558*((RANDBETWEEN(1620,2416)))</f>
        <v>49131171.517081842</v>
      </c>
      <c r="B7067">
        <v>161055344.43154845</v>
      </c>
    </row>
    <row r="7068" spans="1:2" x14ac:dyDescent="0.25">
      <c r="A7068">
        <f ca="1">27226.7345004132*((RANDBETWEEN(1620,2416)))</f>
        <v>65725337.083997369</v>
      </c>
      <c r="B7068">
        <v>186885339.68171859</v>
      </c>
    </row>
    <row r="7069" spans="1:2" x14ac:dyDescent="0.25">
      <c r="A7069">
        <f ca="1">26908.2173212114*((RANDBETWEEN(1620,2416)))</f>
        <v>45178896.8823139</v>
      </c>
      <c r="B7069">
        <v>151143140.87489024</v>
      </c>
    </row>
    <row r="7070" spans="1:2" x14ac:dyDescent="0.25">
      <c r="A7070">
        <f ca="1">27074.0911899067*((RANDBETWEEN(1620,2416)))</f>
        <v>63082632.47248257</v>
      </c>
      <c r="B7070">
        <v>160457505.59861046</v>
      </c>
    </row>
    <row r="7071" spans="1:2" x14ac:dyDescent="0.25">
      <c r="A7071">
        <f ca="1">25874.0021353227*((RANDBETWEEN(1620,2416)))</f>
        <v>44373913.662078463</v>
      </c>
      <c r="B7071">
        <v>170301937.91028756</v>
      </c>
    </row>
    <row r="7072" spans="1:2" x14ac:dyDescent="0.25">
      <c r="A7072">
        <f ca="1">28794.1102144887*((RANDBETWEEN(1620,2416)))</f>
        <v>56551632.461255774</v>
      </c>
      <c r="B7072">
        <v>165077289.44524843</v>
      </c>
    </row>
    <row r="7073" spans="1:2" x14ac:dyDescent="0.25">
      <c r="A7073">
        <f ca="1">29478.3336755959*((RANDBETWEEN(1620,2416)))</f>
        <v>51410213.930239335</v>
      </c>
      <c r="B7073">
        <v>177662975.38406411</v>
      </c>
    </row>
    <row r="7074" spans="1:2" x14ac:dyDescent="0.25">
      <c r="A7074">
        <f ca="1">26158.6765102326*((RANDBETWEEN(1620,2416)))</f>
        <v>61525207.152067013</v>
      </c>
      <c r="B7074">
        <v>164752144.47926635</v>
      </c>
    </row>
    <row r="7075" spans="1:2" x14ac:dyDescent="0.25">
      <c r="A7075">
        <f ca="1">31112.2756155872*((RANDBETWEEN(1620,2416)))</f>
        <v>72989398.594167531</v>
      </c>
      <c r="B7075">
        <v>144432056.38604391</v>
      </c>
    </row>
    <row r="7076" spans="1:2" x14ac:dyDescent="0.25">
      <c r="A7076">
        <f ca="1">29898.6812673927*((RANDBETWEEN(1620,2416)))</f>
        <v>70710381.197383627</v>
      </c>
      <c r="B7076">
        <v>189930223.32347837</v>
      </c>
    </row>
    <row r="7077" spans="1:2" x14ac:dyDescent="0.25">
      <c r="A7077">
        <f ca="1">26385.1988749155*((RANDBETWEEN(1620,2416)))</f>
        <v>56728177.581068307</v>
      </c>
      <c r="B7077">
        <v>157634470.47138691</v>
      </c>
    </row>
    <row r="7078" spans="1:2" x14ac:dyDescent="0.25">
      <c r="A7078">
        <f ca="1">25870.3478782032*((RANDBETWEEN(1620,2416)))</f>
        <v>56811283.940534122</v>
      </c>
      <c r="B7078">
        <v>187612064.57932118</v>
      </c>
    </row>
    <row r="7079" spans="1:2" x14ac:dyDescent="0.25">
      <c r="A7079">
        <f ca="1">25849.0886088691*((RANDBETWEEN(1620,2416)))</f>
        <v>62270454.4587657</v>
      </c>
      <c r="B7079">
        <v>146429164.17247367</v>
      </c>
    </row>
    <row r="7080" spans="1:2" x14ac:dyDescent="0.25">
      <c r="A7080">
        <f ca="1">29764.8902438231*((RANDBETWEEN(1620,2416)))</f>
        <v>50957492.097425215</v>
      </c>
      <c r="B7080">
        <v>160043003.00251794</v>
      </c>
    </row>
    <row r="7081" spans="1:2" x14ac:dyDescent="0.25">
      <c r="A7081">
        <f ca="1">25639.3557153491*((RANDBETWEEN(1620,2416)))</f>
        <v>54329794.760824695</v>
      </c>
      <c r="B7081">
        <v>147325740.39796674</v>
      </c>
    </row>
    <row r="7082" spans="1:2" x14ac:dyDescent="0.25">
      <c r="A7082">
        <f ca="1">31292.3597707289*((RANDBETWEEN(1620,2416)))</f>
        <v>51382054.743536882</v>
      </c>
      <c r="B7082">
        <v>177925700.1488176</v>
      </c>
    </row>
    <row r="7083" spans="1:2" x14ac:dyDescent="0.25">
      <c r="A7083">
        <f ca="1">30091.733602728*((RANDBETWEEN(1620,2416)))</f>
        <v>55669707.165046871</v>
      </c>
      <c r="B7083">
        <v>162027428.79080927</v>
      </c>
    </row>
    <row r="7084" spans="1:2" x14ac:dyDescent="0.25">
      <c r="A7084">
        <f ca="1">27906.3568521891*((RANDBETWEEN(1620,2416)))</f>
        <v>61784674.070746593</v>
      </c>
      <c r="B7084">
        <v>182249075.00451481</v>
      </c>
    </row>
    <row r="7085" spans="1:2" x14ac:dyDescent="0.25">
      <c r="A7085">
        <f ca="1">29747.975660487*((RANDBETWEEN(1620,2416)))</f>
        <v>48191720.569988966</v>
      </c>
      <c r="B7085">
        <v>149224891.92587474</v>
      </c>
    </row>
    <row r="7086" spans="1:2" x14ac:dyDescent="0.25">
      <c r="A7086">
        <f ca="1">27307.1674852556*((RANDBETWEEN(1620,2416)))</f>
        <v>63270707.063337274</v>
      </c>
      <c r="B7086">
        <v>155557603.1491597</v>
      </c>
    </row>
    <row r="7087" spans="1:2" x14ac:dyDescent="0.25">
      <c r="A7087">
        <f ca="1">26839.402028915*((RANDBETWEEN(1620,2416)))</f>
        <v>46163771.489733845</v>
      </c>
      <c r="B7087">
        <v>156102858.50110209</v>
      </c>
    </row>
    <row r="7088" spans="1:2" x14ac:dyDescent="0.25">
      <c r="A7088">
        <f ca="1">26511.3666015676*((RANDBETWEEN(1620,2416)))</f>
        <v>62699382.0127073</v>
      </c>
      <c r="B7088">
        <v>167046994.16220936</v>
      </c>
    </row>
    <row r="7089" spans="1:2" x14ac:dyDescent="0.25">
      <c r="A7089">
        <f ca="1">27128.3011665181*((RANDBETWEEN(1620,2416)))</f>
        <v>44517542.214256242</v>
      </c>
      <c r="B7089">
        <v>197571205.61183277</v>
      </c>
    </row>
    <row r="7090" spans="1:2" x14ac:dyDescent="0.25">
      <c r="A7090">
        <f ca="1">27956.3151484284*((RANDBETWEEN(1620,2416)))</f>
        <v>60777029.132683337</v>
      </c>
      <c r="B7090">
        <v>166369960.61279804</v>
      </c>
    </row>
    <row r="7091" spans="1:2" x14ac:dyDescent="0.25">
      <c r="A7091">
        <f ca="1">28854.3085511259*((RANDBETWEEN(1620,2416)))</f>
        <v>68413565.574719429</v>
      </c>
      <c r="B7091">
        <v>156889234.39256698</v>
      </c>
    </row>
    <row r="7092" spans="1:2" x14ac:dyDescent="0.25">
      <c r="A7092">
        <f ca="1">26075.6276696802*((RANDBETWEEN(1620,2416)))</f>
        <v>53663641.744201913</v>
      </c>
      <c r="B7092">
        <v>162118390.11229253</v>
      </c>
    </row>
    <row r="7093" spans="1:2" x14ac:dyDescent="0.25">
      <c r="A7093">
        <f ca="1">26338.5208447409*((RANDBETWEEN(1620,2416)))</f>
        <v>48462878.354323305</v>
      </c>
      <c r="B7093">
        <v>181864106.06182295</v>
      </c>
    </row>
    <row r="7094" spans="1:2" x14ac:dyDescent="0.25">
      <c r="A7094">
        <f ca="1">27401.7326542354*((RANDBETWEEN(1620,2416)))</f>
        <v>64887302.925229482</v>
      </c>
      <c r="B7094">
        <v>194949131.97010311</v>
      </c>
    </row>
    <row r="7095" spans="1:2" x14ac:dyDescent="0.25">
      <c r="A7095">
        <f ca="1">26080.0570659417*((RANDBETWEEN(1620,2416)))</f>
        <v>48639306.427981347</v>
      </c>
      <c r="B7095">
        <v>184326371.76757345</v>
      </c>
    </row>
    <row r="7096" spans="1:2" x14ac:dyDescent="0.25">
      <c r="A7096">
        <f ca="1">29046.2443119816*((RANDBETWEEN(1620,2416)))</f>
        <v>59922402.015617996</v>
      </c>
      <c r="B7096">
        <v>201350457.9264949</v>
      </c>
    </row>
    <row r="7097" spans="1:2" x14ac:dyDescent="0.25">
      <c r="A7097">
        <f ca="1">26630.4542595667*((RANDBETWEEN(1620,2416)))</f>
        <v>55657649.402494445</v>
      </c>
      <c r="B7097">
        <v>182793241.64965782</v>
      </c>
    </row>
    <row r="7098" spans="1:2" x14ac:dyDescent="0.25">
      <c r="A7098">
        <f ca="1">29443.9854530842*((RANDBETWEEN(1620,2416)))</f>
        <v>61331821.698774286</v>
      </c>
      <c r="B7098">
        <v>156865752.91097909</v>
      </c>
    </row>
    <row r="7099" spans="1:2" x14ac:dyDescent="0.25">
      <c r="A7099">
        <f ca="1">30082.4994188488*((RANDBETWEEN(1620,2416)))</f>
        <v>68919006.168582559</v>
      </c>
      <c r="B7099">
        <v>163200921.70358187</v>
      </c>
    </row>
    <row r="7100" spans="1:2" x14ac:dyDescent="0.25">
      <c r="A7100">
        <f ca="1">26846.2686858548*((RANDBETWEEN(1620,2416)))</f>
        <v>63088731.411758699</v>
      </c>
      <c r="B7100">
        <v>148599152.53783447</v>
      </c>
    </row>
    <row r="7101" spans="1:2" x14ac:dyDescent="0.25">
      <c r="A7101">
        <f ca="1">27335.0098469668*((RANDBETWEEN(1620,2416)))</f>
        <v>60000346.614092216</v>
      </c>
      <c r="B7101">
        <v>191082438.41781831</v>
      </c>
    </row>
    <row r="7102" spans="1:2" x14ac:dyDescent="0.25">
      <c r="A7102">
        <f ca="1">29018.1033064612*((RANDBETWEEN(1620,2416)))</f>
        <v>47676743.732515685</v>
      </c>
      <c r="B7102">
        <v>170933139.47921613</v>
      </c>
    </row>
    <row r="7103" spans="1:2" x14ac:dyDescent="0.25">
      <c r="A7103">
        <f ca="1">29345.587161662*((RANDBETWEEN(1620,2416)))</f>
        <v>52734020.129506573</v>
      </c>
      <c r="B7103">
        <v>160849580.49154499</v>
      </c>
    </row>
    <row r="7104" spans="1:2" x14ac:dyDescent="0.25">
      <c r="A7104">
        <f ca="1">29750.1805282172*((RANDBETWEEN(1620,2416)))</f>
        <v>55186584.879842967</v>
      </c>
      <c r="B7104">
        <v>199503092.94471842</v>
      </c>
    </row>
    <row r="7105" spans="1:2" x14ac:dyDescent="0.25">
      <c r="A7105">
        <f ca="1">28460.276634433*((RANDBETWEEN(1620,2416)))</f>
        <v>64234844.363915227</v>
      </c>
      <c r="B7105">
        <v>166025084.8827807</v>
      </c>
    </row>
    <row r="7106" spans="1:2" x14ac:dyDescent="0.25">
      <c r="A7106">
        <f ca="1">25929.6428426308*((RANDBETWEEN(1620,2416)))</f>
        <v>46206623.545568019</v>
      </c>
      <c r="B7106">
        <v>153190479.82528204</v>
      </c>
    </row>
    <row r="7107" spans="1:2" x14ac:dyDescent="0.25">
      <c r="A7107">
        <f ca="1">28207.8667387608*((RANDBETWEEN(1620,2416)))</f>
        <v>63100997.894608013</v>
      </c>
      <c r="B7107">
        <v>157925934.58636945</v>
      </c>
    </row>
    <row r="7108" spans="1:2" x14ac:dyDescent="0.25">
      <c r="A7108">
        <f ca="1">32494.7831426918*((RANDBETWEEN(1620,2416)))</f>
        <v>62195014.935112022</v>
      </c>
      <c r="B7108">
        <v>198399223.70867071</v>
      </c>
    </row>
    <row r="7109" spans="1:2" x14ac:dyDescent="0.25">
      <c r="A7109">
        <f ca="1">26992.7278714249*((RANDBETWEEN(1620,2416)))</f>
        <v>49477670.188321799</v>
      </c>
      <c r="B7109">
        <v>150391803.60629207</v>
      </c>
    </row>
    <row r="7110" spans="1:2" x14ac:dyDescent="0.25">
      <c r="A7110">
        <f ca="1">28437.4671671676*((RANDBETWEEN(1620,2416)))</f>
        <v>59633368.649550453</v>
      </c>
      <c r="B7110">
        <v>186180854.28783131</v>
      </c>
    </row>
    <row r="7111" spans="1:2" x14ac:dyDescent="0.25">
      <c r="A7111">
        <f ca="1">32861.7680517766*((RANDBETWEEN(1620,2416)))</f>
        <v>60761409.127734959</v>
      </c>
      <c r="B7111">
        <v>177409895.52017412</v>
      </c>
    </row>
    <row r="7112" spans="1:2" x14ac:dyDescent="0.25">
      <c r="A7112">
        <f ca="1">30390.74694252*((RANDBETWEEN(1620,2416)))</f>
        <v>68774260.330922782</v>
      </c>
      <c r="B7112">
        <v>144099423.35078514</v>
      </c>
    </row>
    <row r="7113" spans="1:2" x14ac:dyDescent="0.25">
      <c r="A7113">
        <f ca="1">34108.277987774*((RANDBETWEEN(1620,2416)))</f>
        <v>71797925.164264366</v>
      </c>
      <c r="B7113">
        <v>176358280.34929445</v>
      </c>
    </row>
    <row r="7114" spans="1:2" x14ac:dyDescent="0.25">
      <c r="A7114">
        <f ca="1">25909.6276977478*((RANDBETWEEN(1620,2416)))</f>
        <v>57908017.904466219</v>
      </c>
      <c r="B7114">
        <v>151018836.5611946</v>
      </c>
    </row>
    <row r="7115" spans="1:2" x14ac:dyDescent="0.25">
      <c r="A7115">
        <f ca="1">28222.7616629002*((RANDBETWEEN(1620,2416)))</f>
        <v>59578249.870382242</v>
      </c>
      <c r="B7115">
        <v>198327014.82858425</v>
      </c>
    </row>
    <row r="7116" spans="1:2" x14ac:dyDescent="0.25">
      <c r="A7116">
        <f ca="1">27235.1719003916*((RANDBETWEEN(1620,2416)))</f>
        <v>49350131.483509623</v>
      </c>
      <c r="B7116">
        <v>183538004.37088105</v>
      </c>
    </row>
    <row r="7117" spans="1:2" x14ac:dyDescent="0.25">
      <c r="A7117">
        <f ca="1">29045.0623724462*((RANDBETWEEN(1620,2416)))</f>
        <v>54720897.509688817</v>
      </c>
      <c r="B7117">
        <v>199923041.22539851</v>
      </c>
    </row>
    <row r="7118" spans="1:2" x14ac:dyDescent="0.25">
      <c r="A7118">
        <f ca="1">31832.7765111438*((RANDBETWEEN(1620,2416)))</f>
        <v>70063941.101027504</v>
      </c>
      <c r="B7118">
        <v>178872853.95780987</v>
      </c>
    </row>
    <row r="7119" spans="1:2" x14ac:dyDescent="0.25">
      <c r="A7119">
        <f ca="1">27928.6772591471*((RANDBETWEEN(1620,2416)))</f>
        <v>52785200.019788094</v>
      </c>
      <c r="B7119">
        <v>193896790.49236989</v>
      </c>
    </row>
    <row r="7120" spans="1:2" x14ac:dyDescent="0.25">
      <c r="A7120">
        <f ca="1">28926.2365757349*((RANDBETWEEN(1620,2416)))</f>
        <v>57158243.473652251</v>
      </c>
      <c r="B7120">
        <v>165247083.47929204</v>
      </c>
    </row>
    <row r="7121" spans="1:2" x14ac:dyDescent="0.25">
      <c r="A7121">
        <f ca="1">25437.2993642889*((RANDBETWEEN(1620,2416)))</f>
        <v>51230720.919677742</v>
      </c>
      <c r="B7121">
        <v>143339999.09793961</v>
      </c>
    </row>
    <row r="7122" spans="1:2" x14ac:dyDescent="0.25">
      <c r="A7122">
        <f ca="1">29148.9780082279*((RANDBETWEEN(1620,2416)))</f>
        <v>65789243.364570275</v>
      </c>
      <c r="B7122">
        <v>182255449.92654783</v>
      </c>
    </row>
    <row r="7123" spans="1:2" x14ac:dyDescent="0.25">
      <c r="A7123">
        <f ca="1">29280.2656079802*((RANDBETWEEN(1620,2416)))</f>
        <v>48517400.112423226</v>
      </c>
      <c r="B7123">
        <v>156870265.81237859</v>
      </c>
    </row>
    <row r="7124" spans="1:2" x14ac:dyDescent="0.25">
      <c r="A7124">
        <f ca="1">31665.6739120137*((RANDBETWEEN(1620,2416)))</f>
        <v>54021639.693895459</v>
      </c>
      <c r="B7124">
        <v>152755352.49873874</v>
      </c>
    </row>
    <row r="7125" spans="1:2" x14ac:dyDescent="0.25">
      <c r="A7125">
        <f ca="1">26928.4537030384*((RANDBETWEEN(1620,2416)))</f>
        <v>45347516.035916671</v>
      </c>
      <c r="B7125">
        <v>184771749.30652347</v>
      </c>
    </row>
    <row r="7126" spans="1:2" x14ac:dyDescent="0.25">
      <c r="A7126">
        <f ca="1">26899.9278346505*((RANDBETWEEN(1620,2416)))</f>
        <v>46240975.947764218</v>
      </c>
      <c r="B7126">
        <v>191755799.0292421</v>
      </c>
    </row>
    <row r="7127" spans="1:2" x14ac:dyDescent="0.25">
      <c r="A7127">
        <f ca="1">26580.0156045474*((RANDBETWEEN(1620,2416)))</f>
        <v>56110412.941199616</v>
      </c>
      <c r="B7127">
        <v>158627657.91092899</v>
      </c>
    </row>
    <row r="7128" spans="1:2" x14ac:dyDescent="0.25">
      <c r="A7128">
        <f ca="1">23843.9241963661*((RANDBETWEEN(1620,2416)))</f>
        <v>56009377.93726404</v>
      </c>
      <c r="B7128">
        <v>149033816.95095843</v>
      </c>
    </row>
    <row r="7129" spans="1:2" x14ac:dyDescent="0.25">
      <c r="A7129">
        <f ca="1">26952.2367056839*((RANDBETWEEN(1620,2416)))</f>
        <v>57785595.496986181</v>
      </c>
      <c r="B7129">
        <v>171978598.93272725</v>
      </c>
    </row>
    <row r="7130" spans="1:2" x14ac:dyDescent="0.25">
      <c r="A7130">
        <f ca="1">32213.3489655619*((RANDBETWEEN(1620,2416)))</f>
        <v>57919601.440080382</v>
      </c>
      <c r="B7130">
        <v>198191310.09130099</v>
      </c>
    </row>
    <row r="7131" spans="1:2" x14ac:dyDescent="0.25">
      <c r="A7131">
        <f ca="1">25272.813466159*((RANDBETWEEN(1620,2416)))</f>
        <v>49686351.274468601</v>
      </c>
      <c r="B7131">
        <v>150315422.1281749</v>
      </c>
    </row>
    <row r="7132" spans="1:2" x14ac:dyDescent="0.25">
      <c r="A7132">
        <f ca="1">26563.5697881034*((RANDBETWEEN(1620,2416)))</f>
        <v>43803326.580582522</v>
      </c>
      <c r="B7132">
        <v>180602218.98046255</v>
      </c>
    </row>
    <row r="7133" spans="1:2" x14ac:dyDescent="0.25">
      <c r="A7133">
        <f ca="1">29849.6285734935*((RANDBETWEEN(1620,2416)))</f>
        <v>66952716.890345961</v>
      </c>
      <c r="B7133">
        <v>193266061.43426794</v>
      </c>
    </row>
    <row r="7134" spans="1:2" x14ac:dyDescent="0.25">
      <c r="A7134">
        <f ca="1">27318.6164098463*((RANDBETWEEN(1620,2416)))</f>
        <v>54609914.203282662</v>
      </c>
      <c r="B7134">
        <v>173767930.76026237</v>
      </c>
    </row>
    <row r="7135" spans="1:2" x14ac:dyDescent="0.25">
      <c r="A7135">
        <f ca="1">25193.7961696016*((RANDBETWEEN(1620,2416)))</f>
        <v>59734490.718125299</v>
      </c>
      <c r="B7135">
        <v>156122010.98060346</v>
      </c>
    </row>
    <row r="7136" spans="1:2" x14ac:dyDescent="0.25">
      <c r="A7136">
        <f ca="1">30176.308357092*((RANDBETWEEN(1620,2416)))</f>
        <v>57153928.028332278</v>
      </c>
      <c r="B7136">
        <v>153544230.90903348</v>
      </c>
    </row>
    <row r="7137" spans="1:2" x14ac:dyDescent="0.25">
      <c r="A7137">
        <f ca="1">31267.3781457036*((RANDBETWEEN(1620,2416)))</f>
        <v>64598403.249023668</v>
      </c>
      <c r="B7137">
        <v>196395948.1153602</v>
      </c>
    </row>
    <row r="7138" spans="1:2" x14ac:dyDescent="0.25">
      <c r="A7138">
        <f ca="1">30079.5664061682*((RANDBETWEEN(1620,2416)))</f>
        <v>50954785.492048956</v>
      </c>
      <c r="B7138">
        <v>187042912.06063014</v>
      </c>
    </row>
    <row r="7139" spans="1:2" x14ac:dyDescent="0.25">
      <c r="A7139">
        <f ca="1">29413.6542059278*((RANDBETWEEN(1620,2416)))</f>
        <v>61945155.757683933</v>
      </c>
      <c r="B7139">
        <v>174639468.29450345</v>
      </c>
    </row>
    <row r="7140" spans="1:2" x14ac:dyDescent="0.25">
      <c r="A7140">
        <f ca="1">29213.7139135931*((RANDBETWEEN(1620,2416)))</f>
        <v>66987046.003869057</v>
      </c>
      <c r="B7140">
        <v>164630364.38370898</v>
      </c>
    </row>
    <row r="7141" spans="1:2" x14ac:dyDescent="0.25">
      <c r="A7141">
        <f ca="1">29348.3692353914*((RANDBETWEEN(1620,2416)))</f>
        <v>57845635.762956642</v>
      </c>
      <c r="B7141">
        <v>189404375.82932442</v>
      </c>
    </row>
    <row r="7142" spans="1:2" x14ac:dyDescent="0.25">
      <c r="A7142">
        <f ca="1">29130.3081519841*((RANDBETWEEN(1620,2416)))</f>
        <v>69767088.024001956</v>
      </c>
      <c r="B7142">
        <v>202268702.38050118</v>
      </c>
    </row>
    <row r="7143" spans="1:2" x14ac:dyDescent="0.25">
      <c r="A7143">
        <f ca="1">26893.4672808293*((RANDBETWEEN(1620,2416)))</f>
        <v>61209531.531167388</v>
      </c>
      <c r="B7143">
        <v>145798140.29962343</v>
      </c>
    </row>
    <row r="7144" spans="1:2" x14ac:dyDescent="0.25">
      <c r="A7144">
        <f ca="1">26910.2353405747*((RANDBETWEEN(1620,2416)))</f>
        <v>54896880.094772391</v>
      </c>
      <c r="B7144">
        <v>158104836.22501093</v>
      </c>
    </row>
    <row r="7145" spans="1:2" x14ac:dyDescent="0.25">
      <c r="A7145">
        <f ca="1">27317.8887930213*((RANDBETWEEN(1620,2416)))</f>
        <v>51084452.04294987</v>
      </c>
      <c r="B7145">
        <v>164465282.45468128</v>
      </c>
    </row>
    <row r="7146" spans="1:2" x14ac:dyDescent="0.25">
      <c r="A7146">
        <f ca="1">28844.8211396922*((RANDBETWEEN(1620,2416)))</f>
        <v>59939538.328280404</v>
      </c>
      <c r="B7146">
        <v>163868161.75386196</v>
      </c>
    </row>
    <row r="7147" spans="1:2" x14ac:dyDescent="0.25">
      <c r="A7147">
        <f ca="1">25882.3247347448*((RANDBETWEEN(1620,2416)))</f>
        <v>54611705.190311529</v>
      </c>
      <c r="B7147">
        <v>145998559.90693918</v>
      </c>
    </row>
    <row r="7148" spans="1:2" x14ac:dyDescent="0.25">
      <c r="A7148">
        <f ca="1">27879.9102450716*((RANDBETWEEN(1620,2416)))</f>
        <v>53194868.747596666</v>
      </c>
      <c r="B7148">
        <v>149826792.00636157</v>
      </c>
    </row>
    <row r="7149" spans="1:2" x14ac:dyDescent="0.25">
      <c r="A7149">
        <f ca="1">27451.9639325301*((RANDBETWEEN(1620,2416)))</f>
        <v>57594220.33044818</v>
      </c>
      <c r="B7149">
        <v>159748259.55222774</v>
      </c>
    </row>
    <row r="7150" spans="1:2" x14ac:dyDescent="0.25">
      <c r="A7150">
        <f ca="1">26441.720870733*((RANDBETWEEN(1620,2416)))</f>
        <v>57537184.614715017</v>
      </c>
      <c r="B7150">
        <v>158735981.08767781</v>
      </c>
    </row>
    <row r="7151" spans="1:2" x14ac:dyDescent="0.25">
      <c r="A7151">
        <f ca="1">26681.0627553639*((RANDBETWEEN(1620,2416)))</f>
        <v>60512650.32916525</v>
      </c>
      <c r="B7151">
        <v>157422363.5585579</v>
      </c>
    </row>
    <row r="7152" spans="1:2" x14ac:dyDescent="0.25">
      <c r="A7152">
        <f ca="1">25960.4240311786*((RANDBETWEEN(1620,2416)))</f>
        <v>50467064.316611223</v>
      </c>
      <c r="B7152">
        <v>170241463.62453899</v>
      </c>
    </row>
    <row r="7153" spans="1:2" x14ac:dyDescent="0.25">
      <c r="A7153">
        <f ca="1">27036.5625803204*((RANDBETWEEN(1620,2416)))</f>
        <v>59750803.302508056</v>
      </c>
      <c r="B7153">
        <v>182603045.99597773</v>
      </c>
    </row>
    <row r="7154" spans="1:2" x14ac:dyDescent="0.25">
      <c r="A7154">
        <f ca="1">30917.3727792809*((RANDBETWEEN(1620,2416)))</f>
        <v>73552429.841909155</v>
      </c>
      <c r="B7154">
        <v>172590734.12446502</v>
      </c>
    </row>
    <row r="7155" spans="1:2" x14ac:dyDescent="0.25">
      <c r="A7155">
        <f ca="1">26496.9112268795*((RANDBETWEEN(1620,2416)))</f>
        <v>58134223.23177363</v>
      </c>
      <c r="B7155">
        <v>171237567.36833847</v>
      </c>
    </row>
    <row r="7156" spans="1:2" x14ac:dyDescent="0.25">
      <c r="A7156">
        <f ca="1">24753.4867024418*((RANDBETWEEN(1620,2416)))</f>
        <v>48665354.857000656</v>
      </c>
      <c r="B7156">
        <v>169640401.32056934</v>
      </c>
    </row>
    <row r="7157" spans="1:2" x14ac:dyDescent="0.25">
      <c r="A7157">
        <f ca="1">31100.8234323832*((RANDBETWEEN(1620,2416)))</f>
        <v>66306955.557840921</v>
      </c>
      <c r="B7157">
        <v>175189062.68836701</v>
      </c>
    </row>
    <row r="7158" spans="1:2" x14ac:dyDescent="0.25">
      <c r="A7158">
        <f ca="1">32902.8898401443*((RANDBETWEEN(1620,2416)))</f>
        <v>56494261.855527692</v>
      </c>
      <c r="B7158">
        <v>202029894.77670845</v>
      </c>
    </row>
    <row r="7159" spans="1:2" x14ac:dyDescent="0.25">
      <c r="A7159">
        <f ca="1">27304.6564871175*((RANDBETWEEN(1620,2416)))</f>
        <v>64957777.782852516</v>
      </c>
      <c r="B7159">
        <v>144664376.42137176</v>
      </c>
    </row>
    <row r="7160" spans="1:2" x14ac:dyDescent="0.25">
      <c r="A7160">
        <f ca="1">29533.6309461157*((RANDBETWEEN(1620,2416)))</f>
        <v>67189010.402413145</v>
      </c>
      <c r="B7160">
        <v>182501105.55720103</v>
      </c>
    </row>
    <row r="7161" spans="1:2" x14ac:dyDescent="0.25">
      <c r="A7161">
        <f ca="1">27042.9187140482*((RANDBETWEEN(1620,2416)))</f>
        <v>47893009.042579383</v>
      </c>
      <c r="B7161">
        <v>150014195.21383387</v>
      </c>
    </row>
    <row r="7162" spans="1:2" x14ac:dyDescent="0.25">
      <c r="A7162">
        <f ca="1">26784.7028933803*((RANDBETWEEN(1620,2416)))</f>
        <v>59837026.263811521</v>
      </c>
      <c r="B7162">
        <v>176582529.04134858</v>
      </c>
    </row>
    <row r="7163" spans="1:2" x14ac:dyDescent="0.25">
      <c r="A7163">
        <f ca="1">27023.0775726954*((RANDBETWEEN(1620,2416)))</f>
        <v>60045278.366529077</v>
      </c>
      <c r="B7163">
        <v>148324616.40336651</v>
      </c>
    </row>
    <row r="7164" spans="1:2" x14ac:dyDescent="0.25">
      <c r="A7164">
        <f ca="1">28684.8394889632*((RANDBETWEEN(1620,2416)))</f>
        <v>60783174.877112992</v>
      </c>
      <c r="B7164">
        <v>156745547.84521294</v>
      </c>
    </row>
    <row r="7165" spans="1:2" x14ac:dyDescent="0.25">
      <c r="A7165">
        <f ca="1">31109.042199502*((RANDBETWEEN(1620,2416)))</f>
        <v>53818643.005138405</v>
      </c>
      <c r="B7165">
        <v>158737184.88045219</v>
      </c>
    </row>
    <row r="7166" spans="1:2" x14ac:dyDescent="0.25">
      <c r="A7166">
        <f ca="1">26895.6067242243*((RANDBETWEEN(1620,2416)))</f>
        <v>47121102.980840944</v>
      </c>
      <c r="B7166">
        <v>158507486.62421539</v>
      </c>
    </row>
    <row r="7167" spans="1:2" x14ac:dyDescent="0.25">
      <c r="A7167">
        <f ca="1">27134.5887814931*((RANDBETWEEN(1620,2416)))</f>
        <v>59723229.908066407</v>
      </c>
      <c r="B7167">
        <v>142905767.36835253</v>
      </c>
    </row>
    <row r="7168" spans="1:2" x14ac:dyDescent="0.25">
      <c r="A7168">
        <f ca="1">26555.5078028356*((RANDBETWEEN(1620,2416)))</f>
        <v>48092024.630935237</v>
      </c>
      <c r="B7168">
        <v>148536923.97237998</v>
      </c>
    </row>
    <row r="7169" spans="1:2" x14ac:dyDescent="0.25">
      <c r="A7169">
        <f ca="1">28178.6891930013*((RANDBETWEEN(1620,2416)))</f>
        <v>46720266.681996226</v>
      </c>
      <c r="B7169">
        <v>170149780.72679868</v>
      </c>
    </row>
    <row r="7170" spans="1:2" x14ac:dyDescent="0.25">
      <c r="A7170">
        <f ca="1">26456.9350134592*((RANDBETWEEN(1620,2416)))</f>
        <v>60321811.830687195</v>
      </c>
      <c r="B7170">
        <v>187671667.36815968</v>
      </c>
    </row>
    <row r="7171" spans="1:2" x14ac:dyDescent="0.25">
      <c r="A7171">
        <f ca="1">34148.4377038304*((RANDBETWEEN(1620,2416)))</f>
        <v>78575555.156513676</v>
      </c>
      <c r="B7171">
        <v>164902235.0984183</v>
      </c>
    </row>
    <row r="7172" spans="1:2" x14ac:dyDescent="0.25">
      <c r="A7172">
        <f ca="1">33356.6173011207*((RANDBETWEEN(1620,2416)))</f>
        <v>55838977.362076089</v>
      </c>
      <c r="B7172">
        <v>180298260.83338499</v>
      </c>
    </row>
    <row r="7173" spans="1:2" x14ac:dyDescent="0.25">
      <c r="A7173">
        <f ca="1">28531.2686544064*((RANDBETWEEN(1620,2416)))</f>
        <v>56006880.368599743</v>
      </c>
      <c r="B7173">
        <v>156055579.19403565</v>
      </c>
    </row>
    <row r="7174" spans="1:2" x14ac:dyDescent="0.25">
      <c r="A7174">
        <f ca="1">28105.1693130779*((RANDBETWEEN(1620,2416)))</f>
        <v>53118770.001717269</v>
      </c>
      <c r="B7174">
        <v>164703588.57820964</v>
      </c>
    </row>
    <row r="7175" spans="1:2" x14ac:dyDescent="0.25">
      <c r="A7175">
        <f ca="1">28142.5896924714*((RANDBETWEEN(1620,2416)))</f>
        <v>53330207.467233337</v>
      </c>
      <c r="B7175">
        <v>187728248.68161544</v>
      </c>
    </row>
    <row r="7176" spans="1:2" x14ac:dyDescent="0.25">
      <c r="A7176">
        <f ca="1">29220.5774999975*((RANDBETWEEN(1620,2416)))</f>
        <v>48155511.719995841</v>
      </c>
      <c r="B7176">
        <v>173540824.74733138</v>
      </c>
    </row>
    <row r="7177" spans="1:2" x14ac:dyDescent="0.25">
      <c r="A7177">
        <f ca="1">28103.9866370032*((RANDBETWEEN(1620,2416)))</f>
        <v>52807390.890929095</v>
      </c>
      <c r="B7177">
        <v>151046682.46890068</v>
      </c>
    </row>
    <row r="7178" spans="1:2" x14ac:dyDescent="0.25">
      <c r="A7178">
        <f ca="1">33590.7673796831*((RANDBETWEEN(1620,2416)))</f>
        <v>74369958.978618324</v>
      </c>
      <c r="B7178">
        <v>146581310.04123694</v>
      </c>
    </row>
    <row r="7179" spans="1:2" x14ac:dyDescent="0.25">
      <c r="A7179">
        <f ca="1">27142.5782217584*((RANDBETWEEN(1620,2416)))</f>
        <v>59876527.557198927</v>
      </c>
      <c r="B7179">
        <v>173829660.11886659</v>
      </c>
    </row>
    <row r="7180" spans="1:2" x14ac:dyDescent="0.25">
      <c r="A7180">
        <f ca="1">27277.6391466908*((RANDBETWEEN(1620,2416)))</f>
        <v>58210481.939038172</v>
      </c>
      <c r="B7180">
        <v>183482775.8114838</v>
      </c>
    </row>
    <row r="7181" spans="1:2" x14ac:dyDescent="0.25">
      <c r="A7181">
        <f ca="1">26935.7646934648*((RANDBETWEEN(1620,2416)))</f>
        <v>50423751.506166026</v>
      </c>
      <c r="B7181">
        <v>143070286.43689191</v>
      </c>
    </row>
    <row r="7182" spans="1:2" x14ac:dyDescent="0.25">
      <c r="A7182">
        <f ca="1">29446.626731712*((RANDBETWEEN(1620,2416)))</f>
        <v>47968554.945958786</v>
      </c>
      <c r="B7182">
        <v>200200538.7362304</v>
      </c>
    </row>
    <row r="7183" spans="1:2" x14ac:dyDescent="0.25">
      <c r="A7183">
        <f ca="1">30289.1365317201*((RANDBETWEEN(1620,2416)))</f>
        <v>73178553.860635877</v>
      </c>
      <c r="B7183">
        <v>199808339.85734835</v>
      </c>
    </row>
    <row r="7184" spans="1:2" x14ac:dyDescent="0.25">
      <c r="A7184">
        <f ca="1">29067.3326238961*((RANDBETWEEN(1620,2416)))</f>
        <v>60634455.85344734</v>
      </c>
      <c r="B7184">
        <v>155582640.13986555</v>
      </c>
    </row>
    <row r="7185" spans="1:2" x14ac:dyDescent="0.25">
      <c r="A7185">
        <f ca="1">31739.1478450149*((RANDBETWEEN(1620,2416)))</f>
        <v>64462209.273225248</v>
      </c>
      <c r="B7185">
        <v>172566804.53814459</v>
      </c>
    </row>
    <row r="7186" spans="1:2" x14ac:dyDescent="0.25">
      <c r="A7186">
        <f ca="1">27592.7352247122*((RANDBETWEEN(1620,2416)))</f>
        <v>44948565.681056172</v>
      </c>
      <c r="B7186">
        <v>154080438.56772086</v>
      </c>
    </row>
    <row r="7187" spans="1:2" x14ac:dyDescent="0.25">
      <c r="A7187">
        <f ca="1">27250.6759974597*((RANDBETWEEN(1620,2416)))</f>
        <v>57962187.846596725</v>
      </c>
      <c r="B7187">
        <v>178571253.02161801</v>
      </c>
    </row>
    <row r="7188" spans="1:2" x14ac:dyDescent="0.25">
      <c r="A7188">
        <f ca="1">29328.705125224*((RANDBETWEEN(1620,2416)))</f>
        <v>61678266.878346041</v>
      </c>
      <c r="B7188">
        <v>159795871.9008286</v>
      </c>
    </row>
    <row r="7189" spans="1:2" x14ac:dyDescent="0.25">
      <c r="A7189">
        <f ca="1">28808.5784203077*((RANDBETWEEN(1620,2416)))</f>
        <v>49291477.677146517</v>
      </c>
      <c r="B7189">
        <v>196919896.13070846</v>
      </c>
    </row>
    <row r="7190" spans="1:2" x14ac:dyDescent="0.25">
      <c r="A7190">
        <f ca="1">28456.9736339536*((RANDBETWEEN(1620,2416)))</f>
        <v>46157211.234272659</v>
      </c>
      <c r="B7190">
        <v>163563109.57592651</v>
      </c>
    </row>
    <row r="7191" spans="1:2" x14ac:dyDescent="0.25">
      <c r="A7191">
        <f ca="1">26596.943958425*((RANDBETWEEN(1620,2416)))</f>
        <v>47555335.79766389</v>
      </c>
      <c r="B7191">
        <v>167024495.28618497</v>
      </c>
    </row>
    <row r="7192" spans="1:2" x14ac:dyDescent="0.25">
      <c r="A7192">
        <f ca="1">27540.1735741864*((RANDBETWEEN(1620,2416)))</f>
        <v>54557083.850463323</v>
      </c>
      <c r="B7192">
        <v>180904088.42000687</v>
      </c>
    </row>
    <row r="7193" spans="1:2" x14ac:dyDescent="0.25">
      <c r="A7193">
        <f ca="1">28394.9249721683*((RANDBETWEEN(1620,2416)))</f>
        <v>49691118.701294526</v>
      </c>
      <c r="B7193">
        <v>181589927.21472803</v>
      </c>
    </row>
    <row r="7194" spans="1:2" x14ac:dyDescent="0.25">
      <c r="A7194">
        <f ca="1">28044.3705624898*((RANDBETWEEN(1620,2416)))</f>
        <v>53845191.479980402</v>
      </c>
      <c r="B7194">
        <v>170391311.64028156</v>
      </c>
    </row>
    <row r="7195" spans="1:2" x14ac:dyDescent="0.25">
      <c r="A7195">
        <f ca="1">26226.9911964399*((RANDBETWEEN(1620,2416)))</f>
        <v>53896466.908684023</v>
      </c>
      <c r="B7195">
        <v>157378394.30846128</v>
      </c>
    </row>
    <row r="7196" spans="1:2" x14ac:dyDescent="0.25">
      <c r="A7196">
        <f ca="1">27384.4030660678*((RANDBETWEEN(1620,2416)))</f>
        <v>60053995.923886746</v>
      </c>
      <c r="B7196">
        <v>145896110.9779231</v>
      </c>
    </row>
    <row r="7197" spans="1:2" x14ac:dyDescent="0.25">
      <c r="A7197">
        <f ca="1">31161.2366379012*((RANDBETWEEN(1620,2416)))</f>
        <v>51976942.712019272</v>
      </c>
      <c r="B7197">
        <v>151832008.05853209</v>
      </c>
    </row>
    <row r="7198" spans="1:2" x14ac:dyDescent="0.25">
      <c r="A7198">
        <f ca="1">29428.9679139472*((RANDBETWEEN(1620,2416)))</f>
        <v>57651348.143422544</v>
      </c>
      <c r="B7198">
        <v>162628899.16305852</v>
      </c>
    </row>
    <row r="7199" spans="1:2" x14ac:dyDescent="0.25">
      <c r="A7199">
        <f ca="1">31067.2627340421*((RANDBETWEEN(1620,2416)))</f>
        <v>53062884.749743909</v>
      </c>
      <c r="B7199">
        <v>176812321.94080305</v>
      </c>
    </row>
    <row r="7200" spans="1:2" x14ac:dyDescent="0.25">
      <c r="A7200">
        <f ca="1">26674.9196868996*((RANDBETWEEN(1620,2416)))</f>
        <v>56870928.772469908</v>
      </c>
      <c r="B7200">
        <v>170920045.63749987</v>
      </c>
    </row>
    <row r="7201" spans="1:2" x14ac:dyDescent="0.25">
      <c r="A7201">
        <f ca="1">27783.6347872893*((RANDBETWEEN(1620,2416)))</f>
        <v>47204395.503604569</v>
      </c>
      <c r="B7201">
        <v>144339620.21246937</v>
      </c>
    </row>
    <row r="7202" spans="1:2" x14ac:dyDescent="0.25">
      <c r="A7202">
        <f ca="1">26217.009827154*((RANDBETWEEN(1620,2416)))</f>
        <v>57415251.521467224</v>
      </c>
      <c r="B7202">
        <v>148543155.98894674</v>
      </c>
    </row>
    <row r="7203" spans="1:2" x14ac:dyDescent="0.25">
      <c r="A7203">
        <f ca="1">27229.4823391474*((RANDBETWEEN(1620,2416)))</f>
        <v>45309858.612341247</v>
      </c>
      <c r="B7203">
        <v>160882980.5790666</v>
      </c>
    </row>
    <row r="7204" spans="1:2" x14ac:dyDescent="0.25">
      <c r="A7204">
        <f ca="1">27735.4660164888*((RANDBETWEEN(1620,2416)))</f>
        <v>60962554.304242492</v>
      </c>
      <c r="B7204">
        <v>171146780.68134141</v>
      </c>
    </row>
    <row r="7205" spans="1:2" x14ac:dyDescent="0.25">
      <c r="A7205">
        <f ca="1">29011.2764528904*((RANDBETWEEN(1620,2416)))</f>
        <v>51378970.598068826</v>
      </c>
      <c r="B7205">
        <v>179181414.895621</v>
      </c>
    </row>
    <row r="7206" spans="1:2" x14ac:dyDescent="0.25">
      <c r="A7206">
        <f ca="1">27191.6247550803*((RANDBETWEEN(1620,2416)))</f>
        <v>58353226.724402301</v>
      </c>
      <c r="B7206">
        <v>198503637.47405845</v>
      </c>
    </row>
    <row r="7207" spans="1:2" x14ac:dyDescent="0.25">
      <c r="A7207">
        <f ca="1">28934.4317722778*((RANDBETWEEN(1620,2416)))</f>
        <v>60010011.495704129</v>
      </c>
      <c r="B7207">
        <v>199392056.09383935</v>
      </c>
    </row>
    <row r="7208" spans="1:2" x14ac:dyDescent="0.25">
      <c r="A7208">
        <f ca="1">27001.8637937935*((RANDBETWEEN(1620,2416)))</f>
        <v>44553075.259759277</v>
      </c>
      <c r="B7208">
        <v>155497337.63097993</v>
      </c>
    </row>
    <row r="7209" spans="1:2" x14ac:dyDescent="0.25">
      <c r="A7209">
        <f ca="1">26133.2724511912*((RANDBETWEEN(1620,2416)))</f>
        <v>49470284.750104904</v>
      </c>
      <c r="B7209">
        <v>193280979.76494172</v>
      </c>
    </row>
    <row r="7210" spans="1:2" x14ac:dyDescent="0.25">
      <c r="A7210">
        <f ca="1">27638.0005008993*((RANDBETWEEN(1620,2416)))</f>
        <v>54115204.980760738</v>
      </c>
      <c r="B7210">
        <v>171066696.07415283</v>
      </c>
    </row>
    <row r="7211" spans="1:2" x14ac:dyDescent="0.25">
      <c r="A7211">
        <f ca="1">27915.3182188638*((RANDBETWEEN(1620,2416)))</f>
        <v>61218292.853968225</v>
      </c>
      <c r="B7211">
        <v>157422468.63642061</v>
      </c>
    </row>
    <row r="7212" spans="1:2" x14ac:dyDescent="0.25">
      <c r="A7212">
        <f ca="1">30484.5332627694*((RANDBETWEEN(1620,2416)))</f>
        <v>67889055.576187417</v>
      </c>
      <c r="B7212">
        <v>168584675.47720367</v>
      </c>
    </row>
    <row r="7213" spans="1:2" x14ac:dyDescent="0.25">
      <c r="A7213">
        <f ca="1">28389.2589171725*((RANDBETWEEN(1620,2416)))</f>
        <v>55217108.59390045</v>
      </c>
      <c r="B7213">
        <v>165841411.92867649</v>
      </c>
    </row>
    <row r="7214" spans="1:2" x14ac:dyDescent="0.25">
      <c r="A7214">
        <f ca="1">30555.8197441152*((RANDBETWEEN(1620,2416)))</f>
        <v>68597815.325538516</v>
      </c>
      <c r="B7214">
        <v>198299370.74313939</v>
      </c>
    </row>
    <row r="7215" spans="1:2" x14ac:dyDescent="0.25">
      <c r="A7215">
        <f ca="1">28457.0576220106*((RANDBETWEEN(1620,2416)))</f>
        <v>53499268.32938002</v>
      </c>
      <c r="B7215">
        <v>160785587.91759619</v>
      </c>
    </row>
    <row r="7216" spans="1:2" x14ac:dyDescent="0.25">
      <c r="A7216">
        <f ca="1">27711.0851815471*((RANDBETWEEN(1620,2416)))</f>
        <v>58054723.45534116</v>
      </c>
      <c r="B7216">
        <v>159081277.85222185</v>
      </c>
    </row>
    <row r="7217" spans="1:2" x14ac:dyDescent="0.25">
      <c r="A7217">
        <f ca="1">26580.7860702075*((RANDBETWEEN(1620,2416)))</f>
        <v>50104781.742341131</v>
      </c>
      <c r="B7217">
        <v>158696620.97296619</v>
      </c>
    </row>
    <row r="7218" spans="1:2" x14ac:dyDescent="0.25">
      <c r="A7218">
        <f ca="1">28420.0022407498*((RANDBETWEEN(1620,2416)))</f>
        <v>57408404.526314512</v>
      </c>
      <c r="B7218">
        <v>181117047.47708914</v>
      </c>
    </row>
    <row r="7219" spans="1:2" x14ac:dyDescent="0.25">
      <c r="A7219">
        <f ca="1">27382.9738287351*((RANDBETWEEN(1620,2416)))</f>
        <v>65965583.953422859</v>
      </c>
      <c r="B7219">
        <v>164595614.97739196</v>
      </c>
    </row>
    <row r="7220" spans="1:2" x14ac:dyDescent="0.25">
      <c r="A7220">
        <f ca="1">28536.4438450918*((RANDBETWEEN(1620,2416)))</f>
        <v>57757762.342465833</v>
      </c>
      <c r="B7220">
        <v>155529219.01873317</v>
      </c>
    </row>
    <row r="7221" spans="1:2" x14ac:dyDescent="0.25">
      <c r="A7221">
        <f ca="1">27342.168831632*((RANDBETWEEN(1620,2416)))</f>
        <v>57774002.74123846</v>
      </c>
      <c r="B7221">
        <v>179766317.44320965</v>
      </c>
    </row>
    <row r="7222" spans="1:2" x14ac:dyDescent="0.25">
      <c r="A7222">
        <f ca="1">27655.9725929575*((RANDBETWEEN(1620,2416)))</f>
        <v>54537577.953312255</v>
      </c>
      <c r="B7222">
        <v>151559420.37134728</v>
      </c>
    </row>
    <row r="7223" spans="1:2" x14ac:dyDescent="0.25">
      <c r="A7223">
        <f ca="1">27286.1967384824*((RANDBETWEEN(1620,2416)))</f>
        <v>49797309.047730334</v>
      </c>
      <c r="B7223">
        <v>195986395.2848008</v>
      </c>
    </row>
    <row r="7224" spans="1:2" x14ac:dyDescent="0.25">
      <c r="A7224">
        <f ca="1">26511.8591148317*((RANDBETWEEN(1620,2416)))</f>
        <v>45547373.959280819</v>
      </c>
      <c r="B7224">
        <v>153904058.27981982</v>
      </c>
    </row>
    <row r="7225" spans="1:2" x14ac:dyDescent="0.25">
      <c r="A7225">
        <f ca="1">30371.4211143864*((RANDBETWEEN(1620,2416)))</f>
        <v>55427843.533755191</v>
      </c>
      <c r="B7225">
        <v>176915584.73282525</v>
      </c>
    </row>
    <row r="7226" spans="1:2" x14ac:dyDescent="0.25">
      <c r="A7226">
        <f ca="1">31290.6635811081*((RANDBETWEEN(1620,2416)))</f>
        <v>50878618.98288177</v>
      </c>
      <c r="B7226">
        <v>202303806.60532522</v>
      </c>
    </row>
    <row r="7227" spans="1:2" x14ac:dyDescent="0.25">
      <c r="A7227">
        <f ca="1">26832.3383646328*((RANDBETWEEN(1620,2416)))</f>
        <v>56830892.656292185</v>
      </c>
      <c r="B7227">
        <v>145595552.71414533</v>
      </c>
    </row>
    <row r="7228" spans="1:2" x14ac:dyDescent="0.25">
      <c r="A7228">
        <f ca="1">27825.9287597025*((RANDBETWEEN(1620,2416)))</f>
        <v>45634523.165912114</v>
      </c>
      <c r="B7228">
        <v>166671597.06825241</v>
      </c>
    </row>
    <row r="7229" spans="1:2" x14ac:dyDescent="0.25">
      <c r="A7229">
        <f ca="1">30902.7734731209*((RANDBETWEEN(1620,2416)))</f>
        <v>57757283.621263005</v>
      </c>
      <c r="B7229">
        <v>191503590.87921894</v>
      </c>
    </row>
    <row r="7230" spans="1:2" x14ac:dyDescent="0.25">
      <c r="A7230">
        <f ca="1">30670.7099967356*((RANDBETWEEN(1620,2416)))</f>
        <v>61157395.733490691</v>
      </c>
      <c r="B7230">
        <v>162555718.23057047</v>
      </c>
    </row>
    <row r="7231" spans="1:2" x14ac:dyDescent="0.25">
      <c r="A7231">
        <f ca="1">30985.9537318864*((RANDBETWEEN(1620,2416)))</f>
        <v>61445146.250330754</v>
      </c>
      <c r="B7231">
        <v>202623238.53014243</v>
      </c>
    </row>
    <row r="7232" spans="1:2" x14ac:dyDescent="0.25">
      <c r="A7232">
        <f ca="1">27667.3653785454*((RANDBETWEEN(1620,2416)))</f>
        <v>60231854.429093286</v>
      </c>
      <c r="B7232">
        <v>150060534.30978161</v>
      </c>
    </row>
    <row r="7233" spans="1:2" x14ac:dyDescent="0.25">
      <c r="A7233">
        <f ca="1">27319.8463994317*((RANDBETWEEN(1620,2416)))</f>
        <v>55732486.654840648</v>
      </c>
      <c r="B7233">
        <v>194455953.72208172</v>
      </c>
    </row>
    <row r="7234" spans="1:2" x14ac:dyDescent="0.25">
      <c r="A7234">
        <f ca="1">30181.2444054911*((RANDBETWEEN(1620,2416)))</f>
        <v>49467059.580599889</v>
      </c>
      <c r="B7234">
        <v>197847807.5943397</v>
      </c>
    </row>
    <row r="7235" spans="1:2" x14ac:dyDescent="0.25">
      <c r="A7235">
        <f ca="1">27301.7919166679*((RANDBETWEEN(1620,2416)))</f>
        <v>45812406.836168662</v>
      </c>
      <c r="B7235">
        <v>164890405.87017992</v>
      </c>
    </row>
    <row r="7236" spans="1:2" x14ac:dyDescent="0.25">
      <c r="A7236">
        <f ca="1">25212.2731229245*((RANDBETWEEN(1620,2416)))</f>
        <v>51735584.448241174</v>
      </c>
      <c r="B7236">
        <v>164508718.78337246</v>
      </c>
    </row>
    <row r="7237" spans="1:2" x14ac:dyDescent="0.25">
      <c r="A7237">
        <f ca="1">30666.4996036958*((RANDBETWEEN(1620,2416)))</f>
        <v>52961044.815582603</v>
      </c>
      <c r="B7237">
        <v>176228210.01753259</v>
      </c>
    </row>
    <row r="7238" spans="1:2" x14ac:dyDescent="0.25">
      <c r="A7238">
        <f ca="1">27828.6371019734*((RANDBETWEEN(1620,2416)))</f>
        <v>58328823.365736321</v>
      </c>
      <c r="B7238">
        <v>189742130.95932555</v>
      </c>
    </row>
    <row r="7239" spans="1:2" x14ac:dyDescent="0.25">
      <c r="A7239">
        <f ca="1">26638.9298051989*((RANDBETWEEN(1620,2416)))</f>
        <v>43821039.529552199</v>
      </c>
      <c r="B7239">
        <v>145839234.97097373</v>
      </c>
    </row>
    <row r="7240" spans="1:2" x14ac:dyDescent="0.25">
      <c r="A7240">
        <f ca="1">26451.6067764433*((RANDBETWEEN(1620,2416)))</f>
        <v>57876115.626857989</v>
      </c>
      <c r="B7240">
        <v>164344112.54280022</v>
      </c>
    </row>
    <row r="7241" spans="1:2" x14ac:dyDescent="0.25">
      <c r="A7241">
        <f ca="1">27803.9434622356*((RANDBETWEEN(1620,2416)))</f>
        <v>50325137.666646443</v>
      </c>
      <c r="B7241">
        <v>190433615.18142864</v>
      </c>
    </row>
    <row r="7242" spans="1:2" x14ac:dyDescent="0.25">
      <c r="A7242">
        <f ca="1">30710.6857208411*((RANDBETWEEN(1620,2416)))</f>
        <v>70358180.986446887</v>
      </c>
      <c r="B7242">
        <v>189584021.94635516</v>
      </c>
    </row>
    <row r="7243" spans="1:2" x14ac:dyDescent="0.25">
      <c r="A7243">
        <f ca="1">28752.9345873314*((RANDBETWEEN(1620,2416)))</f>
        <v>46579754.031476915</v>
      </c>
      <c r="B7243">
        <v>144429648.46882358</v>
      </c>
    </row>
    <row r="7244" spans="1:2" x14ac:dyDescent="0.25">
      <c r="A7244">
        <f ca="1">26926.543881139*((RANDBETWEEN(1620,2416)))</f>
        <v>56411109.430986136</v>
      </c>
      <c r="B7244">
        <v>161982971.19473371</v>
      </c>
    </row>
    <row r="7245" spans="1:2" x14ac:dyDescent="0.25">
      <c r="A7245">
        <f ca="1">28688.0805422678*((RANDBETWEEN(1620,2416)))</f>
        <v>49228746.210531525</v>
      </c>
      <c r="B7245">
        <v>185440878.6742329</v>
      </c>
    </row>
    <row r="7246" spans="1:2" x14ac:dyDescent="0.25">
      <c r="A7246">
        <f ca="1">28264.6366694343*((RANDBETWEEN(1620,2416)))</f>
        <v>65941397.349790134</v>
      </c>
      <c r="B7246">
        <v>164216178.1867564</v>
      </c>
    </row>
    <row r="7247" spans="1:2" x14ac:dyDescent="0.25">
      <c r="A7247">
        <f ca="1">29321.0574745111*((RANDBETWEEN(1620,2416)))</f>
        <v>53100435.086339675</v>
      </c>
      <c r="B7247">
        <v>183599532.90047529</v>
      </c>
    </row>
    <row r="7248" spans="1:2" x14ac:dyDescent="0.25">
      <c r="A7248">
        <f ca="1">29435.4911527855*((RANDBETWEEN(1620,2416)))</f>
        <v>55662513.769917406</v>
      </c>
      <c r="B7248">
        <v>189181397.10798424</v>
      </c>
    </row>
    <row r="7249" spans="1:2" x14ac:dyDescent="0.25">
      <c r="A7249">
        <f ca="1">26400.9689688303*((RANDBETWEEN(1620,2416)))</f>
        <v>47521744.143894486</v>
      </c>
      <c r="B7249">
        <v>162771614.54301375</v>
      </c>
    </row>
    <row r="7250" spans="1:2" x14ac:dyDescent="0.25">
      <c r="A7250">
        <f ca="1">25711.4621727312*((RANDBETWEEN(1620,2416)))</f>
        <v>43786620.080161184</v>
      </c>
      <c r="B7250">
        <v>146486295.74211407</v>
      </c>
    </row>
    <row r="7251" spans="1:2" x14ac:dyDescent="0.25">
      <c r="A7251">
        <f ca="1">29127.4543718584*((RANDBETWEEN(1620,2416)))</f>
        <v>68362135.410751566</v>
      </c>
      <c r="B7251">
        <v>146529845.6238654</v>
      </c>
    </row>
    <row r="7252" spans="1:2" x14ac:dyDescent="0.25">
      <c r="A7252">
        <f ca="1">31837.6582135007*((RANDBETWEEN(1620,2416)))</f>
        <v>56798382.25288526</v>
      </c>
      <c r="B7252">
        <v>200175683.88316512</v>
      </c>
    </row>
    <row r="7253" spans="1:2" x14ac:dyDescent="0.25">
      <c r="A7253">
        <f ca="1">26800.7455943612*((RANDBETWEEN(1620,2416)))</f>
        <v>54807524.740468718</v>
      </c>
      <c r="B7253">
        <v>183595804.30329323</v>
      </c>
    </row>
    <row r="7254" spans="1:2" x14ac:dyDescent="0.25">
      <c r="A7254">
        <f ca="1">25973.1198309269*((RANDBETWEEN(1620,2416)))</f>
        <v>53192949.413738295</v>
      </c>
      <c r="B7254">
        <v>150156458.63110763</v>
      </c>
    </row>
    <row r="7255" spans="1:2" x14ac:dyDescent="0.25">
      <c r="A7255">
        <f ca="1">26987.354939573*((RANDBETWEEN(1620,2416)))</f>
        <v>54136634.008783437</v>
      </c>
      <c r="B7255">
        <v>182920525.75827235</v>
      </c>
    </row>
    <row r="7256" spans="1:2" x14ac:dyDescent="0.25">
      <c r="A7256">
        <f ca="1">30064.7068237748*((RANDBETWEEN(1620,2416)))</f>
        <v>60339866.595315948</v>
      </c>
      <c r="B7256">
        <v>149777011.96995041</v>
      </c>
    </row>
    <row r="7257" spans="1:2" x14ac:dyDescent="0.25">
      <c r="A7257">
        <f ca="1">30673.0094599392*((RANDBETWEEN(1620,2416)))</f>
        <v>54444591.791392162</v>
      </c>
      <c r="B7257">
        <v>178182778.01051202</v>
      </c>
    </row>
    <row r="7258" spans="1:2" x14ac:dyDescent="0.25">
      <c r="A7258">
        <f ca="1">29496.1251287274*((RANDBETWEEN(1620,2416)))</f>
        <v>56219614.495354414</v>
      </c>
      <c r="B7258">
        <v>157280804.1993216</v>
      </c>
    </row>
    <row r="7259" spans="1:2" x14ac:dyDescent="0.25">
      <c r="A7259">
        <f ca="1">27492.8227215422*((RANDBETWEEN(1620,2416)))</f>
        <v>58312276.992390983</v>
      </c>
      <c r="B7259">
        <v>149517416.2382431</v>
      </c>
    </row>
    <row r="7260" spans="1:2" x14ac:dyDescent="0.25">
      <c r="A7260">
        <f ca="1">31247.4647550379*((RANDBETWEEN(1620,2416)))</f>
        <v>62651166.833851062</v>
      </c>
      <c r="B7260">
        <v>191209782.73163086</v>
      </c>
    </row>
    <row r="7261" spans="1:2" x14ac:dyDescent="0.25">
      <c r="A7261">
        <f ca="1">28931.9004934615*((RANDBETWEEN(1620,2416)))</f>
        <v>61393492.847125329</v>
      </c>
      <c r="B7261">
        <v>172188730.44660395</v>
      </c>
    </row>
    <row r="7262" spans="1:2" x14ac:dyDescent="0.25">
      <c r="A7262">
        <f ca="1">29288.8180997181*((RANDBETWEEN(1620,2416)))</f>
        <v>54682223.39217376</v>
      </c>
      <c r="B7262">
        <v>148882120.50604752</v>
      </c>
    </row>
    <row r="7263" spans="1:2" x14ac:dyDescent="0.25">
      <c r="A7263">
        <f ca="1">28003.8787265682*((RANDBETWEEN(1620,2416)))</f>
        <v>46010372.747751504</v>
      </c>
      <c r="B7263">
        <v>169066306.21771803</v>
      </c>
    </row>
    <row r="7264" spans="1:2" x14ac:dyDescent="0.25">
      <c r="A7264">
        <f ca="1">28924.7904745454*((RANDBETWEEN(1620,2416)))</f>
        <v>60626360.834647171</v>
      </c>
      <c r="B7264">
        <v>151659528.44467023</v>
      </c>
    </row>
    <row r="7265" spans="1:2" x14ac:dyDescent="0.25">
      <c r="A7265">
        <f ca="1">28880.4258012587*((RANDBETWEEN(1620,2416)))</f>
        <v>68822054.68439953</v>
      </c>
      <c r="B7265">
        <v>188106614.43143576</v>
      </c>
    </row>
    <row r="7266" spans="1:2" x14ac:dyDescent="0.25">
      <c r="A7266">
        <f ca="1">33568.7136449833*((RANDBETWEEN(1620,2416)))</f>
        <v>68614450.690345824</v>
      </c>
      <c r="B7266">
        <v>176895046.93274498</v>
      </c>
    </row>
    <row r="7267" spans="1:2" x14ac:dyDescent="0.25">
      <c r="A7267">
        <f ca="1">27077.0864142738*((RANDBETWEEN(1620,2416)))</f>
        <v>62250221.666415438</v>
      </c>
      <c r="B7267">
        <v>188159844.30744952</v>
      </c>
    </row>
    <row r="7268" spans="1:2" x14ac:dyDescent="0.25">
      <c r="A7268">
        <f ca="1">30381.2027339027*((RANDBETWEEN(1620,2416)))</f>
        <v>63922050.552131318</v>
      </c>
      <c r="B7268">
        <v>160706235.62290868</v>
      </c>
    </row>
    <row r="7269" spans="1:2" x14ac:dyDescent="0.25">
      <c r="A7269">
        <f ca="1">28465.9723039133*((RANDBETWEEN(1620,2416)))</f>
        <v>55366316.131111398</v>
      </c>
      <c r="B7269">
        <v>155675305.84996182</v>
      </c>
    </row>
    <row r="7270" spans="1:2" x14ac:dyDescent="0.25">
      <c r="A7270">
        <f ca="1">26909.5149714121*((RANDBETWEEN(1620,2416)))</f>
        <v>55864153.08065144</v>
      </c>
      <c r="B7270">
        <v>165222872.56437978</v>
      </c>
    </row>
    <row r="7271" spans="1:2" x14ac:dyDescent="0.25">
      <c r="A7271">
        <f ca="1">26941.0620245069*((RANDBETWEEN(1620,2416)))</f>
        <v>64173609.742375322</v>
      </c>
      <c r="B7271">
        <v>152149594.69493598</v>
      </c>
    </row>
    <row r="7272" spans="1:2" x14ac:dyDescent="0.25">
      <c r="A7272">
        <f ca="1">27058.2642234946*((RANDBETWEEN(1620,2416)))</f>
        <v>47595486.769126914</v>
      </c>
      <c r="B7272">
        <v>180078148.3868874</v>
      </c>
    </row>
    <row r="7273" spans="1:2" x14ac:dyDescent="0.25">
      <c r="A7273">
        <f ca="1">30717.1689068257*((RANDBETWEEN(1620,2416)))</f>
        <v>53325005.222249426</v>
      </c>
      <c r="B7273">
        <v>164942468.27702442</v>
      </c>
    </row>
    <row r="7274" spans="1:2" x14ac:dyDescent="0.25">
      <c r="A7274">
        <f ca="1">27297.0096121072*((RANDBETWEEN(1620,2416)))</f>
        <v>62100696.867543958</v>
      </c>
      <c r="B7274">
        <v>188801545.06631845</v>
      </c>
    </row>
    <row r="7275" spans="1:2" x14ac:dyDescent="0.25">
      <c r="A7275">
        <f ca="1">28503.1987253588*((RANDBETWEEN(1620,2416)))</f>
        <v>60512290.893936642</v>
      </c>
      <c r="B7275">
        <v>189079159.78764215</v>
      </c>
    </row>
    <row r="7276" spans="1:2" x14ac:dyDescent="0.25">
      <c r="A7276">
        <f ca="1">27468.5718403811*((RANDBETWEEN(1620,2416)))</f>
        <v>58508058.020011701</v>
      </c>
      <c r="B7276">
        <v>146456565.24102473</v>
      </c>
    </row>
    <row r="7277" spans="1:2" x14ac:dyDescent="0.25">
      <c r="A7277">
        <f ca="1">28004.1131940178*((RANDBETWEEN(1620,2416)))</f>
        <v>65837670.119135842</v>
      </c>
      <c r="B7277">
        <v>173137493.43759575</v>
      </c>
    </row>
    <row r="7278" spans="1:2" x14ac:dyDescent="0.25">
      <c r="A7278">
        <f ca="1">26623.5367482494*((RANDBETWEEN(1620,2416)))</f>
        <v>48321719.198072627</v>
      </c>
      <c r="B7278">
        <v>187322166.25499228</v>
      </c>
    </row>
    <row r="7279" spans="1:2" x14ac:dyDescent="0.25">
      <c r="A7279">
        <f ca="1">26655.8068403366*((RANDBETWEEN(1620,2416)))</f>
        <v>49713079.757227793</v>
      </c>
      <c r="B7279">
        <v>165826287.17123407</v>
      </c>
    </row>
    <row r="7280" spans="1:2" x14ac:dyDescent="0.25">
      <c r="A7280">
        <f ca="1">26482.9596858517*((RANDBETWEEN(1620,2416)))</f>
        <v>59480727.454422854</v>
      </c>
      <c r="B7280">
        <v>163048357.14437923</v>
      </c>
    </row>
    <row r="7281" spans="1:2" x14ac:dyDescent="0.25">
      <c r="A7281">
        <f ca="1">25072.9260238903*((RANDBETWEEN(1620,2416)))</f>
        <v>51223987.866807818</v>
      </c>
      <c r="B7281">
        <v>154437056.99225849</v>
      </c>
    </row>
    <row r="7282" spans="1:2" x14ac:dyDescent="0.25">
      <c r="A7282">
        <f ca="1">30175.025304776*((RANDBETWEEN(1620,2416)))</f>
        <v>70156933.833604157</v>
      </c>
      <c r="B7282">
        <v>185587110.19377291</v>
      </c>
    </row>
    <row r="7283" spans="1:2" x14ac:dyDescent="0.25">
      <c r="A7283">
        <f ca="1">25676.6241763722*((RANDBETWEEN(1620,2416)))</f>
        <v>49941034.023043901</v>
      </c>
      <c r="B7283">
        <v>150574576.36265361</v>
      </c>
    </row>
    <row r="7284" spans="1:2" x14ac:dyDescent="0.25">
      <c r="A7284">
        <f ca="1">33053.7820204021*((RANDBETWEEN(1620,2416)))</f>
        <v>77378903.709761262</v>
      </c>
      <c r="B7284">
        <v>157561166.10339519</v>
      </c>
    </row>
    <row r="7285" spans="1:2" x14ac:dyDescent="0.25">
      <c r="A7285">
        <f ca="1">26783.009026997*((RANDBETWEEN(1620,2416)))</f>
        <v>53780282.12620993</v>
      </c>
      <c r="B7285">
        <v>166489194.48635909</v>
      </c>
    </row>
    <row r="7286" spans="1:2" x14ac:dyDescent="0.25">
      <c r="A7286">
        <f ca="1">27868.7755872938*((RANDBETWEEN(1620,2416)))</f>
        <v>58245740.977444112</v>
      </c>
      <c r="B7286">
        <v>186041038.30975035</v>
      </c>
    </row>
    <row r="7287" spans="1:2" x14ac:dyDescent="0.25">
      <c r="A7287">
        <f ca="1">28686.4574218711*((RANDBETWEEN(1620,2416)))</f>
        <v>48709604.702337123</v>
      </c>
      <c r="B7287">
        <v>172681004.84798685</v>
      </c>
    </row>
    <row r="7288" spans="1:2" x14ac:dyDescent="0.25">
      <c r="A7288">
        <f ca="1">34365.7281238191*((RANDBETWEEN(1620,2416)))</f>
        <v>60758607.322912104</v>
      </c>
      <c r="B7288">
        <v>176340385.1782566</v>
      </c>
    </row>
    <row r="7289" spans="1:2" x14ac:dyDescent="0.25">
      <c r="A7289">
        <f ca="1">29513.1406215072*((RANDBETWEEN(1620,2416)))</f>
        <v>50821628.150235355</v>
      </c>
      <c r="B7289">
        <v>184207320.77966499</v>
      </c>
    </row>
    <row r="7290" spans="1:2" x14ac:dyDescent="0.25">
      <c r="A7290">
        <f ca="1">27485.5843594036*((RANDBETWEEN(1620,2416)))</f>
        <v>45323728.608656585</v>
      </c>
      <c r="B7290">
        <v>146368330.55919155</v>
      </c>
    </row>
    <row r="7291" spans="1:2" x14ac:dyDescent="0.25">
      <c r="A7291">
        <f ca="1">25976.9371790717*((RANDBETWEEN(1620,2416)))</f>
        <v>59201439.831104398</v>
      </c>
      <c r="B7291">
        <v>159790941.92068124</v>
      </c>
    </row>
    <row r="7292" spans="1:2" x14ac:dyDescent="0.25">
      <c r="A7292">
        <f ca="1">25680.7634873858*((RANDBETWEEN(1620,2416)))</f>
        <v>57807398.610105351</v>
      </c>
      <c r="B7292">
        <v>158248435.05069172</v>
      </c>
    </row>
    <row r="7293" spans="1:2" x14ac:dyDescent="0.25">
      <c r="A7293">
        <f ca="1">25782.4127488842*((RANDBETWEEN(1620,2416)))</f>
        <v>52982858.198956951</v>
      </c>
      <c r="B7293">
        <v>198365023.91040781</v>
      </c>
    </row>
    <row r="7294" spans="1:2" x14ac:dyDescent="0.25">
      <c r="A7294">
        <f ca="1">26321.2967505751*((RANDBETWEEN(1620,2416)))</f>
        <v>56564466.716985859</v>
      </c>
      <c r="B7294">
        <v>144073481.90456352</v>
      </c>
    </row>
    <row r="7295" spans="1:2" x14ac:dyDescent="0.25">
      <c r="A7295">
        <f ca="1">28170.6971785319*((RANDBETWEEN(1620,2416)))</f>
        <v>66820893.707477622</v>
      </c>
      <c r="B7295">
        <v>166891813.00100967</v>
      </c>
    </row>
    <row r="7296" spans="1:2" x14ac:dyDescent="0.25">
      <c r="A7296">
        <f ca="1">26279.0018530964*((RANDBETWEEN(1620,2416)))</f>
        <v>57892641.082371332</v>
      </c>
      <c r="B7296">
        <v>159632238.56542009</v>
      </c>
    </row>
    <row r="7297" spans="1:2" x14ac:dyDescent="0.25">
      <c r="A7297">
        <f ca="1">29996.3194704657*((RANDBETWEEN(1620,2416)))</f>
        <v>58192859.772703394</v>
      </c>
      <c r="B7297">
        <v>203025258.42745394</v>
      </c>
    </row>
    <row r="7298" spans="1:2" x14ac:dyDescent="0.25">
      <c r="A7298">
        <f ca="1">27244.8557843622*((RANDBETWEEN(1620,2416)))</f>
        <v>64924491.334135026</v>
      </c>
      <c r="B7298">
        <v>147190869.06938696</v>
      </c>
    </row>
    <row r="7299" spans="1:2" x14ac:dyDescent="0.25">
      <c r="A7299">
        <f ca="1">27218.3046113431*((RANDBETWEEN(1620,2416)))</f>
        <v>55770306.148642041</v>
      </c>
      <c r="B7299">
        <v>144406840.10560939</v>
      </c>
    </row>
    <row r="7300" spans="1:2" x14ac:dyDescent="0.25">
      <c r="A7300">
        <f ca="1">28727.3874235729*((RANDBETWEEN(1620,2416)))</f>
        <v>61964974.672646642</v>
      </c>
      <c r="B7300">
        <v>157479704.99793825</v>
      </c>
    </row>
    <row r="7301" spans="1:2" x14ac:dyDescent="0.25">
      <c r="A7301">
        <f ca="1">26501.9030641575*((RANDBETWEEN(1620,2416)))</f>
        <v>61219396.078203917</v>
      </c>
      <c r="B7301">
        <v>156449424.06679383</v>
      </c>
    </row>
    <row r="7302" spans="1:2" x14ac:dyDescent="0.25">
      <c r="A7302">
        <f ca="1">27131.2575358247*((RANDBETWEEN(1620,2416)))</f>
        <v>63649930.179044783</v>
      </c>
      <c r="B7302">
        <v>147230193.22202089</v>
      </c>
    </row>
    <row r="7303" spans="1:2" x14ac:dyDescent="0.25">
      <c r="A7303">
        <f ca="1">26752.1436932708*((RANDBETWEEN(1620,2416)))</f>
        <v>50080012.993802994</v>
      </c>
      <c r="B7303">
        <v>149627975.11298227</v>
      </c>
    </row>
    <row r="7304" spans="1:2" x14ac:dyDescent="0.25">
      <c r="A7304">
        <f ca="1">27666.4843241022*((RANDBETWEEN(1620,2416)))</f>
        <v>56494960.989816606</v>
      </c>
      <c r="B7304">
        <v>144712259.20482391</v>
      </c>
    </row>
    <row r="7305" spans="1:2" x14ac:dyDescent="0.25">
      <c r="A7305">
        <f ca="1">32051.8895352425*((RANDBETWEEN(1620,2416)))</f>
        <v>71764180.669407964</v>
      </c>
      <c r="B7305">
        <v>169522588.56924635</v>
      </c>
    </row>
    <row r="7306" spans="1:2" x14ac:dyDescent="0.25">
      <c r="A7306">
        <f ca="1">26684.2919501327*((RANDBETWEEN(1620,2416)))</f>
        <v>63481930.549365781</v>
      </c>
      <c r="B7306">
        <v>154371184.0458813</v>
      </c>
    </row>
    <row r="7307" spans="1:2" x14ac:dyDescent="0.25">
      <c r="A7307">
        <f ca="1">30240.5203675344*((RANDBETWEEN(1620,2416)))</f>
        <v>72970375.646860585</v>
      </c>
      <c r="B7307">
        <v>176183374.8793757</v>
      </c>
    </row>
    <row r="7308" spans="1:2" x14ac:dyDescent="0.25">
      <c r="A7308">
        <f ca="1">29583.9387910216*((RANDBETWEEN(1620,2416)))</f>
        <v>70705613.710541502</v>
      </c>
      <c r="B7308">
        <v>143093638.75981933</v>
      </c>
    </row>
    <row r="7309" spans="1:2" x14ac:dyDescent="0.25">
      <c r="A7309">
        <f ca="1">28310.0192456034*((RANDBETWEEN(1620,2416)))</f>
        <v>61404431.743713714</v>
      </c>
      <c r="B7309">
        <v>152848279.72590053</v>
      </c>
    </row>
    <row r="7310" spans="1:2" x14ac:dyDescent="0.25">
      <c r="A7310">
        <f ca="1">31669.3360859581*((RANDBETWEEN(1620,2416)))</f>
        <v>56339748.896919511</v>
      </c>
      <c r="B7310">
        <v>163259212.97183761</v>
      </c>
    </row>
    <row r="7311" spans="1:2" x14ac:dyDescent="0.25">
      <c r="A7311">
        <f ca="1">27643.1511203258*((RANDBETWEEN(1620,2416)))</f>
        <v>64159753.750276111</v>
      </c>
      <c r="B7311">
        <v>193332144.71155214</v>
      </c>
    </row>
    <row r="7312" spans="1:2" x14ac:dyDescent="0.25">
      <c r="A7312">
        <f ca="1">31728.2890239393*((RANDBETWEEN(1620,2416)))</f>
        <v>73292347.645299822</v>
      </c>
      <c r="B7312">
        <v>146655823.15594035</v>
      </c>
    </row>
    <row r="7313" spans="1:2" x14ac:dyDescent="0.25">
      <c r="A7313">
        <f ca="1">31636.4587901425*((RANDBETWEEN(1620,2416)))</f>
        <v>53528888.27292116</v>
      </c>
      <c r="B7313">
        <v>198255584.91459674</v>
      </c>
    </row>
    <row r="7314" spans="1:2" x14ac:dyDescent="0.25">
      <c r="A7314">
        <f ca="1">26785.0863416043*((RANDBETWEEN(1620,2416)))</f>
        <v>43713260.909498207</v>
      </c>
      <c r="B7314">
        <v>158359376.63519233</v>
      </c>
    </row>
    <row r="7315" spans="1:2" x14ac:dyDescent="0.25">
      <c r="A7315">
        <f ca="1">27385.8395664978*((RANDBETWEEN(1620,2416)))</f>
        <v>59947602.811063759</v>
      </c>
      <c r="B7315">
        <v>144795823.89749515</v>
      </c>
    </row>
    <row r="7316" spans="1:2" x14ac:dyDescent="0.25">
      <c r="A7316">
        <f ca="1">27280.2421256373*((RANDBETWEEN(1620,2416)))</f>
        <v>64435931.900755309</v>
      </c>
      <c r="B7316">
        <v>164431479.8514283</v>
      </c>
    </row>
    <row r="7317" spans="1:2" x14ac:dyDescent="0.25">
      <c r="A7317">
        <f ca="1">28674.3426879457*((RANDBETWEEN(1620,2416)))</f>
        <v>65406175.671204112</v>
      </c>
      <c r="B7317">
        <v>164137400.88036507</v>
      </c>
    </row>
    <row r="7318" spans="1:2" x14ac:dyDescent="0.25">
      <c r="A7318">
        <f ca="1">27836.8220375562*((RANDBETWEEN(1620,2416)))</f>
        <v>48658764.921648242</v>
      </c>
      <c r="B7318">
        <v>158047730.91817221</v>
      </c>
    </row>
    <row r="7319" spans="1:2" x14ac:dyDescent="0.25">
      <c r="A7319">
        <f ca="1">31624.7924949887*((RANDBETWEEN(1620,2416)))</f>
        <v>60751226.382873319</v>
      </c>
      <c r="B7319">
        <v>178925691.45092633</v>
      </c>
    </row>
    <row r="7320" spans="1:2" x14ac:dyDescent="0.25">
      <c r="A7320">
        <f ca="1">26783.6114201781*((RANDBETWEEN(1620,2416)))</f>
        <v>51076346.978279568</v>
      </c>
      <c r="B7320">
        <v>197143388.21182325</v>
      </c>
    </row>
    <row r="7321" spans="1:2" x14ac:dyDescent="0.25">
      <c r="A7321">
        <f ca="1">28425.7561592362*((RANDBETWEEN(1620,2416)))</f>
        <v>68477646.587599978</v>
      </c>
      <c r="B7321">
        <v>199626602.90558827</v>
      </c>
    </row>
    <row r="7322" spans="1:2" x14ac:dyDescent="0.25">
      <c r="A7322">
        <f ca="1">30915.3573442907*((RANDBETWEEN(1620,2416)))</f>
        <v>72774751.188460201</v>
      </c>
      <c r="B7322">
        <v>203087849.72194016</v>
      </c>
    </row>
    <row r="7323" spans="1:2" x14ac:dyDescent="0.25">
      <c r="A7323">
        <f ca="1">30976.2542904342*((RANDBETWEEN(1620,2416)))</f>
        <v>53124276.108094715</v>
      </c>
      <c r="B7323">
        <v>161856635.0691129</v>
      </c>
    </row>
    <row r="7324" spans="1:2" x14ac:dyDescent="0.25">
      <c r="A7324">
        <f ca="1">28175.2541536754*((RANDBETWEEN(1620,2416)))</f>
        <v>64690383.536838762</v>
      </c>
      <c r="B7324">
        <v>151144678.41113961</v>
      </c>
    </row>
    <row r="7325" spans="1:2" x14ac:dyDescent="0.25">
      <c r="A7325">
        <f ca="1">27154.4195582709*((RANDBETWEEN(1620,2416)))</f>
        <v>62020694.271090634</v>
      </c>
      <c r="B7325">
        <v>145824973.00515804</v>
      </c>
    </row>
    <row r="7326" spans="1:2" x14ac:dyDescent="0.25">
      <c r="A7326">
        <f ca="1">28102.826476183*((RANDBETWEEN(1620,2416)))</f>
        <v>55025334.240366325</v>
      </c>
      <c r="B7326">
        <v>148689814.14247364</v>
      </c>
    </row>
    <row r="7327" spans="1:2" x14ac:dyDescent="0.25">
      <c r="A7327">
        <f ca="1">30226.7267770306*((RANDBETWEEN(1620,2416)))</f>
        <v>55768310.903621532</v>
      </c>
      <c r="B7327">
        <v>184951054.0267438</v>
      </c>
    </row>
    <row r="7328" spans="1:2" x14ac:dyDescent="0.25">
      <c r="A7328">
        <f ca="1">26660.7052166639*((RANDBETWEEN(1620,2416)))</f>
        <v>48415840.673461653</v>
      </c>
      <c r="B7328">
        <v>158397151.68229795</v>
      </c>
    </row>
    <row r="7329" spans="1:2" x14ac:dyDescent="0.25">
      <c r="A7329">
        <f ca="1">28600.5869902186*((RANDBETWEEN(1620,2416)))</f>
        <v>67640388.23186706</v>
      </c>
      <c r="B7329">
        <v>151387290.17387396</v>
      </c>
    </row>
    <row r="7330" spans="1:2" x14ac:dyDescent="0.25">
      <c r="A7330">
        <f ca="1">28779.6384660936*((RANDBETWEEN(1620,2416)))</f>
        <v>64898084.741041161</v>
      </c>
      <c r="B7330">
        <v>183112551.29389507</v>
      </c>
    </row>
    <row r="7331" spans="1:2" x14ac:dyDescent="0.25">
      <c r="A7331">
        <f ca="1">28665.9937956209*((RANDBETWEEN(1620,2416)))</f>
        <v>55583361.969708897</v>
      </c>
      <c r="B7331">
        <v>173413508.62006998</v>
      </c>
    </row>
    <row r="7332" spans="1:2" x14ac:dyDescent="0.25">
      <c r="A7332">
        <f ca="1">27614.0501713453*((RANDBETWEEN(1620,2416)))</f>
        <v>55725153.245774724</v>
      </c>
      <c r="B7332">
        <v>182431059.33755827</v>
      </c>
    </row>
    <row r="7333" spans="1:2" x14ac:dyDescent="0.25">
      <c r="A7333">
        <f ca="1">32318.7313949714*((RANDBETWEEN(1620,2416)))</f>
        <v>74850181.910753965</v>
      </c>
      <c r="B7333">
        <v>155526901.97959578</v>
      </c>
    </row>
    <row r="7334" spans="1:2" x14ac:dyDescent="0.25">
      <c r="A7334">
        <f ca="1">26075.8860472668*((RANDBETWEEN(1620,2416)))</f>
        <v>62373519.425062254</v>
      </c>
      <c r="B7334">
        <v>156832646.51051414</v>
      </c>
    </row>
    <row r="7335" spans="1:2" x14ac:dyDescent="0.25">
      <c r="A7335">
        <f ca="1">28940.2273062916*((RANDBETWEEN(1620,2416)))</f>
        <v>51716186.196343102</v>
      </c>
      <c r="B7335">
        <v>183016533.39986238</v>
      </c>
    </row>
    <row r="7336" spans="1:2" x14ac:dyDescent="0.25">
      <c r="A7336">
        <f ca="1">31407.8696973617*((RANDBETWEEN(1620,2416)))</f>
        <v>62847147.264420852</v>
      </c>
      <c r="B7336">
        <v>192045003.6840879</v>
      </c>
    </row>
    <row r="7337" spans="1:2" x14ac:dyDescent="0.25">
      <c r="A7337">
        <f ca="1">30243.7580258512*((RANDBETWEEN(1620,2416)))</f>
        <v>58914840.63435822</v>
      </c>
      <c r="B7337">
        <v>172969733.87927511</v>
      </c>
    </row>
    <row r="7338" spans="1:2" x14ac:dyDescent="0.25">
      <c r="A7338">
        <f ca="1">31013.1585997856*((RANDBETWEEN(1620,2416)))</f>
        <v>55885711.796813719</v>
      </c>
      <c r="B7338">
        <v>167614515.31344998</v>
      </c>
    </row>
    <row r="7339" spans="1:2" x14ac:dyDescent="0.25">
      <c r="A7339">
        <f ca="1">27326.8263518804*((RANDBETWEEN(1620,2416)))</f>
        <v>46127682.881974153</v>
      </c>
      <c r="B7339">
        <v>153012208.93561396</v>
      </c>
    </row>
    <row r="7340" spans="1:2" x14ac:dyDescent="0.25">
      <c r="A7340">
        <f ca="1">27508.4069144712*((RANDBETWEEN(1620,2416)))</f>
        <v>54356612.062995113</v>
      </c>
      <c r="B7340">
        <v>146139708.87486044</v>
      </c>
    </row>
    <row r="7341" spans="1:2" x14ac:dyDescent="0.25">
      <c r="A7341">
        <f ca="1">31113.9169460399*((RANDBETWEEN(1620,2416)))</f>
        <v>52706975.306591623</v>
      </c>
      <c r="B7341">
        <v>191039180.04787987</v>
      </c>
    </row>
    <row r="7342" spans="1:2" x14ac:dyDescent="0.25">
      <c r="A7342">
        <f ca="1">29699.7020543235*((RANDBETWEEN(1620,2416)))</f>
        <v>67002527.83455389</v>
      </c>
      <c r="B7342">
        <v>178822307.76256755</v>
      </c>
    </row>
    <row r="7343" spans="1:2" x14ac:dyDescent="0.25">
      <c r="A7343">
        <f ca="1">26252.773588212*((RANDBETWEEN(1620,2416)))</f>
        <v>47806300.704134092</v>
      </c>
      <c r="B7343">
        <v>146379058.38758397</v>
      </c>
    </row>
    <row r="7344" spans="1:2" x14ac:dyDescent="0.25">
      <c r="A7344">
        <f ca="1">27939.5290619316*((RANDBETWEEN(1620,2416)))</f>
        <v>66579897.754583001</v>
      </c>
      <c r="B7344">
        <v>161027943.38517368</v>
      </c>
    </row>
    <row r="7345" spans="1:2" x14ac:dyDescent="0.25">
      <c r="A7345">
        <f ca="1">28495.8225138678*((RANDBETWEEN(1620,2416)))</f>
        <v>59955210.569177762</v>
      </c>
      <c r="B7345">
        <v>176202997.64294949</v>
      </c>
    </row>
    <row r="7346" spans="1:2" x14ac:dyDescent="0.25">
      <c r="A7346">
        <f ca="1">26550.8656707159*((RANDBETWEEN(1620,2416)))</f>
        <v>60058058.147159368</v>
      </c>
      <c r="B7346">
        <v>189357455.559012</v>
      </c>
    </row>
    <row r="7347" spans="1:2" x14ac:dyDescent="0.25">
      <c r="A7347">
        <f ca="1">29871.3086139689*((RANDBETWEEN(1620,2416)))</f>
        <v>71482041.513227522</v>
      </c>
      <c r="B7347">
        <v>179517754.45648259</v>
      </c>
    </row>
    <row r="7348" spans="1:2" x14ac:dyDescent="0.25">
      <c r="A7348">
        <f ca="1">29451.7253404531*((RANDBETWEEN(1620,2416)))</f>
        <v>51304905.543069348</v>
      </c>
      <c r="B7348">
        <v>167895999.09630892</v>
      </c>
    </row>
    <row r="7349" spans="1:2" x14ac:dyDescent="0.25">
      <c r="A7349">
        <f ca="1">26888.5201055646*((RANDBETWEEN(1620,2416)))</f>
        <v>61036940.639631584</v>
      </c>
      <c r="B7349">
        <v>185608562.09550971</v>
      </c>
    </row>
    <row r="7350" spans="1:2" x14ac:dyDescent="0.25">
      <c r="A7350">
        <f ca="1">27111.7071422101*((RANDBETWEEN(1620,2416)))</f>
        <v>53599845.020149432</v>
      </c>
      <c r="B7350">
        <v>190966387.36724031</v>
      </c>
    </row>
    <row r="7351" spans="1:2" x14ac:dyDescent="0.25">
      <c r="A7351">
        <f ca="1">35596.3697393977*((RANDBETWEEN(1620,2416)))</f>
        <v>83971836.215239152</v>
      </c>
      <c r="B7351">
        <v>191462939.10375625</v>
      </c>
    </row>
    <row r="7352" spans="1:2" x14ac:dyDescent="0.25">
      <c r="A7352">
        <f ca="1">27633.057013422*((RANDBETWEEN(1620,2416)))</f>
        <v>60240064.289260052</v>
      </c>
      <c r="B7352">
        <v>169221271.21175694</v>
      </c>
    </row>
    <row r="7353" spans="1:2" x14ac:dyDescent="0.25">
      <c r="A7353">
        <f ca="1">32611.627390442*((RANDBETWEEN(1620,2416)))</f>
        <v>65712429.191740714</v>
      </c>
      <c r="B7353">
        <v>155310422.40224016</v>
      </c>
    </row>
    <row r="7354" spans="1:2" x14ac:dyDescent="0.25">
      <c r="A7354">
        <f ca="1">29024.0417416474*((RANDBETWEEN(1620,2416)))</f>
        <v>52591563.635865159</v>
      </c>
      <c r="B7354">
        <v>163078054.51640373</v>
      </c>
    </row>
    <row r="7355" spans="1:2" x14ac:dyDescent="0.25">
      <c r="A7355">
        <f ca="1">33403.8947860147*((RANDBETWEEN(1620,2416)))</f>
        <v>55283445.870854378</v>
      </c>
      <c r="B7355">
        <v>196227257.5948838</v>
      </c>
    </row>
    <row r="7356" spans="1:2" x14ac:dyDescent="0.25">
      <c r="A7356">
        <f ca="1">25950.2227299404*((RANDBETWEEN(1620,2416)))</f>
        <v>44738183.986417167</v>
      </c>
      <c r="B7356">
        <v>191780889.62254682</v>
      </c>
    </row>
    <row r="7357" spans="1:2" x14ac:dyDescent="0.25">
      <c r="A7357">
        <f ca="1">26022.5407561894*((RANDBETWEEN(1620,2416)))</f>
        <v>51238382.748936832</v>
      </c>
      <c r="B7357">
        <v>147588098.86404964</v>
      </c>
    </row>
    <row r="7358" spans="1:2" x14ac:dyDescent="0.25">
      <c r="A7358">
        <f ca="1">29356.936368849*((RANDBETWEEN(1620,2416)))</f>
        <v>70221791.794286758</v>
      </c>
      <c r="B7358">
        <v>146054930.75635791</v>
      </c>
    </row>
    <row r="7359" spans="1:2" x14ac:dyDescent="0.25">
      <c r="A7359">
        <f ca="1">27342.866859102*((RANDBETWEEN(1620,2416)))</f>
        <v>47932045.604005732</v>
      </c>
      <c r="B7359">
        <v>156622532.29538512</v>
      </c>
    </row>
    <row r="7360" spans="1:2" x14ac:dyDescent="0.25">
      <c r="A7360">
        <f ca="1">27138.3113644655*((RANDBETWEEN(1620,2416)))</f>
        <v>52892568.84934321</v>
      </c>
      <c r="B7360">
        <v>180364027.53532246</v>
      </c>
    </row>
    <row r="7361" spans="1:2" x14ac:dyDescent="0.25">
      <c r="A7361">
        <f ca="1">26454.1004564027*((RANDBETWEEN(1620,2416)))</f>
        <v>57802209.497239888</v>
      </c>
      <c r="B7361">
        <v>180767505.31321102</v>
      </c>
    </row>
    <row r="7362" spans="1:2" x14ac:dyDescent="0.25">
      <c r="A7362">
        <f ca="1">28859.4856298222*((RANDBETWEEN(1620,2416)))</f>
        <v>51456462.877972983</v>
      </c>
      <c r="B7362">
        <v>174929172.78600097</v>
      </c>
    </row>
    <row r="7363" spans="1:2" x14ac:dyDescent="0.25">
      <c r="A7363">
        <f ca="1">31826.646198838*((RANDBETWEEN(1620,2416)))</f>
        <v>63144066.058494583</v>
      </c>
      <c r="B7363">
        <v>198981784.74346462</v>
      </c>
    </row>
    <row r="7364" spans="1:2" x14ac:dyDescent="0.25">
      <c r="A7364">
        <f ca="1">27193.2514371519*((RANDBETWEEN(1620,2416)))</f>
        <v>54930367.903046891</v>
      </c>
      <c r="B7364">
        <v>167867388.24043685</v>
      </c>
    </row>
    <row r="7365" spans="1:2" x14ac:dyDescent="0.25">
      <c r="A7365">
        <f ca="1">28480.8506712728*((RANDBETWEEN(1620,2416)))</f>
        <v>57331952.401272245</v>
      </c>
      <c r="B7365">
        <v>156115081.4742063</v>
      </c>
    </row>
    <row r="7366" spans="1:2" x14ac:dyDescent="0.25">
      <c r="A7366">
        <f ca="1">28944.4232137018*((RANDBETWEEN(1620,2416)))</f>
        <v>56412680.843504839</v>
      </c>
      <c r="B7366">
        <v>191814438.83570334</v>
      </c>
    </row>
    <row r="7367" spans="1:2" x14ac:dyDescent="0.25">
      <c r="A7367">
        <f ca="1">31179.8984349025*((RANDBETWEEN(1620,2416)))</f>
        <v>74083438.681328252</v>
      </c>
      <c r="B7367">
        <v>188163588.58648333</v>
      </c>
    </row>
    <row r="7368" spans="1:2" x14ac:dyDescent="0.25">
      <c r="A7368">
        <f ca="1">28063.9943524824*((RANDBETWEEN(1620,2416)))</f>
        <v>49111990.116844155</v>
      </c>
      <c r="B7368">
        <v>176392059.12852472</v>
      </c>
    </row>
    <row r="7369" spans="1:2" x14ac:dyDescent="0.25">
      <c r="A7369">
        <f ca="1">25587.3160180924*((RANDBETWEEN(1620,2416)))</f>
        <v>58287905.889214501</v>
      </c>
      <c r="B7369">
        <v>167818386.13881204</v>
      </c>
    </row>
    <row r="7370" spans="1:2" x14ac:dyDescent="0.25">
      <c r="A7370">
        <f ca="1">26047.2798584009*((RANDBETWEEN(1620,2416)))</f>
        <v>50609864.764872923</v>
      </c>
      <c r="B7370">
        <v>170856072.94737178</v>
      </c>
    </row>
    <row r="7371" spans="1:2" x14ac:dyDescent="0.25">
      <c r="A7371">
        <f ca="1">29580.7063871426*((RANDBETWEEN(1620,2416)))</f>
        <v>52624076.66272673</v>
      </c>
      <c r="B7371">
        <v>185455945.49560446</v>
      </c>
    </row>
    <row r="7372" spans="1:2" x14ac:dyDescent="0.25">
      <c r="A7372">
        <f ca="1">26583.4476238452*((RANDBETWEEN(1620,2416)))</f>
        <v>63800274.297228403</v>
      </c>
      <c r="B7372">
        <v>175341759.07248631</v>
      </c>
    </row>
    <row r="7373" spans="1:2" x14ac:dyDescent="0.25">
      <c r="A7373">
        <f ca="1">27305.8230612938*((RANDBETWEEN(1620,2416)))</f>
        <v>59526694.273620553</v>
      </c>
      <c r="B7373">
        <v>197440164.22804266</v>
      </c>
    </row>
    <row r="7374" spans="1:2" x14ac:dyDescent="0.25">
      <c r="A7374">
        <f ca="1">28035.8718799987*((RANDBETWEEN(1620,2416)))</f>
        <v>51473860.771677583</v>
      </c>
      <c r="B7374">
        <v>143540538.50354096</v>
      </c>
    </row>
    <row r="7375" spans="1:2" x14ac:dyDescent="0.25">
      <c r="A7375">
        <f ca="1">27898.1216971206*((RANDBETWEEN(1620,2416)))</f>
        <v>54680318.526356436</v>
      </c>
      <c r="B7375">
        <v>156075590.12131393</v>
      </c>
    </row>
    <row r="7376" spans="1:2" x14ac:dyDescent="0.25">
      <c r="A7376">
        <f ca="1">29191.4606016403*((RANDBETWEEN(1620,2416)))</f>
        <v>50004972.010609835</v>
      </c>
      <c r="B7376">
        <v>146955663.16344067</v>
      </c>
    </row>
    <row r="7377" spans="1:2" x14ac:dyDescent="0.25">
      <c r="A7377">
        <f ca="1">27061.934539402*((RANDBETWEEN(1620,2416)))</f>
        <v>64380342.269237272</v>
      </c>
      <c r="B7377">
        <v>163831572.64438713</v>
      </c>
    </row>
    <row r="7378" spans="1:2" x14ac:dyDescent="0.25">
      <c r="A7378">
        <f ca="1">31487.1294493005*((RANDBETWEEN(1620,2416)))</f>
        <v>71223886.814317703</v>
      </c>
      <c r="B7378">
        <v>170868715.48444834</v>
      </c>
    </row>
    <row r="7379" spans="1:2" x14ac:dyDescent="0.25">
      <c r="A7379">
        <f ca="1">27547.0893946564*((RANDBETWEEN(1620,2416)))</f>
        <v>46279110.18302279</v>
      </c>
      <c r="B7379">
        <v>179331111.95713088</v>
      </c>
    </row>
    <row r="7380" spans="1:2" x14ac:dyDescent="0.25">
      <c r="A7380">
        <f ca="1">26925.9754391595*((RANDBETWEEN(1620,2416)))</f>
        <v>64110747.520638719</v>
      </c>
      <c r="B7380">
        <v>151723336.9014895</v>
      </c>
    </row>
    <row r="7381" spans="1:2" x14ac:dyDescent="0.25">
      <c r="A7381">
        <f ca="1">26864.7257191918*((RANDBETWEEN(1620,2416)))</f>
        <v>61950057.508456364</v>
      </c>
      <c r="B7381">
        <v>147662438.68605113</v>
      </c>
    </row>
    <row r="7382" spans="1:2" x14ac:dyDescent="0.25">
      <c r="A7382">
        <f ca="1">30336.4565018839*((RANDBETWEEN(1620,2416)))</f>
        <v>63342521.175933659</v>
      </c>
      <c r="B7382">
        <v>155330872.94672132</v>
      </c>
    </row>
    <row r="7383" spans="1:2" x14ac:dyDescent="0.25">
      <c r="A7383">
        <f ca="1">27538.5214675929*((RANDBETWEEN(1620,2416)))</f>
        <v>48577951.868833788</v>
      </c>
      <c r="B7383">
        <v>149547356.15654016</v>
      </c>
    </row>
    <row r="7384" spans="1:2" x14ac:dyDescent="0.25">
      <c r="A7384">
        <f ca="1">26616.429971804*((RANDBETWEEN(1620,2416)))</f>
        <v>46658601.740572363</v>
      </c>
      <c r="B7384">
        <v>146869895.95350501</v>
      </c>
    </row>
    <row r="7385" spans="1:2" x14ac:dyDescent="0.25">
      <c r="A7385">
        <f ca="1">29816.0037564281*((RANDBETWEEN(1620,2416)))</f>
        <v>50418862.352119848</v>
      </c>
      <c r="B7385">
        <v>163547601.92923456</v>
      </c>
    </row>
    <row r="7386" spans="1:2" x14ac:dyDescent="0.25">
      <c r="A7386">
        <f ca="1">26331.4891856211*((RANDBETWEEN(1620,2416)))</f>
        <v>53031619.219840847</v>
      </c>
      <c r="B7386">
        <v>144352631.03463221</v>
      </c>
    </row>
    <row r="7387" spans="1:2" x14ac:dyDescent="0.25">
      <c r="A7387">
        <f ca="1">30040.4988048325*((RANDBETWEEN(1620,2416)))</f>
        <v>64436869.936365761</v>
      </c>
      <c r="B7387">
        <v>158348002.61010528</v>
      </c>
    </row>
    <row r="7388" spans="1:2" x14ac:dyDescent="0.25">
      <c r="A7388">
        <f ca="1">31753.4208058274*((RANDBETWEEN(1620,2416)))</f>
        <v>69063690.252674565</v>
      </c>
      <c r="B7388">
        <v>169872760.19996792</v>
      </c>
    </row>
    <row r="7389" spans="1:2" x14ac:dyDescent="0.25">
      <c r="A7389">
        <f ca="1">33274.6689249092*((RANDBETWEEN(1620,2416)))</f>
        <v>64286660.36292465</v>
      </c>
      <c r="B7389">
        <v>196403020.10212204</v>
      </c>
    </row>
    <row r="7390" spans="1:2" x14ac:dyDescent="0.25">
      <c r="A7390">
        <f ca="1">27009.7986574703*((RANDBETWEEN(1620,2416)))</f>
        <v>55370087.247814082</v>
      </c>
      <c r="B7390">
        <v>149551735.5282166</v>
      </c>
    </row>
    <row r="7391" spans="1:2" x14ac:dyDescent="0.25">
      <c r="A7391">
        <f ca="1">30543.9569441174*((RANDBETWEEN(1620,2416)))</f>
        <v>58797117.11742606</v>
      </c>
      <c r="B7391">
        <v>156245843.15551364</v>
      </c>
    </row>
    <row r="7392" spans="1:2" x14ac:dyDescent="0.25">
      <c r="A7392">
        <f ca="1">30314.4066912562*((RANDBETWEEN(1620,2416)))</f>
        <v>67964899.801796362</v>
      </c>
      <c r="B7392">
        <v>193266326.10979018</v>
      </c>
    </row>
    <row r="7393" spans="1:2" x14ac:dyDescent="0.25">
      <c r="A7393">
        <f ca="1">27566.3010540963*((RANDBETWEEN(1620,2416)))</f>
        <v>54856939.097651631</v>
      </c>
      <c r="B7393">
        <v>167450709.07076475</v>
      </c>
    </row>
    <row r="7394" spans="1:2" x14ac:dyDescent="0.25">
      <c r="A7394">
        <f ca="1">28327.7616777385*((RANDBETWEEN(1620,2416)))</f>
        <v>45975957.202969514</v>
      </c>
      <c r="B7394">
        <v>157972721.33025774</v>
      </c>
    </row>
    <row r="7395" spans="1:2" x14ac:dyDescent="0.25">
      <c r="A7395">
        <f ca="1">29038.0269487494*((RANDBETWEEN(1620,2416)))</f>
        <v>54998023.040931337</v>
      </c>
      <c r="B7395">
        <v>167946441.1119386</v>
      </c>
    </row>
    <row r="7396" spans="1:2" x14ac:dyDescent="0.25">
      <c r="A7396">
        <f ca="1">28730.7136750046*((RANDBETWEEN(1620,2416)))</f>
        <v>60104653.008109726</v>
      </c>
      <c r="B7396">
        <v>158248395.6696251</v>
      </c>
    </row>
    <row r="7397" spans="1:2" x14ac:dyDescent="0.25">
      <c r="A7397">
        <f ca="1">27266.1245652008*((RANDBETWEEN(1620,2416)))</f>
        <v>62766618.749092206</v>
      </c>
      <c r="B7397">
        <v>154823017.93486798</v>
      </c>
    </row>
    <row r="7398" spans="1:2" x14ac:dyDescent="0.25">
      <c r="A7398">
        <f ca="1">27708.1841167099*((RANDBETWEEN(1620,2416)))</f>
        <v>64393819.887233913</v>
      </c>
      <c r="B7398">
        <v>149693620.51760823</v>
      </c>
    </row>
    <row r="7399" spans="1:2" x14ac:dyDescent="0.25">
      <c r="A7399">
        <f ca="1">30807.9576464073*((RANDBETWEEN(1620,2416)))</f>
        <v>59921477.62226221</v>
      </c>
      <c r="B7399">
        <v>186880338.94930494</v>
      </c>
    </row>
    <row r="7400" spans="1:2" x14ac:dyDescent="0.25">
      <c r="A7400">
        <f ca="1">25018.4600723203*((RANDBETWEEN(1620,2416)))</f>
        <v>50287104.745363824</v>
      </c>
      <c r="B7400">
        <v>159012220.95635912</v>
      </c>
    </row>
    <row r="7401" spans="1:2" x14ac:dyDescent="0.25">
      <c r="A7401">
        <f ca="1">29955.0680056422*((RANDBETWEEN(1620,2416)))</f>
        <v>60449327.235385939</v>
      </c>
      <c r="B7401">
        <v>202364124.82232094</v>
      </c>
    </row>
    <row r="7402" spans="1:2" x14ac:dyDescent="0.25">
      <c r="A7402">
        <f ca="1">24576.9374577592*((RANDBETWEEN(1620,2416)))</f>
        <v>45491911.234312341</v>
      </c>
      <c r="B7402">
        <v>143588599.86661723</v>
      </c>
    </row>
    <row r="7403" spans="1:2" x14ac:dyDescent="0.25">
      <c r="A7403">
        <f ca="1">28629.1179388277*((RANDBETWEEN(1620,2416)))</f>
        <v>60693730.030314744</v>
      </c>
      <c r="B7403">
        <v>179898753.46137461</v>
      </c>
    </row>
    <row r="7404" spans="1:2" x14ac:dyDescent="0.25">
      <c r="A7404">
        <f ca="1">26636.5523874852*((RANDBETWEEN(1620,2416)))</f>
        <v>61450526.357928544</v>
      </c>
      <c r="B7404">
        <v>168192211.75257683</v>
      </c>
    </row>
    <row r="7405" spans="1:2" x14ac:dyDescent="0.25">
      <c r="A7405">
        <f ca="1">26136.5078586152*((RANDBETWEEN(1620,2416)))</f>
        <v>50678688.737854965</v>
      </c>
      <c r="B7405">
        <v>200921809.50819176</v>
      </c>
    </row>
    <row r="7406" spans="1:2" x14ac:dyDescent="0.25">
      <c r="A7406">
        <f ca="1">28825.6723729011*((RANDBETWEEN(1620,2416)))</f>
        <v>56728923.229869276</v>
      </c>
      <c r="B7406">
        <v>172905328.33295357</v>
      </c>
    </row>
    <row r="7407" spans="1:2" x14ac:dyDescent="0.25">
      <c r="A7407">
        <f ca="1">27551.0441019436*((RANDBETWEEN(1620,2416)))</f>
        <v>60364337.627358533</v>
      </c>
      <c r="B7407">
        <v>175570665.39813247</v>
      </c>
    </row>
    <row r="7408" spans="1:2" x14ac:dyDescent="0.25">
      <c r="A7408">
        <f ca="1">28238.7432243496*((RANDBETWEEN(1620,2416)))</f>
        <v>56929306.340288848</v>
      </c>
      <c r="B7408">
        <v>152480899.90553916</v>
      </c>
    </row>
    <row r="7409" spans="1:2" x14ac:dyDescent="0.25">
      <c r="A7409">
        <f ca="1">28876.0513830448*((RANDBETWEEN(1620,2416)))</f>
        <v>66501546.335152067</v>
      </c>
      <c r="B7409">
        <v>144342325.87860331</v>
      </c>
    </row>
    <row r="7410" spans="1:2" x14ac:dyDescent="0.25">
      <c r="A7410">
        <f ca="1">26467.5404198216*((RANDBETWEEN(1620,2416)))</f>
        <v>58149186.302347995</v>
      </c>
      <c r="B7410">
        <v>150223656.0335215</v>
      </c>
    </row>
    <row r="7411" spans="1:2" x14ac:dyDescent="0.25">
      <c r="A7411">
        <f ca="1">28721.3244007374*((RANDBETWEEN(1620,2416)))</f>
        <v>52071761.138536893</v>
      </c>
      <c r="B7411">
        <v>149496076.17596084</v>
      </c>
    </row>
    <row r="7412" spans="1:2" x14ac:dyDescent="0.25">
      <c r="A7412">
        <f ca="1">28449.8410697457*((RANDBETWEEN(1620,2416)))</f>
        <v>52461506.93261116</v>
      </c>
      <c r="B7412">
        <v>193563572.23453444</v>
      </c>
    </row>
    <row r="7413" spans="1:2" x14ac:dyDescent="0.25">
      <c r="A7413">
        <f ca="1">32842.914886595*((RANDBETWEEN(1620,2416)))</f>
        <v>56391284.860283598</v>
      </c>
      <c r="B7413">
        <v>189645343.51251331</v>
      </c>
    </row>
    <row r="7414" spans="1:2" x14ac:dyDescent="0.25">
      <c r="A7414">
        <f ca="1">31835.7409649037*((RANDBETWEEN(1620,2416)))</f>
        <v>61570323.026123695</v>
      </c>
      <c r="B7414">
        <v>157368242.66141459</v>
      </c>
    </row>
    <row r="7415" spans="1:2" x14ac:dyDescent="0.25">
      <c r="A7415">
        <f ca="1">30203.414317374*((RANDBETWEEN(1620,2416)))</f>
        <v>54456756.014225334</v>
      </c>
      <c r="B7415">
        <v>157223971.41277334</v>
      </c>
    </row>
    <row r="7416" spans="1:2" x14ac:dyDescent="0.25">
      <c r="A7416">
        <f ca="1">31184.7962927374*((RANDBETWEEN(1620,2416)))</f>
        <v>63336321.270549677</v>
      </c>
      <c r="B7416">
        <v>165691086.44667923</v>
      </c>
    </row>
    <row r="7417" spans="1:2" x14ac:dyDescent="0.25">
      <c r="A7417">
        <f ca="1">32583.6816869109*((RANDBETWEEN(1620,2416)))</f>
        <v>66763963.776480421</v>
      </c>
      <c r="B7417">
        <v>185314684.75159985</v>
      </c>
    </row>
    <row r="7418" spans="1:2" x14ac:dyDescent="0.25">
      <c r="A7418">
        <f ca="1">26533.2095419753*((RANDBETWEEN(1620,2416)))</f>
        <v>43726729.32517536</v>
      </c>
      <c r="B7418">
        <v>174283855.79998809</v>
      </c>
    </row>
    <row r="7419" spans="1:2" x14ac:dyDescent="0.25">
      <c r="A7419">
        <f ca="1">26663.5991987807*((RANDBETWEEN(1620,2416)))</f>
        <v>54047115.575928539</v>
      </c>
      <c r="B7419">
        <v>157178362.8533861</v>
      </c>
    </row>
    <row r="7420" spans="1:2" x14ac:dyDescent="0.25">
      <c r="A7420">
        <f ca="1">27661.8627077155*((RANDBETWEEN(1620,2416)))</f>
        <v>59860270.899496384</v>
      </c>
      <c r="B7420">
        <v>147841660.06446147</v>
      </c>
    </row>
    <row r="7421" spans="1:2" x14ac:dyDescent="0.25">
      <c r="A7421">
        <f ca="1">28871.252127221*((RANDBETWEEN(1620,2416)))</f>
        <v>49283227.381166257</v>
      </c>
      <c r="B7421">
        <v>163514259.2571339</v>
      </c>
    </row>
    <row r="7422" spans="1:2" x14ac:dyDescent="0.25">
      <c r="A7422">
        <f ca="1">26343.1418171285*((RANDBETWEEN(1620,2416)))</f>
        <v>44625282.23821561</v>
      </c>
      <c r="B7422">
        <v>144235861.77246079</v>
      </c>
    </row>
    <row r="7423" spans="1:2" x14ac:dyDescent="0.25">
      <c r="A7423">
        <f ca="1">31838.6895120945*((RANDBETWEEN(1620,2416)))</f>
        <v>51674193.078129411</v>
      </c>
      <c r="B7423">
        <v>164506595.25356913</v>
      </c>
    </row>
    <row r="7424" spans="1:2" x14ac:dyDescent="0.25">
      <c r="A7424">
        <f ca="1">26795.306086222*((RANDBETWEEN(1620,2416)))</f>
        <v>59726737.266188852</v>
      </c>
      <c r="B7424">
        <v>184143324.56454572</v>
      </c>
    </row>
    <row r="7425" spans="1:2" x14ac:dyDescent="0.25">
      <c r="A7425">
        <f ca="1">26806.6054268396*((RANDBETWEEN(1620,2416)))</f>
        <v>43989639.505443819</v>
      </c>
      <c r="B7425">
        <v>184943819.47917008</v>
      </c>
    </row>
    <row r="7426" spans="1:2" x14ac:dyDescent="0.25">
      <c r="A7426">
        <f ca="1">29140.6786327596*((RANDBETWEEN(1620,2416)))</f>
        <v>48548370.602177531</v>
      </c>
      <c r="B7426">
        <v>187385854.33725396</v>
      </c>
    </row>
    <row r="7427" spans="1:2" x14ac:dyDescent="0.25">
      <c r="A7427">
        <f ca="1">28194.8504798705*((RANDBETWEEN(1620,2416)))</f>
        <v>50102249.302729942</v>
      </c>
      <c r="B7427">
        <v>174093200.06368104</v>
      </c>
    </row>
    <row r="7428" spans="1:2" x14ac:dyDescent="0.25">
      <c r="A7428">
        <f ca="1">32104.124228099*((RANDBETWEEN(1620,2416)))</f>
        <v>56599571.014138579</v>
      </c>
      <c r="B7428">
        <v>170603452.83301568</v>
      </c>
    </row>
    <row r="7429" spans="1:2" x14ac:dyDescent="0.25">
      <c r="A7429">
        <f ca="1">26684.8460118743*((RANDBETWEEN(1620,2416)))</f>
        <v>53209582.947677366</v>
      </c>
      <c r="B7429">
        <v>192813792.67267767</v>
      </c>
    </row>
    <row r="7430" spans="1:2" x14ac:dyDescent="0.25">
      <c r="A7430">
        <f ca="1">27271.9660541478*((RANDBETWEEN(1620,2416)))</f>
        <v>51189480.283635467</v>
      </c>
      <c r="B7430">
        <v>150660874.44544971</v>
      </c>
    </row>
    <row r="7431" spans="1:2" x14ac:dyDescent="0.25">
      <c r="A7431">
        <f ca="1">30973.5512895384*((RANDBETWEEN(1620,2416)))</f>
        <v>50982465.422580272</v>
      </c>
      <c r="B7431">
        <v>202376565.41535106</v>
      </c>
    </row>
    <row r="7432" spans="1:2" x14ac:dyDescent="0.25">
      <c r="A7432">
        <f ca="1">26172.6942131322*((RANDBETWEEN(1620,2416)))</f>
        <v>48000721.1868845</v>
      </c>
      <c r="B7432">
        <v>178305254.01095593</v>
      </c>
    </row>
    <row r="7433" spans="1:2" x14ac:dyDescent="0.25">
      <c r="A7433">
        <f ca="1">30082.9684592201*((RANDBETWEEN(1620,2416)))</f>
        <v>72169041.333668917</v>
      </c>
      <c r="B7433">
        <v>193532272.84988731</v>
      </c>
    </row>
    <row r="7434" spans="1:2" x14ac:dyDescent="0.25">
      <c r="A7434">
        <f ca="1">28814.4823101515*((RANDBETWEEN(1620,2416)))</f>
        <v>64919028.644771241</v>
      </c>
      <c r="B7434">
        <v>172985455.27468526</v>
      </c>
    </row>
    <row r="7435" spans="1:2" x14ac:dyDescent="0.25">
      <c r="A7435">
        <f ca="1">27737.3511121185*((RANDBETWEEN(1620,2416)))</f>
        <v>53172502.081931114</v>
      </c>
      <c r="B7435">
        <v>145444156.26709276</v>
      </c>
    </row>
    <row r="7436" spans="1:2" x14ac:dyDescent="0.25">
      <c r="A7436">
        <f ca="1">28163.7891007599*((RANDBETWEEN(1620,2416)))</f>
        <v>53933656.127955154</v>
      </c>
      <c r="B7436">
        <v>171595110.24950576</v>
      </c>
    </row>
    <row r="7437" spans="1:2" x14ac:dyDescent="0.25">
      <c r="A7437">
        <f ca="1">28372.6526001827*((RANDBETWEEN(1620,2416)))</f>
        <v>50985656.722528249</v>
      </c>
      <c r="B7437">
        <v>176080432.41674373</v>
      </c>
    </row>
    <row r="7438" spans="1:2" x14ac:dyDescent="0.25">
      <c r="A7438">
        <f ca="1">27230.2175913451*((RANDBETWEEN(1620,2416)))</f>
        <v>58980651.302853487</v>
      </c>
      <c r="B7438">
        <v>184365497.40734616</v>
      </c>
    </row>
    <row r="7439" spans="1:2" x14ac:dyDescent="0.25">
      <c r="A7439">
        <f ca="1">26349.3962821327*((RANDBETWEEN(1620,2416)))</f>
        <v>44214286.961418748</v>
      </c>
      <c r="B7439">
        <v>172464452.76088125</v>
      </c>
    </row>
    <row r="7440" spans="1:2" x14ac:dyDescent="0.25">
      <c r="A7440">
        <f ca="1">27308.9477945048*((RANDBETWEEN(1620,2416)))</f>
        <v>53225139.251489885</v>
      </c>
      <c r="B7440">
        <v>176305268.75997385</v>
      </c>
    </row>
    <row r="7441" spans="1:2" x14ac:dyDescent="0.25">
      <c r="A7441">
        <f ca="1">27878.0329104216*((RANDBETWEEN(1620,2416)))</f>
        <v>65485499.306580417</v>
      </c>
      <c r="B7441">
        <v>164167964.10069481</v>
      </c>
    </row>
    <row r="7442" spans="1:2" x14ac:dyDescent="0.25">
      <c r="A7442">
        <f ca="1">27624.8830971642*((RANDBETWEEN(1620,2416)))</f>
        <v>45857305.941292569</v>
      </c>
      <c r="B7442">
        <v>155915095.90652314</v>
      </c>
    </row>
    <row r="7443" spans="1:2" x14ac:dyDescent="0.25">
      <c r="A7443">
        <f ca="1">25736.0992438254*((RANDBETWEEN(1620,2416)))</f>
        <v>42593244.248531021</v>
      </c>
      <c r="B7443">
        <v>150110327.44205239</v>
      </c>
    </row>
    <row r="7444" spans="1:2" x14ac:dyDescent="0.25">
      <c r="A7444">
        <f ca="1">30488.9803894693*((RANDBETWEEN(1620,2416)))</f>
        <v>72014971.679926559</v>
      </c>
      <c r="B7444">
        <v>148673909.86435929</v>
      </c>
    </row>
    <row r="7445" spans="1:2" x14ac:dyDescent="0.25">
      <c r="A7445">
        <f ca="1">28138.2550560819*((RANDBETWEEN(1620,2416)))</f>
        <v>57992943.670584776</v>
      </c>
      <c r="B7445">
        <v>155917208.23969904</v>
      </c>
    </row>
    <row r="7446" spans="1:2" x14ac:dyDescent="0.25">
      <c r="A7446">
        <f ca="1">26868.5235758147*((RANDBETWEEN(1620,2416)))</f>
        <v>59701859.385460332</v>
      </c>
      <c r="B7446">
        <v>195865307.93501335</v>
      </c>
    </row>
    <row r="7447" spans="1:2" x14ac:dyDescent="0.25">
      <c r="A7447">
        <f ca="1">25870.8965111003*((RANDBETWEEN(1620,2416)))</f>
        <v>52466178.124511465</v>
      </c>
      <c r="B7447">
        <v>148558188.86827251</v>
      </c>
    </row>
    <row r="7448" spans="1:2" x14ac:dyDescent="0.25">
      <c r="A7448">
        <f ca="1">27175.7292912822*((RANDBETWEEN(1620,2416)))</f>
        <v>63265097.790104888</v>
      </c>
      <c r="B7448">
        <v>197386897.33617067</v>
      </c>
    </row>
    <row r="7449" spans="1:2" x14ac:dyDescent="0.25">
      <c r="A7449">
        <f ca="1">32662.5081712232*((RANDBETWEEN(1620,2416)))</f>
        <v>65063716.277076662</v>
      </c>
      <c r="B7449">
        <v>159121007.35507953</v>
      </c>
    </row>
    <row r="7450" spans="1:2" x14ac:dyDescent="0.25">
      <c r="A7450">
        <f ca="1">26205.5317504657*((RANDBETWEEN(1620,2416)))</f>
        <v>45650036.309311286</v>
      </c>
      <c r="B7450">
        <v>145484869.37156102</v>
      </c>
    </row>
    <row r="7451" spans="1:2" x14ac:dyDescent="0.25">
      <c r="A7451">
        <f ca="1">28566.3919057585*((RANDBETWEEN(1620,2416)))</f>
        <v>53790515.958543301</v>
      </c>
      <c r="B7451">
        <v>152578650.77124131</v>
      </c>
    </row>
    <row r="7452" spans="1:2" x14ac:dyDescent="0.25">
      <c r="A7452">
        <f ca="1">28725.8928817473*((RANDBETWEEN(1620,2416)))</f>
        <v>62450091.124918617</v>
      </c>
      <c r="B7452">
        <v>143240950.53392112</v>
      </c>
    </row>
    <row r="7453" spans="1:2" x14ac:dyDescent="0.25">
      <c r="A7453">
        <f ca="1">27870.1826920897*((RANDBETWEEN(1620,2416)))</f>
        <v>59363489.134151004</v>
      </c>
      <c r="B7453">
        <v>154053084.66111672</v>
      </c>
    </row>
    <row r="7454" spans="1:2" x14ac:dyDescent="0.25">
      <c r="A7454">
        <f ca="1">25985.8444446953*((RANDBETWEEN(1620,2416)))</f>
        <v>59065824.42279239</v>
      </c>
      <c r="B7454">
        <v>157220650.96112892</v>
      </c>
    </row>
    <row r="7455" spans="1:2" x14ac:dyDescent="0.25">
      <c r="A7455">
        <f ca="1">30408.863842721*((RANDBETWEEN(1620,2416)))</f>
        <v>50539531.706602365</v>
      </c>
      <c r="B7455">
        <v>144676189.80587819</v>
      </c>
    </row>
    <row r="7456" spans="1:2" x14ac:dyDescent="0.25">
      <c r="A7456">
        <f ca="1">26615.2217692784*((RANDBETWEEN(1620,2416)))</f>
        <v>54694280.73586721</v>
      </c>
      <c r="B7456">
        <v>151999983.93289438</v>
      </c>
    </row>
    <row r="7457" spans="1:2" x14ac:dyDescent="0.25">
      <c r="A7457">
        <f ca="1">28684.4859095268*((RANDBETWEEN(1620,2416)))</f>
        <v>48562834.644828863</v>
      </c>
      <c r="B7457">
        <v>171890404.30270487</v>
      </c>
    </row>
    <row r="7458" spans="1:2" x14ac:dyDescent="0.25">
      <c r="A7458">
        <f ca="1">26430.7407137087*((RANDBETWEEN(1620,2416)))</f>
        <v>55530986.239501961</v>
      </c>
      <c r="B7458">
        <v>174464837.17989588</v>
      </c>
    </row>
    <row r="7459" spans="1:2" x14ac:dyDescent="0.25">
      <c r="A7459">
        <f ca="1">31846.7704402507*((RANDBETWEEN(1620,2416)))</f>
        <v>68725330.610061109</v>
      </c>
      <c r="B7459">
        <v>184753746.32596999</v>
      </c>
    </row>
    <row r="7460" spans="1:2" x14ac:dyDescent="0.25">
      <c r="A7460">
        <f ca="1">27328.4431273187*((RANDBETWEEN(1620,2416)))</f>
        <v>56542548.830422454</v>
      </c>
      <c r="B7460">
        <v>168657860.93152687</v>
      </c>
    </row>
    <row r="7461" spans="1:2" x14ac:dyDescent="0.25">
      <c r="A7461">
        <f ca="1">30315.0033693835*((RANDBETWEEN(1620,2416)))</f>
        <v>58962681.553450853</v>
      </c>
      <c r="B7461">
        <v>147000307.44963112</v>
      </c>
    </row>
    <row r="7462" spans="1:2" x14ac:dyDescent="0.25">
      <c r="A7462">
        <f ca="1">29355.3493258498*((RANDBETWEEN(1620,2416)))</f>
        <v>61000415.899115883</v>
      </c>
      <c r="B7462">
        <v>170249449.61763903</v>
      </c>
    </row>
    <row r="7463" spans="1:2" x14ac:dyDescent="0.25">
      <c r="A7463">
        <f ca="1">29506.067923855*((RANDBETWEEN(1620,2416)))</f>
        <v>56681156.481725402</v>
      </c>
      <c r="B7463">
        <v>173319961.45070201</v>
      </c>
    </row>
    <row r="7464" spans="1:2" x14ac:dyDescent="0.25">
      <c r="A7464">
        <f ca="1">29768.4596292552*((RANDBETWEEN(1620,2416)))</f>
        <v>65044084.289922722</v>
      </c>
      <c r="B7464">
        <v>176861472.1019544</v>
      </c>
    </row>
    <row r="7465" spans="1:2" x14ac:dyDescent="0.25">
      <c r="A7465">
        <f ca="1">27956.1902296069*((RANDBETWEEN(1620,2416)))</f>
        <v>66647557.507382818</v>
      </c>
      <c r="B7465">
        <v>191941108.60782427</v>
      </c>
    </row>
    <row r="7466" spans="1:2" x14ac:dyDescent="0.25">
      <c r="A7466">
        <f ca="1">26894.0082709959*((RANDBETWEEN(1620,2416)))</f>
        <v>50506947.532930374</v>
      </c>
      <c r="B7466">
        <v>167698171.84812924</v>
      </c>
    </row>
    <row r="7467" spans="1:2" x14ac:dyDescent="0.25">
      <c r="A7467">
        <f ca="1">28550.6147446181*((RANDBETWEEN(1620,2416)))</f>
        <v>58557310.841211766</v>
      </c>
      <c r="B7467">
        <v>188609922.25406918</v>
      </c>
    </row>
    <row r="7468" spans="1:2" x14ac:dyDescent="0.25">
      <c r="A7468">
        <f ca="1">27110.6806945306*((RANDBETWEEN(1620,2416)))</f>
        <v>64902969.582706228</v>
      </c>
      <c r="B7468">
        <v>160993923.61363634</v>
      </c>
    </row>
    <row r="7469" spans="1:2" x14ac:dyDescent="0.25">
      <c r="A7469">
        <f ca="1">27511.7088987862*((RANDBETWEEN(1620,2416)))</f>
        <v>52437317.161086567</v>
      </c>
      <c r="B7469">
        <v>164145855.17968521</v>
      </c>
    </row>
    <row r="7470" spans="1:2" x14ac:dyDescent="0.25">
      <c r="A7470">
        <f ca="1">28136.2035594116*((RANDBETWEEN(1620,2416)))</f>
        <v>49435309.653886266</v>
      </c>
      <c r="B7470">
        <v>155138210.69739813</v>
      </c>
    </row>
    <row r="7471" spans="1:2" x14ac:dyDescent="0.25">
      <c r="A7471">
        <f ca="1">28947.0244653208*((RANDBETWEEN(1620,2416)))</f>
        <v>60933486.499500215</v>
      </c>
      <c r="B7471">
        <v>169349923.52353173</v>
      </c>
    </row>
    <row r="7472" spans="1:2" x14ac:dyDescent="0.25">
      <c r="A7472">
        <f ca="1">32712.9903007464*((RANDBETWEEN(1620,2416)))</f>
        <v>60290041.124275662</v>
      </c>
      <c r="B7472">
        <v>153838945.08190361</v>
      </c>
    </row>
    <row r="7473" spans="1:2" x14ac:dyDescent="0.25">
      <c r="A7473">
        <f ca="1">25639.5111163243*((RANDBETWEEN(1620,2416)))</f>
        <v>55817215.700238109</v>
      </c>
      <c r="B7473">
        <v>159192316.20536488</v>
      </c>
    </row>
    <row r="7474" spans="1:2" x14ac:dyDescent="0.25">
      <c r="A7474">
        <f ca="1">27451.1579733208*((RANDBETWEEN(1620,2416)))</f>
        <v>57208213.216400459</v>
      </c>
      <c r="B7474">
        <v>167125988.48161438</v>
      </c>
    </row>
    <row r="7475" spans="1:2" x14ac:dyDescent="0.25">
      <c r="A7475">
        <f ca="1">26172.8158226718*((RANDBETWEEN(1620,2416)))</f>
        <v>57501676.362409949</v>
      </c>
      <c r="B7475">
        <v>188240799.01182878</v>
      </c>
    </row>
    <row r="7476" spans="1:2" x14ac:dyDescent="0.25">
      <c r="A7476">
        <f ca="1">25315.4063813905*((RANDBETWEEN(1620,2416)))</f>
        <v>52301629.583952688</v>
      </c>
      <c r="B7476">
        <v>182631963.59162042</v>
      </c>
    </row>
    <row r="7477" spans="1:2" x14ac:dyDescent="0.25">
      <c r="A7477">
        <f ca="1">30069.9902412996*((RANDBETWEEN(1620,2416)))</f>
        <v>61463060.053216383</v>
      </c>
      <c r="B7477">
        <v>157959710.18988901</v>
      </c>
    </row>
    <row r="7478" spans="1:2" x14ac:dyDescent="0.25">
      <c r="A7478">
        <f ca="1">26477.2023608905*((RANDBETWEEN(1620,2416)))</f>
        <v>61294723.46546153</v>
      </c>
      <c r="B7478">
        <v>146513263.26400998</v>
      </c>
    </row>
    <row r="7479" spans="1:2" x14ac:dyDescent="0.25">
      <c r="A7479">
        <f ca="1">27858.6657149764*((RANDBETWEEN(1620,2416)))</f>
        <v>49142686.321218342</v>
      </c>
      <c r="B7479">
        <v>162546787.73722571</v>
      </c>
    </row>
    <row r="7480" spans="1:2" x14ac:dyDescent="0.25">
      <c r="A7480">
        <f ca="1">25808.1306192398*((RANDBETWEEN(1620,2416)))</f>
        <v>62145978.531129442</v>
      </c>
      <c r="B7480">
        <v>155326044.29264629</v>
      </c>
    </row>
    <row r="7481" spans="1:2" x14ac:dyDescent="0.25">
      <c r="A7481">
        <f ca="1">27745.5998177183*((RANDBETWEEN(1620,2416)))</f>
        <v>57766338.820489481</v>
      </c>
      <c r="B7481">
        <v>144825401.97912073</v>
      </c>
    </row>
    <row r="7482" spans="1:2" x14ac:dyDescent="0.25">
      <c r="A7482">
        <f ca="1">31120.7608097844*((RANDBETWEEN(1620,2416)))</f>
        <v>74907671.269151151</v>
      </c>
      <c r="B7482">
        <v>165976088.9170275</v>
      </c>
    </row>
    <row r="7483" spans="1:2" x14ac:dyDescent="0.25">
      <c r="A7483">
        <f ca="1">27430.3994483972*((RANDBETWEEN(1620,2416)))</f>
        <v>59661118.800263979</v>
      </c>
      <c r="B7483">
        <v>167489560.81430778</v>
      </c>
    </row>
    <row r="7484" spans="1:2" x14ac:dyDescent="0.25">
      <c r="A7484">
        <f ca="1">25661.2121035905*((RANDBETWEEN(1620,2416)))</f>
        <v>41596824.819920152</v>
      </c>
      <c r="B7484">
        <v>146513491.06502563</v>
      </c>
    </row>
    <row r="7485" spans="1:2" x14ac:dyDescent="0.25">
      <c r="A7485">
        <f ca="1">30205.3831304303*((RANDBETWEEN(1620,2416)))</f>
        <v>64730136.048512176</v>
      </c>
      <c r="B7485">
        <v>160758829.16131252</v>
      </c>
    </row>
    <row r="7486" spans="1:2" x14ac:dyDescent="0.25">
      <c r="A7486">
        <f ca="1">26352.0333536468*((RANDBETWEEN(1620,2416)))</f>
        <v>56208887.14332857</v>
      </c>
      <c r="B7486">
        <v>167160192.01319298</v>
      </c>
    </row>
    <row r="7487" spans="1:2" x14ac:dyDescent="0.25">
      <c r="A7487">
        <f ca="1">25967.5000096812*((RANDBETWEEN(1620,2416)))</f>
        <v>51467585.019188128</v>
      </c>
      <c r="B7487">
        <v>155432879.03040141</v>
      </c>
    </row>
    <row r="7488" spans="1:2" x14ac:dyDescent="0.25">
      <c r="A7488">
        <f ca="1">30055.641591236*((RANDBETWEEN(1620,2416)))</f>
        <v>61944677.319537319</v>
      </c>
      <c r="B7488">
        <v>172820677.0381363</v>
      </c>
    </row>
    <row r="7489" spans="1:2" x14ac:dyDescent="0.25">
      <c r="A7489">
        <f ca="1">28086.9058651288*((RANDBETWEEN(1620,2416)))</f>
        <v>65695272.818536356</v>
      </c>
      <c r="B7489">
        <v>149840178.18594348</v>
      </c>
    </row>
    <row r="7490" spans="1:2" x14ac:dyDescent="0.25">
      <c r="A7490">
        <f ca="1">28360.1101864211*((RANDBETWEEN(1620,2416)))</f>
        <v>47843505.884492315</v>
      </c>
      <c r="B7490">
        <v>175858322.6401456</v>
      </c>
    </row>
    <row r="7491" spans="1:2" x14ac:dyDescent="0.25">
      <c r="A7491">
        <f ca="1">25600.9780094911*((RANDBETWEEN(1620,2416)))</f>
        <v>60495111.03642755</v>
      </c>
      <c r="B7491">
        <v>157047462.04110163</v>
      </c>
    </row>
    <row r="7492" spans="1:2" x14ac:dyDescent="0.25">
      <c r="A7492">
        <f ca="1">26173.4816095737*((RANDBETWEEN(1620,2416)))</f>
        <v>62292886.230785333</v>
      </c>
      <c r="B7492">
        <v>145510908.62716973</v>
      </c>
    </row>
    <row r="7493" spans="1:2" x14ac:dyDescent="0.25">
      <c r="A7493">
        <f ca="1">26320.7307188557*((RANDBETWEEN(1620,2416)))</f>
        <v>47798446.985442035</v>
      </c>
      <c r="B7493">
        <v>162643083.40655953</v>
      </c>
    </row>
    <row r="7494" spans="1:2" x14ac:dyDescent="0.25">
      <c r="A7494">
        <f ca="1">29068.5191153724*((RANDBETWEEN(1620,2416)))</f>
        <v>50928045.490132518</v>
      </c>
      <c r="B7494">
        <v>145911340.89585721</v>
      </c>
    </row>
    <row r="7495" spans="1:2" x14ac:dyDescent="0.25">
      <c r="A7495">
        <f ca="1">26079.9592974894*((RANDBETWEEN(1620,2416)))</f>
        <v>60844545.041042864</v>
      </c>
      <c r="B7495">
        <v>154977284.31058669</v>
      </c>
    </row>
    <row r="7496" spans="1:2" x14ac:dyDescent="0.25">
      <c r="A7496">
        <f ca="1">26280.3398462736*((RANDBETWEEN(1620,2416)))</f>
        <v>54295182.122401282</v>
      </c>
      <c r="B7496">
        <v>168851907.40519267</v>
      </c>
    </row>
    <row r="7497" spans="1:2" x14ac:dyDescent="0.25">
      <c r="A7497">
        <f ca="1">29512.0030477262*((RANDBETWEEN(1620,2416)))</f>
        <v>70681247.299304232</v>
      </c>
      <c r="B7497">
        <v>149816071.08831513</v>
      </c>
    </row>
    <row r="7498" spans="1:2" x14ac:dyDescent="0.25">
      <c r="A7498">
        <f ca="1">26654.70500158*((RANDBETWEEN(1620,2416)))</f>
        <v>64051256.118796654</v>
      </c>
      <c r="B7498">
        <v>195784705.42529207</v>
      </c>
    </row>
    <row r="7499" spans="1:2" x14ac:dyDescent="0.25">
      <c r="A7499">
        <f ca="1">29770.6713051033*((RANDBETWEEN(1620,2416)))</f>
        <v>51830738.7421849</v>
      </c>
      <c r="B7499">
        <v>161579663.59870714</v>
      </c>
    </row>
    <row r="7500" spans="1:2" x14ac:dyDescent="0.25">
      <c r="A7500">
        <f ca="1">31168.6936460508*((RANDBETWEEN(1620,2416)))</f>
        <v>69225668.587878734</v>
      </c>
      <c r="B7500">
        <v>192733001.1380536</v>
      </c>
    </row>
    <row r="7501" spans="1:2" x14ac:dyDescent="0.25">
      <c r="A7501">
        <f ca="1">27350.3584637771*((RANDBETWEEN(1620,2416)))</f>
        <v>51254571.761118285</v>
      </c>
      <c r="B7501">
        <v>179193148.31536686</v>
      </c>
    </row>
    <row r="7502" spans="1:2" x14ac:dyDescent="0.25">
      <c r="A7502">
        <f ca="1">26267.7213465809*((RANDBETWEEN(1620,2416)))</f>
        <v>54584324.958195038</v>
      </c>
      <c r="B7502">
        <v>151769567.17919123</v>
      </c>
    </row>
    <row r="7503" spans="1:2" x14ac:dyDescent="0.25">
      <c r="A7503">
        <f ca="1">27733.6330529089*((RANDBETWEEN(1620,2416)))</f>
        <v>63399085.158949666</v>
      </c>
      <c r="B7503">
        <v>154532529.26344252</v>
      </c>
    </row>
    <row r="7504" spans="1:2" x14ac:dyDescent="0.25">
      <c r="A7504">
        <f ca="1">31728.8626215251*((RANDBETWEEN(1620,2416)))</f>
        <v>58508022.674092323</v>
      </c>
      <c r="B7504">
        <v>191585261.64020506</v>
      </c>
    </row>
    <row r="7505" spans="1:2" x14ac:dyDescent="0.25">
      <c r="A7505">
        <f ca="1">26786.567295909*((RANDBETWEEN(1620,2416)))</f>
        <v>58582222.676153019</v>
      </c>
      <c r="B7505">
        <v>169277317.52155831</v>
      </c>
    </row>
    <row r="7506" spans="1:2" x14ac:dyDescent="0.25">
      <c r="A7506">
        <f ca="1">26824.0944576857*((RANDBETWEEN(1620,2416)))</f>
        <v>51824150.492248707</v>
      </c>
      <c r="B7506">
        <v>151272840.84976834</v>
      </c>
    </row>
    <row r="7507" spans="1:2" x14ac:dyDescent="0.25">
      <c r="A7507">
        <f ca="1">28638.0602018891*((RANDBETWEEN(1620,2416)))</f>
        <v>54097295.721368462</v>
      </c>
      <c r="B7507">
        <v>180555710.99156711</v>
      </c>
    </row>
    <row r="7508" spans="1:2" x14ac:dyDescent="0.25">
      <c r="A7508">
        <f ca="1">31771.3910436625*((RANDBETWEEN(1620,2416)))</f>
        <v>62367240.6187094</v>
      </c>
      <c r="B7508">
        <v>194854031.91621906</v>
      </c>
    </row>
    <row r="7509" spans="1:2" x14ac:dyDescent="0.25">
      <c r="A7509">
        <f ca="1">27229.0376600817*((RANDBETWEEN(1620,2416)))</f>
        <v>57562185.613412626</v>
      </c>
      <c r="B7509">
        <v>192577003.80693907</v>
      </c>
    </row>
    <row r="7510" spans="1:2" x14ac:dyDescent="0.25">
      <c r="A7510">
        <f ca="1">26840.1005691456*((RANDBETWEEN(1620,2416)))</f>
        <v>55344287.373578124</v>
      </c>
      <c r="B7510">
        <v>149575297.13566199</v>
      </c>
    </row>
    <row r="7511" spans="1:2" x14ac:dyDescent="0.25">
      <c r="A7511">
        <f ca="1">28357.8715904933*((RANDBETWEEN(1620,2416)))</f>
        <v>60884350.304789148</v>
      </c>
      <c r="B7511">
        <v>156976327.22134793</v>
      </c>
    </row>
    <row r="7512" spans="1:2" x14ac:dyDescent="0.25">
      <c r="A7512">
        <f ca="1">29676.3388401559*((RANDBETWEEN(1620,2416)))</f>
        <v>71549652.943615928</v>
      </c>
      <c r="B7512">
        <v>194893441.13560492</v>
      </c>
    </row>
    <row r="7513" spans="1:2" x14ac:dyDescent="0.25">
      <c r="A7513">
        <f ca="1">26664.255416721*((RANDBETWEEN(1620,2416)))</f>
        <v>54208431.262193739</v>
      </c>
      <c r="B7513">
        <v>187619902.64611119</v>
      </c>
    </row>
    <row r="7514" spans="1:2" x14ac:dyDescent="0.25">
      <c r="A7514">
        <f ca="1">31091.6545922359*((RANDBETWEEN(1620,2416)))</f>
        <v>72692288.436647475</v>
      </c>
      <c r="B7514">
        <v>161557054.82875621</v>
      </c>
    </row>
    <row r="7515" spans="1:2" x14ac:dyDescent="0.25">
      <c r="A7515">
        <f ca="1">26874.2578730746*((RANDBETWEEN(1620,2416)))</f>
        <v>63288877.291090705</v>
      </c>
      <c r="B7515">
        <v>145778902.11338288</v>
      </c>
    </row>
    <row r="7516" spans="1:2" x14ac:dyDescent="0.25">
      <c r="A7516">
        <f ca="1">31742.7242471463*((RANDBETWEEN(1620,2416)))</f>
        <v>63929846.633752689</v>
      </c>
      <c r="B7516">
        <v>192777255.56611216</v>
      </c>
    </row>
    <row r="7517" spans="1:2" x14ac:dyDescent="0.25">
      <c r="A7517">
        <f ca="1">26364.088015329*((RANDBETWEEN(1620,2416)))</f>
        <v>50671777.165462397</v>
      </c>
      <c r="B7517">
        <v>151669633.93292814</v>
      </c>
    </row>
    <row r="7518" spans="1:2" x14ac:dyDescent="0.25">
      <c r="A7518">
        <f ca="1">27392.8404001138*((RANDBETWEEN(1620,2416)))</f>
        <v>54292609.673025511</v>
      </c>
      <c r="B7518">
        <v>185787163.48648399</v>
      </c>
    </row>
    <row r="7519" spans="1:2" x14ac:dyDescent="0.25">
      <c r="A7519">
        <f ca="1">24890.4255383323*((RANDBETWEEN(1620,2416)))</f>
        <v>48237644.693288036</v>
      </c>
      <c r="B7519">
        <v>162723019.48944008</v>
      </c>
    </row>
    <row r="7520" spans="1:2" x14ac:dyDescent="0.25">
      <c r="A7520">
        <f ca="1">27372.565701878*((RANDBETWEEN(1620,2416)))</f>
        <v>50392893.457157359</v>
      </c>
      <c r="B7520">
        <v>181514268.50978845</v>
      </c>
    </row>
    <row r="7521" spans="1:2" x14ac:dyDescent="0.25">
      <c r="A7521">
        <f ca="1">30989.1965542877*((RANDBETWEEN(1620,2416)))</f>
        <v>50543379.580043249</v>
      </c>
      <c r="B7521">
        <v>168055915.8703256</v>
      </c>
    </row>
    <row r="7522" spans="1:2" x14ac:dyDescent="0.25">
      <c r="A7522">
        <f ca="1">26858.6818640793*((RANDBETWEEN(1620,2416)))</f>
        <v>44934574.758604646</v>
      </c>
      <c r="B7522">
        <v>171006653.81578201</v>
      </c>
    </row>
    <row r="7523" spans="1:2" x14ac:dyDescent="0.25">
      <c r="A7523">
        <f ca="1">27999.2045914291*((RANDBETWEEN(1620,2416)))</f>
        <v>56222402.81958963</v>
      </c>
      <c r="B7523">
        <v>182577844.04147351</v>
      </c>
    </row>
    <row r="7524" spans="1:2" x14ac:dyDescent="0.25">
      <c r="A7524">
        <f ca="1">27481.4672194397*((RANDBETWEEN(1620,2416)))</f>
        <v>60266857.612231247</v>
      </c>
      <c r="B7524">
        <v>187182090.07334039</v>
      </c>
    </row>
    <row r="7525" spans="1:2" x14ac:dyDescent="0.25">
      <c r="A7525">
        <f ca="1">26530.0054004918*((RANDBETWEEN(1620,2416)))</f>
        <v>58817021.972890347</v>
      </c>
      <c r="B7525">
        <v>193574739.00516129</v>
      </c>
    </row>
    <row r="7526" spans="1:2" x14ac:dyDescent="0.25">
      <c r="A7526">
        <f ca="1">27668.075267209*((RANDBETWEEN(1620,2416)))</f>
        <v>50438901.212122045</v>
      </c>
      <c r="B7526">
        <v>200818506.12894624</v>
      </c>
    </row>
    <row r="7527" spans="1:2" x14ac:dyDescent="0.25">
      <c r="A7527">
        <f ca="1">28593.3583445486*((RANDBETWEEN(1620,2416)))</f>
        <v>51553825.095221162</v>
      </c>
      <c r="B7527">
        <v>178570025.10094106</v>
      </c>
    </row>
    <row r="7528" spans="1:2" x14ac:dyDescent="0.25">
      <c r="A7528">
        <f ca="1">26591.406121399*((RANDBETWEEN(1620,2416)))</f>
        <v>48449541.953189</v>
      </c>
      <c r="B7528">
        <v>156702440.6427432</v>
      </c>
    </row>
    <row r="7529" spans="1:2" x14ac:dyDescent="0.25">
      <c r="A7529">
        <f ca="1">27168.6687114052*((RANDBETWEEN(1620,2416)))</f>
        <v>63112817.416594341</v>
      </c>
      <c r="B7529">
        <v>165493834.9963007</v>
      </c>
    </row>
    <row r="7530" spans="1:2" x14ac:dyDescent="0.25">
      <c r="A7530">
        <f ca="1">26547.5401168731*((RANDBETWEEN(1620,2416)))</f>
        <v>43537965.791671932</v>
      </c>
      <c r="B7530">
        <v>149399191.97530055</v>
      </c>
    </row>
    <row r="7531" spans="1:2" x14ac:dyDescent="0.25">
      <c r="A7531">
        <f ca="1">24298.2726133126*((RANDBETWEEN(1620,2416)))</f>
        <v>52241286.118622132</v>
      </c>
      <c r="B7531">
        <v>160914485.78309557</v>
      </c>
    </row>
    <row r="7532" spans="1:2" x14ac:dyDescent="0.25">
      <c r="A7532">
        <f ca="1">26384.4619369797*((RANDBETWEEN(1620,2416)))</f>
        <v>63349093.110688344</v>
      </c>
      <c r="B7532">
        <v>149189465.2156474</v>
      </c>
    </row>
    <row r="7533" spans="1:2" x14ac:dyDescent="0.25">
      <c r="A7533">
        <f ca="1">29276.8925227096*((RANDBETWEEN(1620,2416)))</f>
        <v>66341438.456459902</v>
      </c>
      <c r="B7533">
        <v>163231941.23968318</v>
      </c>
    </row>
    <row r="7534" spans="1:2" x14ac:dyDescent="0.25">
      <c r="A7534">
        <f ca="1">25484.302685011*((RANDBETWEEN(1620,2416)))</f>
        <v>49516000.116976343</v>
      </c>
      <c r="B7534">
        <v>168547985.15858549</v>
      </c>
    </row>
    <row r="7535" spans="1:2" x14ac:dyDescent="0.25">
      <c r="A7535">
        <f ca="1">27529.3245002592*((RANDBETWEEN(1620,2416)))</f>
        <v>60481925.927069508</v>
      </c>
      <c r="B7535">
        <v>183157620.91541719</v>
      </c>
    </row>
    <row r="7536" spans="1:2" x14ac:dyDescent="0.25">
      <c r="A7536">
        <f ca="1">26058.7220538643*((RANDBETWEEN(1620,2416)))</f>
        <v>56573485.578939408</v>
      </c>
      <c r="B7536">
        <v>157101055.43068284</v>
      </c>
    </row>
    <row r="7537" spans="1:2" x14ac:dyDescent="0.25">
      <c r="A7537">
        <f ca="1">27381.8688779551*((RANDBETWEEN(1620,2416)))</f>
        <v>49123072.767051511</v>
      </c>
      <c r="B7537">
        <v>154842427.65805331</v>
      </c>
    </row>
    <row r="7538" spans="1:2" x14ac:dyDescent="0.25">
      <c r="A7538">
        <f ca="1">25669.2793907495*((RANDBETWEEN(1620,2416)))</f>
        <v>45023916.051374696</v>
      </c>
      <c r="B7538">
        <v>144599605.73292023</v>
      </c>
    </row>
    <row r="7539" spans="1:2" x14ac:dyDescent="0.25">
      <c r="A7539">
        <f ca="1">25970.4533169613*((RANDBETWEEN(1620,2416)))</f>
        <v>62614762.947193645</v>
      </c>
      <c r="B7539">
        <v>191788324.70177972</v>
      </c>
    </row>
    <row r="7540" spans="1:2" x14ac:dyDescent="0.25">
      <c r="A7540">
        <f ca="1">27321.0632758241*((RANDBETWEEN(1620,2416)))</f>
        <v>45489570.354247071</v>
      </c>
      <c r="B7540">
        <v>151080554.42770532</v>
      </c>
    </row>
    <row r="7541" spans="1:2" x14ac:dyDescent="0.25">
      <c r="A7541">
        <f ca="1">28997.0056900294*((RANDBETWEEN(1620,2416)))</f>
        <v>61502649.068552442</v>
      </c>
      <c r="B7541">
        <v>199680298.3722012</v>
      </c>
    </row>
    <row r="7542" spans="1:2" x14ac:dyDescent="0.25">
      <c r="A7542">
        <f ca="1">27645.5138273808*((RANDBETWEEN(1620,2416)))</f>
        <v>49291951.154220022</v>
      </c>
      <c r="B7542">
        <v>198333988.36783186</v>
      </c>
    </row>
    <row r="7543" spans="1:2" x14ac:dyDescent="0.25">
      <c r="A7543">
        <f ca="1">26108.0266745062*((RANDBETWEEN(1620,2416)))</f>
        <v>61980455.32527782</v>
      </c>
      <c r="B7543">
        <v>193180061.54545379</v>
      </c>
    </row>
    <row r="7544" spans="1:2" x14ac:dyDescent="0.25">
      <c r="A7544">
        <f ca="1">28713.7912957037*((RANDBETWEEN(1620,2416)))</f>
        <v>58059285.999912888</v>
      </c>
      <c r="B7544">
        <v>183446848.79458344</v>
      </c>
    </row>
    <row r="7545" spans="1:2" x14ac:dyDescent="0.25">
      <c r="A7545">
        <f ca="1">32435.5370427425*((RANDBETWEEN(1620,2416)))</f>
        <v>54718750.991106667</v>
      </c>
      <c r="B7545">
        <v>200165290.53647971</v>
      </c>
    </row>
    <row r="7546" spans="1:2" x14ac:dyDescent="0.25">
      <c r="A7546">
        <f ca="1">26144.9717871573*((RANDBETWEEN(1620,2416)))</f>
        <v>52995857.812567905</v>
      </c>
      <c r="B7546">
        <v>198802627.42191687</v>
      </c>
    </row>
    <row r="7547" spans="1:2" x14ac:dyDescent="0.25">
      <c r="A7547">
        <f ca="1">26177.0049755316*((RANDBETWEEN(1620,2416)))</f>
        <v>44212961.403672948</v>
      </c>
      <c r="B7547">
        <v>177342392.69016379</v>
      </c>
    </row>
    <row r="7548" spans="1:2" x14ac:dyDescent="0.25">
      <c r="A7548">
        <f ca="1">27515.6507526087*((RANDBETWEEN(1620,2416)))</f>
        <v>50683828.686305173</v>
      </c>
      <c r="B7548">
        <v>151018379.57138318</v>
      </c>
    </row>
    <row r="7549" spans="1:2" x14ac:dyDescent="0.25">
      <c r="A7549">
        <f ca="1">27006.4201379105*((RANDBETWEEN(1620,2416)))</f>
        <v>59279092.20271346</v>
      </c>
      <c r="B7549">
        <v>155223689.24295458</v>
      </c>
    </row>
    <row r="7550" spans="1:2" x14ac:dyDescent="0.25">
      <c r="A7550">
        <f ca="1">26802.9809049094*((RANDBETWEEN(1620,2416)))</f>
        <v>58859346.067181103</v>
      </c>
      <c r="B7550">
        <v>160479758.63834029</v>
      </c>
    </row>
    <row r="7551" spans="1:2" x14ac:dyDescent="0.25">
      <c r="A7551">
        <f ca="1">25753.365929014*((RANDBETWEEN(1620,2416)))</f>
        <v>51326458.296524853</v>
      </c>
      <c r="B7551">
        <v>164773422.33055755</v>
      </c>
    </row>
    <row r="7552" spans="1:2" x14ac:dyDescent="0.25">
      <c r="A7552">
        <f ca="1">32313.7278012227*((RANDBETWEEN(1620,2416)))</f>
        <v>55385729.451295726</v>
      </c>
      <c r="B7552">
        <v>182214388.25723967</v>
      </c>
    </row>
    <row r="7553" spans="1:2" x14ac:dyDescent="0.25">
      <c r="A7553">
        <f ca="1">28617.4191535575*((RANDBETWEEN(1620,2416)))</f>
        <v>53829365.427841708</v>
      </c>
      <c r="B7553">
        <v>187352228.54522869</v>
      </c>
    </row>
    <row r="7554" spans="1:2" x14ac:dyDescent="0.25">
      <c r="A7554">
        <f ca="1">28271.2740090482*((RANDBETWEEN(1620,2416)))</f>
        <v>68133770.361806273</v>
      </c>
      <c r="B7554">
        <v>166158973.08947966</v>
      </c>
    </row>
    <row r="7555" spans="1:2" x14ac:dyDescent="0.25">
      <c r="A7555">
        <f ca="1">24995.7391074135*((RANDBETWEEN(1620,2416)))</f>
        <v>48241776.477308065</v>
      </c>
      <c r="B7555">
        <v>149158598.6786381</v>
      </c>
    </row>
    <row r="7556" spans="1:2" x14ac:dyDescent="0.25">
      <c r="A7556">
        <f ca="1">28987.2345962539*((RANDBETWEEN(1620,2416)))</f>
        <v>59046996.872569159</v>
      </c>
      <c r="B7556">
        <v>194244780.9706769</v>
      </c>
    </row>
    <row r="7557" spans="1:2" x14ac:dyDescent="0.25">
      <c r="A7557">
        <f ca="1">26863.9458345203*((RANDBETWEEN(1620,2416)))</f>
        <v>43546456.197757401</v>
      </c>
      <c r="B7557">
        <v>146941541.47981372</v>
      </c>
    </row>
    <row r="7558" spans="1:2" x14ac:dyDescent="0.25">
      <c r="A7558">
        <f ca="1">26380.4472396152*((RANDBETWEEN(1620,2416)))</f>
        <v>56876244.248610266</v>
      </c>
      <c r="B7558">
        <v>145048755.27592221</v>
      </c>
    </row>
    <row r="7559" spans="1:2" x14ac:dyDescent="0.25">
      <c r="A7559">
        <f ca="1">25127.876052331*((RANDBETWEEN(1620,2416)))</f>
        <v>41888169.379235774</v>
      </c>
      <c r="B7559">
        <v>163668837.62254336</v>
      </c>
    </row>
    <row r="7560" spans="1:2" x14ac:dyDescent="0.25">
      <c r="A7560">
        <f ca="1">27061.9299192403*((RANDBETWEEN(1620,2416)))</f>
        <v>47872554.027136058</v>
      </c>
      <c r="B7560">
        <v>151726502.85005516</v>
      </c>
    </row>
    <row r="7561" spans="1:2" x14ac:dyDescent="0.25">
      <c r="A7561">
        <f ca="1">29519.1955402218*((RANDBETWEEN(1620,2416)))</f>
        <v>70019531.821406156</v>
      </c>
      <c r="B7561">
        <v>199903907.22351733</v>
      </c>
    </row>
    <row r="7562" spans="1:2" x14ac:dyDescent="0.25">
      <c r="A7562">
        <f ca="1">26702.6725158623*((RANDBETWEEN(1620,2416)))</f>
        <v>45795083.364703774</v>
      </c>
      <c r="B7562">
        <v>170178903.34381726</v>
      </c>
    </row>
    <row r="7563" spans="1:2" x14ac:dyDescent="0.25">
      <c r="A7563">
        <f ca="1">26752.8513001302*((RANDBETWEEN(1620,2416)))</f>
        <v>52462341.399555385</v>
      </c>
      <c r="B7563">
        <v>167570131.82248846</v>
      </c>
    </row>
    <row r="7564" spans="1:2" x14ac:dyDescent="0.25">
      <c r="A7564">
        <f ca="1">32167.9847158967*((RANDBETWEEN(1620,2416)))</f>
        <v>72860485.381505921</v>
      </c>
      <c r="B7564">
        <v>178862238.51527107</v>
      </c>
    </row>
    <row r="7565" spans="1:2" x14ac:dyDescent="0.25">
      <c r="A7565">
        <f ca="1">26921.9593110826*((RANDBETWEEN(1620,2416)))</f>
        <v>53870840.581476271</v>
      </c>
      <c r="B7565">
        <v>151108233.74060419</v>
      </c>
    </row>
    <row r="7566" spans="1:2" x14ac:dyDescent="0.25">
      <c r="A7566">
        <f ca="1">26819.5508618319*((RANDBETWEEN(1620,2416)))</f>
        <v>44198619.820299022</v>
      </c>
      <c r="B7566">
        <v>156743388.28652</v>
      </c>
    </row>
    <row r="7567" spans="1:2" x14ac:dyDescent="0.25">
      <c r="A7567">
        <f ca="1">27862.988720069*((RANDBETWEEN(1620,2416)))</f>
        <v>67233391.781526551</v>
      </c>
      <c r="B7567">
        <v>177855135.95625174</v>
      </c>
    </row>
    <row r="7568" spans="1:2" x14ac:dyDescent="0.25">
      <c r="A7568">
        <f ca="1">30584.4472146045*((RANDBETWEEN(1620,2416)))</f>
        <v>73861440.023269907</v>
      </c>
      <c r="B7568">
        <v>189568901.97438654</v>
      </c>
    </row>
    <row r="7569" spans="1:2" x14ac:dyDescent="0.25">
      <c r="A7569">
        <f ca="1">32931.8175136064*((RANDBETWEEN(1620,2416)))</f>
        <v>64151180.516505256</v>
      </c>
      <c r="B7569">
        <v>153533215.38012093</v>
      </c>
    </row>
    <row r="7570" spans="1:2" x14ac:dyDescent="0.25">
      <c r="A7570">
        <f ca="1">32790.4915387697*((RANDBETWEEN(1620,2416)))</f>
        <v>65744935.535233311</v>
      </c>
      <c r="B7570">
        <v>181397826.87649059</v>
      </c>
    </row>
    <row r="7571" spans="1:2" x14ac:dyDescent="0.25">
      <c r="A7571">
        <f ca="1">27619.9247459192*((RANDBETWEEN(1620,2416)))</f>
        <v>64243944.959008068</v>
      </c>
      <c r="B7571">
        <v>158881679.60905838</v>
      </c>
    </row>
    <row r="7572" spans="1:2" x14ac:dyDescent="0.25">
      <c r="A7572">
        <f ca="1">25468.3045200896*((RANDBETWEEN(1620,2416)))</f>
        <v>43983761.906194746</v>
      </c>
      <c r="B7572">
        <v>144819166.24192306</v>
      </c>
    </row>
    <row r="7573" spans="1:2" x14ac:dyDescent="0.25">
      <c r="A7573">
        <f ca="1">27560.5534649869*((RANDBETWEEN(1620,2416)))</f>
        <v>60798580.943761051</v>
      </c>
      <c r="B7573">
        <v>171382242.00491986</v>
      </c>
    </row>
    <row r="7574" spans="1:2" x14ac:dyDescent="0.25">
      <c r="A7574">
        <f ca="1">28934.4335812764*((RANDBETWEEN(1620,2416)))</f>
        <v>51040340.837371573</v>
      </c>
      <c r="B7574">
        <v>157150781.7705999</v>
      </c>
    </row>
    <row r="7575" spans="1:2" x14ac:dyDescent="0.25">
      <c r="A7575">
        <f ca="1">29910.3915068344*((RANDBETWEEN(1620,2416)))</f>
        <v>54018167.06134294</v>
      </c>
      <c r="B7575">
        <v>188441248.18022841</v>
      </c>
    </row>
    <row r="7576" spans="1:2" x14ac:dyDescent="0.25">
      <c r="A7576">
        <f ca="1">30939.4902833468*((RANDBETWEEN(1620,2416)))</f>
        <v>50678885.084122129</v>
      </c>
      <c r="B7576">
        <v>185078859.76065457</v>
      </c>
    </row>
    <row r="7577" spans="1:2" x14ac:dyDescent="0.25">
      <c r="A7577">
        <f ca="1">26912.7966105184*((RANDBETWEEN(1620,2416)))</f>
        <v>54982843.475289062</v>
      </c>
      <c r="B7577">
        <v>164163642.3415544</v>
      </c>
    </row>
    <row r="7578" spans="1:2" x14ac:dyDescent="0.25">
      <c r="A7578">
        <f ca="1">28024.2645805215*((RANDBETWEEN(1620,2416)))</f>
        <v>66165288.674611315</v>
      </c>
      <c r="B7578">
        <v>151560038.58636039</v>
      </c>
    </row>
    <row r="7579" spans="1:2" x14ac:dyDescent="0.25">
      <c r="A7579">
        <f ca="1">28560.7921828198*((RANDBETWEEN(1620,2416)))</f>
        <v>47153867.893835507</v>
      </c>
      <c r="B7579">
        <v>143353192.48008025</v>
      </c>
    </row>
    <row r="7580" spans="1:2" x14ac:dyDescent="0.25">
      <c r="A7580">
        <f ca="1">27572.1998314235*((RANDBETWEEN(1620,2416)))</f>
        <v>44859969.125726052</v>
      </c>
      <c r="B7580">
        <v>151323227.80916253</v>
      </c>
    </row>
    <row r="7581" spans="1:2" x14ac:dyDescent="0.25">
      <c r="A7581">
        <f ca="1">28758.2451094143*((RANDBETWEEN(1620,2416)))</f>
        <v>49723005.794177398</v>
      </c>
      <c r="B7581">
        <v>158695563.18739179</v>
      </c>
    </row>
    <row r="7582" spans="1:2" x14ac:dyDescent="0.25">
      <c r="A7582">
        <f ca="1">27868.8602471305*((RANDBETWEEN(1620,2416)))</f>
        <v>58803295.121445447</v>
      </c>
      <c r="B7582">
        <v>181080050.37475324</v>
      </c>
    </row>
    <row r="7583" spans="1:2" x14ac:dyDescent="0.25">
      <c r="A7583">
        <f ca="1">25541.8654649539*((RANDBETWEEN(1620,2416)))</f>
        <v>46843781.262725465</v>
      </c>
      <c r="B7583">
        <v>185699951.2035284</v>
      </c>
    </row>
    <row r="7584" spans="1:2" x14ac:dyDescent="0.25">
      <c r="A7584">
        <f ca="1">27428.1879879709*((RANDBETWEEN(1620,2416)))</f>
        <v>62097417.604766048</v>
      </c>
      <c r="B7584">
        <v>150025325.30666849</v>
      </c>
    </row>
    <row r="7585" spans="1:2" x14ac:dyDescent="0.25">
      <c r="A7585">
        <f ca="1">27358.7541952984*((RANDBETWEEN(1620,2416)))</f>
        <v>66098750.135840945</v>
      </c>
      <c r="B7585">
        <v>151553487.27465171</v>
      </c>
    </row>
    <row r="7586" spans="1:2" x14ac:dyDescent="0.25">
      <c r="A7586">
        <f ca="1">30338.0458151222*((RANDBETWEEN(1620,2416)))</f>
        <v>51331973.519186705</v>
      </c>
      <c r="B7586">
        <v>201904229.2865307</v>
      </c>
    </row>
    <row r="7587" spans="1:2" x14ac:dyDescent="0.25">
      <c r="A7587">
        <f ca="1">28856.2541571261*((RANDBETWEEN(1620,2416)))</f>
        <v>60078721.155136541</v>
      </c>
      <c r="B7587">
        <v>158937942.23820421</v>
      </c>
    </row>
    <row r="7588" spans="1:2" x14ac:dyDescent="0.25">
      <c r="A7588">
        <f ca="1">26706.8672428473*((RANDBETWEEN(1620,2416)))</f>
        <v>46603483.338768497</v>
      </c>
      <c r="B7588">
        <v>161044519.94231367</v>
      </c>
    </row>
    <row r="7589" spans="1:2" x14ac:dyDescent="0.25">
      <c r="A7589">
        <f ca="1">26939.7380908903*((RANDBETWEEN(1620,2416)))</f>
        <v>46848204.540058196</v>
      </c>
      <c r="B7589">
        <v>158864031.58468822</v>
      </c>
    </row>
    <row r="7590" spans="1:2" x14ac:dyDescent="0.25">
      <c r="A7590">
        <f ca="1">32917.2306163951*((RANDBETWEEN(1620,2416)))</f>
        <v>73932099.964423329</v>
      </c>
      <c r="B7590">
        <v>163027184.49386996</v>
      </c>
    </row>
    <row r="7591" spans="1:2" x14ac:dyDescent="0.25">
      <c r="A7591">
        <f ca="1">26536.4595250594*((RANDBETWEEN(1620,2416)))</f>
        <v>45165054.111651041</v>
      </c>
      <c r="B7591">
        <v>150816769.2179043</v>
      </c>
    </row>
    <row r="7592" spans="1:2" x14ac:dyDescent="0.25">
      <c r="A7592">
        <f ca="1">26179.3465064308*((RANDBETWEEN(1620,2416)))</f>
        <v>55028986.356517501</v>
      </c>
      <c r="B7592">
        <v>155303342.53468883</v>
      </c>
    </row>
    <row r="7593" spans="1:2" x14ac:dyDescent="0.25">
      <c r="A7593">
        <f ca="1">27527.6037711019*((RANDBETWEEN(1620,2416)))</f>
        <v>45668294.656258039</v>
      </c>
      <c r="B7593">
        <v>172489024.13155371</v>
      </c>
    </row>
    <row r="7594" spans="1:2" x14ac:dyDescent="0.25">
      <c r="A7594">
        <f ca="1">27171.2833111934*((RANDBETWEEN(1620,2416)))</f>
        <v>62466780.332433574</v>
      </c>
      <c r="B7594">
        <v>173797038.37126154</v>
      </c>
    </row>
    <row r="7595" spans="1:2" x14ac:dyDescent="0.25">
      <c r="A7595">
        <f ca="1">27513.1137585504*((RANDBETWEEN(1620,2416)))</f>
        <v>54448452.128171228</v>
      </c>
      <c r="B7595">
        <v>167083140.76742229</v>
      </c>
    </row>
    <row r="7596" spans="1:2" x14ac:dyDescent="0.25">
      <c r="A7596">
        <f ca="1">27568.2916775112*((RANDBETWEEN(1620,2416)))</f>
        <v>47031505.601834178</v>
      </c>
      <c r="B7596">
        <v>201688790.40863135</v>
      </c>
    </row>
    <row r="7597" spans="1:2" x14ac:dyDescent="0.25">
      <c r="A7597">
        <f ca="1">32303.1767253148*((RANDBETWEEN(1620,2416)))</f>
        <v>55981405.264970511</v>
      </c>
      <c r="B7597">
        <v>155652216.59895721</v>
      </c>
    </row>
    <row r="7598" spans="1:2" x14ac:dyDescent="0.25">
      <c r="A7598">
        <f ca="1">28140.6879854609*((RANDBETWEEN(1620,2416)))</f>
        <v>46629119.991908737</v>
      </c>
      <c r="B7598">
        <v>151474777.82053214</v>
      </c>
    </row>
    <row r="7599" spans="1:2" x14ac:dyDescent="0.25">
      <c r="A7599">
        <f ca="1">28000.2170650376*((RANDBETWEEN(1620,2416)))</f>
        <v>64232497.947196156</v>
      </c>
      <c r="B7599">
        <v>161318923.94070521</v>
      </c>
    </row>
    <row r="7600" spans="1:2" x14ac:dyDescent="0.25">
      <c r="A7600">
        <f ca="1">26299.9289153233*((RANDBETWEEN(1620,2416)))</f>
        <v>50890362.451150507</v>
      </c>
      <c r="B7600">
        <v>163122786.74281403</v>
      </c>
    </row>
    <row r="7601" spans="1:2" x14ac:dyDescent="0.25">
      <c r="A7601">
        <f ca="1">26695.8061530288*((RANDBETWEEN(1620,2416)))</f>
        <v>56434934.207502849</v>
      </c>
      <c r="B7601">
        <v>152094710.02286047</v>
      </c>
    </row>
    <row r="7602" spans="1:2" x14ac:dyDescent="0.25">
      <c r="A7602">
        <f ca="1">27935.2785135813*((RANDBETWEEN(1620,2416)))</f>
        <v>49389572.412011728</v>
      </c>
      <c r="B7602">
        <v>153561930.43678302</v>
      </c>
    </row>
    <row r="7603" spans="1:2" x14ac:dyDescent="0.25">
      <c r="A7603">
        <f ca="1">26220.0684746781*((RANDBETWEEN(1620,2416)))</f>
        <v>56949988.727000788</v>
      </c>
      <c r="B7603">
        <v>151730891.04870152</v>
      </c>
    </row>
    <row r="7604" spans="1:2" x14ac:dyDescent="0.25">
      <c r="A7604">
        <f ca="1">26353.5907944149*((RANDBETWEEN(1620,2416)))</f>
        <v>63090496.361829333</v>
      </c>
      <c r="B7604">
        <v>149392892.10980695</v>
      </c>
    </row>
    <row r="7605" spans="1:2" x14ac:dyDescent="0.25">
      <c r="A7605">
        <f ca="1">25968.4434418954*((RANDBETWEEN(1620,2416)))</f>
        <v>46483513.760992855</v>
      </c>
      <c r="B7605">
        <v>173058010.44574749</v>
      </c>
    </row>
    <row r="7606" spans="1:2" x14ac:dyDescent="0.25">
      <c r="A7606">
        <f ca="1">26882.8141655051*((RANDBETWEEN(1620,2416)))</f>
        <v>45431955.939703688</v>
      </c>
      <c r="B7606">
        <v>150529952.76511025</v>
      </c>
    </row>
    <row r="7607" spans="1:2" x14ac:dyDescent="0.25">
      <c r="A7607">
        <f ca="1">25906.2937274586*((RANDBETWEEN(1620,2416)))</f>
        <v>46242734.303513676</v>
      </c>
      <c r="B7607">
        <v>166906650.85845059</v>
      </c>
    </row>
    <row r="7608" spans="1:2" x14ac:dyDescent="0.25">
      <c r="A7608">
        <f ca="1">26535.4467704296*((RANDBETWEEN(1620,2416)))</f>
        <v>59545542.552844115</v>
      </c>
      <c r="B7608">
        <v>151350092.2968547</v>
      </c>
    </row>
    <row r="7609" spans="1:2" x14ac:dyDescent="0.25">
      <c r="A7609">
        <f ca="1">27823.4631105396*((RANDBETWEEN(1620,2416)))</f>
        <v>61601147.326734573</v>
      </c>
      <c r="B7609">
        <v>197497155.06352094</v>
      </c>
    </row>
    <row r="7610" spans="1:2" x14ac:dyDescent="0.25">
      <c r="A7610">
        <f ca="1">26205.4053768649*((RANDBETWEEN(1620,2416)))</f>
        <v>57730508.045233317</v>
      </c>
      <c r="B7610">
        <v>145220515.27730304</v>
      </c>
    </row>
    <row r="7611" spans="1:2" x14ac:dyDescent="0.25">
      <c r="A7611">
        <f ca="1">27551.3100021296*((RANDBETWEEN(1620,2416)))</f>
        <v>56948557.774401799</v>
      </c>
      <c r="B7611">
        <v>157850754.52310553</v>
      </c>
    </row>
    <row r="7612" spans="1:2" x14ac:dyDescent="0.25">
      <c r="A7612">
        <f ca="1">27570.6589833861*((RANDBETWEEN(1620,2416)))</f>
        <v>52522105.363350548</v>
      </c>
      <c r="B7612">
        <v>148167046.33573106</v>
      </c>
    </row>
    <row r="7613" spans="1:2" x14ac:dyDescent="0.25">
      <c r="A7613">
        <f ca="1">26810.2032210845*((RANDBETWEEN(1620,2416)))</f>
        <v>61100453.14085149</v>
      </c>
      <c r="B7613">
        <v>156947938.77396163</v>
      </c>
    </row>
    <row r="7614" spans="1:2" x14ac:dyDescent="0.25">
      <c r="A7614">
        <f ca="1">29728.1886120789*((RANDBETWEEN(1620,2416)))</f>
        <v>48783957.512421399</v>
      </c>
      <c r="B7614">
        <v>159971234.89858532</v>
      </c>
    </row>
    <row r="7615" spans="1:2" x14ac:dyDescent="0.25">
      <c r="A7615">
        <f ca="1">26692.6170045777*((RANDBETWEEN(1620,2416)))</f>
        <v>49274570.990450464</v>
      </c>
      <c r="B7615">
        <v>163472697.62202096</v>
      </c>
    </row>
    <row r="7616" spans="1:2" x14ac:dyDescent="0.25">
      <c r="A7616">
        <f ca="1">31493.9662975475*((RANDBETWEEN(1620,2416)))</f>
        <v>67397087.876751691</v>
      </c>
      <c r="B7616">
        <v>167144989.00275102</v>
      </c>
    </row>
    <row r="7617" spans="1:2" x14ac:dyDescent="0.25">
      <c r="A7617">
        <f ca="1">31773.3669876134*((RANDBETWEEN(1620,2416)))</f>
        <v>54173590.713880852</v>
      </c>
      <c r="B7617">
        <v>180606247.09255427</v>
      </c>
    </row>
    <row r="7618" spans="1:2" x14ac:dyDescent="0.25">
      <c r="A7618">
        <f ca="1">25467.9690323391*((RANDBETWEEN(1620,2416)))</f>
        <v>57786821.734377444</v>
      </c>
      <c r="B7618">
        <v>165030256.09097585</v>
      </c>
    </row>
    <row r="7619" spans="1:2" x14ac:dyDescent="0.25">
      <c r="A7619">
        <f ca="1">27574.3812691726*((RANDBETWEEN(1620,2416)))</f>
        <v>59367642.872528546</v>
      </c>
      <c r="B7619">
        <v>174232188.20089158</v>
      </c>
    </row>
    <row r="7620" spans="1:2" x14ac:dyDescent="0.25">
      <c r="A7620">
        <f ca="1">29773.8770280862*((RANDBETWEEN(1620,2416)))</f>
        <v>56659687.984448105</v>
      </c>
      <c r="B7620">
        <v>181490804.1282157</v>
      </c>
    </row>
    <row r="7621" spans="1:2" x14ac:dyDescent="0.25">
      <c r="A7621">
        <f ca="1">25902.7319747604*((RANDBETWEEN(1620,2416)))</f>
        <v>56856496.684599102</v>
      </c>
      <c r="B7621">
        <v>163594476.50266948</v>
      </c>
    </row>
    <row r="7622" spans="1:2" x14ac:dyDescent="0.25">
      <c r="A7622">
        <f ca="1">29838.6714013739*((RANDBETWEEN(1620,2416)))</f>
        <v>57857183.847264007</v>
      </c>
      <c r="B7622">
        <v>170864558.73803604</v>
      </c>
    </row>
    <row r="7623" spans="1:2" x14ac:dyDescent="0.25">
      <c r="A7623">
        <f ca="1">28759.3439634468*((RANDBETWEEN(1620,2416)))</f>
        <v>69223740.920016572</v>
      </c>
      <c r="B7623">
        <v>203077704.25571847</v>
      </c>
    </row>
    <row r="7624" spans="1:2" x14ac:dyDescent="0.25">
      <c r="A7624">
        <f ca="1">25123.080341675*((RANDBETWEEN(1620,2416)))</f>
        <v>53487038.047426179</v>
      </c>
      <c r="B7624">
        <v>153871277.1458194</v>
      </c>
    </row>
    <row r="7625" spans="1:2" x14ac:dyDescent="0.25">
      <c r="A7625">
        <f ca="1">29946.3739938025*((RANDBETWEEN(1620,2416)))</f>
        <v>53094921.091011763</v>
      </c>
      <c r="B7625">
        <v>173456146.61842102</v>
      </c>
    </row>
    <row r="7626" spans="1:2" x14ac:dyDescent="0.25">
      <c r="A7626">
        <f ca="1">29825.8007781256*((RANDBETWEEN(1620,2416)))</f>
        <v>54253131.615410529</v>
      </c>
      <c r="B7626">
        <v>195372332.1320371</v>
      </c>
    </row>
    <row r="7627" spans="1:2" x14ac:dyDescent="0.25">
      <c r="A7627">
        <f ca="1">26335.5760264062*((RANDBETWEEN(1620,2416)))</f>
        <v>50511634.818647169</v>
      </c>
      <c r="B7627">
        <v>143885478.08063096</v>
      </c>
    </row>
    <row r="7628" spans="1:2" x14ac:dyDescent="0.25">
      <c r="A7628">
        <f ca="1">27623.6743044248*((RANDBETWEEN(1620,2416)))</f>
        <v>66075828.936184101</v>
      </c>
      <c r="B7628">
        <v>150728502.15859511</v>
      </c>
    </row>
    <row r="7629" spans="1:2" x14ac:dyDescent="0.25">
      <c r="A7629">
        <f ca="1">27263.6893634304*((RANDBETWEEN(1620,2416)))</f>
        <v>55399816.786490537</v>
      </c>
      <c r="B7629">
        <v>177192837.38460946</v>
      </c>
    </row>
    <row r="7630" spans="1:2" x14ac:dyDescent="0.25">
      <c r="A7630">
        <f ca="1">34758.3094277184*((RANDBETWEEN(1620,2416)))</f>
        <v>81021619.276011601</v>
      </c>
      <c r="B7630">
        <v>174868040.26422065</v>
      </c>
    </row>
    <row r="7631" spans="1:2" x14ac:dyDescent="0.25">
      <c r="A7631">
        <f ca="1">27086.8020584319*((RANDBETWEEN(1620,2416)))</f>
        <v>64629109.71141845</v>
      </c>
      <c r="B7631">
        <v>181646734.56699196</v>
      </c>
    </row>
    <row r="7632" spans="1:2" x14ac:dyDescent="0.25">
      <c r="A7632">
        <f ca="1">28431.4930567663*((RANDBETWEEN(1620,2416)))</f>
        <v>53678658.891174801</v>
      </c>
      <c r="B7632">
        <v>150682292.20906138</v>
      </c>
    </row>
    <row r="7633" spans="1:2" x14ac:dyDescent="0.25">
      <c r="A7633">
        <f ca="1">29896.3253799371*((RANDBETWEEN(1620,2416)))</f>
        <v>63141039.202427134</v>
      </c>
      <c r="B7633">
        <v>157486173.62009072</v>
      </c>
    </row>
    <row r="7634" spans="1:2" x14ac:dyDescent="0.25">
      <c r="A7634">
        <f ca="1">30029.2987862263*((RANDBETWEEN(1620,2416)))</f>
        <v>68256596.14109239</v>
      </c>
      <c r="B7634">
        <v>163193507.42339993</v>
      </c>
    </row>
    <row r="7635" spans="1:2" x14ac:dyDescent="0.25">
      <c r="A7635">
        <f ca="1">32021.5893020871*((RANDBETWEEN(1620,2416)))</f>
        <v>65580214.89067442</v>
      </c>
      <c r="B7635">
        <v>193308405.53136736</v>
      </c>
    </row>
    <row r="7636" spans="1:2" x14ac:dyDescent="0.25">
      <c r="A7636">
        <f ca="1">26091.1816225734*((RANDBETWEEN(1620,2416)))</f>
        <v>62357924.07795044</v>
      </c>
      <c r="B7636">
        <v>163251787.77930376</v>
      </c>
    </row>
    <row r="7637" spans="1:2" x14ac:dyDescent="0.25">
      <c r="A7637">
        <f ca="1">25856.6665082887*((RANDBETWEEN(1620,2416)))</f>
        <v>58927342.972390026</v>
      </c>
      <c r="B7637">
        <v>146974085.93912262</v>
      </c>
    </row>
    <row r="7638" spans="1:2" x14ac:dyDescent="0.25">
      <c r="A7638">
        <f ca="1">27300.4801463014*((RANDBETWEEN(1620,2416)))</f>
        <v>55119669.415382586</v>
      </c>
      <c r="B7638">
        <v>155592889.37868974</v>
      </c>
    </row>
    <row r="7639" spans="1:2" x14ac:dyDescent="0.25">
      <c r="A7639">
        <f ca="1">30339.7408769132*((RANDBETWEEN(1620,2416)))</f>
        <v>65533840.294132553</v>
      </c>
      <c r="B7639">
        <v>180331877.41341281</v>
      </c>
    </row>
    <row r="7640" spans="1:2" x14ac:dyDescent="0.25">
      <c r="A7640">
        <f ca="1">27195.3931320731*((RANDBETWEEN(1620,2416)))</f>
        <v>59231566.241655238</v>
      </c>
      <c r="B7640">
        <v>153985975.9833605</v>
      </c>
    </row>
    <row r="7641" spans="1:2" x14ac:dyDescent="0.25">
      <c r="A7641">
        <f ca="1">26658.165307998*((RANDBETWEEN(1620,2416)))</f>
        <v>56808550.271343812</v>
      </c>
      <c r="B7641">
        <v>182025040.14234138</v>
      </c>
    </row>
    <row r="7642" spans="1:2" x14ac:dyDescent="0.25">
      <c r="A7642">
        <f ca="1">27216.0247256676*((RANDBETWEEN(1620,2416)))</f>
        <v>59521446.075035118</v>
      </c>
      <c r="B7642">
        <v>157129924.8163563</v>
      </c>
    </row>
    <row r="7643" spans="1:2" x14ac:dyDescent="0.25">
      <c r="A7643">
        <f ca="1">28998.8631335146*((RANDBETWEEN(1620,2416)))</f>
        <v>47471138.949563473</v>
      </c>
      <c r="B7643">
        <v>156273305.53806761</v>
      </c>
    </row>
    <row r="7644" spans="1:2" x14ac:dyDescent="0.25">
      <c r="A7644">
        <f ca="1">31049.0019281547*((RANDBETWEEN(1620,2416)))</f>
        <v>53497430.32221058</v>
      </c>
      <c r="B7644">
        <v>169596139.22926271</v>
      </c>
    </row>
    <row r="7645" spans="1:2" x14ac:dyDescent="0.25">
      <c r="A7645">
        <f ca="1">28325.8856975726*((RANDBETWEEN(1620,2416)))</f>
        <v>47757443.286107354</v>
      </c>
      <c r="B7645">
        <v>153081822.33556828</v>
      </c>
    </row>
    <row r="7646" spans="1:2" x14ac:dyDescent="0.25">
      <c r="A7646">
        <f ca="1">26658.5510196017*((RANDBETWEEN(1620,2416)))</f>
        <v>59821788.487986192</v>
      </c>
      <c r="B7646">
        <v>175291177.24800906</v>
      </c>
    </row>
    <row r="7647" spans="1:2" x14ac:dyDescent="0.25">
      <c r="A7647">
        <f ca="1">27523.4207645182*((RANDBETWEEN(1620,2416)))</f>
        <v>55487216.26126866</v>
      </c>
      <c r="B7647">
        <v>149244476.26957181</v>
      </c>
    </row>
    <row r="7648" spans="1:2" x14ac:dyDescent="0.25">
      <c r="A7648">
        <f ca="1">29592.04447101*((RANDBETWEEN(1620,2416)))</f>
        <v>53236088.003346995</v>
      </c>
      <c r="B7648">
        <v>169600822.44466165</v>
      </c>
    </row>
    <row r="7649" spans="1:2" x14ac:dyDescent="0.25">
      <c r="A7649">
        <f ca="1">27662.2467653983*((RANDBETWEEN(1620,2416)))</f>
        <v>62378366.455973215</v>
      </c>
      <c r="B7649">
        <v>146510587.51938683</v>
      </c>
    </row>
    <row r="7650" spans="1:2" x14ac:dyDescent="0.25">
      <c r="A7650">
        <f ca="1">26597.62314988*((RANDBETWEEN(1620,2416)))</f>
        <v>48833236.103179671</v>
      </c>
      <c r="B7650">
        <v>163382322.95107794</v>
      </c>
    </row>
    <row r="7651" spans="1:2" x14ac:dyDescent="0.25">
      <c r="A7651">
        <f ca="1">33107.3764962299*((RANDBETWEEN(1620,2416)))</f>
        <v>67870121.817271397</v>
      </c>
      <c r="B7651">
        <v>192179478.45646492</v>
      </c>
    </row>
    <row r="7652" spans="1:2" x14ac:dyDescent="0.25">
      <c r="A7652">
        <f ca="1">28359.7046027031*((RANDBETWEEN(1620,2416)))</f>
        <v>62504788.944357648</v>
      </c>
      <c r="B7652">
        <v>159221721.44617915</v>
      </c>
    </row>
    <row r="7653" spans="1:2" x14ac:dyDescent="0.25">
      <c r="A7653">
        <f ca="1">26808.0182420711*((RANDBETWEEN(1620,2416)))</f>
        <v>44769390.464258708</v>
      </c>
      <c r="B7653">
        <v>143497619.92434821</v>
      </c>
    </row>
    <row r="7654" spans="1:2" x14ac:dyDescent="0.25">
      <c r="A7654">
        <f ca="1">33459.7124535527*((RANDBETWEEN(1620,2416)))</f>
        <v>78730703.403209507</v>
      </c>
      <c r="B7654">
        <v>191225255.95889601</v>
      </c>
    </row>
    <row r="7655" spans="1:2" x14ac:dyDescent="0.25">
      <c r="A7655">
        <f ca="1">27047.3272428327*((RANDBETWEEN(1620,2416)))</f>
        <v>51579253.052081876</v>
      </c>
      <c r="B7655">
        <v>160523011.98181742</v>
      </c>
    </row>
    <row r="7656" spans="1:2" x14ac:dyDescent="0.25">
      <c r="A7656">
        <f ca="1">28811.4693703258*((RANDBETWEEN(1620,2416)))</f>
        <v>69320395.305003941</v>
      </c>
      <c r="B7656">
        <v>193059518.52969533</v>
      </c>
    </row>
    <row r="7657" spans="1:2" x14ac:dyDescent="0.25">
      <c r="A7657">
        <f ca="1">31390.089881198*((RANDBETWEEN(1620,2416)))</f>
        <v>59233099.605820574</v>
      </c>
      <c r="B7657">
        <v>191466977.36587369</v>
      </c>
    </row>
    <row r="7658" spans="1:2" x14ac:dyDescent="0.25">
      <c r="A7658">
        <f ca="1">28482.0555563095*((RANDBETWEEN(1620,2416)))</f>
        <v>67673364.001791447</v>
      </c>
      <c r="B7658">
        <v>155250830.69750243</v>
      </c>
    </row>
    <row r="7659" spans="1:2" x14ac:dyDescent="0.25">
      <c r="A7659">
        <f ca="1">30911.1947764308*((RANDBETWEEN(1620,2416)))</f>
        <v>56289285.687880464</v>
      </c>
      <c r="B7659">
        <v>143414914.78687939</v>
      </c>
    </row>
    <row r="7660" spans="1:2" x14ac:dyDescent="0.25">
      <c r="A7660">
        <f ca="1">25534.3609753212*((RANDBETWEEN(1620,2416)))</f>
        <v>54822273.014014535</v>
      </c>
      <c r="B7660">
        <v>158102990.96133259</v>
      </c>
    </row>
    <row r="7661" spans="1:2" x14ac:dyDescent="0.25">
      <c r="A7661">
        <f ca="1">25940.9243587128*((RANDBETWEEN(1620,2416)))</f>
        <v>45085326.535442874</v>
      </c>
      <c r="B7661">
        <v>146501328.84691185</v>
      </c>
    </row>
    <row r="7662" spans="1:2" x14ac:dyDescent="0.25">
      <c r="A7662">
        <f ca="1">29502.0662111589*((RANDBETWEEN(1620,2416)))</f>
        <v>63989981.612003632</v>
      </c>
      <c r="B7662">
        <v>163084043.81409955</v>
      </c>
    </row>
    <row r="7663" spans="1:2" x14ac:dyDescent="0.25">
      <c r="A7663">
        <f ca="1">29929.5496850942*((RANDBETWEEN(1620,2416)))</f>
        <v>65455925.161301009</v>
      </c>
      <c r="B7663">
        <v>164194452.49963474</v>
      </c>
    </row>
    <row r="7664" spans="1:2" x14ac:dyDescent="0.25">
      <c r="A7664">
        <f ca="1">26223.6083297193*((RANDBETWEEN(1620,2416)))</f>
        <v>49221712.834883109</v>
      </c>
      <c r="B7664">
        <v>181692005.51529926</v>
      </c>
    </row>
    <row r="7665" spans="1:2" x14ac:dyDescent="0.25">
      <c r="A7665">
        <f ca="1">28089.3959631851*((RANDBETWEEN(1620,2416)))</f>
        <v>52836153.806751147</v>
      </c>
      <c r="B7665">
        <v>166256677.45982933</v>
      </c>
    </row>
    <row r="7666" spans="1:2" x14ac:dyDescent="0.25">
      <c r="A7666">
        <f ca="1">32011.2213047955*((RANDBETWEEN(1620,2416)))</f>
        <v>63702330.396543004</v>
      </c>
      <c r="B7666">
        <v>160749018.16955334</v>
      </c>
    </row>
    <row r="7667" spans="1:2" x14ac:dyDescent="0.25">
      <c r="A7667">
        <f ca="1">28156.1540097974*((RANDBETWEEN(1620,2416)))</f>
        <v>54425845.700938284</v>
      </c>
      <c r="B7667">
        <v>149536566.3935588</v>
      </c>
    </row>
    <row r="7668" spans="1:2" x14ac:dyDescent="0.25">
      <c r="A7668">
        <f ca="1">29747.9328318076*((RANDBETWEEN(1620,2416)))</f>
        <v>58127460.753352083</v>
      </c>
      <c r="B7668">
        <v>195178996.9173041</v>
      </c>
    </row>
    <row r="7669" spans="1:2" x14ac:dyDescent="0.25">
      <c r="A7669">
        <f ca="1">28023.7081422074*((RANDBETWEEN(1620,2416)))</f>
        <v>50526745.780399874</v>
      </c>
      <c r="B7669">
        <v>158880917.54650232</v>
      </c>
    </row>
    <row r="7670" spans="1:2" x14ac:dyDescent="0.25">
      <c r="A7670">
        <f ca="1">31579.9711979136*((RANDBETWEEN(1620,2416)))</f>
        <v>66381099.458014287</v>
      </c>
      <c r="B7670">
        <v>194909256.39178908</v>
      </c>
    </row>
    <row r="7671" spans="1:2" x14ac:dyDescent="0.25">
      <c r="A7671">
        <f ca="1">31566.0798293567*((RANDBETWEEN(1620,2416)))</f>
        <v>63447820.457006939</v>
      </c>
      <c r="B7671">
        <v>164412526.08355227</v>
      </c>
    </row>
    <row r="7672" spans="1:2" x14ac:dyDescent="0.25">
      <c r="A7672">
        <f ca="1">26925.5707169162*((RANDBETWEEN(1620,2416)))</f>
        <v>64486741.867014371</v>
      </c>
      <c r="B7672">
        <v>164906857.91611111</v>
      </c>
    </row>
    <row r="7673" spans="1:2" x14ac:dyDescent="0.25">
      <c r="A7673">
        <f ca="1">25734.2176165848*((RANDBETWEEN(1620,2416)))</f>
        <v>60089398.134725586</v>
      </c>
      <c r="B7673">
        <v>152932807.19953927</v>
      </c>
    </row>
    <row r="7674" spans="1:2" x14ac:dyDescent="0.25">
      <c r="A7674">
        <f ca="1">32623.4707847523*((RANDBETWEEN(1620,2416)))</f>
        <v>67106479.404235475</v>
      </c>
      <c r="B7674">
        <v>172347902.61121297</v>
      </c>
    </row>
    <row r="7675" spans="1:2" x14ac:dyDescent="0.25">
      <c r="A7675">
        <f ca="1">30613.0672860291*((RANDBETWEEN(1620,2416)))</f>
        <v>57552566.497734696</v>
      </c>
      <c r="B7675">
        <v>158405559.66601229</v>
      </c>
    </row>
    <row r="7676" spans="1:2" x14ac:dyDescent="0.25">
      <c r="A7676">
        <f ca="1">28280.4209096653*((RANDBETWEEN(1620,2416)))</f>
        <v>51046159.741945878</v>
      </c>
      <c r="B7676">
        <v>169649616.54472649</v>
      </c>
    </row>
    <row r="7677" spans="1:2" x14ac:dyDescent="0.25">
      <c r="A7677">
        <f ca="1">28023.9918941652*((RANDBETWEEN(1620,2416)))</f>
        <v>63782605.551119991</v>
      </c>
      <c r="B7677">
        <v>149529229.79210749</v>
      </c>
    </row>
    <row r="7678" spans="1:2" x14ac:dyDescent="0.25">
      <c r="A7678">
        <f ca="1">27840.8604026232*((RANDBETWEEN(1620,2416)))</f>
        <v>57045922.964974873</v>
      </c>
      <c r="B7678">
        <v>177371736.57703149</v>
      </c>
    </row>
    <row r="7679" spans="1:2" x14ac:dyDescent="0.25">
      <c r="A7679">
        <f ca="1">28087.8708370679*((RANDBETWEEN(1620,2416)))</f>
        <v>51148012.794300646</v>
      </c>
      <c r="B7679">
        <v>202734954.18475297</v>
      </c>
    </row>
    <row r="7680" spans="1:2" x14ac:dyDescent="0.25">
      <c r="A7680">
        <f ca="1">28428.120363935*((RANDBETWEEN(1620,2416)))</f>
        <v>54468278.617299542</v>
      </c>
      <c r="B7680">
        <v>166785745.19571346</v>
      </c>
    </row>
    <row r="7681" spans="1:2" x14ac:dyDescent="0.25">
      <c r="A7681">
        <f ca="1">27090.3311090799*((RANDBETWEEN(1620,2416)))</f>
        <v>53069958.642687611</v>
      </c>
      <c r="B7681">
        <v>168383079.17462841</v>
      </c>
    </row>
    <row r="7682" spans="1:2" x14ac:dyDescent="0.25">
      <c r="A7682">
        <f ca="1">31288.9075265027*((RANDBETWEEN(1620,2416)))</f>
        <v>63923238.076644987</v>
      </c>
      <c r="B7682">
        <v>171618609.99042362</v>
      </c>
    </row>
    <row r="7683" spans="1:2" x14ac:dyDescent="0.25">
      <c r="A7683">
        <f ca="1">25491.9471917713*((RANDBETWEEN(1620,2416)))</f>
        <v>50448563.492515504</v>
      </c>
      <c r="B7683">
        <v>145054530.85776269</v>
      </c>
    </row>
    <row r="7684" spans="1:2" x14ac:dyDescent="0.25">
      <c r="A7684">
        <f ca="1">30515.2735240359*((RANDBETWEEN(1620,2416)))</f>
        <v>64021043.853427231</v>
      </c>
      <c r="B7684">
        <v>144712996.1547465</v>
      </c>
    </row>
    <row r="7685" spans="1:2" x14ac:dyDescent="0.25">
      <c r="A7685">
        <f ca="1">29728.3067624302*((RANDBETWEEN(1620,2416)))</f>
        <v>68642660.314451367</v>
      </c>
      <c r="B7685">
        <v>194171196.25069505</v>
      </c>
    </row>
    <row r="7686" spans="1:2" x14ac:dyDescent="0.25">
      <c r="A7686">
        <f ca="1">26815.7285072869*((RANDBETWEEN(1620,2416)))</f>
        <v>48214679.856101938</v>
      </c>
      <c r="B7686">
        <v>181917762.85643685</v>
      </c>
    </row>
    <row r="7687" spans="1:2" x14ac:dyDescent="0.25">
      <c r="A7687">
        <f ca="1">28006.0460798308*((RANDBETWEEN(1620,2416)))</f>
        <v>57356382.371493548</v>
      </c>
      <c r="B7687">
        <v>170899243.39294538</v>
      </c>
    </row>
    <row r="7688" spans="1:2" x14ac:dyDescent="0.25">
      <c r="A7688">
        <f ca="1">28006.1436443496*((RANDBETWEEN(1620,2416)))</f>
        <v>54359924.813682646</v>
      </c>
      <c r="B7688">
        <v>181925930.55735582</v>
      </c>
    </row>
    <row r="7689" spans="1:2" x14ac:dyDescent="0.25">
      <c r="A7689">
        <f ca="1">25513.6304549345*((RANDBETWEEN(1620,2416)))</f>
        <v>58706863.676804394</v>
      </c>
      <c r="B7689">
        <v>145795571.50919372</v>
      </c>
    </row>
    <row r="7690" spans="1:2" x14ac:dyDescent="0.25">
      <c r="A7690">
        <f ca="1">30085.486064081*((RANDBETWEEN(1620,2416)))</f>
        <v>62487554.555096149</v>
      </c>
      <c r="B7690">
        <v>143163776.03957728</v>
      </c>
    </row>
    <row r="7691" spans="1:2" x14ac:dyDescent="0.25">
      <c r="A7691">
        <f ca="1">30467.1777249811*((RANDBETWEEN(1620,2416)))</f>
        <v>64346679.35516008</v>
      </c>
      <c r="B7691">
        <v>157564352.65833873</v>
      </c>
    </row>
    <row r="7692" spans="1:2" x14ac:dyDescent="0.25">
      <c r="A7692">
        <f ca="1">29973.2169207576*((RANDBETWEEN(1620,2416)))</f>
        <v>49755540.088457547</v>
      </c>
      <c r="B7692">
        <v>203403831.37235358</v>
      </c>
    </row>
    <row r="7693" spans="1:2" x14ac:dyDescent="0.25">
      <c r="A7693">
        <f ca="1">31933.5108564779*((RANDBETWEEN(1620,2416)))</f>
        <v>67379707.907168269</v>
      </c>
      <c r="B7693">
        <v>176892187.29341623</v>
      </c>
    </row>
    <row r="7694" spans="1:2" x14ac:dyDescent="0.25">
      <c r="A7694">
        <f ca="1">28632.2546004896*((RANDBETWEEN(1620,2416)))</f>
        <v>67972972.421562418</v>
      </c>
      <c r="B7694">
        <v>190898795.76730442</v>
      </c>
    </row>
    <row r="7695" spans="1:2" x14ac:dyDescent="0.25">
      <c r="A7695">
        <f ca="1">26025.5692578601*((RANDBETWEEN(1620,2416)))</f>
        <v>54549593.16447483</v>
      </c>
      <c r="B7695">
        <v>158103934.67874646</v>
      </c>
    </row>
    <row r="7696" spans="1:2" x14ac:dyDescent="0.25">
      <c r="A7696">
        <f ca="1">26262.1460847941*((RANDBETWEEN(1620,2416)))</f>
        <v>55229293.216321968</v>
      </c>
      <c r="B7696">
        <v>151712077.40994158</v>
      </c>
    </row>
    <row r="7697" spans="1:2" x14ac:dyDescent="0.25">
      <c r="A7697">
        <f ca="1">26094.6185455258*((RANDBETWEEN(1620,2416)))</f>
        <v>54172428.10051164</v>
      </c>
      <c r="B7697">
        <v>156708954.52725872</v>
      </c>
    </row>
    <row r="7698" spans="1:2" x14ac:dyDescent="0.25">
      <c r="A7698">
        <f ca="1">25957.0730985681*((RANDBETWEEN(1620,2416)))</f>
        <v>57832358.863609619</v>
      </c>
      <c r="B7698">
        <v>148914748.73475862</v>
      </c>
    </row>
    <row r="7699" spans="1:2" x14ac:dyDescent="0.25">
      <c r="A7699">
        <f ca="1">27797.1786115368*((RANDBETWEEN(1620,2416)))</f>
        <v>54176701.113885172</v>
      </c>
      <c r="B7699">
        <v>175377347.96673527</v>
      </c>
    </row>
    <row r="7700" spans="1:2" x14ac:dyDescent="0.25">
      <c r="A7700">
        <f ca="1">27230.6226007806*((RANDBETWEEN(1620,2416)))</f>
        <v>56176774.425410397</v>
      </c>
      <c r="B7700">
        <v>162763804.43238756</v>
      </c>
    </row>
    <row r="7701" spans="1:2" x14ac:dyDescent="0.25">
      <c r="A7701">
        <f ca="1">33305.3191294491*((RANDBETWEEN(1620,2416)))</f>
        <v>61681451.027739674</v>
      </c>
      <c r="B7701">
        <v>176916194.03115684</v>
      </c>
    </row>
    <row r="7702" spans="1:2" x14ac:dyDescent="0.25">
      <c r="A7702">
        <f ca="1">26710.6605183215*((RANDBETWEEN(1620,2416)))</f>
        <v>58015554.645794235</v>
      </c>
      <c r="B7702">
        <v>145452836.33104643</v>
      </c>
    </row>
    <row r="7703" spans="1:2" x14ac:dyDescent="0.25">
      <c r="A7703">
        <f ca="1">26771.3868777047*((RANDBETWEEN(1620,2416)))</f>
        <v>60931676.533655986</v>
      </c>
      <c r="B7703">
        <v>179269635.30491853</v>
      </c>
    </row>
    <row r="7704" spans="1:2" x14ac:dyDescent="0.25">
      <c r="A7704">
        <f ca="1">32562.3397796359*((RANDBETWEEN(1620,2416)))</f>
        <v>69813656.487539336</v>
      </c>
      <c r="B7704">
        <v>142906902.05272344</v>
      </c>
    </row>
    <row r="7705" spans="1:2" x14ac:dyDescent="0.25">
      <c r="A7705">
        <f ca="1">27752.8418038612*((RANDBETWEEN(1620,2416)))</f>
        <v>50482419.241223603</v>
      </c>
      <c r="B7705">
        <v>174299517.12059554</v>
      </c>
    </row>
    <row r="7706" spans="1:2" x14ac:dyDescent="0.25">
      <c r="A7706">
        <f ca="1">26477.6934911985*((RANDBETWEEN(1620,2416)))</f>
        <v>44879690.467581518</v>
      </c>
      <c r="B7706">
        <v>150976114.36766601</v>
      </c>
    </row>
    <row r="7707" spans="1:2" x14ac:dyDescent="0.25">
      <c r="A7707">
        <f ca="1">30895.1815785744*((RANDBETWEEN(1620,2416)))</f>
        <v>72202039.34912838</v>
      </c>
      <c r="B7707">
        <v>145930697.85579902</v>
      </c>
    </row>
    <row r="7708" spans="1:2" x14ac:dyDescent="0.25">
      <c r="A7708">
        <f ca="1">27272.4451179429*((RANDBETWEEN(1620,2416)))</f>
        <v>60108469.039946072</v>
      </c>
      <c r="B7708">
        <v>159487450.36237705</v>
      </c>
    </row>
    <row r="7709" spans="1:2" x14ac:dyDescent="0.25">
      <c r="A7709">
        <f ca="1">27351.6820021589*((RANDBETWEEN(1620,2416)))</f>
        <v>51229700.390043549</v>
      </c>
      <c r="B7709">
        <v>161107677.86100459</v>
      </c>
    </row>
    <row r="7710" spans="1:2" x14ac:dyDescent="0.25">
      <c r="A7710">
        <f ca="1">28531.9366690333*((RANDBETWEEN(1620,2416)))</f>
        <v>54838382.27788201</v>
      </c>
      <c r="B7710">
        <v>162892011.22984079</v>
      </c>
    </row>
    <row r="7711" spans="1:2" x14ac:dyDescent="0.25">
      <c r="A7711">
        <f ca="1">27658.1398858958*((RANDBETWEEN(1620,2416)))</f>
        <v>54044005.337040313</v>
      </c>
      <c r="B7711">
        <v>194674968.32833472</v>
      </c>
    </row>
    <row r="7712" spans="1:2" x14ac:dyDescent="0.25">
      <c r="A7712">
        <f ca="1">30983.2417365372*((RANDBETWEEN(1620,2416)))</f>
        <v>55212136.774509214</v>
      </c>
      <c r="B7712">
        <v>158086044.14081246</v>
      </c>
    </row>
    <row r="7713" spans="1:2" x14ac:dyDescent="0.25">
      <c r="A7713">
        <f ca="1">31546.3684607748*((RANDBETWEEN(1620,2416)))</f>
        <v>74354790.462046295</v>
      </c>
      <c r="B7713">
        <v>203061779.44695705</v>
      </c>
    </row>
    <row r="7714" spans="1:2" x14ac:dyDescent="0.25">
      <c r="A7714">
        <f ca="1">26367.0254793767*((RANDBETWEEN(1620,2416)))</f>
        <v>62358015.258725882</v>
      </c>
      <c r="B7714">
        <v>152721513.42323849</v>
      </c>
    </row>
    <row r="7715" spans="1:2" x14ac:dyDescent="0.25">
      <c r="A7715">
        <f ca="1">28556.9225192075*((RANDBETWEEN(1620,2416)))</f>
        <v>60169435.747970156</v>
      </c>
      <c r="B7715">
        <v>192376389.80649722</v>
      </c>
    </row>
    <row r="7716" spans="1:2" x14ac:dyDescent="0.25">
      <c r="A7716">
        <f ca="1">28211.6321703357*((RANDBETWEEN(1620,2416)))</f>
        <v>61529569.763502114</v>
      </c>
      <c r="B7716">
        <v>154495851.99378681</v>
      </c>
    </row>
    <row r="7717" spans="1:2" x14ac:dyDescent="0.25">
      <c r="A7717">
        <f ca="1">26807.654936964*((RANDBETWEEN(1620,2416)))</f>
        <v>57261150.945355117</v>
      </c>
      <c r="B7717">
        <v>144471539.90005919</v>
      </c>
    </row>
    <row r="7718" spans="1:2" x14ac:dyDescent="0.25">
      <c r="A7718">
        <f ca="1">26407.5479481102*((RANDBETWEEN(1620,2416)))</f>
        <v>51811609.074192137</v>
      </c>
      <c r="B7718">
        <v>159217120.81078529</v>
      </c>
    </row>
    <row r="7719" spans="1:2" x14ac:dyDescent="0.25">
      <c r="A7719">
        <f ca="1">31158.0919470272*((RANDBETWEEN(1620,2416)))</f>
        <v>72598354.236573353</v>
      </c>
      <c r="B7719">
        <v>156940025.31245187</v>
      </c>
    </row>
    <row r="7720" spans="1:2" x14ac:dyDescent="0.25">
      <c r="A7720">
        <f ca="1">27762.010621642*((RANDBETWEEN(1620,2416)))</f>
        <v>55107591.083959296</v>
      </c>
      <c r="B7720">
        <v>147539784.14215794</v>
      </c>
    </row>
    <row r="7721" spans="1:2" x14ac:dyDescent="0.25">
      <c r="A7721">
        <f ca="1">26096.3685597458*((RANDBETWEEN(1620,2416)))</f>
        <v>42798044.437983036</v>
      </c>
      <c r="B7721">
        <v>167134868.62140986</v>
      </c>
    </row>
    <row r="7722" spans="1:2" x14ac:dyDescent="0.25">
      <c r="A7722">
        <f ca="1">25762.2596113787*((RANDBETWEEN(1620,2416)))</f>
        <v>42481966.099163413</v>
      </c>
      <c r="B7722">
        <v>197827289.09660375</v>
      </c>
    </row>
    <row r="7723" spans="1:2" x14ac:dyDescent="0.25">
      <c r="A7723">
        <f ca="1">30619.6095664382*((RANDBETWEEN(1620,2416)))</f>
        <v>70639439.269773036</v>
      </c>
      <c r="B7723">
        <v>162381293.1431087</v>
      </c>
    </row>
    <row r="7724" spans="1:2" x14ac:dyDescent="0.25">
      <c r="A7724">
        <f ca="1">28249.0514213988*((RANDBETWEEN(1620,2416)))</f>
        <v>50848292.558517873</v>
      </c>
      <c r="B7724">
        <v>147961229.13607389</v>
      </c>
    </row>
    <row r="7725" spans="1:2" x14ac:dyDescent="0.25">
      <c r="A7725">
        <f ca="1">27077.8072338362*((RANDBETWEEN(1620,2416)))</f>
        <v>49904398.731960177</v>
      </c>
      <c r="B7725">
        <v>147535002.55055964</v>
      </c>
    </row>
    <row r="7726" spans="1:2" x14ac:dyDescent="0.25">
      <c r="A7726">
        <f ca="1">25350.5139750951*((RANDBETWEEN(1620,2416)))</f>
        <v>58787841.908245496</v>
      </c>
      <c r="B7726">
        <v>149695824.02027452</v>
      </c>
    </row>
    <row r="7727" spans="1:2" x14ac:dyDescent="0.25">
      <c r="A7727">
        <f ca="1">26772.8253546409*((RANDBETWEEN(1620,2416)))</f>
        <v>64094143.899010226</v>
      </c>
      <c r="B7727">
        <v>156193358.04002166</v>
      </c>
    </row>
    <row r="7728" spans="1:2" x14ac:dyDescent="0.25">
      <c r="A7728">
        <f ca="1">27235.7334101665*((RANDBETWEEN(1620,2416)))</f>
        <v>52973501.482773826</v>
      </c>
      <c r="B7728">
        <v>187145828.30417079</v>
      </c>
    </row>
    <row r="7729" spans="1:2" x14ac:dyDescent="0.25">
      <c r="A7729">
        <f ca="1">27128.7252686918*((RANDBETWEEN(1620,2416)))</f>
        <v>56807550.712640673</v>
      </c>
      <c r="B7729">
        <v>161011575.07966858</v>
      </c>
    </row>
    <row r="7730" spans="1:2" x14ac:dyDescent="0.25">
      <c r="A7730">
        <f ca="1">30321.5568068272*((RANDBETWEEN(1620,2416)))</f>
        <v>57580636.376164913</v>
      </c>
      <c r="B7730">
        <v>144792502.76366127</v>
      </c>
    </row>
    <row r="7731" spans="1:2" x14ac:dyDescent="0.25">
      <c r="A7731">
        <f ca="1">29538.3685452197*((RANDBETWEEN(1620,2416)))</f>
        <v>68469938.287819296</v>
      </c>
      <c r="B7731">
        <v>173061519.0965597</v>
      </c>
    </row>
    <row r="7732" spans="1:2" x14ac:dyDescent="0.25">
      <c r="A7732">
        <f ca="1">28981.9058732065*((RANDBETWEEN(1620,2416)))</f>
        <v>66194673.014403552</v>
      </c>
      <c r="B7732">
        <v>185224100.76232612</v>
      </c>
    </row>
    <row r="7733" spans="1:2" x14ac:dyDescent="0.25">
      <c r="A7733">
        <f ca="1">33025.6276653388*((RANDBETWEEN(1620,2416)))</f>
        <v>66315460.352000222</v>
      </c>
      <c r="B7733">
        <v>198665861.11070439</v>
      </c>
    </row>
    <row r="7734" spans="1:2" x14ac:dyDescent="0.25">
      <c r="A7734">
        <f ca="1">26617.3148649581*((RANDBETWEEN(1620,2416)))</f>
        <v>52995073.896131516</v>
      </c>
      <c r="B7734">
        <v>193559859.53871658</v>
      </c>
    </row>
    <row r="7735" spans="1:2" x14ac:dyDescent="0.25">
      <c r="A7735">
        <f ca="1">30085.5940699128*((RANDBETWEEN(1620,2416)))</f>
        <v>63540774.675655834</v>
      </c>
      <c r="B7735">
        <v>162518204.95938528</v>
      </c>
    </row>
    <row r="7736" spans="1:2" x14ac:dyDescent="0.25">
      <c r="A7736">
        <f ca="1">27172.0001720031*((RANDBETWEEN(1620,2416)))</f>
        <v>51409424.32542979</v>
      </c>
      <c r="B7736">
        <v>149904038.75132322</v>
      </c>
    </row>
    <row r="7737" spans="1:2" x14ac:dyDescent="0.25">
      <c r="A7737">
        <f ca="1">26403.7240013715*((RANDBETWEEN(1620,2416)))</f>
        <v>47896355.338487931</v>
      </c>
      <c r="B7737">
        <v>149048729.87597394</v>
      </c>
    </row>
    <row r="7738" spans="1:2" x14ac:dyDescent="0.25">
      <c r="A7738">
        <f ca="1">27408.0465122026*((RANDBETWEEN(1620,2416)))</f>
        <v>57365041.350040048</v>
      </c>
      <c r="B7738">
        <v>145819380.57117692</v>
      </c>
    </row>
    <row r="7739" spans="1:2" x14ac:dyDescent="0.25">
      <c r="A7739">
        <f ca="1">27354.8009338686*((RANDBETWEEN(1620,2416)))</f>
        <v>62286881.726418778</v>
      </c>
      <c r="B7739">
        <v>156963520.83253449</v>
      </c>
    </row>
    <row r="7740" spans="1:2" x14ac:dyDescent="0.25">
      <c r="A7740">
        <f ca="1">32994.9328586519*((RANDBETWEEN(1620,2416)))</f>
        <v>76416264.50063771</v>
      </c>
      <c r="B7740">
        <v>152403300.75733438</v>
      </c>
    </row>
    <row r="7741" spans="1:2" x14ac:dyDescent="0.25">
      <c r="A7741">
        <f ca="1">27001.9210476863*((RANDBETWEEN(1620,2416)))</f>
        <v>51600671.122128591</v>
      </c>
      <c r="B7741">
        <v>143016345.3529188</v>
      </c>
    </row>
    <row r="7742" spans="1:2" x14ac:dyDescent="0.25">
      <c r="A7742">
        <f ca="1">27052.6259123859*((RANDBETWEEN(1620,2416)))</f>
        <v>44393359.122225292</v>
      </c>
      <c r="B7742">
        <v>152039473.90641934</v>
      </c>
    </row>
    <row r="7743" spans="1:2" x14ac:dyDescent="0.25">
      <c r="A7743">
        <f ca="1">25332.0355767661*((RANDBETWEEN(1620,2416)))</f>
        <v>55603818.091001518</v>
      </c>
      <c r="B7743">
        <v>155135101.34433696</v>
      </c>
    </row>
    <row r="7744" spans="1:2" x14ac:dyDescent="0.25">
      <c r="A7744">
        <f ca="1">28952.9667501659*((RANDBETWEEN(1620,2416)))</f>
        <v>53244505.853555061</v>
      </c>
      <c r="B7744">
        <v>171662531.10240197</v>
      </c>
    </row>
    <row r="7745" spans="1:2" x14ac:dyDescent="0.25">
      <c r="A7745">
        <f ca="1">26612.9508857769*((RANDBETWEEN(1620,2416)))</f>
        <v>51921867.178150713</v>
      </c>
      <c r="B7745">
        <v>189822264.98058474</v>
      </c>
    </row>
    <row r="7746" spans="1:2" x14ac:dyDescent="0.25">
      <c r="A7746">
        <f ca="1">28009.4060279894*((RANDBETWEEN(1620,2416)))</f>
        <v>51313231.843276553</v>
      </c>
      <c r="B7746">
        <v>200644526.64221907</v>
      </c>
    </row>
    <row r="7747" spans="1:2" x14ac:dyDescent="0.25">
      <c r="A7747">
        <f ca="1">26603.7123439555*((RANDBETWEEN(1620,2416)))</f>
        <v>58022696.622167036</v>
      </c>
      <c r="B7747">
        <v>145555027.71512538</v>
      </c>
    </row>
    <row r="7748" spans="1:2" x14ac:dyDescent="0.25">
      <c r="A7748">
        <f ca="1">26451.9628647954*((RANDBETWEEN(1620,2416)))</f>
        <v>53380061.061157249</v>
      </c>
      <c r="B7748">
        <v>194546718.65477949</v>
      </c>
    </row>
    <row r="7749" spans="1:2" x14ac:dyDescent="0.25">
      <c r="A7749">
        <f ca="1">27078.0094449295*((RANDBETWEEN(1620,2416)))</f>
        <v>48848729.038652793</v>
      </c>
      <c r="B7749">
        <v>148973252.4600482</v>
      </c>
    </row>
    <row r="7750" spans="1:2" x14ac:dyDescent="0.25">
      <c r="A7750">
        <f ca="1">27792.9781414013*((RANDBETWEEN(1620,2416)))</f>
        <v>58559804.943932518</v>
      </c>
      <c r="B7750">
        <v>184300251.79855132</v>
      </c>
    </row>
    <row r="7751" spans="1:2" x14ac:dyDescent="0.25">
      <c r="A7751">
        <f ca="1">25654.1939852644*((RANDBETWEEN(1620,2416)))</f>
        <v>51154462.806617193</v>
      </c>
      <c r="B7751">
        <v>161151251.72958493</v>
      </c>
    </row>
    <row r="7752" spans="1:2" x14ac:dyDescent="0.25">
      <c r="A7752">
        <f ca="1">26839.8532087176*((RANDBETWEEN(1620,2416)))</f>
        <v>62697897.09556441</v>
      </c>
      <c r="B7752">
        <v>146048120.43276057</v>
      </c>
    </row>
    <row r="7753" spans="1:2" x14ac:dyDescent="0.25">
      <c r="A7753">
        <f ca="1">26412.9568751319*((RANDBETWEEN(1620,2416)))</f>
        <v>46117022.703980282</v>
      </c>
      <c r="B7753">
        <v>164734534.25241408</v>
      </c>
    </row>
    <row r="7754" spans="1:2" x14ac:dyDescent="0.25">
      <c r="A7754">
        <f ca="1">25683.2522780032*((RANDBETWEEN(1620,2416)))</f>
        <v>50030975.437550306</v>
      </c>
      <c r="B7754">
        <v>180700917.27339917</v>
      </c>
    </row>
    <row r="7755" spans="1:2" x14ac:dyDescent="0.25">
      <c r="A7755">
        <f ca="1">27610.5917312234*((RANDBETWEEN(1620,2416)))</f>
        <v>61847725.477940388</v>
      </c>
      <c r="B7755">
        <v>150277918.98623917</v>
      </c>
    </row>
    <row r="7756" spans="1:2" x14ac:dyDescent="0.25">
      <c r="A7756">
        <f ca="1">27720.5726272342*((RANDBETWEEN(1620,2416)))</f>
        <v>48067472.935624026</v>
      </c>
      <c r="B7756">
        <v>170704833.11949092</v>
      </c>
    </row>
    <row r="7757" spans="1:2" x14ac:dyDescent="0.25">
      <c r="A7757">
        <f ca="1">25258.9785405392*((RANDBETWEEN(1620,2416)))</f>
        <v>50543216.05961895</v>
      </c>
      <c r="B7757">
        <v>156032784.87464681</v>
      </c>
    </row>
    <row r="7758" spans="1:2" x14ac:dyDescent="0.25">
      <c r="A7758">
        <f ca="1">27154.2251396391*((RANDBETWEEN(1620,2416)))</f>
        <v>58978977.003296226</v>
      </c>
      <c r="B7758">
        <v>168203238.17300314</v>
      </c>
    </row>
    <row r="7759" spans="1:2" x14ac:dyDescent="0.25">
      <c r="A7759">
        <f ca="1">29997.7235927186*((RANDBETWEEN(1620,2416)))</f>
        <v>58195583.769874044</v>
      </c>
      <c r="B7759">
        <v>200250283.63316259</v>
      </c>
    </row>
    <row r="7760" spans="1:2" x14ac:dyDescent="0.25">
      <c r="A7760">
        <f ca="1">26678.6465565734*((RANDBETWEEN(1620,2416)))</f>
        <v>56265265.587813295</v>
      </c>
      <c r="B7760">
        <v>173122933.29830176</v>
      </c>
    </row>
    <row r="7761" spans="1:2" x14ac:dyDescent="0.25">
      <c r="A7761">
        <f ca="1">28798.837024034*((RANDBETWEEN(1620,2416)))</f>
        <v>61370321.698216416</v>
      </c>
      <c r="B7761">
        <v>193439912.91710752</v>
      </c>
    </row>
    <row r="7762" spans="1:2" x14ac:dyDescent="0.25">
      <c r="A7762">
        <f ca="1">26434.6417488548*((RANDBETWEEN(1620,2416)))</f>
        <v>45441149.166281477</v>
      </c>
      <c r="B7762">
        <v>147078159.21817696</v>
      </c>
    </row>
    <row r="7763" spans="1:2" x14ac:dyDescent="0.25">
      <c r="A7763">
        <f ca="1">28149.385751192*((RANDBETWEEN(1620,2416)))</f>
        <v>64068001.969712965</v>
      </c>
      <c r="B7763">
        <v>194556256.69513693</v>
      </c>
    </row>
    <row r="7764" spans="1:2" x14ac:dyDescent="0.25">
      <c r="A7764">
        <f ca="1">27223.6426751503*((RANDBETWEEN(1620,2416)))</f>
        <v>52650524.933740757</v>
      </c>
      <c r="B7764">
        <v>170714719.96449822</v>
      </c>
    </row>
    <row r="7765" spans="1:2" x14ac:dyDescent="0.25">
      <c r="A7765">
        <f ca="1">32566.9953471313*((RANDBETWEEN(1620,2416)))</f>
        <v>60183807.401498653</v>
      </c>
      <c r="B7765">
        <v>157175311.19406414</v>
      </c>
    </row>
    <row r="7766" spans="1:2" x14ac:dyDescent="0.25">
      <c r="A7766">
        <f ca="1">29570.3195594886*((RANDBETWEEN(1620,2416)))</f>
        <v>69697243.201714665</v>
      </c>
      <c r="B7766">
        <v>187280440.10521495</v>
      </c>
    </row>
    <row r="7767" spans="1:2" x14ac:dyDescent="0.25">
      <c r="A7767">
        <f ca="1">27983.0935401624*((RANDBETWEEN(1620,2416)))</f>
        <v>53363759.381089702</v>
      </c>
      <c r="B7767">
        <v>158526369.56420112</v>
      </c>
    </row>
    <row r="7768" spans="1:2" x14ac:dyDescent="0.25">
      <c r="A7768">
        <f ca="1">26636.7461030509*((RANDBETWEEN(1620,2416)))</f>
        <v>46507758.695926867</v>
      </c>
      <c r="B7768">
        <v>146926145.96288615</v>
      </c>
    </row>
    <row r="7769" spans="1:2" x14ac:dyDescent="0.25">
      <c r="A7769">
        <f ca="1">30738.7011420258*((RANDBETWEEN(1620,2416)))</f>
        <v>49858173.252365813</v>
      </c>
      <c r="B7769">
        <v>172459948.88082415</v>
      </c>
    </row>
    <row r="7770" spans="1:2" x14ac:dyDescent="0.25">
      <c r="A7770">
        <f ca="1">26011.6016123844*((RANDBETWEEN(1620,2416)))</f>
        <v>51112797.168335296</v>
      </c>
      <c r="B7770">
        <v>147915090.14849415</v>
      </c>
    </row>
    <row r="7771" spans="1:2" x14ac:dyDescent="0.25">
      <c r="A7771">
        <f ca="1">25850.5244423662*((RANDBETWEEN(1620,2416)))</f>
        <v>43790788.405368313</v>
      </c>
      <c r="B7771">
        <v>161744662.9516767</v>
      </c>
    </row>
    <row r="7772" spans="1:2" x14ac:dyDescent="0.25">
      <c r="A7772">
        <f ca="1">29809.1762202924*((RANDBETWEEN(1620,2416)))</f>
        <v>68650532.835333347</v>
      </c>
      <c r="B7772">
        <v>179477899.4022885</v>
      </c>
    </row>
    <row r="7773" spans="1:2" x14ac:dyDescent="0.25">
      <c r="A7773">
        <f ca="1">25525.1319361022*((RANDBETWEEN(1620,2416)))</f>
        <v>42729070.861035004</v>
      </c>
      <c r="B7773">
        <v>157401994.92938697</v>
      </c>
    </row>
    <row r="7774" spans="1:2" x14ac:dyDescent="0.25">
      <c r="A7774">
        <f ca="1">26757.7115213098*((RANDBETWEEN(1620,2416)))</f>
        <v>58331811.116455451</v>
      </c>
      <c r="B7774">
        <v>157456836.75766376</v>
      </c>
    </row>
    <row r="7775" spans="1:2" x14ac:dyDescent="0.25">
      <c r="A7775">
        <f ca="1">29304.666397273*((RANDBETWEEN(1620,2416)))</f>
        <v>48206176.223514043</v>
      </c>
      <c r="B7775">
        <v>187775084.48406729</v>
      </c>
    </row>
    <row r="7776" spans="1:2" x14ac:dyDescent="0.25">
      <c r="A7776">
        <f ca="1">26277.1734394027*((RANDBETWEEN(1620,2416)))</f>
        <v>62565949.959217869</v>
      </c>
      <c r="B7776">
        <v>194730568.30648887</v>
      </c>
    </row>
    <row r="7777" spans="1:2" x14ac:dyDescent="0.25">
      <c r="A7777">
        <f ca="1">30324.5454605621*((RANDBETWEEN(1620,2416)))</f>
        <v>58344425.466121413</v>
      </c>
      <c r="B7777">
        <v>147174257.27292177</v>
      </c>
    </row>
    <row r="7778" spans="1:2" x14ac:dyDescent="0.25">
      <c r="A7778">
        <f ca="1">27707.5846508646*((RANDBETWEEN(1620,2416)))</f>
        <v>53143147.360358305</v>
      </c>
      <c r="B7778">
        <v>158071470.57525286</v>
      </c>
    </row>
    <row r="7779" spans="1:2" x14ac:dyDescent="0.25">
      <c r="A7779">
        <f ca="1">25865.2152537848*((RANDBETWEEN(1620,2416)))</f>
        <v>51394182.70927041</v>
      </c>
      <c r="B7779">
        <v>167995670.17766845</v>
      </c>
    </row>
    <row r="7780" spans="1:2" x14ac:dyDescent="0.25">
      <c r="A7780">
        <f ca="1">27159.6601629214*((RANDBETWEEN(1620,2416)))</f>
        <v>64042478.664168634</v>
      </c>
      <c r="B7780">
        <v>161250123.58213991</v>
      </c>
    </row>
    <row r="7781" spans="1:2" x14ac:dyDescent="0.25">
      <c r="A7781">
        <f ca="1">28960.4488771267*((RANDBETWEEN(1620,2416)))</f>
        <v>59803326.931266725</v>
      </c>
      <c r="B7781">
        <v>172611180.20368546</v>
      </c>
    </row>
    <row r="7782" spans="1:2" x14ac:dyDescent="0.25">
      <c r="A7782">
        <f ca="1">29502.3499545983*((RANDBETWEEN(1620,2416)))</f>
        <v>56880530.71246548</v>
      </c>
      <c r="B7782">
        <v>184766708.02148679</v>
      </c>
    </row>
    <row r="7783" spans="1:2" x14ac:dyDescent="0.25">
      <c r="A7783">
        <f ca="1">26366.0834164427*((RANDBETWEEN(1620,2416)))</f>
        <v>63173135.865796745</v>
      </c>
      <c r="B7783">
        <v>146794538.99930772</v>
      </c>
    </row>
    <row r="7784" spans="1:2" x14ac:dyDescent="0.25">
      <c r="A7784">
        <f ca="1">26165.2939104719*((RANDBETWEEN(1620,2416)))</f>
        <v>47960983.737894982</v>
      </c>
      <c r="B7784">
        <v>156101622.1590603</v>
      </c>
    </row>
    <row r="7785" spans="1:2" x14ac:dyDescent="0.25">
      <c r="A7785">
        <f ca="1">27494.8446515036*((RANDBETWEEN(1620,2416)))</f>
        <v>62963194.251943313</v>
      </c>
      <c r="B7785">
        <v>175503034.0783118</v>
      </c>
    </row>
    <row r="7786" spans="1:2" x14ac:dyDescent="0.25">
      <c r="A7786">
        <f ca="1">27454.4801170945*((RANDBETWEEN(1620,2416)))</f>
        <v>54524597.512549751</v>
      </c>
      <c r="B7786">
        <v>187822011.3659724</v>
      </c>
    </row>
    <row r="7787" spans="1:2" x14ac:dyDescent="0.25">
      <c r="A7787">
        <f ca="1">26204.2649571982*((RANDBETWEEN(1620,2416)))</f>
        <v>57806608.495579131</v>
      </c>
      <c r="B7787">
        <v>183013879.03631184</v>
      </c>
    </row>
    <row r="7788" spans="1:2" x14ac:dyDescent="0.25">
      <c r="A7788">
        <f ca="1">28225.0175790105*((RANDBETWEEN(1620,2416)))</f>
        <v>47305129.462421551</v>
      </c>
      <c r="B7788">
        <v>144105886.57829407</v>
      </c>
    </row>
    <row r="7789" spans="1:2" x14ac:dyDescent="0.25">
      <c r="A7789">
        <f ca="1">26113.7905869853*((RANDBETWEEN(1620,2416)))</f>
        <v>53533270.703319892</v>
      </c>
      <c r="B7789">
        <v>161221217.82866365</v>
      </c>
    </row>
    <row r="7790" spans="1:2" x14ac:dyDescent="0.25">
      <c r="A7790">
        <f ca="1">30952.7012496187*((RANDBETWEEN(1620,2416)))</f>
        <v>67012598.205424413</v>
      </c>
      <c r="B7790">
        <v>171054578.44515812</v>
      </c>
    </row>
    <row r="7791" spans="1:2" x14ac:dyDescent="0.25">
      <c r="A7791">
        <f ca="1">26862.6499090355*((RANDBETWEEN(1620,2416)))</f>
        <v>52220991.423165075</v>
      </c>
      <c r="B7791">
        <v>155095918.13434497</v>
      </c>
    </row>
    <row r="7792" spans="1:2" x14ac:dyDescent="0.25">
      <c r="A7792">
        <f ca="1">25838.3391919709*((RANDBETWEEN(1620,2416)))</f>
        <v>43615116.556046955</v>
      </c>
      <c r="B7792">
        <v>158797448.51777828</v>
      </c>
    </row>
    <row r="7793" spans="1:2" x14ac:dyDescent="0.25">
      <c r="A7793">
        <f ca="1">33757.1419996982*((RANDBETWEEN(1620,2416)))</f>
        <v>62855798.403437994</v>
      </c>
      <c r="B7793">
        <v>183974660.13625506</v>
      </c>
    </row>
    <row r="7794" spans="1:2" x14ac:dyDescent="0.25">
      <c r="A7794">
        <f ca="1">25923.3049544959*((RANDBETWEEN(1620,2416)))</f>
        <v>46921181.967637584</v>
      </c>
      <c r="B7794">
        <v>143400345.91472819</v>
      </c>
    </row>
    <row r="7795" spans="1:2" x14ac:dyDescent="0.25">
      <c r="A7795">
        <f ca="1">27812.3893786806*((RANDBETWEEN(1620,2416)))</f>
        <v>46808251.324319497</v>
      </c>
      <c r="B7795">
        <v>192460710.45600393</v>
      </c>
    </row>
    <row r="7796" spans="1:2" x14ac:dyDescent="0.25">
      <c r="A7796">
        <f ca="1">28623.7563357475*((RANDBETWEEN(1620,2416)))</f>
        <v>62743273.887958594</v>
      </c>
      <c r="B7796">
        <v>187527277.75597093</v>
      </c>
    </row>
    <row r="7797" spans="1:2" x14ac:dyDescent="0.25">
      <c r="A7797">
        <f ca="1">26862.1476453558*((RANDBETWEEN(1620,2416)))</f>
        <v>52945293.008996315</v>
      </c>
      <c r="B7797">
        <v>178058837.06628886</v>
      </c>
    </row>
    <row r="7798" spans="1:2" x14ac:dyDescent="0.25">
      <c r="A7798">
        <f ca="1">29608.9862652107*((RANDBETWEEN(1620,2416)))</f>
        <v>50424103.609653793</v>
      </c>
      <c r="B7798">
        <v>189098894.90026253</v>
      </c>
    </row>
    <row r="7799" spans="1:2" x14ac:dyDescent="0.25">
      <c r="A7799">
        <f ca="1">25883.9407907614*((RANDBETWEEN(1620,2416)))</f>
        <v>48351201.397142336</v>
      </c>
      <c r="B7799">
        <v>161001450.74777538</v>
      </c>
    </row>
    <row r="7800" spans="1:2" x14ac:dyDescent="0.25">
      <c r="A7800">
        <f ca="1">26634.7068141316*((RANDBETWEEN(1620,2416)))</f>
        <v>51378349.444459789</v>
      </c>
      <c r="B7800">
        <v>145972691.07039618</v>
      </c>
    </row>
    <row r="7801" spans="1:2" x14ac:dyDescent="0.25">
      <c r="A7801">
        <f ca="1">30457.6937567244*((RANDBETWEEN(1620,2416)))</f>
        <v>67341960.896117747</v>
      </c>
      <c r="B7801">
        <v>167866924.688656</v>
      </c>
    </row>
    <row r="7802" spans="1:2" x14ac:dyDescent="0.25">
      <c r="A7802">
        <f ca="1">25622.8533949499*((RANDBETWEEN(1620,2416)))</f>
        <v>47043558.833127961</v>
      </c>
      <c r="B7802">
        <v>159225572.03850821</v>
      </c>
    </row>
    <row r="7803" spans="1:2" x14ac:dyDescent="0.25">
      <c r="A7803">
        <f ca="1">29816.8266129057*((RANDBETWEEN(1620,2416)))</f>
        <v>60289623.411295414</v>
      </c>
      <c r="B7803">
        <v>196121607.29863957</v>
      </c>
    </row>
    <row r="7804" spans="1:2" x14ac:dyDescent="0.25">
      <c r="A7804">
        <f ca="1">27471.9146194884*((RANDBETWEEN(1620,2416)))</f>
        <v>60218436.845918491</v>
      </c>
      <c r="B7804">
        <v>149391071.39791816</v>
      </c>
    </row>
    <row r="7805" spans="1:2" x14ac:dyDescent="0.25">
      <c r="A7805">
        <f ca="1">25469.5768654283*((RANDBETWEEN(1620,2416)))</f>
        <v>48443135.198044665</v>
      </c>
      <c r="B7805">
        <v>164562050.82910559</v>
      </c>
    </row>
    <row r="7806" spans="1:2" x14ac:dyDescent="0.25">
      <c r="A7806">
        <f ca="1">26548.5269715308*((RANDBETWEEN(1620,2416)))</f>
        <v>54105897.967979692</v>
      </c>
      <c r="B7806">
        <v>199510368.72659603</v>
      </c>
    </row>
    <row r="7807" spans="1:2" x14ac:dyDescent="0.25">
      <c r="A7807">
        <f ca="1">26776.2781278407*((RANDBETWEEN(1620,2416)))</f>
        <v>51464006.561709799</v>
      </c>
      <c r="B7807">
        <v>172277004.48278072</v>
      </c>
    </row>
    <row r="7808" spans="1:2" x14ac:dyDescent="0.25">
      <c r="A7808">
        <f ca="1">27271.2111953334*((RANDBETWEEN(1620,2416)))</f>
        <v>49633604.375506759</v>
      </c>
      <c r="B7808">
        <v>182430506.58698183</v>
      </c>
    </row>
    <row r="7809" spans="1:2" x14ac:dyDescent="0.25">
      <c r="A7809">
        <f ca="1">26440.3630296967*((RANDBETWEEN(1620,2416)))</f>
        <v>52272597.709710442</v>
      </c>
      <c r="B7809">
        <v>160152382.14394599</v>
      </c>
    </row>
    <row r="7810" spans="1:2" x14ac:dyDescent="0.25">
      <c r="A7810">
        <f ca="1">30874.6174188815*((RANDBETWEEN(1620,2416)))</f>
        <v>54339326.657231405</v>
      </c>
      <c r="B7810">
        <v>180285984.94756034</v>
      </c>
    </row>
    <row r="7811" spans="1:2" x14ac:dyDescent="0.25">
      <c r="A7811">
        <f ca="1">27042.7623451001*((RANDBETWEEN(1620,2416)))</f>
        <v>44323087.483619116</v>
      </c>
      <c r="B7811">
        <v>160352397.42803887</v>
      </c>
    </row>
    <row r="7812" spans="1:2" x14ac:dyDescent="0.25">
      <c r="A7812">
        <f ca="1">26010.343208533*((RANDBETWEEN(1620,2416)))</f>
        <v>52514882.938028112</v>
      </c>
      <c r="B7812">
        <v>144517576.45317346</v>
      </c>
    </row>
    <row r="7813" spans="1:2" x14ac:dyDescent="0.25">
      <c r="A7813">
        <f ca="1">27999.2280545715*((RANDBETWEEN(1620,2416)))</f>
        <v>58910375.826818414</v>
      </c>
      <c r="B7813">
        <v>183286738.97206414</v>
      </c>
    </row>
    <row r="7814" spans="1:2" x14ac:dyDescent="0.25">
      <c r="A7814">
        <f ca="1">31147.5202138062*((RANDBETWEEN(1620,2416)))</f>
        <v>66188480.454338156</v>
      </c>
      <c r="B7814">
        <v>169508357.67660111</v>
      </c>
    </row>
    <row r="7815" spans="1:2" x14ac:dyDescent="0.25">
      <c r="A7815">
        <f ca="1">26352.3041291168*((RANDBETWEEN(1620,2416)))</f>
        <v>52256619.088038579</v>
      </c>
      <c r="B7815">
        <v>143571549.69702902</v>
      </c>
    </row>
    <row r="7816" spans="1:2" x14ac:dyDescent="0.25">
      <c r="A7816">
        <f ca="1">26687.1563269112*((RANDBETWEEN(1620,2416)))</f>
        <v>54815419.095475689</v>
      </c>
      <c r="B7816">
        <v>145027576.71566093</v>
      </c>
    </row>
    <row r="7817" spans="1:2" x14ac:dyDescent="0.25">
      <c r="A7817">
        <f ca="1">25962.9415630409*((RANDBETWEEN(1620,2416)))</f>
        <v>51640290.768888287</v>
      </c>
      <c r="B7817">
        <v>143508973.86403686</v>
      </c>
    </row>
    <row r="7818" spans="1:2" x14ac:dyDescent="0.25">
      <c r="A7818">
        <f ca="1">29655.2812900961*((RANDBETWEEN(1620,2416)))</f>
        <v>63195404.429194778</v>
      </c>
      <c r="B7818">
        <v>175131911.81582022</v>
      </c>
    </row>
    <row r="7819" spans="1:2" x14ac:dyDescent="0.25">
      <c r="A7819">
        <f ca="1">28274.7853589818*((RANDBETWEEN(1620,2416)))</f>
        <v>64325136.691683516</v>
      </c>
      <c r="B7819">
        <v>161309679.83694857</v>
      </c>
    </row>
    <row r="7820" spans="1:2" x14ac:dyDescent="0.25">
      <c r="A7820">
        <f ca="1">26467.843466518*((RANDBETWEEN(1620,2416)))</f>
        <v>60479022.320993535</v>
      </c>
      <c r="B7820">
        <v>163267411.21203706</v>
      </c>
    </row>
    <row r="7821" spans="1:2" x14ac:dyDescent="0.25">
      <c r="A7821">
        <f ca="1">27342.6448323601*((RANDBETWEEN(1620,2416)))</f>
        <v>47138719.690988727</v>
      </c>
      <c r="B7821">
        <v>165930003.43085951</v>
      </c>
    </row>
    <row r="7822" spans="1:2" x14ac:dyDescent="0.25">
      <c r="A7822">
        <f ca="1">28024.9503325245*((RANDBETWEEN(1620,2416)))</f>
        <v>50080586.244221307</v>
      </c>
      <c r="B7822">
        <v>185460700.75518489</v>
      </c>
    </row>
    <row r="7823" spans="1:2" x14ac:dyDescent="0.25">
      <c r="A7823">
        <f ca="1">26034.7154771657*((RANDBETWEEN(1620,2416)))</f>
        <v>61572102.103496775</v>
      </c>
      <c r="B7823">
        <v>160647921.93018556</v>
      </c>
    </row>
    <row r="7824" spans="1:2" x14ac:dyDescent="0.25">
      <c r="A7824">
        <f ca="1">29157.3031708628*((RANDBETWEEN(1620,2416)))</f>
        <v>66478651.229567111</v>
      </c>
      <c r="B7824">
        <v>174185851.73778057</v>
      </c>
    </row>
    <row r="7825" spans="1:2" x14ac:dyDescent="0.25">
      <c r="A7825">
        <f ca="1">27040.9557811097*((RANDBETWEEN(1620,2416)))</f>
        <v>46483402.987727582</v>
      </c>
      <c r="B7825">
        <v>161777720.20212683</v>
      </c>
    </row>
    <row r="7826" spans="1:2" x14ac:dyDescent="0.25">
      <c r="A7826">
        <f ca="1">27670.0508333764*((RANDBETWEEN(1620,2416)))</f>
        <v>61842563.612596363</v>
      </c>
      <c r="B7826">
        <v>186904298.80314928</v>
      </c>
    </row>
    <row r="7827" spans="1:2" x14ac:dyDescent="0.25">
      <c r="A7827">
        <f ca="1">29479.4910880967*((RANDBETWEEN(1620,2416)))</f>
        <v>51972342.788314492</v>
      </c>
      <c r="B7827">
        <v>146077622.28921187</v>
      </c>
    </row>
    <row r="7828" spans="1:2" x14ac:dyDescent="0.25">
      <c r="A7828">
        <f ca="1">26530.6863406121*((RANDBETWEEN(1620,2416)))</f>
        <v>52185860.031984024</v>
      </c>
      <c r="B7828">
        <v>149034930.77163887</v>
      </c>
    </row>
    <row r="7829" spans="1:2" x14ac:dyDescent="0.25">
      <c r="A7829">
        <f ca="1">28561.6461246745*((RANDBETWEEN(1620,2416)))</f>
        <v>56409251.096232198</v>
      </c>
      <c r="B7829">
        <v>154262495.36444733</v>
      </c>
    </row>
    <row r="7830" spans="1:2" x14ac:dyDescent="0.25">
      <c r="A7830">
        <f ca="1">27184.621267246*((RANDBETWEEN(1620,2416)))</f>
        <v>48062410.40049091</v>
      </c>
      <c r="B7830">
        <v>150273025.13451028</v>
      </c>
    </row>
    <row r="7831" spans="1:2" x14ac:dyDescent="0.25">
      <c r="A7831">
        <f ca="1">26886.4707289636*((RANDBETWEEN(1620,2416)))</f>
        <v>44981065.529556058</v>
      </c>
      <c r="B7831">
        <v>152239536.92559522</v>
      </c>
    </row>
    <row r="7832" spans="1:2" x14ac:dyDescent="0.25">
      <c r="A7832">
        <f ca="1">30985.4200937269*((RANDBETWEEN(1620,2416)))</f>
        <v>72753766.380070657</v>
      </c>
      <c r="B7832">
        <v>163559913.63612249</v>
      </c>
    </row>
    <row r="7833" spans="1:2" x14ac:dyDescent="0.25">
      <c r="A7833">
        <f ca="1">28534.2361428419*((RANDBETWEEN(1620,2416)))</f>
        <v>54100911.726828292</v>
      </c>
      <c r="B7833">
        <v>183620233.64721406</v>
      </c>
    </row>
    <row r="7834" spans="1:2" x14ac:dyDescent="0.25">
      <c r="A7834">
        <f ca="1">32371.2753083827*((RANDBETWEEN(1620,2416)))</f>
        <v>69436385.536480933</v>
      </c>
      <c r="B7834">
        <v>171048141.01363495</v>
      </c>
    </row>
    <row r="7835" spans="1:2" x14ac:dyDescent="0.25">
      <c r="A7835">
        <f ca="1">27547.4100930819*((RANDBETWEEN(1620,2416)))</f>
        <v>51348372.41350472</v>
      </c>
      <c r="B7835">
        <v>180639635.7043156</v>
      </c>
    </row>
    <row r="7836" spans="1:2" x14ac:dyDescent="0.25">
      <c r="A7836">
        <f ca="1">26723.3358656971*((RANDBETWEEN(1620,2416)))</f>
        <v>56493132.020083718</v>
      </c>
      <c r="B7836">
        <v>181699172.17433512</v>
      </c>
    </row>
    <row r="7837" spans="1:2" x14ac:dyDescent="0.25">
      <c r="A7837">
        <f ca="1">33707.1530046641*((RANDBETWEEN(1620,2416)))</f>
        <v>56088702.599761002</v>
      </c>
      <c r="B7837">
        <v>197258493.07983965</v>
      </c>
    </row>
    <row r="7838" spans="1:2" x14ac:dyDescent="0.25">
      <c r="A7838">
        <f ca="1">26424.5652933704*((RANDBETWEEN(1620,2416)))</f>
        <v>43785504.691114798</v>
      </c>
      <c r="B7838">
        <v>150028384.93620247</v>
      </c>
    </row>
    <row r="7839" spans="1:2" x14ac:dyDescent="0.25">
      <c r="A7839">
        <f ca="1">32032.6108489215*((RANDBETWEEN(1620,2416)))</f>
        <v>55928938.542216904</v>
      </c>
      <c r="B7839">
        <v>182308102.02084377</v>
      </c>
    </row>
    <row r="7840" spans="1:2" x14ac:dyDescent="0.25">
      <c r="A7840">
        <f ca="1">27335.545019177*((RANDBETWEEN(1620,2416)))</f>
        <v>61532311.838167444</v>
      </c>
      <c r="B7840">
        <v>158967084.72820589</v>
      </c>
    </row>
    <row r="7841" spans="1:2" x14ac:dyDescent="0.25">
      <c r="A7841">
        <f ca="1">32032.5539424584*((RANDBETWEEN(1620,2416)))</f>
        <v>54839732.34948881</v>
      </c>
      <c r="B7841">
        <v>192470860.55600139</v>
      </c>
    </row>
    <row r="7842" spans="1:2" x14ac:dyDescent="0.25">
      <c r="A7842">
        <f ca="1">29674.8642543587*((RANDBETWEEN(1620,2416)))</f>
        <v>62109490.884372704</v>
      </c>
      <c r="B7842">
        <v>164748178.31337997</v>
      </c>
    </row>
    <row r="7843" spans="1:2" x14ac:dyDescent="0.25">
      <c r="A7843">
        <f ca="1">26836.5473766911*((RANDBETWEEN(1620,2416)))</f>
        <v>55229614.50123027</v>
      </c>
      <c r="B7843">
        <v>169330756.51650649</v>
      </c>
    </row>
    <row r="7844" spans="1:2" x14ac:dyDescent="0.25">
      <c r="A7844">
        <f ca="1">28116.9766348054*((RANDBETWEEN(1620,2416)))</f>
        <v>50779259.80245851</v>
      </c>
      <c r="B7844">
        <v>176261738.93382642</v>
      </c>
    </row>
    <row r="7845" spans="1:2" x14ac:dyDescent="0.25">
      <c r="A7845">
        <f ca="1">26924.0105695161*((RANDBETWEEN(1620,2416)))</f>
        <v>55005753.593521401</v>
      </c>
      <c r="B7845">
        <v>152507492.93417567</v>
      </c>
    </row>
    <row r="7846" spans="1:2" x14ac:dyDescent="0.25">
      <c r="A7846">
        <f ca="1">32432.0079527809*((RANDBETWEEN(1620,2416)))</f>
        <v>65577520.080522954</v>
      </c>
      <c r="B7846">
        <v>202901964.52906808</v>
      </c>
    </row>
    <row r="7847" spans="1:2" x14ac:dyDescent="0.25">
      <c r="A7847">
        <f ca="1">29452.1959206736*((RANDBETWEEN(1620,2416)))</f>
        <v>58963296.233188555</v>
      </c>
      <c r="B7847">
        <v>160211005.25435469</v>
      </c>
    </row>
    <row r="7848" spans="1:2" x14ac:dyDescent="0.25">
      <c r="A7848">
        <f ca="1">28750.4499513282*((RANDBETWEEN(1620,2416)))</f>
        <v>52929578.360395305</v>
      </c>
      <c r="B7848">
        <v>195705144.17499727</v>
      </c>
    </row>
    <row r="7849" spans="1:2" x14ac:dyDescent="0.25">
      <c r="A7849">
        <f ca="1">28660.2430176848*((RANDBETWEEN(1620,2416)))</f>
        <v>52648866.423486941</v>
      </c>
      <c r="B7849">
        <v>152173906.31162986</v>
      </c>
    </row>
    <row r="7850" spans="1:2" x14ac:dyDescent="0.25">
      <c r="A7850">
        <f ca="1">33092.5277687749*((RANDBETWEEN(1620,2416)))</f>
        <v>54933596.096166365</v>
      </c>
      <c r="B7850">
        <v>193336097.99925953</v>
      </c>
    </row>
    <row r="7851" spans="1:2" x14ac:dyDescent="0.25">
      <c r="A7851">
        <f ca="1">27344.9171884185*((RANDBETWEEN(1620,2416)))</f>
        <v>56467253.994084135</v>
      </c>
      <c r="B7851">
        <v>202643989.15192115</v>
      </c>
    </row>
    <row r="7852" spans="1:2" x14ac:dyDescent="0.25">
      <c r="A7852">
        <f ca="1">32744.0015987068*((RANDBETWEEN(1620,2416)))</f>
        <v>61951651.024753265</v>
      </c>
      <c r="B7852">
        <v>177308189.46382451</v>
      </c>
    </row>
    <row r="7853" spans="1:2" x14ac:dyDescent="0.25">
      <c r="A7853">
        <f ca="1">27160.8501225235*((RANDBETWEEN(1620,2416)))</f>
        <v>49378425.522747733</v>
      </c>
      <c r="B7853">
        <v>194605292.69711253</v>
      </c>
    </row>
    <row r="7854" spans="1:2" x14ac:dyDescent="0.25">
      <c r="A7854">
        <f ca="1">29643.0599308387*((RANDBETWEEN(1620,2416)))</f>
        <v>48110686.267751224</v>
      </c>
      <c r="B7854">
        <v>184961261.73508337</v>
      </c>
    </row>
    <row r="7855" spans="1:2" x14ac:dyDescent="0.25">
      <c r="A7855">
        <f ca="1">27165.1867687314*((RANDBETWEEN(1620,2416)))</f>
        <v>60225219.066277593</v>
      </c>
      <c r="B7855">
        <v>167461610.63856092</v>
      </c>
    </row>
    <row r="7856" spans="1:2" x14ac:dyDescent="0.25">
      <c r="A7856">
        <f ca="1">25976.9706692608*((RANDBETWEEN(1620,2416)))</f>
        <v>52187734.074545026</v>
      </c>
      <c r="B7856">
        <v>145100417.81105584</v>
      </c>
    </row>
    <row r="7857" spans="1:2" x14ac:dyDescent="0.25">
      <c r="A7857">
        <f ca="1">26030.338926766*((RANDBETWEEN(1620,2416)))</f>
        <v>50576948.534706302</v>
      </c>
      <c r="B7857">
        <v>146918145.51748759</v>
      </c>
    </row>
    <row r="7858" spans="1:2" x14ac:dyDescent="0.25">
      <c r="A7858">
        <f ca="1">26423.5666712498*((RANDBETWEEN(1620,2416)))</f>
        <v>62333193.777478248</v>
      </c>
      <c r="B7858">
        <v>190826095.32030833</v>
      </c>
    </row>
    <row r="7859" spans="1:2" x14ac:dyDescent="0.25">
      <c r="A7859">
        <f ca="1">31997.4087987886*((RANDBETWEEN(1620,2416)))</f>
        <v>65562690.628717892</v>
      </c>
      <c r="B7859">
        <v>167260567.84899747</v>
      </c>
    </row>
    <row r="7860" spans="1:2" x14ac:dyDescent="0.25">
      <c r="A7860">
        <f ca="1">30401.4813958168*((RANDBETWEEN(1620,2416)))</f>
        <v>57793216.133447826</v>
      </c>
      <c r="B7860">
        <v>189839248.26438969</v>
      </c>
    </row>
    <row r="7861" spans="1:2" x14ac:dyDescent="0.25">
      <c r="A7861">
        <f ca="1">26916.0293980758*((RANDBETWEEN(1620,2416)))</f>
        <v>53751310.70795729</v>
      </c>
      <c r="B7861">
        <v>188138527.0741857</v>
      </c>
    </row>
    <row r="7862" spans="1:2" x14ac:dyDescent="0.25">
      <c r="A7862">
        <f ca="1">29576.5490982555*((RANDBETWEEN(1620,2416)))</f>
        <v>47943586.088272236</v>
      </c>
      <c r="B7862">
        <v>149527906.99000442</v>
      </c>
    </row>
    <row r="7863" spans="1:2" x14ac:dyDescent="0.25">
      <c r="A7863">
        <f ca="1">27566.2798814355*((RANDBETWEEN(1620,2416)))</f>
        <v>62768419.290028661</v>
      </c>
      <c r="B7863">
        <v>158689618.47988799</v>
      </c>
    </row>
    <row r="7864" spans="1:2" x14ac:dyDescent="0.25">
      <c r="A7864">
        <f ca="1">28467.4004677436*((RANDBETWEEN(1620,2416)))</f>
        <v>64791803.464584522</v>
      </c>
      <c r="B7864">
        <v>198849977.33006725</v>
      </c>
    </row>
    <row r="7865" spans="1:2" x14ac:dyDescent="0.25">
      <c r="A7865">
        <f ca="1">26757.509338882*((RANDBETWEEN(1620,2416)))</f>
        <v>47467821.567176662</v>
      </c>
      <c r="B7865">
        <v>184799037.07657042</v>
      </c>
    </row>
    <row r="7866" spans="1:2" x14ac:dyDescent="0.25">
      <c r="A7866">
        <f ca="1">28155.0585207769*((RANDBETWEEN(1620,2416)))</f>
        <v>67065349.396490656</v>
      </c>
      <c r="B7866">
        <v>177389607.97331446</v>
      </c>
    </row>
    <row r="7867" spans="1:2" x14ac:dyDescent="0.25">
      <c r="A7867">
        <f ca="1">29119.6742439628*((RANDBETWEEN(1620,2416)))</f>
        <v>70265773.950682238</v>
      </c>
      <c r="B7867">
        <v>164378843.25890815</v>
      </c>
    </row>
    <row r="7868" spans="1:2" x14ac:dyDescent="0.25">
      <c r="A7868">
        <f ca="1">27885.4139285345*((RANDBETWEEN(1620,2416)))</f>
        <v>50110088.829576544</v>
      </c>
      <c r="B7868">
        <v>182626146.23511177</v>
      </c>
    </row>
    <row r="7869" spans="1:2" x14ac:dyDescent="0.25">
      <c r="A7869">
        <f ca="1">27208.1178829283*((RANDBETWEEN(1620,2416)))</f>
        <v>58905575.216539718</v>
      </c>
      <c r="B7869">
        <v>154261709.66609606</v>
      </c>
    </row>
    <row r="7870" spans="1:2" x14ac:dyDescent="0.25">
      <c r="A7870">
        <f ca="1">25184.4109659965*((RANDBETWEEN(1620,2416)))</f>
        <v>58931521.660431832</v>
      </c>
      <c r="B7870">
        <v>147299896.18008512</v>
      </c>
    </row>
    <row r="7871" spans="1:2" x14ac:dyDescent="0.25">
      <c r="A7871">
        <f ca="1">27029.0931393725*((RANDBETWEEN(1620,2416)))</f>
        <v>51868829.734455839</v>
      </c>
      <c r="B7871">
        <v>158636677.76065761</v>
      </c>
    </row>
    <row r="7872" spans="1:2" x14ac:dyDescent="0.25">
      <c r="A7872">
        <f ca="1">26322.8346023731*((RANDBETWEEN(1620,2416)))</f>
        <v>58384047.148063488</v>
      </c>
      <c r="B7872">
        <v>153890745.71719077</v>
      </c>
    </row>
    <row r="7873" spans="1:2" x14ac:dyDescent="0.25">
      <c r="A7873">
        <f ca="1">26727.6598599478*((RANDBETWEEN(1620,2416)))</f>
        <v>50996375.012780368</v>
      </c>
      <c r="B7873">
        <v>161546172.4505485</v>
      </c>
    </row>
    <row r="7874" spans="1:2" x14ac:dyDescent="0.25">
      <c r="A7874">
        <f ca="1">31678.7556005676*((RANDBETWEEN(1620,2416)))</f>
        <v>74096609.349727601</v>
      </c>
      <c r="B7874">
        <v>184213724.58235872</v>
      </c>
    </row>
    <row r="7875" spans="1:2" x14ac:dyDescent="0.25">
      <c r="A7875">
        <f ca="1">29257.8348291264*((RANDBETWEEN(1620,2416)))</f>
        <v>47573239.432159491</v>
      </c>
      <c r="B7875">
        <v>161694309.29497612</v>
      </c>
    </row>
    <row r="7876" spans="1:2" x14ac:dyDescent="0.25">
      <c r="A7876">
        <f ca="1">29263.2155634428*((RANDBETWEEN(1620,2416)))</f>
        <v>62623281.305767499</v>
      </c>
      <c r="B7876">
        <v>161470368.5004338</v>
      </c>
    </row>
    <row r="7877" spans="1:2" x14ac:dyDescent="0.25">
      <c r="A7877">
        <f ca="1">25538.2704926263*((RANDBETWEEN(1620,2416)))</f>
        <v>50999926.173774689</v>
      </c>
      <c r="B7877">
        <v>180630305.21296453</v>
      </c>
    </row>
    <row r="7878" spans="1:2" x14ac:dyDescent="0.25">
      <c r="A7878">
        <f ca="1">32202.4795745645*((RANDBETWEEN(1620,2416)))</f>
        <v>62118583.099334836</v>
      </c>
      <c r="B7878">
        <v>143927637.51489154</v>
      </c>
    </row>
    <row r="7879" spans="1:2" x14ac:dyDescent="0.25">
      <c r="A7879">
        <f ca="1">26586.4763102356*((RANDBETWEEN(1620,2416)))</f>
        <v>47350514.308529623</v>
      </c>
      <c r="B7879">
        <v>147242264.6140632</v>
      </c>
    </row>
    <row r="7880" spans="1:2" x14ac:dyDescent="0.25">
      <c r="A7880">
        <f ca="1">31137.696415347*((RANDBETWEEN(1620,2416)))</f>
        <v>66759221.114503875</v>
      </c>
      <c r="B7880">
        <v>173023268.39724544</v>
      </c>
    </row>
    <row r="7881" spans="1:2" x14ac:dyDescent="0.25">
      <c r="A7881">
        <f ca="1">31401.0287324399*((RANDBETWEEN(1620,2416)))</f>
        <v>75645078.216447771</v>
      </c>
      <c r="B7881">
        <v>148402714.90016028</v>
      </c>
    </row>
    <row r="7882" spans="1:2" x14ac:dyDescent="0.25">
      <c r="A7882">
        <f ca="1">25351.391410934*((RANDBETWEEN(1620,2416)))</f>
        <v>45987424.019434318</v>
      </c>
      <c r="B7882">
        <v>151536169.39844602</v>
      </c>
    </row>
    <row r="7883" spans="1:2" x14ac:dyDescent="0.25">
      <c r="A7883">
        <f ca="1">28478.2289666565*((RANDBETWEEN(1620,2416)))</f>
        <v>63022320.703210823</v>
      </c>
      <c r="B7883">
        <v>198790245.11454251</v>
      </c>
    </row>
    <row r="7884" spans="1:2" x14ac:dyDescent="0.25">
      <c r="A7884">
        <f ca="1">29682.7584961212*((RANDBETWEEN(1620,2416)))</f>
        <v>60552827.332087308</v>
      </c>
      <c r="B7884">
        <v>194801698.98858768</v>
      </c>
    </row>
    <row r="7885" spans="1:2" x14ac:dyDescent="0.25">
      <c r="A7885">
        <f ca="1">27383.8759189523*((RANDBETWEEN(1620,2416)))</f>
        <v>45457234.025460795</v>
      </c>
      <c r="B7885">
        <v>148703756.99047595</v>
      </c>
    </row>
    <row r="7886" spans="1:2" x14ac:dyDescent="0.25">
      <c r="A7886">
        <f ca="1">27193.2631857555*((RANDBETWEEN(1620,2416)))</f>
        <v>59580439.639990315</v>
      </c>
      <c r="B7886">
        <v>152231651.31142291</v>
      </c>
    </row>
    <row r="7887" spans="1:2" x14ac:dyDescent="0.25">
      <c r="A7887">
        <f ca="1">28537.0398606879*((RANDBETWEEN(1620,2416)))</f>
        <v>56560413.003883518</v>
      </c>
      <c r="B7887">
        <v>163093075.32676715</v>
      </c>
    </row>
    <row r="7888" spans="1:2" x14ac:dyDescent="0.25">
      <c r="A7888">
        <f ca="1">27011.962310905*((RANDBETWEEN(1620,2416)))</f>
        <v>51971015.486181155</v>
      </c>
      <c r="B7888">
        <v>171553610.7746467</v>
      </c>
    </row>
    <row r="7889" spans="1:2" x14ac:dyDescent="0.25">
      <c r="A7889">
        <f ca="1">30467.3000476895*((RANDBETWEEN(1620,2416)))</f>
        <v>64072732.000291049</v>
      </c>
      <c r="B7889">
        <v>185495345.74377331</v>
      </c>
    </row>
    <row r="7890" spans="1:2" x14ac:dyDescent="0.25">
      <c r="A7890">
        <f ca="1">29885.8795961598*((RANDBETWEEN(1620,2416)))</f>
        <v>69843300.616225526</v>
      </c>
      <c r="B7890">
        <v>165257032.66509616</v>
      </c>
    </row>
    <row r="7891" spans="1:2" x14ac:dyDescent="0.25">
      <c r="A7891">
        <f ca="1">30026.4066648393*((RANDBETWEEN(1620,2416)))</f>
        <v>51975709.936836891</v>
      </c>
      <c r="B7891">
        <v>151499751.16236705</v>
      </c>
    </row>
    <row r="7892" spans="1:2" x14ac:dyDescent="0.25">
      <c r="A7892">
        <f ca="1">30204.8446930979*((RANDBETWEEN(1620,2416)))</f>
        <v>69289913.725966632</v>
      </c>
      <c r="B7892">
        <v>151390275.97154152</v>
      </c>
    </row>
    <row r="7893" spans="1:2" x14ac:dyDescent="0.25">
      <c r="A7893">
        <f ca="1">27553.255656081*((RANDBETWEEN(1620,2416)))</f>
        <v>62628550.106272221</v>
      </c>
      <c r="B7893">
        <v>149604325.3011449</v>
      </c>
    </row>
    <row r="7894" spans="1:2" x14ac:dyDescent="0.25">
      <c r="A7894">
        <f ca="1">27605.1242067749*((RANDBETWEEN(1620,2416)))</f>
        <v>51207505.403567471</v>
      </c>
      <c r="B7894">
        <v>166028437.5511587</v>
      </c>
    </row>
    <row r="7895" spans="1:2" x14ac:dyDescent="0.25">
      <c r="A7895">
        <f ca="1">30236.3365448751*((RANDBETWEEN(1620,2416)))</f>
        <v>62468271.301712029</v>
      </c>
      <c r="B7895">
        <v>166747741.05401805</v>
      </c>
    </row>
    <row r="7896" spans="1:2" x14ac:dyDescent="0.25">
      <c r="A7896">
        <f ca="1">26139.7548823591*((RANDBETWEEN(1620,2416)))</f>
        <v>56592569.320307478</v>
      </c>
      <c r="B7896">
        <v>147540595.99268311</v>
      </c>
    </row>
    <row r="7897" spans="1:2" x14ac:dyDescent="0.25">
      <c r="A7897">
        <f ca="1">26899.2195364246*((RANDBETWEEN(1620,2416)))</f>
        <v>49494563.947021268</v>
      </c>
      <c r="B7897">
        <v>156338780.1878168</v>
      </c>
    </row>
    <row r="7898" spans="1:2" x14ac:dyDescent="0.25">
      <c r="A7898">
        <f ca="1">25796.9732711257*((RANDBETWEEN(1620,2416)))</f>
        <v>55773056.212173685</v>
      </c>
      <c r="B7898">
        <v>177133455.49293479</v>
      </c>
    </row>
    <row r="7899" spans="1:2" x14ac:dyDescent="0.25">
      <c r="A7899">
        <f ca="1">26371.1013975325*((RANDBETWEEN(1620,2416)))</f>
        <v>56249559.280936778</v>
      </c>
      <c r="B7899">
        <v>143822013.20531446</v>
      </c>
    </row>
    <row r="7900" spans="1:2" x14ac:dyDescent="0.25">
      <c r="A7900">
        <f ca="1">28087.7209341541*((RANDBETWEEN(1620,2416)))</f>
        <v>63197372.101846792</v>
      </c>
      <c r="B7900">
        <v>149809606.57514668</v>
      </c>
    </row>
    <row r="7901" spans="1:2" x14ac:dyDescent="0.25">
      <c r="A7901">
        <f ca="1">32774.0399259771*((RANDBETWEEN(1620,2416)))</f>
        <v>64073248.055285186</v>
      </c>
      <c r="B7901">
        <v>189091042.10179171</v>
      </c>
    </row>
    <row r="7902" spans="1:2" x14ac:dyDescent="0.25">
      <c r="A7902">
        <f ca="1">26747.0343726758*((RANDBETWEEN(1620,2416)))</f>
        <v>48786590.695760623</v>
      </c>
      <c r="B7902">
        <v>152076480.15957868</v>
      </c>
    </row>
    <row r="7903" spans="1:2" x14ac:dyDescent="0.25">
      <c r="A7903">
        <f ca="1">28317.0947484712*((RANDBETWEEN(1620,2416)))</f>
        <v>66092099.142931841</v>
      </c>
      <c r="B7903">
        <v>178759658.23269823</v>
      </c>
    </row>
    <row r="7904" spans="1:2" x14ac:dyDescent="0.25">
      <c r="A7904">
        <f ca="1">26596.8732874337*((RANDBETWEEN(1620,2416)))</f>
        <v>55028930.831700325</v>
      </c>
      <c r="B7904">
        <v>177509805.17928302</v>
      </c>
    </row>
    <row r="7905" spans="1:2" x14ac:dyDescent="0.25">
      <c r="A7905">
        <f ca="1">26389.7017727639*((RANDBETWEEN(1620,2416)))</f>
        <v>57292042.548670419</v>
      </c>
      <c r="B7905">
        <v>145277866.96299621</v>
      </c>
    </row>
    <row r="7906" spans="1:2" x14ac:dyDescent="0.25">
      <c r="A7906">
        <f ca="1">26922.0494193888*((RANDBETWEEN(1620,2416)))</f>
        <v>57559341.658653274</v>
      </c>
      <c r="B7906">
        <v>148406464.5216569</v>
      </c>
    </row>
    <row r="7907" spans="1:2" x14ac:dyDescent="0.25">
      <c r="A7907">
        <f ca="1">27238.1881923809*((RANDBETWEEN(1620,2416)))</f>
        <v>55484189.347879924</v>
      </c>
      <c r="B7907">
        <v>155635016.6513426</v>
      </c>
    </row>
    <row r="7908" spans="1:2" x14ac:dyDescent="0.25">
      <c r="A7908">
        <f ca="1">28221.6272390336*((RANDBETWEEN(1620,2416)))</f>
        <v>61890028.535200723</v>
      </c>
      <c r="B7908">
        <v>197493097.89546692</v>
      </c>
    </row>
    <row r="7909" spans="1:2" x14ac:dyDescent="0.25">
      <c r="A7909">
        <f ca="1">26291.5234931109*((RANDBETWEEN(1620,2416)))</f>
        <v>53608416.402453132</v>
      </c>
      <c r="B7909">
        <v>153754753.38749874</v>
      </c>
    </row>
    <row r="7910" spans="1:2" x14ac:dyDescent="0.25">
      <c r="A7910">
        <f ca="1">27339.7012037336*((RANDBETWEEN(1620,2416)))</f>
        <v>44973808.480141722</v>
      </c>
      <c r="B7910">
        <v>148864041.07156661</v>
      </c>
    </row>
    <row r="7911" spans="1:2" x14ac:dyDescent="0.25">
      <c r="A7911">
        <f ca="1">30787.9937128859*((RANDBETWEEN(1620,2416)))</f>
        <v>71458933.407608137</v>
      </c>
      <c r="B7911">
        <v>190549278.02587068</v>
      </c>
    </row>
    <row r="7912" spans="1:2" x14ac:dyDescent="0.25">
      <c r="A7912">
        <f ca="1">26937.0819561274*((RANDBETWEEN(1620,2416)))</f>
        <v>62009162.663005225</v>
      </c>
      <c r="B7912">
        <v>159648705.63061985</v>
      </c>
    </row>
    <row r="7913" spans="1:2" x14ac:dyDescent="0.25">
      <c r="A7913">
        <f ca="1">26765.0249253936*((RANDBETWEEN(1620,2416)))</f>
        <v>51602968.056158945</v>
      </c>
      <c r="B7913">
        <v>152881790.66647416</v>
      </c>
    </row>
    <row r="7914" spans="1:2" x14ac:dyDescent="0.25">
      <c r="A7914">
        <f ca="1">27908.7442983876*((RANDBETWEEN(1620,2416)))</f>
        <v>58887450.469597816</v>
      </c>
      <c r="B7914">
        <v>182798368.70684716</v>
      </c>
    </row>
    <row r="7915" spans="1:2" x14ac:dyDescent="0.25">
      <c r="A7915">
        <f ca="1">27086.2737410082*((RANDBETWEEN(1620,2416)))</f>
        <v>50001261.325901151</v>
      </c>
      <c r="B7915">
        <v>146824801.89200324</v>
      </c>
    </row>
    <row r="7916" spans="1:2" x14ac:dyDescent="0.25">
      <c r="A7916">
        <f ca="1">25184.7442659684*((RANDBETWEEN(1620,2416)))</f>
        <v>58806377.861036211</v>
      </c>
      <c r="B7916">
        <v>167628111.00048336</v>
      </c>
    </row>
    <row r="7917" spans="1:2" x14ac:dyDescent="0.25">
      <c r="A7917">
        <f ca="1">26997.9696092463*((RANDBETWEEN(1620,2416)))</f>
        <v>59071557.5050309</v>
      </c>
      <c r="B7917">
        <v>172600226.27069673</v>
      </c>
    </row>
    <row r="7918" spans="1:2" x14ac:dyDescent="0.25">
      <c r="A7918">
        <f ca="1">26980.8969939891*((RANDBETWEEN(1620,2416)))</f>
        <v>62298891.159120791</v>
      </c>
      <c r="B7918">
        <v>149715891.64704573</v>
      </c>
    </row>
    <row r="7919" spans="1:2" x14ac:dyDescent="0.25">
      <c r="A7919">
        <f ca="1">31966.7317161108*((RANDBETWEEN(1620,2416)))</f>
        <v>54535244.307684943</v>
      </c>
      <c r="B7919">
        <v>182145902.42989138</v>
      </c>
    </row>
    <row r="7920" spans="1:2" x14ac:dyDescent="0.25">
      <c r="A7920">
        <f ca="1">26873.3611747202*((RANDBETWEEN(1620,2416)))</f>
        <v>60250075.753722586</v>
      </c>
      <c r="B7920">
        <v>153848238.65037203</v>
      </c>
    </row>
    <row r="7921" spans="1:2" x14ac:dyDescent="0.25">
      <c r="A7921">
        <f ca="1">27307.3124465119*((RANDBETWEEN(1620,2416)))</f>
        <v>47050499.345340021</v>
      </c>
      <c r="B7921">
        <v>182665492.55092642</v>
      </c>
    </row>
    <row r="7922" spans="1:2" x14ac:dyDescent="0.25">
      <c r="A7922">
        <f ca="1">26030.0700719036*((RANDBETWEEN(1620,2416)))</f>
        <v>50706576.500068307</v>
      </c>
      <c r="B7922">
        <v>147206707.10409904</v>
      </c>
    </row>
    <row r="7923" spans="1:2" x14ac:dyDescent="0.25">
      <c r="A7923">
        <f ca="1">26976.1234560486*((RANDBETWEEN(1620,2416)))</f>
        <v>55328029.208355591</v>
      </c>
      <c r="B7923">
        <v>185042460.41328821</v>
      </c>
    </row>
    <row r="7924" spans="1:2" x14ac:dyDescent="0.25">
      <c r="A7924">
        <f ca="1">27400.1809597984*((RANDBETWEEN(1620,2416)))</f>
        <v>51101337.490023941</v>
      </c>
      <c r="B7924">
        <v>152029226.41340369</v>
      </c>
    </row>
    <row r="7925" spans="1:2" x14ac:dyDescent="0.25">
      <c r="A7925">
        <f ca="1">25080.8401550512*((RANDBETWEEN(1620,2416)))</f>
        <v>41684356.337695159</v>
      </c>
      <c r="B7925">
        <v>148998830.94787437</v>
      </c>
    </row>
    <row r="7926" spans="1:2" x14ac:dyDescent="0.25">
      <c r="A7926">
        <f ca="1">28018.0021275754*((RANDBETWEEN(1620,2416)))</f>
        <v>49087539.727512054</v>
      </c>
      <c r="B7926">
        <v>172975646.39566118</v>
      </c>
    </row>
    <row r="7927" spans="1:2" x14ac:dyDescent="0.25">
      <c r="A7927">
        <f ca="1">26295.6228592583*((RANDBETWEEN(1620,2416)))</f>
        <v>53064566.929983214</v>
      </c>
      <c r="B7927">
        <v>153404940.48430759</v>
      </c>
    </row>
    <row r="7928" spans="1:2" x14ac:dyDescent="0.25">
      <c r="A7928">
        <f ca="1">29270.1950972375*((RANDBETWEEN(1620,2416)))</f>
        <v>62257704.971824102</v>
      </c>
      <c r="B7928">
        <v>177725097.61241379</v>
      </c>
    </row>
    <row r="7929" spans="1:2" x14ac:dyDescent="0.25">
      <c r="A7929">
        <f ca="1">28411.2455391117*((RANDBETWEEN(1620,2416)))</f>
        <v>47617247.523551278</v>
      </c>
      <c r="B7929">
        <v>184629197.39163616</v>
      </c>
    </row>
    <row r="7930" spans="1:2" x14ac:dyDescent="0.25">
      <c r="A7930">
        <f ca="1">27601.1859630395*((RANDBETWEEN(1620,2416)))</f>
        <v>63786340.760584183</v>
      </c>
      <c r="B7930">
        <v>150981021.99475545</v>
      </c>
    </row>
    <row r="7931" spans="1:2" x14ac:dyDescent="0.25">
      <c r="A7931">
        <f ca="1">30870.6515599357*((RANDBETWEEN(1620,2416)))</f>
        <v>70724662.723812789</v>
      </c>
      <c r="B7931">
        <v>187489379.23274225</v>
      </c>
    </row>
    <row r="7932" spans="1:2" x14ac:dyDescent="0.25">
      <c r="A7932">
        <f ca="1">30764.0476037733*((RANDBETWEEN(1620,2416)))</f>
        <v>53406386.640150532</v>
      </c>
      <c r="B7932">
        <v>182234962.55106848</v>
      </c>
    </row>
    <row r="7933" spans="1:2" x14ac:dyDescent="0.25">
      <c r="A7933">
        <f ca="1">26285.7052942356*((RANDBETWEEN(1620,2416)))</f>
        <v>55699409.518485181</v>
      </c>
      <c r="B7933">
        <v>173155369.03972346</v>
      </c>
    </row>
    <row r="7934" spans="1:2" x14ac:dyDescent="0.25">
      <c r="A7934">
        <f ca="1">26902.6100136168*((RANDBETWEEN(1620,2416)))</f>
        <v>46326294.443448178</v>
      </c>
      <c r="B7934">
        <v>168335953.3052673</v>
      </c>
    </row>
    <row r="7935" spans="1:2" x14ac:dyDescent="0.25">
      <c r="A7935">
        <f ca="1">27229.2787210066*((RANDBETWEEN(1620,2416)))</f>
        <v>55084830.852596268</v>
      </c>
      <c r="B7935">
        <v>193835974.88978991</v>
      </c>
    </row>
    <row r="7936" spans="1:2" x14ac:dyDescent="0.25">
      <c r="A7936">
        <f ca="1">26872.3376963804*((RANDBETWEEN(1620,2416)))</f>
        <v>57614292.021039478</v>
      </c>
      <c r="B7936">
        <v>197314584.33789265</v>
      </c>
    </row>
    <row r="7937" spans="1:2" x14ac:dyDescent="0.25">
      <c r="A7937">
        <f ca="1">27674.9073790555*((RANDBETWEEN(1620,2416)))</f>
        <v>63541587.342311382</v>
      </c>
      <c r="B7937">
        <v>175836315.68971348</v>
      </c>
    </row>
    <row r="7938" spans="1:2" x14ac:dyDescent="0.25">
      <c r="A7938">
        <f ca="1">25382.161341865*((RANDBETWEEN(1620,2416)))</f>
        <v>41449069.471265532</v>
      </c>
      <c r="B7938">
        <v>153264302.86952269</v>
      </c>
    </row>
    <row r="7939" spans="1:2" x14ac:dyDescent="0.25">
      <c r="A7939">
        <f ca="1">27930.3707644656*((RANDBETWEEN(1620,2416)))</f>
        <v>61251303.086473078</v>
      </c>
      <c r="B7939">
        <v>158613550.68205613</v>
      </c>
    </row>
    <row r="7940" spans="1:2" x14ac:dyDescent="0.25">
      <c r="A7940">
        <f ca="1">29101.2259726066*((RANDBETWEEN(1620,2416)))</f>
        <v>52527712.880554989</v>
      </c>
      <c r="B7940">
        <v>168233302.35957646</v>
      </c>
    </row>
    <row r="7941" spans="1:2" x14ac:dyDescent="0.25">
      <c r="A7941">
        <f ca="1">26599.7232798488*((RANDBETWEEN(1620,2416)))</f>
        <v>46602715.186295114</v>
      </c>
      <c r="B7941">
        <v>147025202.31328863</v>
      </c>
    </row>
    <row r="7942" spans="1:2" x14ac:dyDescent="0.25">
      <c r="A7942">
        <f ca="1">26031.1678315281*((RANDBETWEEN(1620,2416)))</f>
        <v>43654268.453472577</v>
      </c>
      <c r="B7942">
        <v>174168992.87709773</v>
      </c>
    </row>
    <row r="7943" spans="1:2" x14ac:dyDescent="0.25">
      <c r="A7943">
        <f ca="1">28722.0471062345*((RANDBETWEEN(1620,2416)))</f>
        <v>50895467.472247444</v>
      </c>
      <c r="B7943">
        <v>160596538.01544192</v>
      </c>
    </row>
    <row r="7944" spans="1:2" x14ac:dyDescent="0.25">
      <c r="A7944">
        <f ca="1">30010.7280528072*((RANDBETWEEN(1620,2416)))</f>
        <v>67674191.759080291</v>
      </c>
      <c r="B7944">
        <v>197668150.25591549</v>
      </c>
    </row>
    <row r="7945" spans="1:2" x14ac:dyDescent="0.25">
      <c r="A7945">
        <f ca="1">26599.6308284984*((RANDBETWEEN(1620,2416)))</f>
        <v>55114435.07664872</v>
      </c>
      <c r="B7945">
        <v>163937726.21902919</v>
      </c>
    </row>
    <row r="7946" spans="1:2" x14ac:dyDescent="0.25">
      <c r="A7946">
        <f ca="1">25874.0774514955*((RANDBETWEEN(1620,2416)))</f>
        <v>52006895.677506022</v>
      </c>
      <c r="B7946">
        <v>144172968.5150753</v>
      </c>
    </row>
    <row r="7947" spans="1:2" x14ac:dyDescent="0.25">
      <c r="A7947">
        <f ca="1">26523.792424306*((RANDBETWEEN(1620,2416)))</f>
        <v>58670628.842564933</v>
      </c>
      <c r="B7947">
        <v>174531150.31526661</v>
      </c>
    </row>
    <row r="7948" spans="1:2" x14ac:dyDescent="0.25">
      <c r="A7948">
        <f ca="1">26787.6741002496*((RANDBETWEEN(1620,2416)))</f>
        <v>47039155.720038228</v>
      </c>
      <c r="B7948">
        <v>202925659.49618012</v>
      </c>
    </row>
    <row r="7949" spans="1:2" x14ac:dyDescent="0.25">
      <c r="A7949">
        <f ca="1">26263.8449631943*((RANDBETWEEN(1620,2416)))</f>
        <v>47721406.29812409</v>
      </c>
      <c r="B7949">
        <v>159503935.41685379</v>
      </c>
    </row>
    <row r="7950" spans="1:2" x14ac:dyDescent="0.25">
      <c r="A7950">
        <f ca="1">27987.9257039849*((RANDBETWEEN(1620,2416)))</f>
        <v>63448627.570933864</v>
      </c>
      <c r="B7950">
        <v>184088972.45425192</v>
      </c>
    </row>
    <row r="7951" spans="1:2" x14ac:dyDescent="0.25">
      <c r="A7951">
        <f ca="1">27992.5499233156*((RANDBETWEEN(1620,2416)))</f>
        <v>65502566.820558555</v>
      </c>
      <c r="B7951">
        <v>184655548.00263196</v>
      </c>
    </row>
    <row r="7952" spans="1:2" x14ac:dyDescent="0.25">
      <c r="A7952">
        <f ca="1">25975.3870411152*((RANDBETWEEN(1620,2416)))</f>
        <v>57223777.651576892</v>
      </c>
      <c r="B7952">
        <v>148034173.87968975</v>
      </c>
    </row>
    <row r="7953" spans="1:2" x14ac:dyDescent="0.25">
      <c r="A7953">
        <f ca="1">25603.2567680031*((RANDBETWEEN(1620,2416)))</f>
        <v>44575270.033093393</v>
      </c>
      <c r="B7953">
        <v>158372399.38908821</v>
      </c>
    </row>
    <row r="7954" spans="1:2" x14ac:dyDescent="0.25">
      <c r="A7954">
        <f ca="1">26835.9801194211*((RANDBETWEEN(1620,2416)))</f>
        <v>51793441.630482726</v>
      </c>
      <c r="B7954">
        <v>199023151.72358724</v>
      </c>
    </row>
    <row r="7955" spans="1:2" x14ac:dyDescent="0.25">
      <c r="A7955">
        <f ca="1">28877.9106009761*((RANDBETWEEN(1620,2416)))</f>
        <v>65697246.617220618</v>
      </c>
      <c r="B7955">
        <v>148596108.85604885</v>
      </c>
    </row>
    <row r="7956" spans="1:2" x14ac:dyDescent="0.25">
      <c r="A7956">
        <f ca="1">26268.8633031444*((RANDBETWEEN(1620,2416)))</f>
        <v>48518590.520907775</v>
      </c>
      <c r="B7956">
        <v>143846360.9403404</v>
      </c>
    </row>
    <row r="7957" spans="1:2" x14ac:dyDescent="0.25">
      <c r="A7957">
        <f ca="1">27485.0916644709*((RANDBETWEEN(1620,2416)))</f>
        <v>50737479.21261327</v>
      </c>
      <c r="B7957">
        <v>169365058.19453308</v>
      </c>
    </row>
    <row r="7958" spans="1:2" x14ac:dyDescent="0.25">
      <c r="A7958">
        <f ca="1">27562.6928839947*((RANDBETWEEN(1620,2416)))</f>
        <v>51183920.685578078</v>
      </c>
      <c r="B7958">
        <v>179527671.99990264</v>
      </c>
    </row>
    <row r="7959" spans="1:2" x14ac:dyDescent="0.25">
      <c r="A7959">
        <f ca="1">31879.0735867604*((RANDBETWEEN(1620,2416)))</f>
        <v>55023281.010748506</v>
      </c>
      <c r="B7959">
        <v>163077089.41315734</v>
      </c>
    </row>
    <row r="7960" spans="1:2" x14ac:dyDescent="0.25">
      <c r="A7960">
        <f ca="1">27816.1251076688*((RANDBETWEEN(1620,2416)))</f>
        <v>57329033.846905373</v>
      </c>
      <c r="B7960">
        <v>180850894.87635148</v>
      </c>
    </row>
    <row r="7961" spans="1:2" x14ac:dyDescent="0.25">
      <c r="A7961">
        <f ca="1">25741.3858040645*((RANDBETWEEN(1620,2416)))</f>
        <v>44532597.441031523</v>
      </c>
      <c r="B7961">
        <v>151053402.72142908</v>
      </c>
    </row>
    <row r="7962" spans="1:2" x14ac:dyDescent="0.25">
      <c r="A7962">
        <f ca="1">26387.3322686232*((RANDBETWEEN(1620,2416)))</f>
        <v>43011351.597855754</v>
      </c>
      <c r="B7962">
        <v>153318940.64135641</v>
      </c>
    </row>
    <row r="7963" spans="1:2" x14ac:dyDescent="0.25">
      <c r="A7963">
        <f ca="1">29112.6853580489*((RANDBETWEEN(1620,2416)))</f>
        <v>65619992.797042303</v>
      </c>
      <c r="B7963">
        <v>159433175.85978669</v>
      </c>
    </row>
    <row r="7964" spans="1:2" x14ac:dyDescent="0.25">
      <c r="A7964">
        <f ca="1">30787.7134143281*((RANDBETWEEN(1620,2416)))</f>
        <v>50768939.420226976</v>
      </c>
      <c r="B7964">
        <v>165218679.35796478</v>
      </c>
    </row>
    <row r="7965" spans="1:2" x14ac:dyDescent="0.25">
      <c r="A7965">
        <f ca="1">28180.2868407426*((RANDBETWEEN(1620,2416)))</f>
        <v>55261542.494696148</v>
      </c>
      <c r="B7965">
        <v>150095807.62591437</v>
      </c>
    </row>
    <row r="7966" spans="1:2" x14ac:dyDescent="0.25">
      <c r="A7966">
        <f ca="1">28231.7191087864*((RANDBETWEEN(1620,2416)))</f>
        <v>45820080.113560259</v>
      </c>
      <c r="B7966">
        <v>178175565.51766983</v>
      </c>
    </row>
    <row r="7967" spans="1:2" x14ac:dyDescent="0.25">
      <c r="A7967">
        <f ca="1">26731.7495714966*((RANDBETWEEN(1620,2416)))</f>
        <v>56644577.342001334</v>
      </c>
      <c r="B7967">
        <v>148550348.28752691</v>
      </c>
    </row>
    <row r="7968" spans="1:2" x14ac:dyDescent="0.25">
      <c r="A7968">
        <f ca="1">27096.7580441426*((RANDBETWEEN(1620,2416)))</f>
        <v>58339320.06903898</v>
      </c>
      <c r="B7968">
        <v>151740532.34705657</v>
      </c>
    </row>
    <row r="7969" spans="1:2" x14ac:dyDescent="0.25">
      <c r="A7969">
        <f ca="1">27903.4983477732*((RANDBETWEEN(1620,2416)))</f>
        <v>55639575.705459751</v>
      </c>
      <c r="B7969">
        <v>183919922.34221601</v>
      </c>
    </row>
    <row r="7970" spans="1:2" x14ac:dyDescent="0.25">
      <c r="A7970">
        <f ca="1">28000.544577544*((RANDBETWEEN(1620,2416)))</f>
        <v>46144897.463792473</v>
      </c>
      <c r="B7970">
        <v>188573500.26694396</v>
      </c>
    </row>
    <row r="7971" spans="1:2" x14ac:dyDescent="0.25">
      <c r="A7971">
        <f ca="1">26494.4101175184*((RANDBETWEEN(1620,2416)))</f>
        <v>59294489.843006283</v>
      </c>
      <c r="B7971">
        <v>160407022.30142072</v>
      </c>
    </row>
    <row r="7972" spans="1:2" x14ac:dyDescent="0.25">
      <c r="A7972">
        <f ca="1">31649.9998663359*((RANDBETWEEN(1620,2416)))</f>
        <v>71244149.699122101</v>
      </c>
      <c r="B7972">
        <v>166709946.10127565</v>
      </c>
    </row>
    <row r="7973" spans="1:2" x14ac:dyDescent="0.25">
      <c r="A7973">
        <f ca="1">25795.9682719782*((RANDBETWEEN(1620,2416)))</f>
        <v>50379526.035173498</v>
      </c>
      <c r="B7973">
        <v>145066914.88372412</v>
      </c>
    </row>
    <row r="7974" spans="1:2" x14ac:dyDescent="0.25">
      <c r="A7974">
        <f ca="1">26894.5086393751*((RANDBETWEEN(1620,2416)))</f>
        <v>49136267.284138359</v>
      </c>
      <c r="B7974">
        <v>153093557.5344581</v>
      </c>
    </row>
    <row r="7975" spans="1:2" x14ac:dyDescent="0.25">
      <c r="A7975">
        <f ca="1">28119.5456083425*((RANDBETWEEN(1620,2416)))</f>
        <v>56773362.583243564</v>
      </c>
      <c r="B7975">
        <v>198687727.1324724</v>
      </c>
    </row>
    <row r="7976" spans="1:2" x14ac:dyDescent="0.25">
      <c r="A7976">
        <f ca="1">28728.2591346662*((RANDBETWEEN(1620,2416)))</f>
        <v>68430713.258774981</v>
      </c>
      <c r="B7976">
        <v>153036329.06679499</v>
      </c>
    </row>
    <row r="7977" spans="1:2" x14ac:dyDescent="0.25">
      <c r="A7977">
        <f ca="1">27159.4980207679*((RANDBETWEEN(1620,2416)))</f>
        <v>50788261.298836023</v>
      </c>
      <c r="B7977">
        <v>150792392.60127476</v>
      </c>
    </row>
    <row r="7978" spans="1:2" x14ac:dyDescent="0.25">
      <c r="A7978">
        <f ca="1">32201.2176581629*((RANDBETWEEN(1620,2416)))</f>
        <v>61858539.121330865</v>
      </c>
      <c r="B7978">
        <v>164248641.46870938</v>
      </c>
    </row>
    <row r="7979" spans="1:2" x14ac:dyDescent="0.25">
      <c r="A7979">
        <f ca="1">28040.6510802382*((RANDBETWEEN(1620,2416)))</f>
        <v>64100928.369424507</v>
      </c>
      <c r="B7979">
        <v>176276398.45929173</v>
      </c>
    </row>
    <row r="7980" spans="1:2" x14ac:dyDescent="0.25">
      <c r="A7980">
        <f ca="1">27780.3649821755*((RANDBETWEEN(1620,2416)))</f>
        <v>61727970.990393989</v>
      </c>
      <c r="B7980">
        <v>177694671.23018876</v>
      </c>
    </row>
    <row r="7981" spans="1:2" x14ac:dyDescent="0.25">
      <c r="A7981">
        <f ca="1">29391.6382567208*((RANDBETWEEN(1620,2416)))</f>
        <v>69217308.094577402</v>
      </c>
      <c r="B7981">
        <v>171524281.64992136</v>
      </c>
    </row>
    <row r="7982" spans="1:2" x14ac:dyDescent="0.25">
      <c r="A7982">
        <f ca="1">32130.4323327315*((RANDBETWEEN(1620,2416)))</f>
        <v>54332561.074649014</v>
      </c>
      <c r="B7982">
        <v>196827200.43134874</v>
      </c>
    </row>
    <row r="7983" spans="1:2" x14ac:dyDescent="0.25">
      <c r="A7983">
        <f ca="1">27879.4136137904*((RANDBETWEEN(1620,2416)))</f>
        <v>61000156.986973397</v>
      </c>
      <c r="B7983">
        <v>158877375.69475085</v>
      </c>
    </row>
    <row r="7984" spans="1:2" x14ac:dyDescent="0.25">
      <c r="A7984">
        <f ca="1">29331.8293646504*((RANDBETWEEN(1620,2416)))</f>
        <v>69399108.276762903</v>
      </c>
      <c r="B7984">
        <v>160391802.30645818</v>
      </c>
    </row>
    <row r="7985" spans="1:2" x14ac:dyDescent="0.25">
      <c r="A7985">
        <f ca="1">28813.5775877653*((RANDBETWEEN(1620,2416)))</f>
        <v>51777998.925214171</v>
      </c>
      <c r="B7985">
        <v>172780613.08693308</v>
      </c>
    </row>
    <row r="7986" spans="1:2" x14ac:dyDescent="0.25">
      <c r="A7986">
        <f ca="1">25704.8138933564*((RANDBETWEEN(1620,2416)))</f>
        <v>50432844.85876523</v>
      </c>
      <c r="B7986">
        <v>144815617.56710634</v>
      </c>
    </row>
    <row r="7987" spans="1:2" x14ac:dyDescent="0.25">
      <c r="A7987">
        <f ca="1">28822.3462247501*((RANDBETWEEN(1620,2416)))</f>
        <v>58855230.990939781</v>
      </c>
      <c r="B7987">
        <v>166067175.77471167</v>
      </c>
    </row>
    <row r="7988" spans="1:2" x14ac:dyDescent="0.25">
      <c r="A7988">
        <f ca="1">31239.0243419371*((RANDBETWEEN(1620,2416)))</f>
        <v>61728312.099667676</v>
      </c>
      <c r="B7988">
        <v>148205067.87903562</v>
      </c>
    </row>
    <row r="7989" spans="1:2" x14ac:dyDescent="0.25">
      <c r="A7989">
        <f ca="1">26170.9180729823*((RANDBETWEEN(1620,2416)))</f>
        <v>63228938.064325221</v>
      </c>
      <c r="B7989">
        <v>155345540.13177088</v>
      </c>
    </row>
    <row r="7990" spans="1:2" x14ac:dyDescent="0.25">
      <c r="A7990">
        <f ca="1">25555.4988475436*((RANDBETWEEN(1620,2416)))</f>
        <v>48044337.833381914</v>
      </c>
      <c r="B7990">
        <v>165577828.70660064</v>
      </c>
    </row>
    <row r="7991" spans="1:2" x14ac:dyDescent="0.25">
      <c r="A7991">
        <f ca="1">25971.7190711602*((RANDBETWEEN(1620,2416)))</f>
        <v>42204043.490635276</v>
      </c>
      <c r="B7991">
        <v>163988143.95576641</v>
      </c>
    </row>
    <row r="7992" spans="1:2" x14ac:dyDescent="0.25">
      <c r="A7992">
        <f ca="1">26226.9007069066*((RANDBETWEEN(1620,2416)))</f>
        <v>43641562.77629251</v>
      </c>
      <c r="B7992">
        <v>164420287.53309482</v>
      </c>
    </row>
    <row r="7993" spans="1:2" x14ac:dyDescent="0.25">
      <c r="A7993">
        <f ca="1">29940.8725877618*((RANDBETWEEN(1620,2416)))</f>
        <v>60540444.372454345</v>
      </c>
      <c r="B7993">
        <v>174261345.21461314</v>
      </c>
    </row>
    <row r="7994" spans="1:2" x14ac:dyDescent="0.25">
      <c r="A7994">
        <f ca="1">27429.4471631602*((RANDBETWEEN(1620,2416)))</f>
        <v>64047759.125979073</v>
      </c>
      <c r="B7994">
        <v>193755447.7914331</v>
      </c>
    </row>
    <row r="7995" spans="1:2" x14ac:dyDescent="0.25">
      <c r="A7995">
        <f ca="1">27054.087866381*((RANDBETWEEN(1620,2416)))</f>
        <v>49752467.586274721</v>
      </c>
      <c r="B7995">
        <v>173548161.05775487</v>
      </c>
    </row>
    <row r="7996" spans="1:2" x14ac:dyDescent="0.25">
      <c r="A7996">
        <f ca="1">26349.6707893149*((RANDBETWEEN(1620,2416)))</f>
        <v>43318858.777633645</v>
      </c>
      <c r="B7996">
        <v>186306406.76868516</v>
      </c>
    </row>
    <row r="7997" spans="1:2" x14ac:dyDescent="0.25">
      <c r="A7997">
        <f ca="1">31459.0037019246*((RANDBETWEEN(1620,2416)))</f>
        <v>66944759.877695523</v>
      </c>
      <c r="B7997">
        <v>170349867.66238767</v>
      </c>
    </row>
    <row r="7998" spans="1:2" x14ac:dyDescent="0.25">
      <c r="A7998">
        <f ca="1">26343.3986147254*((RANDBETWEEN(1620,2416)))</f>
        <v>46548785.352219708</v>
      </c>
      <c r="B7998">
        <v>182407850.59434265</v>
      </c>
    </row>
    <row r="7999" spans="1:2" x14ac:dyDescent="0.25">
      <c r="A7999">
        <f ca="1">28148.7934531181*((RANDBETWEEN(1620,2416)))</f>
        <v>65305200.81123402</v>
      </c>
      <c r="B7999">
        <v>195001147.11537117</v>
      </c>
    </row>
    <row r="8000" spans="1:2" x14ac:dyDescent="0.25">
      <c r="A8000">
        <f ca="1">25429.7758345756*((RANDBETWEEN(1620,2416)))</f>
        <v>46867076.863122739</v>
      </c>
      <c r="B8000">
        <v>150910873.41919664</v>
      </c>
    </row>
    <row r="8001" spans="1:2" x14ac:dyDescent="0.25">
      <c r="A8001">
        <f ca="1">29843.4371581144*((RANDBETWEEN(1620,2416)))</f>
        <v>65864465.807958566</v>
      </c>
      <c r="B8001">
        <v>181285102.87027976</v>
      </c>
    </row>
    <row r="8002" spans="1:2" x14ac:dyDescent="0.25">
      <c r="A8002">
        <f ca="1">26493.2649866723*((RANDBETWEEN(1620,2416)))</f>
        <v>48058782.68582359</v>
      </c>
      <c r="B8002">
        <v>198146495.50796691</v>
      </c>
    </row>
    <row r="8003" spans="1:2" x14ac:dyDescent="0.25">
      <c r="A8003">
        <f ca="1">30284.6825921707*((RANDBETWEEN(1620,2416)))</f>
        <v>53119333.266667478</v>
      </c>
      <c r="B8003">
        <v>193893764.36166674</v>
      </c>
    </row>
    <row r="8004" spans="1:2" x14ac:dyDescent="0.25">
      <c r="A8004">
        <f ca="1">28688.4855149423*((RANDBETWEEN(1620,2416)))</f>
        <v>48426163.54922267</v>
      </c>
      <c r="B8004">
        <v>179885286.70860928</v>
      </c>
    </row>
    <row r="8005" spans="1:2" x14ac:dyDescent="0.25">
      <c r="A8005">
        <f ca="1">30125.0766532666*((RANDBETWEEN(1620,2416)))</f>
        <v>72029058.277960554</v>
      </c>
      <c r="B8005">
        <v>191827817.19541809</v>
      </c>
    </row>
    <row r="8006" spans="1:2" x14ac:dyDescent="0.25">
      <c r="A8006">
        <f ca="1">31768.98566174*((RANDBETWEEN(1620,2416)))</f>
        <v>69415233.670901999</v>
      </c>
      <c r="B8006">
        <v>170120900.54310161</v>
      </c>
    </row>
    <row r="8007" spans="1:2" x14ac:dyDescent="0.25">
      <c r="A8007">
        <f ca="1">26516.3309222759*((RANDBETWEEN(1620,2416)))</f>
        <v>45342925.877091736</v>
      </c>
      <c r="B8007">
        <v>144814823.50296402</v>
      </c>
    </row>
    <row r="8008" spans="1:2" x14ac:dyDescent="0.25">
      <c r="A8008">
        <f ca="1">29618.1763564895*((RANDBETWEEN(1620,2416)))</f>
        <v>55237898.904853009</v>
      </c>
      <c r="B8008">
        <v>200010604.59809881</v>
      </c>
    </row>
    <row r="8009" spans="1:2" x14ac:dyDescent="0.25">
      <c r="A8009">
        <f ca="1">26848.1627135171*((RANDBETWEEN(1620,2416)))</f>
        <v>55978419.257683232</v>
      </c>
      <c r="B8009">
        <v>169409558.37639236</v>
      </c>
    </row>
    <row r="8010" spans="1:2" x14ac:dyDescent="0.25">
      <c r="A8010">
        <f ca="1">26270.5994442011*((RANDBETWEEN(1620,2416)))</f>
        <v>44554936.657364994</v>
      </c>
      <c r="B8010">
        <v>145271076.25369179</v>
      </c>
    </row>
    <row r="8011" spans="1:2" x14ac:dyDescent="0.25">
      <c r="A8011">
        <f ca="1">27114.1044861515*((RANDBETWEEN(1620,2416)))</f>
        <v>64884052.035360441</v>
      </c>
      <c r="B8011">
        <v>180230652.99187884</v>
      </c>
    </row>
    <row r="8012" spans="1:2" x14ac:dyDescent="0.25">
      <c r="A8012">
        <f ca="1">27041.4102907564*((RANDBETWEEN(1620,2416)))</f>
        <v>57408914.047275878</v>
      </c>
      <c r="B8012">
        <v>164425007.71089834</v>
      </c>
    </row>
    <row r="8013" spans="1:2" x14ac:dyDescent="0.25">
      <c r="A8013">
        <f ca="1">30274.3034225998*((RANDBETWEEN(1620,2416)))</f>
        <v>66452096.012606502</v>
      </c>
      <c r="B8013">
        <v>195942139.48555237</v>
      </c>
    </row>
    <row r="8014" spans="1:2" x14ac:dyDescent="0.25">
      <c r="A8014">
        <f ca="1">27452.3411471452*((RANDBETWEEN(1620,2416)))</f>
        <v>50127974.934687212</v>
      </c>
      <c r="B8014">
        <v>149309518.26392707</v>
      </c>
    </row>
    <row r="8015" spans="1:2" x14ac:dyDescent="0.25">
      <c r="A8015">
        <f ca="1">30164.6258912653*((RANDBETWEEN(1620,2416)))</f>
        <v>64763451.788546629</v>
      </c>
      <c r="B8015">
        <v>182475083.72259185</v>
      </c>
    </row>
    <row r="8016" spans="1:2" x14ac:dyDescent="0.25">
      <c r="A8016">
        <f ca="1">28754.7868592514*((RANDBETWEEN(1620,2416)))</f>
        <v>60155014.109553851</v>
      </c>
      <c r="B8016">
        <v>193675531.87659955</v>
      </c>
    </row>
    <row r="8017" spans="1:2" x14ac:dyDescent="0.25">
      <c r="A8017">
        <f ca="1">29599.1785109751*((RANDBETWEEN(1620,2416)))</f>
        <v>52982529.534645468</v>
      </c>
      <c r="B8017">
        <v>158646233.12720963</v>
      </c>
    </row>
    <row r="8018" spans="1:2" x14ac:dyDescent="0.25">
      <c r="A8018">
        <f ca="1">25998.6238629*((RANDBETWEEN(1620,2416)))</f>
        <v>43131716.98855114</v>
      </c>
      <c r="B8018">
        <v>158811624.57720315</v>
      </c>
    </row>
    <row r="8019" spans="1:2" x14ac:dyDescent="0.25">
      <c r="A8019">
        <f ca="1">32087.7826238659*((RANDBETWEEN(1620,2416)))</f>
        <v>77491995.036636055</v>
      </c>
      <c r="B8019">
        <v>169316557.99070281</v>
      </c>
    </row>
    <row r="8020" spans="1:2" x14ac:dyDescent="0.25">
      <c r="A8020">
        <f ca="1">30136.4689620603*((RANDBETWEEN(1620,2416)))</f>
        <v>53221004.186998524</v>
      </c>
      <c r="B8020">
        <v>156280738.08293709</v>
      </c>
    </row>
    <row r="8021" spans="1:2" x14ac:dyDescent="0.25">
      <c r="A8021">
        <f ca="1">26911.262013187*((RANDBETWEEN(1620,2416)))</f>
        <v>59446977.787129998</v>
      </c>
      <c r="B8021">
        <v>168576823.02616841</v>
      </c>
    </row>
    <row r="8022" spans="1:2" x14ac:dyDescent="0.25">
      <c r="A8022">
        <f ca="1">26521.2512354181*((RANDBETWEEN(1620,2416)))</f>
        <v>60680622.826636724</v>
      </c>
      <c r="B8022">
        <v>145099083.68456769</v>
      </c>
    </row>
    <row r="8023" spans="1:2" x14ac:dyDescent="0.25">
      <c r="A8023">
        <f ca="1">29290.3264488349*((RANDBETWEEN(1620,2416)))</f>
        <v>61919750.112837076</v>
      </c>
      <c r="B8023">
        <v>153438643.64053503</v>
      </c>
    </row>
    <row r="8024" spans="1:2" x14ac:dyDescent="0.25">
      <c r="A8024">
        <f ca="1">27327.295175258*((RANDBETWEEN(1620,2416)))</f>
        <v>64820344.155712053</v>
      </c>
      <c r="B8024">
        <v>159123082.84101412</v>
      </c>
    </row>
    <row r="8025" spans="1:2" x14ac:dyDescent="0.25">
      <c r="A8025">
        <f ca="1">26865.8074572498*((RANDBETWEEN(1620,2416)))</f>
        <v>47525613.391874924</v>
      </c>
      <c r="B8025">
        <v>146737260.39998817</v>
      </c>
    </row>
    <row r="8026" spans="1:2" x14ac:dyDescent="0.25">
      <c r="A8026">
        <f ca="1">24575.5727071355*((RANDBETWEEN(1620,2416)))</f>
        <v>46423256.843778871</v>
      </c>
      <c r="B8026">
        <v>183844682.37541345</v>
      </c>
    </row>
    <row r="8027" spans="1:2" x14ac:dyDescent="0.25">
      <c r="A8027">
        <f ca="1">27824.4449576805*((RANDBETWEEN(1620,2416)))</f>
        <v>46188578.629749559</v>
      </c>
      <c r="B8027">
        <v>169810789.90879139</v>
      </c>
    </row>
    <row r="8028" spans="1:2" x14ac:dyDescent="0.25">
      <c r="A8028">
        <f ca="1">27390.6058448593*((RANDBETWEEN(1620,2416)))</f>
        <v>55082508.354012035</v>
      </c>
      <c r="B8028">
        <v>165756104.21245036</v>
      </c>
    </row>
    <row r="8029" spans="1:2" x14ac:dyDescent="0.25">
      <c r="A8029">
        <f ca="1">28390.7136348521*((RANDBETWEEN(1620,2416)))</f>
        <v>49456623.151912287</v>
      </c>
      <c r="B8029">
        <v>166144157.24530244</v>
      </c>
    </row>
    <row r="8030" spans="1:2" x14ac:dyDescent="0.25">
      <c r="A8030">
        <f ca="1">27553.5276530329*((RANDBETWEEN(1620,2416)))</f>
        <v>54748859.446576461</v>
      </c>
      <c r="B8030">
        <v>151601856.45249417</v>
      </c>
    </row>
    <row r="8031" spans="1:2" x14ac:dyDescent="0.25">
      <c r="A8031">
        <f ca="1">26089.4832793996*((RANDBETWEEN(1620,2416)))</f>
        <v>55857583.701194614</v>
      </c>
      <c r="B8031">
        <v>156238964.60621434</v>
      </c>
    </row>
    <row r="8032" spans="1:2" x14ac:dyDescent="0.25">
      <c r="A8032">
        <f ca="1">30757.384181775*((RANDBETWEEN(1620,2416)))</f>
        <v>70649711.465537071</v>
      </c>
      <c r="B8032">
        <v>163235843.23691028</v>
      </c>
    </row>
    <row r="8033" spans="1:2" x14ac:dyDescent="0.25">
      <c r="A8033">
        <f ca="1">31600.3161426517*((RANDBETWEEN(1620,2416)))</f>
        <v>53941739.655506529</v>
      </c>
      <c r="B8033">
        <v>187288251.72320706</v>
      </c>
    </row>
    <row r="8034" spans="1:2" x14ac:dyDescent="0.25">
      <c r="A8034">
        <f ca="1">32505.8218514202*((RANDBETWEEN(1620,2416)))</f>
        <v>64166492.334703393</v>
      </c>
      <c r="B8034">
        <v>173526270.19675162</v>
      </c>
    </row>
    <row r="8035" spans="1:2" x14ac:dyDescent="0.25">
      <c r="A8035">
        <f ca="1">29411.4413687624*((RANDBETWEEN(1620,2416)))</f>
        <v>69969819.016285643</v>
      </c>
      <c r="B8035">
        <v>156088112.96054989</v>
      </c>
    </row>
    <row r="8036" spans="1:2" x14ac:dyDescent="0.25">
      <c r="A8036">
        <f ca="1">26914.2574347407*((RANDBETWEEN(1620,2416)))</f>
        <v>52159830.908527568</v>
      </c>
      <c r="B8036">
        <v>168346878.79651541</v>
      </c>
    </row>
    <row r="8037" spans="1:2" x14ac:dyDescent="0.25">
      <c r="A8037">
        <f ca="1">30545.2576674078*((RANDBETWEEN(1620,2416)))</f>
        <v>62129054.095507428</v>
      </c>
      <c r="B8037">
        <v>183094247.82770839</v>
      </c>
    </row>
    <row r="8038" spans="1:2" x14ac:dyDescent="0.25">
      <c r="A8038">
        <f ca="1">26665.2260524452*((RANDBETWEEN(1620,2416)))</f>
        <v>45570871.323628858</v>
      </c>
      <c r="B8038">
        <v>164199828.93053776</v>
      </c>
    </row>
    <row r="8039" spans="1:2" x14ac:dyDescent="0.25">
      <c r="A8039">
        <f ca="1">27381.8963249568*((RANDBETWEEN(1620,2416)))</f>
        <v>54791174.546238631</v>
      </c>
      <c r="B8039">
        <v>144427434.81151399</v>
      </c>
    </row>
    <row r="8040" spans="1:2" x14ac:dyDescent="0.25">
      <c r="A8040">
        <f ca="1">30453.7371893771*((RANDBETWEEN(1620,2416)))</f>
        <v>71353106.234710529</v>
      </c>
      <c r="B8040">
        <v>157331972.30875945</v>
      </c>
    </row>
    <row r="8041" spans="1:2" x14ac:dyDescent="0.25">
      <c r="A8041">
        <f ca="1">28876.594423449*((RANDBETWEEN(1620,2416)))</f>
        <v>56915767.608617932</v>
      </c>
      <c r="B8041">
        <v>170156104.53766078</v>
      </c>
    </row>
    <row r="8042" spans="1:2" x14ac:dyDescent="0.25">
      <c r="A8042">
        <f ca="1">27947.422773881*((RANDBETWEEN(1620,2416)))</f>
        <v>60673854.842095725</v>
      </c>
      <c r="B8042">
        <v>178629361.3017779</v>
      </c>
    </row>
    <row r="8043" spans="1:2" x14ac:dyDescent="0.25">
      <c r="A8043">
        <f ca="1">29918.9058471516*((RANDBETWEEN(1620,2416)))</f>
        <v>52747031.00852824</v>
      </c>
      <c r="B8043">
        <v>169431367.16876596</v>
      </c>
    </row>
    <row r="8044" spans="1:2" x14ac:dyDescent="0.25">
      <c r="A8044">
        <f ca="1">29037.2578474294*((RANDBETWEEN(1620,2416)))</f>
        <v>68208518.683611721</v>
      </c>
      <c r="B8044">
        <v>186797681.64773077</v>
      </c>
    </row>
    <row r="8045" spans="1:2" x14ac:dyDescent="0.25">
      <c r="A8045">
        <f ca="1">29108.1992630734*((RANDBETWEEN(1620,2416)))</f>
        <v>60923461.057612598</v>
      </c>
      <c r="B8045">
        <v>157346552.21279478</v>
      </c>
    </row>
    <row r="8046" spans="1:2" x14ac:dyDescent="0.25">
      <c r="A8046">
        <f ca="1">26105.4565454487*((RANDBETWEEN(1620,2416)))</f>
        <v>59677073.662895791</v>
      </c>
      <c r="B8046">
        <v>157367326.6469281</v>
      </c>
    </row>
    <row r="8047" spans="1:2" x14ac:dyDescent="0.25">
      <c r="A8047">
        <f ca="1">29405.3157534611*((RANDBETWEEN(1620,2416)))</f>
        <v>60398518.557608999</v>
      </c>
      <c r="B8047">
        <v>149544699.82920215</v>
      </c>
    </row>
    <row r="8048" spans="1:2" x14ac:dyDescent="0.25">
      <c r="A8048">
        <f ca="1">26207.9034368791*((RANDBETWEEN(1620,2416)))</f>
        <v>51970272.515331298</v>
      </c>
      <c r="B8048">
        <v>149221933.99261531</v>
      </c>
    </row>
    <row r="8049" spans="1:2" x14ac:dyDescent="0.25">
      <c r="A8049">
        <f ca="1">26062.8191253498*((RANDBETWEEN(1620,2416)))</f>
        <v>61456127.497574806</v>
      </c>
      <c r="B8049">
        <v>142902634.24396169</v>
      </c>
    </row>
    <row r="8050" spans="1:2" x14ac:dyDescent="0.25">
      <c r="A8050">
        <f ca="1">26952.9580548284*((RANDBETWEEN(1620,2416)))</f>
        <v>57733236.15344245</v>
      </c>
      <c r="B8050">
        <v>190458423.19010764</v>
      </c>
    </row>
    <row r="8051" spans="1:2" x14ac:dyDescent="0.25">
      <c r="A8051">
        <f ca="1">28017.7802723419*((RANDBETWEEN(1620,2416)))</f>
        <v>54550618.190249644</v>
      </c>
      <c r="B8051">
        <v>154234167.73511153</v>
      </c>
    </row>
    <row r="8052" spans="1:2" x14ac:dyDescent="0.25">
      <c r="A8052">
        <f ca="1">26924.779752313*((RANDBETWEEN(1620,2416)))</f>
        <v>49110798.268218972</v>
      </c>
      <c r="B8052">
        <v>185741809.0885492</v>
      </c>
    </row>
    <row r="8053" spans="1:2" x14ac:dyDescent="0.25">
      <c r="A8053">
        <f ca="1">28234.5763805445*((RANDBETWEEN(1620,2416)))</f>
        <v>61156092.440259494</v>
      </c>
      <c r="B8053">
        <v>177648171.28735918</v>
      </c>
    </row>
    <row r="8054" spans="1:2" x14ac:dyDescent="0.25">
      <c r="A8054">
        <f ca="1">30625.2439339757*((RANDBETWEEN(1620,2416)))</f>
        <v>63057377.260055922</v>
      </c>
      <c r="B8054">
        <v>154337159.63941497</v>
      </c>
    </row>
    <row r="8055" spans="1:2" x14ac:dyDescent="0.25">
      <c r="A8055">
        <f ca="1">26346.049860847*((RANDBETWEEN(1620,2416)))</f>
        <v>50189224.984913617</v>
      </c>
      <c r="B8055">
        <v>161258813.93829456</v>
      </c>
    </row>
    <row r="8056" spans="1:2" x14ac:dyDescent="0.25">
      <c r="A8056">
        <f ca="1">30362.5991848424*((RANDBETWEEN(1620,2416)))</f>
        <v>58083652.240603432</v>
      </c>
      <c r="B8056">
        <v>198276385.1263361</v>
      </c>
    </row>
    <row r="8057" spans="1:2" x14ac:dyDescent="0.25">
      <c r="A8057">
        <f ca="1">29267.0341795544*((RANDBETWEEN(1620,2416)))</f>
        <v>49461287.76344692</v>
      </c>
      <c r="B8057">
        <v>167425268.07854342</v>
      </c>
    </row>
    <row r="8058" spans="1:2" x14ac:dyDescent="0.25">
      <c r="A8058">
        <f ca="1">28564.8137218938*((RANDBETWEEN(1620,2416)))</f>
        <v>48245970.376278624</v>
      </c>
      <c r="B8058">
        <v>160022340.96248281</v>
      </c>
    </row>
    <row r="8059" spans="1:2" x14ac:dyDescent="0.25">
      <c r="A8059">
        <f ca="1">31270.976150216*((RANDBETWEEN(1620,2416)))</f>
        <v>70484780.242586881</v>
      </c>
      <c r="B8059">
        <v>152269475.85373005</v>
      </c>
    </row>
    <row r="8060" spans="1:2" x14ac:dyDescent="0.25">
      <c r="A8060">
        <f ca="1">30651.3588485383*((RANDBETWEEN(1620,2416)))</f>
        <v>53455969.831850797</v>
      </c>
      <c r="B8060">
        <v>191235961.14233246</v>
      </c>
    </row>
    <row r="8061" spans="1:2" x14ac:dyDescent="0.25">
      <c r="A8061">
        <f ca="1">30192.712000496*((RANDBETWEEN(1620,2416)))</f>
        <v>65578570.465077296</v>
      </c>
      <c r="B8061">
        <v>163758014.01020718</v>
      </c>
    </row>
    <row r="8062" spans="1:2" x14ac:dyDescent="0.25">
      <c r="A8062">
        <f ca="1">27222.6793544114*((RANDBETWEEN(1620,2416)))</f>
        <v>58229311.139086075</v>
      </c>
      <c r="B8062">
        <v>142978261.08932596</v>
      </c>
    </row>
    <row r="8063" spans="1:2" x14ac:dyDescent="0.25">
      <c r="A8063">
        <f ca="1">27735.656900631*((RANDBETWEEN(1620,2416)))</f>
        <v>54334151.868336156</v>
      </c>
      <c r="B8063">
        <v>148266271.24657446</v>
      </c>
    </row>
    <row r="8064" spans="1:2" x14ac:dyDescent="0.25">
      <c r="A8064">
        <f ca="1">25538.8277703893*((RANDBETWEEN(1620,2416)))</f>
        <v>51103194.368549079</v>
      </c>
      <c r="B8064">
        <v>155037275.77022165</v>
      </c>
    </row>
    <row r="8065" spans="1:2" x14ac:dyDescent="0.25">
      <c r="A8065">
        <f ca="1">27034.8934727825*((RANDBETWEEN(1620,2416)))</f>
        <v>46121528.264566883</v>
      </c>
      <c r="B8065">
        <v>144366383.31265846</v>
      </c>
    </row>
    <row r="8066" spans="1:2" x14ac:dyDescent="0.25">
      <c r="A8066">
        <f ca="1">26556.7026741958*((RANDBETWEEN(1620,2416)))</f>
        <v>43207755.250916623</v>
      </c>
      <c r="B8066">
        <v>148627869.80993268</v>
      </c>
    </row>
    <row r="8067" spans="1:2" x14ac:dyDescent="0.25">
      <c r="A8067">
        <f ca="1">26258.514433814*((RANDBETWEEN(1620,2416)))</f>
        <v>61182338.63078659</v>
      </c>
      <c r="B8067">
        <v>145774508.09377295</v>
      </c>
    </row>
    <row r="8068" spans="1:2" x14ac:dyDescent="0.25">
      <c r="A8068">
        <f ca="1">25272.0006554769*((RANDBETWEEN(1620,2416)))</f>
        <v>46551025.207388468</v>
      </c>
      <c r="B8068">
        <v>144434565.3679902</v>
      </c>
    </row>
    <row r="8069" spans="1:2" x14ac:dyDescent="0.25">
      <c r="A8069">
        <f ca="1">27535.4118090362*((RANDBETWEEN(1620,2416)))</f>
        <v>53170880.203248888</v>
      </c>
      <c r="B8069">
        <v>188714080.13532919</v>
      </c>
    </row>
    <row r="8070" spans="1:2" x14ac:dyDescent="0.25">
      <c r="A8070">
        <f ca="1">26998.9962291274*((RANDBETWEEN(1620,2416)))</f>
        <v>62691669.244033933</v>
      </c>
      <c r="B8070">
        <v>153840873.50650164</v>
      </c>
    </row>
    <row r="8071" spans="1:2" x14ac:dyDescent="0.25">
      <c r="A8071">
        <f ca="1">25434.88183451*((RANDBETWEEN(1620,2416)))</f>
        <v>50589979.968840413</v>
      </c>
      <c r="B8071">
        <v>144518170.0519357</v>
      </c>
    </row>
    <row r="8072" spans="1:2" x14ac:dyDescent="0.25">
      <c r="A8072">
        <f ca="1">28485.6374241738*((RANDBETWEEN(1620,2416)))</f>
        <v>57085217.398044325</v>
      </c>
      <c r="B8072">
        <v>147876839.85865092</v>
      </c>
    </row>
    <row r="8073" spans="1:2" x14ac:dyDescent="0.25">
      <c r="A8073">
        <f ca="1">25207.9527773346*((RANDBETWEEN(1620,2416)))</f>
        <v>52533373.587965332</v>
      </c>
      <c r="B8073">
        <v>191277617.28411373</v>
      </c>
    </row>
    <row r="8074" spans="1:2" x14ac:dyDescent="0.25">
      <c r="A8074">
        <f ca="1">25625.5611479664*((RANDBETWEEN(1620,2416)))</f>
        <v>49841716.432794556</v>
      </c>
      <c r="B8074">
        <v>145553388.62155163</v>
      </c>
    </row>
    <row r="8075" spans="1:2" x14ac:dyDescent="0.25">
      <c r="A8075">
        <f ca="1">28193.6982431895*((RANDBETWEEN(1620,2416)))</f>
        <v>47647350.030990198</v>
      </c>
      <c r="B8075">
        <v>176541415.77622697</v>
      </c>
    </row>
    <row r="8076" spans="1:2" x14ac:dyDescent="0.25">
      <c r="A8076">
        <f ca="1">30913.9237666209*((RANDBETWEEN(1620,2416)))</f>
        <v>54964956.45705203</v>
      </c>
      <c r="B8076">
        <v>198534489.12306535</v>
      </c>
    </row>
    <row r="8077" spans="1:2" x14ac:dyDescent="0.25">
      <c r="A8077">
        <f ca="1">30355.2834742812*((RANDBETWEEN(1620,2416)))</f>
        <v>49418401.496129736</v>
      </c>
      <c r="B8077">
        <v>178853493.25143695</v>
      </c>
    </row>
    <row r="8078" spans="1:2" x14ac:dyDescent="0.25">
      <c r="A8078">
        <f ca="1">26576.8275395748*((RANDBETWEEN(1620,2416)))</f>
        <v>48263518.811867915</v>
      </c>
      <c r="B8078">
        <v>167120959.64738065</v>
      </c>
    </row>
    <row r="8079" spans="1:2" x14ac:dyDescent="0.25">
      <c r="A8079">
        <f ca="1">32460.6968402217*((RANDBETWEEN(1620,2416)))</f>
        <v>61707784.693261467</v>
      </c>
      <c r="B8079">
        <v>195915215.44897765</v>
      </c>
    </row>
    <row r="8080" spans="1:2" x14ac:dyDescent="0.25">
      <c r="A8080">
        <f ca="1">31920.4060884817*((RANDBETWEEN(1620,2416)))</f>
        <v>55637267.812223576</v>
      </c>
      <c r="B8080">
        <v>147098671.5523454</v>
      </c>
    </row>
    <row r="8081" spans="1:2" x14ac:dyDescent="0.25">
      <c r="A8081">
        <f ca="1">30289.1798829359*((RANDBETWEEN(1620,2416)))</f>
        <v>69634824.550869644</v>
      </c>
      <c r="B8081">
        <v>178617016.60694149</v>
      </c>
    </row>
    <row r="8082" spans="1:2" x14ac:dyDescent="0.25">
      <c r="A8082">
        <f ca="1">30160.0865913808*((RANDBETWEEN(1620,2416)))</f>
        <v>52176949.803088747</v>
      </c>
      <c r="B8082">
        <v>160469840.93397576</v>
      </c>
    </row>
    <row r="8083" spans="1:2" x14ac:dyDescent="0.25">
      <c r="A8083">
        <f ca="1">25829.8262306416*((RANDBETWEEN(1620,2416)))</f>
        <v>59176131.894399963</v>
      </c>
      <c r="B8083">
        <v>161113861.71400994</v>
      </c>
    </row>
    <row r="8084" spans="1:2" x14ac:dyDescent="0.25">
      <c r="A8084">
        <f ca="1">28094.750937251*((RANDBETWEEN(1620,2416)))</f>
        <v>52818131.762031876</v>
      </c>
      <c r="B8084">
        <v>164973714.18570134</v>
      </c>
    </row>
    <row r="8085" spans="1:2" x14ac:dyDescent="0.25">
      <c r="A8085">
        <f ca="1">31887.6878965771*((RANDBETWEEN(1620,2416)))</f>
        <v>74553414.302197352</v>
      </c>
      <c r="B8085">
        <v>162107512.54033533</v>
      </c>
    </row>
    <row r="8086" spans="1:2" x14ac:dyDescent="0.25">
      <c r="A8086">
        <f ca="1">26467.1660791927*((RANDBETWEEN(1620,2416)))</f>
        <v>60027532.667608984</v>
      </c>
      <c r="B8086">
        <v>161650559.53939331</v>
      </c>
    </row>
    <row r="8087" spans="1:2" x14ac:dyDescent="0.25">
      <c r="A8087">
        <f ca="1">26154.6720745809*((RANDBETWEEN(1620,2416)))</f>
        <v>43338291.627580613</v>
      </c>
      <c r="B8087">
        <v>146219947.29688281</v>
      </c>
    </row>
    <row r="8088" spans="1:2" x14ac:dyDescent="0.25">
      <c r="A8088">
        <f ca="1">31923.9883703562*((RANDBETWEEN(1620,2416)))</f>
        <v>64997240.322045207</v>
      </c>
      <c r="B8088">
        <v>180284598.40619081</v>
      </c>
    </row>
    <row r="8089" spans="1:2" x14ac:dyDescent="0.25">
      <c r="A8089">
        <f ca="1">26269.5835983904*((RANDBETWEEN(1620,2416)))</f>
        <v>60709007.695880197</v>
      </c>
      <c r="B8089">
        <v>175068694.35870579</v>
      </c>
    </row>
    <row r="8090" spans="1:2" x14ac:dyDescent="0.25">
      <c r="A8090">
        <f ca="1">30656.6726048701*((RANDBETWEEN(1620,2416)))</f>
        <v>63704565.672920071</v>
      </c>
      <c r="B8090">
        <v>155364006.24851581</v>
      </c>
    </row>
    <row r="8091" spans="1:2" x14ac:dyDescent="0.25">
      <c r="A8091">
        <f ca="1">27609.2870058167*((RANDBETWEEN(1620,2416)))</f>
        <v>47322317.927969851</v>
      </c>
      <c r="B8091">
        <v>154921024.3196907</v>
      </c>
    </row>
    <row r="8092" spans="1:2" x14ac:dyDescent="0.25">
      <c r="A8092">
        <f ca="1">27553.4814851835*((RANDBETWEEN(1620,2416)))</f>
        <v>47915504.302734122</v>
      </c>
      <c r="B8092">
        <v>157721304.8488996</v>
      </c>
    </row>
    <row r="8093" spans="1:2" x14ac:dyDescent="0.25">
      <c r="A8093">
        <f ca="1">26548.6205788707*((RANDBETWEEN(1620,2416)))</f>
        <v>63610494.906974293</v>
      </c>
      <c r="B8093">
        <v>168969239.24264461</v>
      </c>
    </row>
    <row r="8094" spans="1:2" x14ac:dyDescent="0.25">
      <c r="A8094">
        <f ca="1">29286.5853856096*((RANDBETWEEN(1620,2416)))</f>
        <v>60476798.821283862</v>
      </c>
      <c r="B8094">
        <v>169027703.07903671</v>
      </c>
    </row>
    <row r="8095" spans="1:2" x14ac:dyDescent="0.25">
      <c r="A8095">
        <f ca="1">26013.9158025181*((RANDBETWEEN(1620,2416)))</f>
        <v>62797592.747278757</v>
      </c>
      <c r="B8095">
        <v>151623201.23574612</v>
      </c>
    </row>
    <row r="8096" spans="1:2" x14ac:dyDescent="0.25">
      <c r="A8096">
        <f ca="1">28031.0313993704*((RANDBETWEEN(1620,2416)))</f>
        <v>59986407.19465261</v>
      </c>
      <c r="B8096">
        <v>175713372.70020902</v>
      </c>
    </row>
    <row r="8097" spans="1:2" x14ac:dyDescent="0.25">
      <c r="A8097">
        <f ca="1">29250.0133937959*((RANDBETWEEN(1620,2416)))</f>
        <v>57066776.131295748</v>
      </c>
      <c r="B8097">
        <v>198121058.46373841</v>
      </c>
    </row>
    <row r="8098" spans="1:2" x14ac:dyDescent="0.25">
      <c r="A8098">
        <f ca="1">26594.1608135207*((RANDBETWEEN(1620,2416)))</f>
        <v>49438544.95233497</v>
      </c>
      <c r="B8098">
        <v>164139791.64674795</v>
      </c>
    </row>
    <row r="8099" spans="1:2" x14ac:dyDescent="0.25">
      <c r="A8099">
        <f ca="1">28051.6728222224*((RANDBETWEEN(1620,2416)))</f>
        <v>51867543.048289277</v>
      </c>
      <c r="B8099">
        <v>147248497.88689023</v>
      </c>
    </row>
    <row r="8100" spans="1:2" x14ac:dyDescent="0.25">
      <c r="A8100">
        <f ca="1">26778.6583205046*((RANDBETWEEN(1620,2416)))</f>
        <v>44372236.837076172</v>
      </c>
      <c r="B8100">
        <v>157931398.13854554</v>
      </c>
    </row>
    <row r="8101" spans="1:2" x14ac:dyDescent="0.25">
      <c r="A8101">
        <f ca="1">29819.6129018762*((RANDBETWEEN(1620,2416)))</f>
        <v>58625358.965088673</v>
      </c>
      <c r="B8101">
        <v>152300378.5104444</v>
      </c>
    </row>
    <row r="8102" spans="1:2" x14ac:dyDescent="0.25">
      <c r="A8102">
        <f ca="1">26775.0532791942*((RANDBETWEEN(1620,2416)))</f>
        <v>52773630.013291724</v>
      </c>
      <c r="B8102">
        <v>153087418.17345104</v>
      </c>
    </row>
    <row r="8103" spans="1:2" x14ac:dyDescent="0.25">
      <c r="A8103">
        <f ca="1">29547.6307940454*((RANDBETWEEN(1620,2416)))</f>
        <v>52476592.290224642</v>
      </c>
      <c r="B8103">
        <v>180744505.61668357</v>
      </c>
    </row>
    <row r="8104" spans="1:2" x14ac:dyDescent="0.25">
      <c r="A8104">
        <f ca="1">26632.2455408385*((RANDBETWEEN(1620,2416)))</f>
        <v>49775666.915827133</v>
      </c>
      <c r="B8104">
        <v>175588408.75086594</v>
      </c>
    </row>
    <row r="8105" spans="1:2" x14ac:dyDescent="0.25">
      <c r="A8105">
        <f ca="1">30295.2134578027*((RANDBETWEEN(1620,2416)))</f>
        <v>50835368.182192914</v>
      </c>
      <c r="B8105">
        <v>167777980.2713111</v>
      </c>
    </row>
    <row r="8106" spans="1:2" x14ac:dyDescent="0.25">
      <c r="A8106">
        <f ca="1">30237.7427775398*((RANDBETWEEN(1620,2416)))</f>
        <v>63620210.803943746</v>
      </c>
      <c r="B8106">
        <v>158129616.44324228</v>
      </c>
    </row>
    <row r="8107" spans="1:2" x14ac:dyDescent="0.25">
      <c r="A8107">
        <f ca="1">30329.2811608458*((RANDBETWEEN(1620,2416)))</f>
        <v>60355269.510083131</v>
      </c>
      <c r="B8107">
        <v>146678074.76520282</v>
      </c>
    </row>
    <row r="8108" spans="1:2" x14ac:dyDescent="0.25">
      <c r="A8108">
        <f ca="1">27377.3762987137*((RANDBETWEEN(1620,2416)))</f>
        <v>51031429.420802355</v>
      </c>
      <c r="B8108">
        <v>149987355.66973904</v>
      </c>
    </row>
    <row r="8109" spans="1:2" x14ac:dyDescent="0.25">
      <c r="A8109">
        <f ca="1">27874.3389647494*((RANDBETWEEN(1620,2416)))</f>
        <v>57532635.623242706</v>
      </c>
      <c r="B8109">
        <v>189502041.588756</v>
      </c>
    </row>
    <row r="8110" spans="1:2" x14ac:dyDescent="0.25">
      <c r="A8110">
        <f ca="1">25908.9147798159*((RANDBETWEEN(1620,2416)))</f>
        <v>58217331.510246433</v>
      </c>
      <c r="B8110">
        <v>158210955.7546722</v>
      </c>
    </row>
    <row r="8111" spans="1:2" x14ac:dyDescent="0.25">
      <c r="A8111">
        <f ca="1">27396.8817589482*((RANDBETWEEN(1620,2416)))</f>
        <v>58574533.200631276</v>
      </c>
      <c r="B8111">
        <v>157984881.43842304</v>
      </c>
    </row>
    <row r="8112" spans="1:2" x14ac:dyDescent="0.25">
      <c r="A8112">
        <f ca="1">29519.5389914029*((RANDBETWEEN(1620,2416)))</f>
        <v>63378450.214541964</v>
      </c>
      <c r="B8112">
        <v>194899415.25350147</v>
      </c>
    </row>
    <row r="8113" spans="1:2" x14ac:dyDescent="0.25">
      <c r="A8113">
        <f ca="1">27348.1066630164*((RANDBETWEEN(1620,2416)))</f>
        <v>47941230.980267704</v>
      </c>
      <c r="B8113">
        <v>149396525.26575807</v>
      </c>
    </row>
    <row r="8114" spans="1:2" x14ac:dyDescent="0.25">
      <c r="A8114">
        <f ca="1">31864.1649623053*((RANDBETWEEN(1620,2416)))</f>
        <v>61465974.212286845</v>
      </c>
      <c r="B8114">
        <v>161769496.2226795</v>
      </c>
    </row>
    <row r="8115" spans="1:2" x14ac:dyDescent="0.25">
      <c r="A8115">
        <f ca="1">29317.0336682917*((RANDBETWEEN(1620,2416)))</f>
        <v>48285154.451676436</v>
      </c>
      <c r="B8115">
        <v>143976475.66438842</v>
      </c>
    </row>
    <row r="8116" spans="1:2" x14ac:dyDescent="0.25">
      <c r="A8116">
        <f ca="1">26988.9320693969*((RANDBETWEEN(1620,2416)))</f>
        <v>45287428.012448028</v>
      </c>
      <c r="B8116">
        <v>191439564.38630095</v>
      </c>
    </row>
    <row r="8117" spans="1:2" x14ac:dyDescent="0.25">
      <c r="A8117">
        <f ca="1">25639.0862751245*((RANDBETWEEN(1620,2416)))</f>
        <v>54277945.644438572</v>
      </c>
      <c r="B8117">
        <v>165689516.7265839</v>
      </c>
    </row>
    <row r="8118" spans="1:2" x14ac:dyDescent="0.25">
      <c r="A8118">
        <f ca="1">27337.9328826594*((RANDBETWEEN(1620,2416)))</f>
        <v>51586679.349578202</v>
      </c>
      <c r="B8118">
        <v>145440089.65531564</v>
      </c>
    </row>
    <row r="8119" spans="1:2" x14ac:dyDescent="0.25">
      <c r="A8119">
        <f ca="1">29451.8682943505*((RANDBETWEEN(1620,2416)))</f>
        <v>52159258.749294691</v>
      </c>
      <c r="B8119">
        <v>187535485.2617498</v>
      </c>
    </row>
    <row r="8120" spans="1:2" x14ac:dyDescent="0.25">
      <c r="A8120">
        <f ca="1">27416.1178280552*((RANDBETWEEN(1620,2416)))</f>
        <v>49321595.972671226</v>
      </c>
      <c r="B8120">
        <v>192243769.92055315</v>
      </c>
    </row>
    <row r="8121" spans="1:2" x14ac:dyDescent="0.25">
      <c r="A8121">
        <f ca="1">33902.8486786473*((RANDBETWEEN(1620,2416)))</f>
        <v>73264055.99455674</v>
      </c>
      <c r="B8121">
        <v>166450508.98559552</v>
      </c>
    </row>
    <row r="8122" spans="1:2" x14ac:dyDescent="0.25">
      <c r="A8122">
        <f ca="1">31437.5334304533*((RANDBETWEEN(1620,2416)))</f>
        <v>60674439.520774879</v>
      </c>
      <c r="B8122">
        <v>174378808.44525629</v>
      </c>
    </row>
    <row r="8123" spans="1:2" x14ac:dyDescent="0.25">
      <c r="A8123">
        <f ca="1">26890.723653745*((RANDBETWEEN(1620,2416)))</f>
        <v>43885661.002911881</v>
      </c>
      <c r="B8123">
        <v>144313678.37581316</v>
      </c>
    </row>
    <row r="8124" spans="1:2" x14ac:dyDescent="0.25">
      <c r="A8124">
        <f ca="1">31853.8469963089*((RANDBETWEEN(1620,2416)))</f>
        <v>53992270.658743657</v>
      </c>
      <c r="B8124">
        <v>171550577.33423907</v>
      </c>
    </row>
    <row r="8125" spans="1:2" x14ac:dyDescent="0.25">
      <c r="A8125">
        <f ca="1">26775.7349677761*((RANDBETWEEN(1620,2416)))</f>
        <v>57460727.240847416</v>
      </c>
      <c r="B8125">
        <v>170989235.50862122</v>
      </c>
    </row>
    <row r="8126" spans="1:2" x14ac:dyDescent="0.25">
      <c r="A8126">
        <f ca="1">26021.1390390526*((RANDBETWEEN(1620,2416)))</f>
        <v>42700689.163085289</v>
      </c>
      <c r="B8126">
        <v>144721347.39501649</v>
      </c>
    </row>
    <row r="8127" spans="1:2" x14ac:dyDescent="0.25">
      <c r="A8127">
        <f ca="1">25983.0286939695*((RANDBETWEEN(1620,2416)))</f>
        <v>48692195.772498772</v>
      </c>
      <c r="B8127">
        <v>145620677.60175073</v>
      </c>
    </row>
    <row r="8128" spans="1:2" x14ac:dyDescent="0.25">
      <c r="A8128">
        <f ca="1">28277.1499535886*((RANDBETWEEN(1620,2416)))</f>
        <v>49428458.118872799</v>
      </c>
      <c r="B8128">
        <v>145680851.66171157</v>
      </c>
    </row>
    <row r="8129" spans="1:2" x14ac:dyDescent="0.25">
      <c r="A8129">
        <f ca="1">28435.2159896602*((RANDBETWEEN(1620,2416)))</f>
        <v>64206717.70465266</v>
      </c>
      <c r="B8129">
        <v>194439719.896092</v>
      </c>
    </row>
    <row r="8130" spans="1:2" x14ac:dyDescent="0.25">
      <c r="A8130">
        <f ca="1">27231.9677383566*((RANDBETWEEN(1620,2416)))</f>
        <v>53973760.05742275</v>
      </c>
      <c r="B8130">
        <v>161871692.89582962</v>
      </c>
    </row>
    <row r="8131" spans="1:2" x14ac:dyDescent="0.25">
      <c r="A8131">
        <f ca="1">25605.6570899198*((RANDBETWEEN(1620,2416)))</f>
        <v>47011986.417092726</v>
      </c>
      <c r="B8131">
        <v>147806330.46645921</v>
      </c>
    </row>
    <row r="8132" spans="1:2" x14ac:dyDescent="0.25">
      <c r="A8132">
        <f ca="1">28582.5661747265*((RANDBETWEEN(1620,2416)))</f>
        <v>54163962.901106708</v>
      </c>
      <c r="B8132">
        <v>196558535.45307416</v>
      </c>
    </row>
    <row r="8133" spans="1:2" x14ac:dyDescent="0.25">
      <c r="A8133">
        <f ca="1">27739.9314070873*((RANDBETWEEN(1620,2416)))</f>
        <v>57366178.149856582</v>
      </c>
      <c r="B8133">
        <v>155752142.07926661</v>
      </c>
    </row>
    <row r="8134" spans="1:2" x14ac:dyDescent="0.25">
      <c r="A8134">
        <f ca="1">30101.8122222903*((RANDBETWEEN(1620,2416)))</f>
        <v>68060197.434598327</v>
      </c>
      <c r="B8134">
        <v>145994703.4321973</v>
      </c>
    </row>
    <row r="8135" spans="1:2" x14ac:dyDescent="0.25">
      <c r="A8135">
        <f ca="1">30026.5764702931*((RANDBETWEEN(1620,2416)))</f>
        <v>66719052.916991159</v>
      </c>
      <c r="B8135">
        <v>168034725.20039406</v>
      </c>
    </row>
    <row r="8136" spans="1:2" x14ac:dyDescent="0.25">
      <c r="A8136">
        <f ca="1">28044.1470709748*((RANDBETWEEN(1620,2416)))</f>
        <v>48039623.932579763</v>
      </c>
      <c r="B8136">
        <v>143123354.13440502</v>
      </c>
    </row>
    <row r="8137" spans="1:2" x14ac:dyDescent="0.25">
      <c r="A8137">
        <f ca="1">31367.7207545072*((RANDBETWEEN(1620,2416)))</f>
        <v>52666403.14681761</v>
      </c>
      <c r="B8137">
        <v>173250656.70474011</v>
      </c>
    </row>
    <row r="8138" spans="1:2" x14ac:dyDescent="0.25">
      <c r="A8138">
        <f ca="1">27355.9713047386*((RANDBETWEEN(1620,2416)))</f>
        <v>52851736.560754977</v>
      </c>
      <c r="B8138">
        <v>150277255.39628896</v>
      </c>
    </row>
    <row r="8139" spans="1:2" x14ac:dyDescent="0.25">
      <c r="A8139">
        <f ca="1">28799.5626636452*((RANDBETWEEN(1620,2416)))</f>
        <v>54431173.434289388</v>
      </c>
      <c r="B8139">
        <v>176313982.64381278</v>
      </c>
    </row>
    <row r="8140" spans="1:2" x14ac:dyDescent="0.25">
      <c r="A8140">
        <f ca="1">28756.5129599877*((RANDBETWEEN(1620,2416)))</f>
        <v>50381410.705898456</v>
      </c>
      <c r="B8140">
        <v>151876178.42485696</v>
      </c>
    </row>
    <row r="8141" spans="1:2" x14ac:dyDescent="0.25">
      <c r="A8141">
        <f ca="1">26305.9032577126*((RANDBETWEEN(1620,2416)))</f>
        <v>45325071.313038893</v>
      </c>
      <c r="B8141">
        <v>164470289.41845018</v>
      </c>
    </row>
    <row r="8142" spans="1:2" x14ac:dyDescent="0.25">
      <c r="A8142">
        <f ca="1">32145.9440451778*((RANDBETWEEN(1620,2416)))</f>
        <v>54680250.820847467</v>
      </c>
      <c r="B8142">
        <v>180360878.47781003</v>
      </c>
    </row>
    <row r="8143" spans="1:2" x14ac:dyDescent="0.25">
      <c r="A8143">
        <f ca="1">26464.5366635933*((RANDBETWEEN(1620,2416)))</f>
        <v>47900811.361103803</v>
      </c>
      <c r="B8143">
        <v>165915984.42174065</v>
      </c>
    </row>
    <row r="8144" spans="1:2" x14ac:dyDescent="0.25">
      <c r="A8144">
        <f ca="1">25837.6591089495*((RANDBETWEEN(1620,2416)))</f>
        <v>42347923.279568277</v>
      </c>
      <c r="B8144">
        <v>154877250.49578756</v>
      </c>
    </row>
    <row r="8145" spans="1:2" x14ac:dyDescent="0.25">
      <c r="A8145">
        <f ca="1">26431.2544188091*((RANDBETWEEN(1620,2416)))</f>
        <v>60712591.400004447</v>
      </c>
      <c r="B8145">
        <v>147704379.16610992</v>
      </c>
    </row>
    <row r="8146" spans="1:2" x14ac:dyDescent="0.25">
      <c r="A8146">
        <f ca="1">30998.8028046597*((RANDBETWEEN(1620,2416)))</f>
        <v>51210022.233297832</v>
      </c>
      <c r="B8146">
        <v>161580780.75020888</v>
      </c>
    </row>
    <row r="8147" spans="1:2" x14ac:dyDescent="0.25">
      <c r="A8147">
        <f ca="1">30099.911710056*((RANDBETWEEN(1620,2416)))</f>
        <v>58604528.099478938</v>
      </c>
      <c r="B8147">
        <v>175114538.46905726</v>
      </c>
    </row>
    <row r="8148" spans="1:2" x14ac:dyDescent="0.25">
      <c r="A8148">
        <f ca="1">27036.7281579181*((RANDBETWEEN(1620,2416)))</f>
        <v>61887070.753474548</v>
      </c>
      <c r="B8148">
        <v>182737896.32298705</v>
      </c>
    </row>
    <row r="8149" spans="1:2" x14ac:dyDescent="0.25">
      <c r="A8149">
        <f ca="1">31512.6617689124*((RANDBETWEEN(1620,2416)))</f>
        <v>68918191.288611501</v>
      </c>
      <c r="B8149">
        <v>157887942.35300109</v>
      </c>
    </row>
    <row r="8150" spans="1:2" x14ac:dyDescent="0.25">
      <c r="A8150">
        <f ca="1">32700.587549091*((RANDBETWEEN(1620,2416)))</f>
        <v>68278826.802501962</v>
      </c>
      <c r="B8150">
        <v>145678901.28341827</v>
      </c>
    </row>
    <row r="8151" spans="1:2" x14ac:dyDescent="0.25">
      <c r="A8151">
        <f ca="1">26460.7433891482*((RANDBETWEEN(1620,2416)))</f>
        <v>49269904.190593988</v>
      </c>
      <c r="B8151">
        <v>143360450.9405314</v>
      </c>
    </row>
    <row r="8152" spans="1:2" x14ac:dyDescent="0.25">
      <c r="A8152">
        <f ca="1">28234.0522876758*((RANDBETWEEN(1620,2416)))</f>
        <v>51978890.261611067</v>
      </c>
      <c r="B8152">
        <v>192744704.25874302</v>
      </c>
    </row>
    <row r="8153" spans="1:2" x14ac:dyDescent="0.25">
      <c r="A8153">
        <f ca="1">26818.4538061782*((RANDBETWEEN(1620,2416)))</f>
        <v>62701544.998844571</v>
      </c>
      <c r="B8153">
        <v>169193391.88958472</v>
      </c>
    </row>
    <row r="8154" spans="1:2" x14ac:dyDescent="0.25">
      <c r="A8154">
        <f ca="1">31437.2878092825*((RANDBETWEEN(1620,2416)))</f>
        <v>55203877.393100075</v>
      </c>
      <c r="B8154">
        <v>146407999.96344084</v>
      </c>
    </row>
    <row r="8155" spans="1:2" x14ac:dyDescent="0.25">
      <c r="A8155">
        <f ca="1">26545.3878076621*((RANDBETWEEN(1620,2416)))</f>
        <v>57630036.930434361</v>
      </c>
      <c r="B8155">
        <v>149878261.50738466</v>
      </c>
    </row>
    <row r="8156" spans="1:2" x14ac:dyDescent="0.25">
      <c r="A8156">
        <f ca="1">26746.5997603067*((RANDBETWEEN(1620,2416)))</f>
        <v>47261241.776461981</v>
      </c>
      <c r="B8156">
        <v>163236856.84612525</v>
      </c>
    </row>
    <row r="8157" spans="1:2" x14ac:dyDescent="0.25">
      <c r="A8157">
        <f ca="1">29863.6977314731*((RANDBETWEEN(1620,2416)))</f>
        <v>68089230.827758685</v>
      </c>
      <c r="B8157">
        <v>175625159.91394621</v>
      </c>
    </row>
    <row r="8158" spans="1:2" x14ac:dyDescent="0.25">
      <c r="A8158">
        <f ca="1">30157.2453362767*((RANDBETWEEN(1620,2416)))</f>
        <v>57992382.781660184</v>
      </c>
      <c r="B8158">
        <v>193540468.43860385</v>
      </c>
    </row>
    <row r="8159" spans="1:2" x14ac:dyDescent="0.25">
      <c r="A8159">
        <f ca="1">27972.7557776192*((RANDBETWEEN(1620,2416)))</f>
        <v>59609942.562106617</v>
      </c>
      <c r="B8159">
        <v>156401795.23659292</v>
      </c>
    </row>
    <row r="8160" spans="1:2" x14ac:dyDescent="0.25">
      <c r="A8160">
        <f ca="1">28425.3166694493*((RANDBETWEEN(1620,2416)))</f>
        <v>60119544.755885303</v>
      </c>
      <c r="B8160">
        <v>170460294.27449653</v>
      </c>
    </row>
    <row r="8161" spans="1:2" x14ac:dyDescent="0.25">
      <c r="A8161">
        <f ca="1">25724.4328783967*((RANDBETWEEN(1620,2416)))</f>
        <v>56902445.527013429</v>
      </c>
      <c r="B8161">
        <v>143895111.95759073</v>
      </c>
    </row>
    <row r="8162" spans="1:2" x14ac:dyDescent="0.25">
      <c r="A8162">
        <f ca="1">31629.1284796686*((RANDBETWEEN(1620,2416)))</f>
        <v>65725328.980751358</v>
      </c>
      <c r="B8162">
        <v>154287592.29283094</v>
      </c>
    </row>
    <row r="8163" spans="1:2" x14ac:dyDescent="0.25">
      <c r="A8163">
        <f ca="1">30077.3364123237*((RANDBETWEEN(1620,2416)))</f>
        <v>51793173.302021459</v>
      </c>
      <c r="B8163">
        <v>158775102.46318933</v>
      </c>
    </row>
    <row r="8164" spans="1:2" x14ac:dyDescent="0.25">
      <c r="A8164">
        <f ca="1">31902.6290131681*((RANDBETWEEN(1620,2416)))</f>
        <v>63677647.510283433</v>
      </c>
      <c r="B8164">
        <v>166572493.74483222</v>
      </c>
    </row>
    <row r="8165" spans="1:2" x14ac:dyDescent="0.25">
      <c r="A8165">
        <f ca="1">28246.8085176137*((RANDBETWEEN(1620,2416)))</f>
        <v>56380629.801156893</v>
      </c>
      <c r="B8165">
        <v>148524802.80555034</v>
      </c>
    </row>
    <row r="8166" spans="1:2" x14ac:dyDescent="0.25">
      <c r="A8166">
        <f ca="1">26652.087949225*((RANDBETWEEN(1620,2416)))</f>
        <v>62232625.361440361</v>
      </c>
      <c r="B8166">
        <v>151166019.94679749</v>
      </c>
    </row>
    <row r="8167" spans="1:2" x14ac:dyDescent="0.25">
      <c r="A8167">
        <f ca="1">26224.7734855418*((RANDBETWEEN(1620,2416)))</f>
        <v>47099693.180033132</v>
      </c>
      <c r="B8167">
        <v>144702608.70131791</v>
      </c>
    </row>
    <row r="8168" spans="1:2" x14ac:dyDescent="0.25">
      <c r="A8168">
        <f ca="1">27470.5681082743*((RANDBETWEEN(1620,2416)))</f>
        <v>44639673.175945707</v>
      </c>
      <c r="B8168">
        <v>203185079.45602983</v>
      </c>
    </row>
    <row r="8169" spans="1:2" x14ac:dyDescent="0.25">
      <c r="A8169">
        <f ca="1">27177.6575970872*((RANDBETWEEN(1620,2416)))</f>
        <v>59002694.643276267</v>
      </c>
      <c r="B8169">
        <v>185088922.64482737</v>
      </c>
    </row>
    <row r="8170" spans="1:2" x14ac:dyDescent="0.25">
      <c r="A8170">
        <f ca="1">26746.7112423891*((RANDBETWEEN(1620,2416)))</f>
        <v>63710666.179370761</v>
      </c>
      <c r="B8170">
        <v>170168304.98347574</v>
      </c>
    </row>
    <row r="8171" spans="1:2" x14ac:dyDescent="0.25">
      <c r="A8171">
        <f ca="1">27163.8035104204*((RANDBETWEEN(1620,2416)))</f>
        <v>52181666.543517545</v>
      </c>
      <c r="B8171">
        <v>163563616.75187349</v>
      </c>
    </row>
    <row r="8172" spans="1:2" x14ac:dyDescent="0.25">
      <c r="A8172">
        <f ca="1">32447.357843937*((RANDBETWEEN(1620,2416)))</f>
        <v>56425955.290606394</v>
      </c>
      <c r="B8172">
        <v>143351027.87899616</v>
      </c>
    </row>
    <row r="8173" spans="1:2" x14ac:dyDescent="0.25">
      <c r="A8173">
        <f ca="1">26937.4477424827*((RANDBETWEEN(1620,2416)))</f>
        <v>49726528.53262303</v>
      </c>
      <c r="B8173">
        <v>152442470.8994543</v>
      </c>
    </row>
    <row r="8174" spans="1:2" x14ac:dyDescent="0.25">
      <c r="A8174">
        <f ca="1">28885.4803375992*((RANDBETWEEN(1620,2416)))</f>
        <v>62219324.647188693</v>
      </c>
      <c r="B8174">
        <v>197940952.53404424</v>
      </c>
    </row>
    <row r="8175" spans="1:2" x14ac:dyDescent="0.25">
      <c r="A8175">
        <f ca="1">32102.2527395873*((RANDBETWEEN(1620,2416)))</f>
        <v>69661888.444904417</v>
      </c>
      <c r="B8175">
        <v>167612550.3491075</v>
      </c>
    </row>
    <row r="8176" spans="1:2" x14ac:dyDescent="0.25">
      <c r="A8176">
        <f ca="1">27190.7242953561*((RANDBETWEEN(1620,2416)))</f>
        <v>55305933.216754287</v>
      </c>
      <c r="B8176">
        <v>166039547.30548099</v>
      </c>
    </row>
    <row r="8177" spans="1:2" x14ac:dyDescent="0.25">
      <c r="A8177">
        <f ca="1">31323.5357615464*((RANDBETWEEN(1620,2416)))</f>
        <v>71636926.286656603</v>
      </c>
      <c r="B8177">
        <v>143193746.40223241</v>
      </c>
    </row>
    <row r="8178" spans="1:2" x14ac:dyDescent="0.25">
      <c r="A8178">
        <f ca="1">26083.6160416968*((RANDBETWEEN(1620,2416)))</f>
        <v>54540841.14318794</v>
      </c>
      <c r="B8178">
        <v>165793288.08527708</v>
      </c>
    </row>
    <row r="8179" spans="1:2" x14ac:dyDescent="0.25">
      <c r="A8179">
        <f ca="1">26303.6025948589*((RANDBETWEEN(1620,2416)))</f>
        <v>54316939.358383603</v>
      </c>
      <c r="B8179">
        <v>168387402.69939655</v>
      </c>
    </row>
    <row r="8180" spans="1:2" x14ac:dyDescent="0.25">
      <c r="A8180">
        <f ca="1">32605.5890629658*((RANDBETWEEN(1620,2416)))</f>
        <v>72090957.418217316</v>
      </c>
      <c r="B8180">
        <v>166091646.16203123</v>
      </c>
    </row>
    <row r="8181" spans="1:2" x14ac:dyDescent="0.25">
      <c r="A8181">
        <f ca="1">28338.5987188113*((RANDBETWEEN(1620,2416)))</f>
        <v>55770362.27862072</v>
      </c>
      <c r="B8181">
        <v>203142914.91630122</v>
      </c>
    </row>
    <row r="8182" spans="1:2" x14ac:dyDescent="0.25">
      <c r="A8182">
        <f ca="1">26836.4273048524*((RANDBETWEEN(1620,2416)))</f>
        <v>54665802.4199844</v>
      </c>
      <c r="B8182">
        <v>157508974.32676014</v>
      </c>
    </row>
    <row r="8183" spans="1:2" x14ac:dyDescent="0.25">
      <c r="A8183">
        <f ca="1">29056.8485517336*((RANDBETWEEN(1620,2416)))</f>
        <v>50006836.357533596</v>
      </c>
      <c r="B8183">
        <v>181260578.23077863</v>
      </c>
    </row>
    <row r="8184" spans="1:2" x14ac:dyDescent="0.25">
      <c r="A8184">
        <f ca="1">26174.2359496994*((RANDBETWEEN(1620,2416)))</f>
        <v>47008927.765660189</v>
      </c>
      <c r="B8184">
        <v>161899835.92401534</v>
      </c>
    </row>
    <row r="8185" spans="1:2" x14ac:dyDescent="0.25">
      <c r="A8185">
        <f ca="1">31992.2023417552*((RANDBETWEEN(1620,2416)))</f>
        <v>64464287.718636759</v>
      </c>
      <c r="B8185">
        <v>162162489.94602492</v>
      </c>
    </row>
    <row r="8186" spans="1:2" x14ac:dyDescent="0.25">
      <c r="A8186">
        <f ca="1">27073.6469700277*((RANDBETWEEN(1620,2416)))</f>
        <v>55473902.641586758</v>
      </c>
      <c r="B8186">
        <v>173763718.74290788</v>
      </c>
    </row>
    <row r="8187" spans="1:2" x14ac:dyDescent="0.25">
      <c r="A8187">
        <f ca="1">26222.5148996972*((RANDBETWEEN(1620,2416)))</f>
        <v>58161538.047528364</v>
      </c>
      <c r="B8187">
        <v>182434586.48129845</v>
      </c>
    </row>
    <row r="8188" spans="1:2" x14ac:dyDescent="0.25">
      <c r="A8188">
        <f ca="1">28276.3286275668*((RANDBETWEEN(1620,2416)))</f>
        <v>65629358.744582534</v>
      </c>
      <c r="B8188">
        <v>193302396.79590142</v>
      </c>
    </row>
    <row r="8189" spans="1:2" x14ac:dyDescent="0.25">
      <c r="A8189">
        <f ca="1">27328.8992952733*((RANDBETWEEN(1620,2416)))</f>
        <v>59768302.758762673</v>
      </c>
      <c r="B8189">
        <v>170772084.34597674</v>
      </c>
    </row>
    <row r="8190" spans="1:2" x14ac:dyDescent="0.25">
      <c r="A8190">
        <f ca="1">27560.8453383095*((RANDBETWEEN(1620,2416)))</f>
        <v>62452875.536609247</v>
      </c>
      <c r="B8190">
        <v>156192977.45623094</v>
      </c>
    </row>
    <row r="8191" spans="1:2" x14ac:dyDescent="0.25">
      <c r="A8191">
        <f ca="1">28160.9696810015*((RANDBETWEEN(1620,2416)))</f>
        <v>50042043.123139605</v>
      </c>
      <c r="B8191">
        <v>174116167.684434</v>
      </c>
    </row>
    <row r="8192" spans="1:2" x14ac:dyDescent="0.25">
      <c r="A8192">
        <f ca="1">25146.5282475335*((RANDBETWEEN(1620,2416)))</f>
        <v>50242763.438571922</v>
      </c>
      <c r="B8192">
        <v>170525852.65352219</v>
      </c>
    </row>
    <row r="8193" spans="1:2" x14ac:dyDescent="0.25">
      <c r="A8193">
        <f ca="1">30454.2186080701*((RANDBETWEEN(1620,2416)))</f>
        <v>62278877.053503364</v>
      </c>
      <c r="B8193">
        <v>169396894.6929222</v>
      </c>
    </row>
    <row r="8194" spans="1:2" x14ac:dyDescent="0.25">
      <c r="A8194">
        <f ca="1">25867.6763790008*((RANDBETWEEN(1620,2416)))</f>
        <v>50209159.851640597</v>
      </c>
      <c r="B8194">
        <v>166062243.67563117</v>
      </c>
    </row>
    <row r="8195" spans="1:2" x14ac:dyDescent="0.25">
      <c r="A8195">
        <f ca="1">33060.1112947249*((RANDBETWEEN(1620,2416)))</f>
        <v>69756834.831869647</v>
      </c>
      <c r="B8195">
        <v>178385182.03762153</v>
      </c>
    </row>
    <row r="8196" spans="1:2" x14ac:dyDescent="0.25">
      <c r="A8196">
        <f ca="1">29190.643124554*((RANDBETWEEN(1620,2416)))</f>
        <v>66817382.112104125</v>
      </c>
      <c r="B8196">
        <v>155311104.58386683</v>
      </c>
    </row>
    <row r="8197" spans="1:2" x14ac:dyDescent="0.25">
      <c r="A8197">
        <f ca="1">27931.5462140559*((RANDBETWEEN(1620,2416)))</f>
        <v>54215131.201482415</v>
      </c>
      <c r="B8197">
        <v>183215800.68889832</v>
      </c>
    </row>
    <row r="8198" spans="1:2" x14ac:dyDescent="0.25">
      <c r="A8198">
        <f ca="1">28127.4619352055*((RANDBETWEEN(1620,2416)))</f>
        <v>52935883.36205674</v>
      </c>
      <c r="B8198">
        <v>151066246.05877608</v>
      </c>
    </row>
    <row r="8199" spans="1:2" x14ac:dyDescent="0.25">
      <c r="A8199">
        <f ca="1">25989.5046706191*((RANDBETWEEN(1620,2416)))</f>
        <v>42128987.071073495</v>
      </c>
      <c r="B8199">
        <v>158542509.41647071</v>
      </c>
    </row>
    <row r="8200" spans="1:2" x14ac:dyDescent="0.25">
      <c r="A8200">
        <f ca="1">32033.86097623*((RANDBETWEEN(1620,2416)))</f>
        <v>68039920.713512436</v>
      </c>
      <c r="B8200">
        <v>176042788.18529943</v>
      </c>
    </row>
    <row r="8201" spans="1:2" x14ac:dyDescent="0.25">
      <c r="A8201">
        <f ca="1">26055.7002738373*((RANDBETWEEN(1620,2416)))</f>
        <v>46639703.490168802</v>
      </c>
      <c r="B8201">
        <v>153563342.30371779</v>
      </c>
    </row>
    <row r="8202" spans="1:2" x14ac:dyDescent="0.25">
      <c r="A8202">
        <f ca="1">24795.2699073673*((RANDBETWEEN(1620,2416)))</f>
        <v>57202687.676296309</v>
      </c>
      <c r="B8202">
        <v>155618592.40521657</v>
      </c>
    </row>
    <row r="8203" spans="1:2" x14ac:dyDescent="0.25">
      <c r="A8203">
        <f ca="1">28991.7442477453*((RANDBETWEEN(1620,2416)))</f>
        <v>52967916.740630634</v>
      </c>
      <c r="B8203">
        <v>196674843.1090098</v>
      </c>
    </row>
    <row r="8204" spans="1:2" x14ac:dyDescent="0.25">
      <c r="A8204">
        <f ca="1">26373.8364002026*((RANDBETWEEN(1620,2416)))</f>
        <v>52826794.309605837</v>
      </c>
      <c r="B8204">
        <v>166895754.95839894</v>
      </c>
    </row>
    <row r="8205" spans="1:2" x14ac:dyDescent="0.25">
      <c r="A8205">
        <f ca="1">29327.8907948007*((RANDBETWEEN(1620,2416)))</f>
        <v>54813827.895482473</v>
      </c>
      <c r="B8205">
        <v>193823877.26398891</v>
      </c>
    </row>
    <row r="8206" spans="1:2" x14ac:dyDescent="0.25">
      <c r="A8206">
        <f ca="1">28488.3198387812*((RANDBETWEEN(1620,2416)))</f>
        <v>49712118.118673116</v>
      </c>
      <c r="B8206">
        <v>159593872.2813639</v>
      </c>
    </row>
    <row r="8207" spans="1:2" x14ac:dyDescent="0.25">
      <c r="A8207">
        <f ca="1">28170.0340888899*((RANDBETWEEN(1620,2416)))</f>
        <v>67664421.881513536</v>
      </c>
      <c r="B8207">
        <v>152159553.78182924</v>
      </c>
    </row>
    <row r="8208" spans="1:2" x14ac:dyDescent="0.25">
      <c r="A8208">
        <f ca="1">28673.5640665536*((RANDBETWEEN(1620,2416)))</f>
        <v>59038868.413033769</v>
      </c>
      <c r="B8208">
        <v>200835478.96358818</v>
      </c>
    </row>
    <row r="8209" spans="1:2" x14ac:dyDescent="0.25">
      <c r="A8209">
        <f ca="1">25823.6273401233*((RANDBETWEEN(1620,2416)))</f>
        <v>45372113.236596644</v>
      </c>
      <c r="B8209">
        <v>156694338.48795259</v>
      </c>
    </row>
    <row r="8210" spans="1:2" x14ac:dyDescent="0.25">
      <c r="A8210">
        <f ca="1">27214.9720983368*((RANDBETWEEN(1620,2416)))</f>
        <v>52443251.233495064</v>
      </c>
      <c r="B8210">
        <v>166884400.35329932</v>
      </c>
    </row>
    <row r="8211" spans="1:2" x14ac:dyDescent="0.25">
      <c r="A8211">
        <f ca="1">27046.2015569121*((RANDBETWEEN(1620,2416)))</f>
        <v>47060390.70902697</v>
      </c>
      <c r="B8211">
        <v>198046264.21367258</v>
      </c>
    </row>
    <row r="8212" spans="1:2" x14ac:dyDescent="0.25">
      <c r="A8212">
        <f ca="1">27572.4858456531*((RANDBETWEEN(1620,2416)))</f>
        <v>48858444.918497257</v>
      </c>
      <c r="B8212">
        <v>202172091.53954935</v>
      </c>
    </row>
    <row r="8213" spans="1:2" x14ac:dyDescent="0.25">
      <c r="A8213">
        <f ca="1">28495.9682410959*((RANDBETWEEN(1620,2416)))</f>
        <v>50865303.310356155</v>
      </c>
      <c r="B8213">
        <v>164128716.82619989</v>
      </c>
    </row>
    <row r="8214" spans="1:2" x14ac:dyDescent="0.25">
      <c r="A8214">
        <f ca="1">29390.3767521348*((RANDBETWEEN(1620,2416)))</f>
        <v>66157738.069055356</v>
      </c>
      <c r="B8214">
        <v>181118980.43958986</v>
      </c>
    </row>
    <row r="8215" spans="1:2" x14ac:dyDescent="0.25">
      <c r="A8215">
        <f ca="1">28089.8794351011*((RANDBETWEEN(1620,2416)))</f>
        <v>50674142.500922322</v>
      </c>
      <c r="B8215">
        <v>153865944.46597561</v>
      </c>
    </row>
    <row r="8216" spans="1:2" x14ac:dyDescent="0.25">
      <c r="A8216">
        <f ca="1">27088.3505662448*((RANDBETWEEN(1620,2416)))</f>
        <v>54474672.988718323</v>
      </c>
      <c r="B8216">
        <v>179688647.70102859</v>
      </c>
    </row>
    <row r="8217" spans="1:2" x14ac:dyDescent="0.25">
      <c r="A8217">
        <f ca="1">26509.4909894722*((RANDBETWEEN(1620,2416)))</f>
        <v>59169183.888502061</v>
      </c>
      <c r="B8217">
        <v>166091563.14461845</v>
      </c>
    </row>
    <row r="8218" spans="1:2" x14ac:dyDescent="0.25">
      <c r="A8218">
        <f ca="1">27804.882092401*((RANDBETWEEN(1620,2416)))</f>
        <v>48352689.958685413</v>
      </c>
      <c r="B8218">
        <v>153794992.08756939</v>
      </c>
    </row>
    <row r="8219" spans="1:2" x14ac:dyDescent="0.25">
      <c r="A8219">
        <f ca="1">28684.2608273134*((RANDBETWEEN(1620,2416)))</f>
        <v>66576169.380194344</v>
      </c>
      <c r="B8219">
        <v>150560585.74846244</v>
      </c>
    </row>
    <row r="8220" spans="1:2" x14ac:dyDescent="0.25">
      <c r="A8220">
        <f ca="1">30908.6616582196*((RANDBETWEEN(1620,2416)))</f>
        <v>68184507.618032351</v>
      </c>
      <c r="B8220">
        <v>189999912.73791236</v>
      </c>
    </row>
    <row r="8221" spans="1:2" x14ac:dyDescent="0.25">
      <c r="A8221">
        <f ca="1">29019.6844776493*((RANDBETWEEN(1620,2416)))</f>
        <v>59983687.815301068</v>
      </c>
      <c r="B8221">
        <v>144551881.43618175</v>
      </c>
    </row>
    <row r="8222" spans="1:2" x14ac:dyDescent="0.25">
      <c r="A8222">
        <f ca="1">30084.8522957344*((RANDBETWEEN(1620,2416)))</f>
        <v>66878626.65341761</v>
      </c>
      <c r="B8222">
        <v>164516860.10723865</v>
      </c>
    </row>
    <row r="8223" spans="1:2" x14ac:dyDescent="0.25">
      <c r="A8223">
        <f ca="1">26880.6974693206*((RANDBETWEEN(1620,2416)))</f>
        <v>59890193.961646192</v>
      </c>
      <c r="B8223">
        <v>148878085.96181637</v>
      </c>
    </row>
    <row r="8224" spans="1:2" x14ac:dyDescent="0.25">
      <c r="A8224">
        <f ca="1">29889.7415696103*((RANDBETWEEN(1620,2416)))</f>
        <v>61782095.824384451</v>
      </c>
      <c r="B8224">
        <v>151226015.98828167</v>
      </c>
    </row>
    <row r="8225" spans="1:2" x14ac:dyDescent="0.25">
      <c r="A8225">
        <f ca="1">25883.8054768205*((RANDBETWEEN(1620,2416)))</f>
        <v>60153963.928130805</v>
      </c>
      <c r="B8225">
        <v>159624737.24423829</v>
      </c>
    </row>
    <row r="8226" spans="1:2" x14ac:dyDescent="0.25">
      <c r="A8226">
        <f ca="1">26055.649723898*((RANDBETWEEN(1620,2416)))</f>
        <v>49271233.627891123</v>
      </c>
      <c r="B8226">
        <v>188288684.0699285</v>
      </c>
    </row>
    <row r="8227" spans="1:2" x14ac:dyDescent="0.25">
      <c r="A8227">
        <f ca="1">28612.3664409457*((RANDBETWEEN(1620,2416)))</f>
        <v>64463661.591450587</v>
      </c>
      <c r="B8227">
        <v>173782175.84293044</v>
      </c>
    </row>
    <row r="8228" spans="1:2" x14ac:dyDescent="0.25">
      <c r="A8228">
        <f ca="1">32433.0053686673*((RANDBETWEEN(1620,2416)))</f>
        <v>70347188.644639462</v>
      </c>
      <c r="B8228">
        <v>192508233.98877257</v>
      </c>
    </row>
    <row r="8229" spans="1:2" x14ac:dyDescent="0.25">
      <c r="A8229">
        <f ca="1">27463.7576308777*((RANDBETWEEN(1620,2416)))</f>
        <v>44546214.877283677</v>
      </c>
      <c r="B8229">
        <v>146963275.53343254</v>
      </c>
    </row>
    <row r="8230" spans="1:2" x14ac:dyDescent="0.25">
      <c r="A8230">
        <f ca="1">25960.6566547094*((RANDBETWEEN(1620,2416)))</f>
        <v>62227694.00133846</v>
      </c>
      <c r="B8230">
        <v>162770815.68834645</v>
      </c>
    </row>
    <row r="8231" spans="1:2" x14ac:dyDescent="0.25">
      <c r="A8231">
        <f ca="1">26912.870865888*((RANDBETWEEN(1620,2416)))</f>
        <v>50999890.290857777</v>
      </c>
      <c r="B8231">
        <v>147075023.97419235</v>
      </c>
    </row>
    <row r="8232" spans="1:2" x14ac:dyDescent="0.25">
      <c r="A8232">
        <f ca="1">27408.5221801717*((RANDBETWEEN(1620,2416)))</f>
        <v>64327801.556863077</v>
      </c>
      <c r="B8232">
        <v>162555700.72922045</v>
      </c>
    </row>
    <row r="8233" spans="1:2" x14ac:dyDescent="0.25">
      <c r="A8233">
        <f ca="1">29376.8732380247*((RANDBETWEEN(1620,2416)))</f>
        <v>51527035.659495324</v>
      </c>
      <c r="B8233">
        <v>152077457.92350444</v>
      </c>
    </row>
    <row r="8234" spans="1:2" x14ac:dyDescent="0.25">
      <c r="A8234">
        <f ca="1">26572.6480308657*((RANDBETWEEN(1620,2416)))</f>
        <v>45093783.708379157</v>
      </c>
      <c r="B8234">
        <v>154117970.73349208</v>
      </c>
    </row>
    <row r="8235" spans="1:2" x14ac:dyDescent="0.25">
      <c r="A8235">
        <f ca="1">30192.6700650895*((RANDBETWEEN(1620,2416)))</f>
        <v>54860081.508267678</v>
      </c>
      <c r="B8235">
        <v>188933162.10636032</v>
      </c>
    </row>
    <row r="8236" spans="1:2" x14ac:dyDescent="0.25">
      <c r="A8236">
        <f ca="1">27632.3522231495*((RANDBETWEEN(1620,2416)))</f>
        <v>51258013.373942338</v>
      </c>
      <c r="B8236">
        <v>163201992.63004893</v>
      </c>
    </row>
    <row r="8237" spans="1:2" x14ac:dyDescent="0.25">
      <c r="A8237">
        <f ca="1">28123.7281234427*((RANDBETWEEN(1620,2416)))</f>
        <v>52282010.581480063</v>
      </c>
      <c r="B8237">
        <v>144973557.93277505</v>
      </c>
    </row>
    <row r="8238" spans="1:2" x14ac:dyDescent="0.25">
      <c r="A8238">
        <f ca="1">27022.4861652767*((RANDBETWEEN(1620,2416)))</f>
        <v>46856991.010589793</v>
      </c>
      <c r="B8238">
        <v>165238328.79497951</v>
      </c>
    </row>
    <row r="8239" spans="1:2" x14ac:dyDescent="0.25">
      <c r="A8239">
        <f ca="1">27753.5059845099*((RANDBETWEEN(1620,2416)))</f>
        <v>56395124.160524204</v>
      </c>
      <c r="B8239">
        <v>196882066.97758794</v>
      </c>
    </row>
    <row r="8240" spans="1:2" x14ac:dyDescent="0.25">
      <c r="A8240">
        <f ca="1">26850.5835184362*((RANDBETWEEN(1620,2416)))</f>
        <v>59661996.577965327</v>
      </c>
      <c r="B8240">
        <v>149098680.11728609</v>
      </c>
    </row>
    <row r="8241" spans="1:2" x14ac:dyDescent="0.25">
      <c r="A8241">
        <f ca="1">32347.5880853875*((RANDBETWEEN(1620,2416)))</f>
        <v>59843037.957966924</v>
      </c>
      <c r="B8241">
        <v>166521475.7938692</v>
      </c>
    </row>
    <row r="8242" spans="1:2" x14ac:dyDescent="0.25">
      <c r="A8242">
        <f ca="1">24001.0855016033*((RANDBETWEEN(1620,2416)))</f>
        <v>57674608.460352778</v>
      </c>
      <c r="B8242">
        <v>171171046.85389641</v>
      </c>
    </row>
    <row r="8243" spans="1:2" x14ac:dyDescent="0.25">
      <c r="A8243">
        <f ca="1">27383.00875688*((RANDBETWEEN(1620,2416)))</f>
        <v>45045049.4050676</v>
      </c>
      <c r="B8243">
        <v>175782637.65263152</v>
      </c>
    </row>
    <row r="8244" spans="1:2" x14ac:dyDescent="0.25">
      <c r="A8244">
        <f ca="1">27292.7864428488*((RANDBETWEEN(1620,2416)))</f>
        <v>64110755.354251839</v>
      </c>
      <c r="B8244">
        <v>178056092.63200969</v>
      </c>
    </row>
    <row r="8245" spans="1:2" x14ac:dyDescent="0.25">
      <c r="A8245">
        <f ca="1">28582.7078193121*((RANDBETWEEN(1620,2416)))</f>
        <v>55993524.618032373</v>
      </c>
      <c r="B8245">
        <v>201819658.07597685</v>
      </c>
    </row>
    <row r="8246" spans="1:2" x14ac:dyDescent="0.25">
      <c r="A8246">
        <f ca="1">29759.7045781614*((RANDBETWEEN(1620,2416)))</f>
        <v>56811276.03971009</v>
      </c>
      <c r="B8246">
        <v>169487498.14586079</v>
      </c>
    </row>
    <row r="8247" spans="1:2" x14ac:dyDescent="0.25">
      <c r="A8247">
        <f ca="1">32529.1818850214*((RANDBETWEEN(1620,2416)))</f>
        <v>56405601.388627075</v>
      </c>
      <c r="B8247">
        <v>198635119.23224619</v>
      </c>
    </row>
    <row r="8248" spans="1:2" x14ac:dyDescent="0.25">
      <c r="A8248">
        <f ca="1">28918.0343350674*((RANDBETWEEN(1620,2416)))</f>
        <v>63532921.434143178</v>
      </c>
      <c r="B8248">
        <v>183277600.31308913</v>
      </c>
    </row>
    <row r="8249" spans="1:2" x14ac:dyDescent="0.25">
      <c r="A8249">
        <f ca="1">26829.3697419338*((RANDBETWEEN(1620,2416)))</f>
        <v>44509924.401868127</v>
      </c>
      <c r="B8249">
        <v>168292230.0855006</v>
      </c>
    </row>
    <row r="8250" spans="1:2" x14ac:dyDescent="0.25">
      <c r="A8250">
        <f ca="1">28483.1469131179*((RANDBETWEEN(1620,2416)))</f>
        <v>47367473.316515006</v>
      </c>
      <c r="B8250">
        <v>163602000.40058208</v>
      </c>
    </row>
    <row r="8251" spans="1:2" x14ac:dyDescent="0.25">
      <c r="A8251">
        <f ca="1">27120.4243139197*((RANDBETWEEN(1620,2416)))</f>
        <v>50769434.315657765</v>
      </c>
      <c r="B8251">
        <v>161075902.36987904</v>
      </c>
    </row>
    <row r="8252" spans="1:2" x14ac:dyDescent="0.25">
      <c r="A8252">
        <f ca="1">28511.6590951104*((RANDBETWEEN(1620,2416)))</f>
        <v>55341130.303609349</v>
      </c>
      <c r="B8252">
        <v>192705767.84710383</v>
      </c>
    </row>
    <row r="8253" spans="1:2" x14ac:dyDescent="0.25">
      <c r="A8253">
        <f ca="1">27350.1397495405*((RANDBETWEEN(1620,2416)))</f>
        <v>63889926.454926498</v>
      </c>
      <c r="B8253">
        <v>154643675.98859647</v>
      </c>
    </row>
    <row r="8254" spans="1:2" x14ac:dyDescent="0.25">
      <c r="A8254">
        <f ca="1">27867.376188804*((RANDBETWEEN(1620,2416)))</f>
        <v>45423823.187750503</v>
      </c>
      <c r="B8254">
        <v>169276275.94400996</v>
      </c>
    </row>
    <row r="8255" spans="1:2" x14ac:dyDescent="0.25">
      <c r="A8255">
        <f ca="1">31074.6200780717*((RANDBETWEEN(1620,2416)))</f>
        <v>51397421.609130673</v>
      </c>
      <c r="B8255">
        <v>192988246.0102095</v>
      </c>
    </row>
    <row r="8256" spans="1:2" x14ac:dyDescent="0.25">
      <c r="A8256">
        <f ca="1">27414.7298535389*((RANDBETWEEN(1620,2416)))</f>
        <v>64726177.184205428</v>
      </c>
      <c r="B8256">
        <v>142995532.9663381</v>
      </c>
    </row>
    <row r="8257" spans="1:2" x14ac:dyDescent="0.25">
      <c r="A8257">
        <f ca="1">27293.500512462*((RANDBETWEEN(1620,2416)))</f>
        <v>50083573.440367803</v>
      </c>
      <c r="B8257">
        <v>146167014.00264904</v>
      </c>
    </row>
    <row r="8258" spans="1:2" x14ac:dyDescent="0.25">
      <c r="A8258">
        <f ca="1">27564.6347994296*((RANDBETWEEN(1620,2416)))</f>
        <v>51766384.153328821</v>
      </c>
      <c r="B8258">
        <v>196931191.62071446</v>
      </c>
    </row>
    <row r="8259" spans="1:2" x14ac:dyDescent="0.25">
      <c r="A8259">
        <f ca="1">26306.916778355*((RANDBETWEEN(1620,2416)))</f>
        <v>56112653.488231175</v>
      </c>
      <c r="B8259">
        <v>150133339.36516836</v>
      </c>
    </row>
    <row r="8260" spans="1:2" x14ac:dyDescent="0.25">
      <c r="A8260">
        <f ca="1">26059.9458634205*((RANDBETWEEN(1620,2416)))</f>
        <v>49539957.086362392</v>
      </c>
      <c r="B8260">
        <v>152675973.10840151</v>
      </c>
    </row>
    <row r="8261" spans="1:2" x14ac:dyDescent="0.25">
      <c r="A8261">
        <f ca="1">28115.7711958726*((RANDBETWEEN(1620,2416)))</f>
        <v>57693562.493930601</v>
      </c>
      <c r="B8261">
        <v>153760848.71366042</v>
      </c>
    </row>
    <row r="8262" spans="1:2" x14ac:dyDescent="0.25">
      <c r="A8262">
        <f ca="1">30849.4783457516*((RANDBETWEEN(1620,2416)))</f>
        <v>56423695.89437975</v>
      </c>
      <c r="B8262">
        <v>159637467.63652936</v>
      </c>
    </row>
    <row r="8263" spans="1:2" x14ac:dyDescent="0.25">
      <c r="A8263">
        <f ca="1">33543.1554751278*((RANDBETWEEN(1620,2416)))</f>
        <v>73224708.402203992</v>
      </c>
      <c r="B8263">
        <v>182936016.30884472</v>
      </c>
    </row>
    <row r="8264" spans="1:2" x14ac:dyDescent="0.25">
      <c r="A8264">
        <f ca="1">26529.5643430857*((RANDBETWEEN(1620,2416)))</f>
        <v>57516095.495809838</v>
      </c>
      <c r="B8264">
        <v>145061604.08089161</v>
      </c>
    </row>
    <row r="8265" spans="1:2" x14ac:dyDescent="0.25">
      <c r="A8265">
        <f ca="1">28095.1698141025*((RANDBETWEEN(1620,2416)))</f>
        <v>67231741.365147367</v>
      </c>
      <c r="B8265">
        <v>170073585.45203614</v>
      </c>
    </row>
    <row r="8266" spans="1:2" x14ac:dyDescent="0.25">
      <c r="A8266">
        <f ca="1">27370.1930625648*((RANDBETWEEN(1620,2416)))</f>
        <v>52742362.031562299</v>
      </c>
      <c r="B8266">
        <v>196448941.55425614</v>
      </c>
    </row>
    <row r="8267" spans="1:2" x14ac:dyDescent="0.25">
      <c r="A8267">
        <f ca="1">26766.4645216892*((RANDBETWEEN(1620,2416)))</f>
        <v>63971850.206837222</v>
      </c>
      <c r="B8267">
        <v>198432234.75769633</v>
      </c>
    </row>
    <row r="8268" spans="1:2" x14ac:dyDescent="0.25">
      <c r="A8268">
        <f ca="1">24298.8359686801*((RANDBETWEEN(1620,2416)))</f>
        <v>40992136.279163383</v>
      </c>
      <c r="B8268">
        <v>157276363.74945024</v>
      </c>
    </row>
    <row r="8269" spans="1:2" x14ac:dyDescent="0.25">
      <c r="A8269">
        <f ca="1">26371.3742117455*((RANDBETWEEN(1620,2416)))</f>
        <v>48154129.310647324</v>
      </c>
      <c r="B8269">
        <v>143752678.05450869</v>
      </c>
    </row>
    <row r="8270" spans="1:2" x14ac:dyDescent="0.25">
      <c r="A8270">
        <f ca="1">33208.5703618229*((RANDBETWEEN(1620,2416)))</f>
        <v>77143508.950514644</v>
      </c>
      <c r="B8270">
        <v>186394886.22351173</v>
      </c>
    </row>
    <row r="8271" spans="1:2" x14ac:dyDescent="0.25">
      <c r="A8271">
        <f ca="1">26542.0175996639*((RANDBETWEEN(1620,2416)))</f>
        <v>50774879.668157116</v>
      </c>
      <c r="B8271">
        <v>166314114.52783978</v>
      </c>
    </row>
    <row r="8272" spans="1:2" x14ac:dyDescent="0.25">
      <c r="A8272">
        <f ca="1">26976.2549164923*((RANDBETWEEN(1620,2416)))</f>
        <v>50418620.438924268</v>
      </c>
      <c r="B8272">
        <v>169028870.07044354</v>
      </c>
    </row>
    <row r="8273" spans="1:2" x14ac:dyDescent="0.25">
      <c r="A8273">
        <f ca="1">27880.2381604054*((RANDBETWEEN(1620,2416)))</f>
        <v>54394344.650950879</v>
      </c>
      <c r="B8273">
        <v>194210527.26347929</v>
      </c>
    </row>
    <row r="8274" spans="1:2" x14ac:dyDescent="0.25">
      <c r="A8274">
        <f ca="1">26503.6895353157*((RANDBETWEEN(1620,2416)))</f>
        <v>44102139.386765361</v>
      </c>
      <c r="B8274">
        <v>161109349.14637133</v>
      </c>
    </row>
    <row r="8275" spans="1:2" x14ac:dyDescent="0.25">
      <c r="A8275">
        <f ca="1">30961.683599993*((RANDBETWEEN(1620,2416)))</f>
        <v>74339002.323583245</v>
      </c>
      <c r="B8275">
        <v>188798040.71771321</v>
      </c>
    </row>
    <row r="8276" spans="1:2" x14ac:dyDescent="0.25">
      <c r="A8276">
        <f ca="1">26401.7028853063*((RANDBETWEEN(1620,2416)))</f>
        <v>47787082.222404428</v>
      </c>
      <c r="B8276">
        <v>177152084.43462592</v>
      </c>
    </row>
    <row r="8277" spans="1:2" x14ac:dyDescent="0.25">
      <c r="A8277">
        <f ca="1">27172.6387844583*((RANDBETWEEN(1620,2416)))</f>
        <v>49916137.447049931</v>
      </c>
      <c r="B8277">
        <v>192831275.72289437</v>
      </c>
    </row>
    <row r="8278" spans="1:2" x14ac:dyDescent="0.25">
      <c r="A8278">
        <f ca="1">26948.0122233707*((RANDBETWEEN(1620,2416)))</f>
        <v>48991486.22208789</v>
      </c>
      <c r="B8278">
        <v>161514211.4566783</v>
      </c>
    </row>
    <row r="8279" spans="1:2" x14ac:dyDescent="0.25">
      <c r="A8279">
        <f ca="1">26372.6700363904*((RANDBETWEEN(1620,2416)))</f>
        <v>46152172.563683115</v>
      </c>
      <c r="B8279">
        <v>144561365.7348628</v>
      </c>
    </row>
    <row r="8280" spans="1:2" x14ac:dyDescent="0.25">
      <c r="A8280">
        <f ca="1">31356.4601045712*((RANDBETWEEN(1620,2416)))</f>
        <v>60612037.382136099</v>
      </c>
      <c r="B8280">
        <v>147399761.04853559</v>
      </c>
    </row>
    <row r="8281" spans="1:2" x14ac:dyDescent="0.25">
      <c r="A8281">
        <f ca="1">26904.9546758406*((RANDBETWEEN(1620,2416)))</f>
        <v>48079154.00572709</v>
      </c>
      <c r="B8281">
        <v>144422925.5808019</v>
      </c>
    </row>
    <row r="8282" spans="1:2" x14ac:dyDescent="0.25">
      <c r="A8282">
        <f ca="1">33302.6788739127*((RANDBETWEEN(1620,2416)))</f>
        <v>72666445.302877411</v>
      </c>
      <c r="B8282">
        <v>162812502.94173071</v>
      </c>
    </row>
    <row r="8283" spans="1:2" x14ac:dyDescent="0.25">
      <c r="A8283">
        <f ca="1">28291.0454552691*((RANDBETWEEN(1620,2416)))</f>
        <v>50527807.18311055</v>
      </c>
      <c r="B8283">
        <v>150357833.80616894</v>
      </c>
    </row>
    <row r="8284" spans="1:2" x14ac:dyDescent="0.25">
      <c r="A8284">
        <f ca="1">28140.872861985*((RANDBETWEEN(1620,2416)))</f>
        <v>60728003.636163607</v>
      </c>
      <c r="B8284">
        <v>201857493.6979115</v>
      </c>
    </row>
    <row r="8285" spans="1:2" x14ac:dyDescent="0.25">
      <c r="A8285">
        <f ca="1">34362.7857611301*((RANDBETWEEN(1620,2416)))</f>
        <v>81542890.611161813</v>
      </c>
      <c r="B8285">
        <v>193272091.5383594</v>
      </c>
    </row>
    <row r="8286" spans="1:2" x14ac:dyDescent="0.25">
      <c r="A8286">
        <f ca="1">26387.8255126592*((RANDBETWEEN(1620,2416)))</f>
        <v>44595425.11639408</v>
      </c>
      <c r="B8286">
        <v>156694693.68540362</v>
      </c>
    </row>
    <row r="8287" spans="1:2" x14ac:dyDescent="0.25">
      <c r="A8287">
        <f ca="1">28075.6738336764*((RANDBETWEEN(1620,2416)))</f>
        <v>50143153.466945991</v>
      </c>
      <c r="B8287">
        <v>152634517.0015597</v>
      </c>
    </row>
    <row r="8288" spans="1:2" x14ac:dyDescent="0.25">
      <c r="A8288">
        <f ca="1">29329.2433469432*((RANDBETWEEN(1620,2416)))</f>
        <v>64700310.823356889</v>
      </c>
      <c r="B8288">
        <v>152051605.19351351</v>
      </c>
    </row>
    <row r="8289" spans="1:2" x14ac:dyDescent="0.25">
      <c r="A8289">
        <f ca="1">25865.0586388165*((RANDBETWEEN(1620,2416)))</f>
        <v>46350185.080759153</v>
      </c>
      <c r="B8289">
        <v>182068253.85037249</v>
      </c>
    </row>
    <row r="8290" spans="1:2" x14ac:dyDescent="0.25">
      <c r="A8290">
        <f ca="1">26255.8824810702*((RANDBETWEEN(1620,2416)))</f>
        <v>58786920.87511614</v>
      </c>
      <c r="B8290">
        <v>175105339.98713082</v>
      </c>
    </row>
    <row r="8291" spans="1:2" x14ac:dyDescent="0.25">
      <c r="A8291">
        <f ca="1">25200.348295264*((RANDBETWEEN(1620,2416)))</f>
        <v>60304433.470566817</v>
      </c>
      <c r="B8291">
        <v>160446842.7385149</v>
      </c>
    </row>
    <row r="8292" spans="1:2" x14ac:dyDescent="0.25">
      <c r="A8292">
        <f ca="1">28817.7289157102*((RANDBETWEEN(1620,2416)))</f>
        <v>47030533.590438984</v>
      </c>
      <c r="B8292">
        <v>168889960.30623358</v>
      </c>
    </row>
    <row r="8293" spans="1:2" x14ac:dyDescent="0.25">
      <c r="A8293">
        <f ca="1">28476.8770596776*((RANDBETWEEN(1620,2416)))</f>
        <v>63617343.351319775</v>
      </c>
      <c r="B8293">
        <v>182392863.08608365</v>
      </c>
    </row>
    <row r="8294" spans="1:2" x14ac:dyDescent="0.25">
      <c r="A8294">
        <f ca="1">28786.0892210312*((RANDBETWEEN(1620,2416)))</f>
        <v>59558418.59831351</v>
      </c>
      <c r="B8294">
        <v>175212903.34996191</v>
      </c>
    </row>
    <row r="8295" spans="1:2" x14ac:dyDescent="0.25">
      <c r="A8295">
        <f ca="1">26600.902041931*((RANDBETWEEN(1620,2416)))</f>
        <v>47323004.732595265</v>
      </c>
      <c r="B8295">
        <v>148393190.14193493</v>
      </c>
    </row>
    <row r="8296" spans="1:2" x14ac:dyDescent="0.25">
      <c r="A8296">
        <f ca="1">26665.9451804482*((RANDBETWEEN(1620,2416)))</f>
        <v>54051870.880768448</v>
      </c>
      <c r="B8296">
        <v>192764035.75551626</v>
      </c>
    </row>
    <row r="8297" spans="1:2" x14ac:dyDescent="0.25">
      <c r="A8297">
        <f ca="1">28724.9846898716*((RANDBETWEEN(1620,2416)))</f>
        <v>66096189.771394499</v>
      </c>
      <c r="B8297">
        <v>181382690.61867809</v>
      </c>
    </row>
    <row r="8298" spans="1:2" x14ac:dyDescent="0.25">
      <c r="A8298">
        <f ca="1">28851.5940930336*((RANDBETWEEN(1620,2416)))</f>
        <v>52163682.120204665</v>
      </c>
      <c r="B8298">
        <v>145584911.26905149</v>
      </c>
    </row>
    <row r="8299" spans="1:2" x14ac:dyDescent="0.25">
      <c r="A8299">
        <f ca="1">27349.76847926*((RANDBETWEEN(1620,2416)))</f>
        <v>54398689.505248144</v>
      </c>
      <c r="B8299">
        <v>172262367.46515149</v>
      </c>
    </row>
    <row r="8300" spans="1:2" x14ac:dyDescent="0.25">
      <c r="A8300">
        <f ca="1">30369.8411494842*((RANDBETWEEN(1620,2416)))</f>
        <v>62895941.020581812</v>
      </c>
      <c r="B8300">
        <v>190142462.29046801</v>
      </c>
    </row>
    <row r="8301" spans="1:2" x14ac:dyDescent="0.25">
      <c r="A8301">
        <f ca="1">26200.2224438022*((RANDBETWEEN(1620,2416)))</f>
        <v>57299886.484595515</v>
      </c>
      <c r="B8301">
        <v>146243240.617241</v>
      </c>
    </row>
    <row r="8302" spans="1:2" x14ac:dyDescent="0.25">
      <c r="A8302">
        <f ca="1">30782.1524616646*((RANDBETWEEN(1620,2416)))</f>
        <v>57039328.511464559</v>
      </c>
      <c r="B8302">
        <v>183695756.3400476</v>
      </c>
    </row>
    <row r="8303" spans="1:2" x14ac:dyDescent="0.25">
      <c r="A8303">
        <f ca="1">27169.2034905447*((RANDBETWEEN(1620,2416)))</f>
        <v>54175391.760146193</v>
      </c>
      <c r="B8303">
        <v>187826033.33575335</v>
      </c>
    </row>
    <row r="8304" spans="1:2" x14ac:dyDescent="0.25">
      <c r="A8304">
        <f ca="1">28810.9151145442*((RANDBETWEEN(1620,2416)))</f>
        <v>46932980.721592531</v>
      </c>
      <c r="B8304">
        <v>176626953.46301061</v>
      </c>
    </row>
    <row r="8305" spans="1:2" x14ac:dyDescent="0.25">
      <c r="A8305">
        <f ca="1">26108.8348791776*((RANDBETWEEN(1620,2416)))</f>
        <v>61695176.819496706</v>
      </c>
      <c r="B8305">
        <v>157514475.84631968</v>
      </c>
    </row>
    <row r="8306" spans="1:2" x14ac:dyDescent="0.25">
      <c r="A8306">
        <f ca="1">29856.7044474712*((RANDBETWEEN(1620,2416)))</f>
        <v>55354330.045611694</v>
      </c>
      <c r="B8306">
        <v>166940439.93141374</v>
      </c>
    </row>
    <row r="8307" spans="1:2" x14ac:dyDescent="0.25">
      <c r="A8307">
        <f ca="1">26427.3150036237*((RANDBETWEEN(1620,2416)))</f>
        <v>46379937.831359662</v>
      </c>
      <c r="B8307">
        <v>150037795.78832498</v>
      </c>
    </row>
    <row r="8308" spans="1:2" x14ac:dyDescent="0.25">
      <c r="A8308">
        <f ca="1">28532.295633677*((RANDBETWEEN(1620,2416)))</f>
        <v>55609444.190036453</v>
      </c>
      <c r="B8308">
        <v>150004049.49146587</v>
      </c>
    </row>
    <row r="8309" spans="1:2" x14ac:dyDescent="0.25">
      <c r="A8309">
        <f ca="1">26929.8634636022*((RANDBETWEEN(1620,2416)))</f>
        <v>50978231.536598891</v>
      </c>
      <c r="B8309">
        <v>173753835.01233116</v>
      </c>
    </row>
    <row r="8310" spans="1:2" x14ac:dyDescent="0.25">
      <c r="A8310">
        <f ca="1">28237.1028524714*((RANDBETWEEN(1620,2416)))</f>
        <v>47268910.175037079</v>
      </c>
      <c r="B8310">
        <v>195635269.18512106</v>
      </c>
    </row>
    <row r="8311" spans="1:2" x14ac:dyDescent="0.25">
      <c r="A8311">
        <f ca="1">27094.4540931915*((RANDBETWEEN(1620,2416)))</f>
        <v>50802101.424734138</v>
      </c>
      <c r="B8311">
        <v>151206775.74047375</v>
      </c>
    </row>
    <row r="8312" spans="1:2" x14ac:dyDescent="0.25">
      <c r="A8312">
        <f ca="1">26354.3823803033*((RANDBETWEEN(1620,2416)))</f>
        <v>51944487.671577826</v>
      </c>
      <c r="B8312">
        <v>152622543.29204386</v>
      </c>
    </row>
    <row r="8313" spans="1:2" x14ac:dyDescent="0.25">
      <c r="A8313">
        <f ca="1">31842.446156862*((RANDBETWEEN(1620,2416)))</f>
        <v>62920673.605959386</v>
      </c>
      <c r="B8313">
        <v>154881017.07538214</v>
      </c>
    </row>
    <row r="8314" spans="1:2" x14ac:dyDescent="0.25">
      <c r="A8314">
        <f ca="1">26310.1691968974*((RANDBETWEEN(1620,2416)))</f>
        <v>48305470.64550367</v>
      </c>
      <c r="B8314">
        <v>144363487.20445764</v>
      </c>
    </row>
    <row r="8315" spans="1:2" x14ac:dyDescent="0.25">
      <c r="A8315">
        <f ca="1">31238.3239252667*((RANDBETWEEN(1620,2416)))</f>
        <v>71567000.112786099</v>
      </c>
      <c r="B8315">
        <v>174243969.91097915</v>
      </c>
    </row>
    <row r="8316" spans="1:2" x14ac:dyDescent="0.25">
      <c r="A8316">
        <f ca="1">26772.8492498011*((RANDBETWEEN(1620,2416)))</f>
        <v>59462498.183808252</v>
      </c>
      <c r="B8316">
        <v>170981165.79246685</v>
      </c>
    </row>
    <row r="8317" spans="1:2" x14ac:dyDescent="0.25">
      <c r="A8317">
        <f ca="1">28637.2893784904*((RANDBETWEEN(1620,2416)))</f>
        <v>62515202.713244535</v>
      </c>
      <c r="B8317">
        <v>183696796.05662113</v>
      </c>
    </row>
    <row r="8318" spans="1:2" x14ac:dyDescent="0.25">
      <c r="A8318">
        <f ca="1">27221.3453595066*((RANDBETWEEN(1620,2416)))</f>
        <v>50658923.714041822</v>
      </c>
      <c r="B8318">
        <v>154494877.50995681</v>
      </c>
    </row>
    <row r="8319" spans="1:2" x14ac:dyDescent="0.25">
      <c r="A8319">
        <f ca="1">27360.68918536*((RANDBETWEEN(1620,2416)))</f>
        <v>51821145.317071766</v>
      </c>
      <c r="B8319">
        <v>164745567.38715771</v>
      </c>
    </row>
    <row r="8320" spans="1:2" x14ac:dyDescent="0.25">
      <c r="A8320">
        <f ca="1">26884.3600996432*((RANDBETWEEN(1620,2416)))</f>
        <v>58473483.216723889</v>
      </c>
      <c r="B8320">
        <v>203573811.20085937</v>
      </c>
    </row>
    <row r="8321" spans="1:2" x14ac:dyDescent="0.25">
      <c r="A8321">
        <f ca="1">24939.096940337*((RANDBETWEEN(1620,2416)))</f>
        <v>53220032.870679058</v>
      </c>
      <c r="B8321">
        <v>145058643.13442597</v>
      </c>
    </row>
    <row r="8322" spans="1:2" x14ac:dyDescent="0.25">
      <c r="A8322">
        <f ca="1">31740.2859868602*((RANDBETWEEN(1620,2416)))</f>
        <v>75160997.216885</v>
      </c>
      <c r="B8322">
        <v>197971160.68345577</v>
      </c>
    </row>
    <row r="8323" spans="1:2" x14ac:dyDescent="0.25">
      <c r="A8323">
        <f ca="1">27022.3357715025*((RANDBETWEEN(1620,2416)))</f>
        <v>60800255.485880643</v>
      </c>
      <c r="B8323">
        <v>199036435.75154385</v>
      </c>
    </row>
    <row r="8324" spans="1:2" x14ac:dyDescent="0.25">
      <c r="A8324">
        <f ca="1">27284.6232369765*((RANDBETWEEN(1620,2416)))</f>
        <v>58307239.857418835</v>
      </c>
      <c r="B8324">
        <v>151612012.71243241</v>
      </c>
    </row>
    <row r="8325" spans="1:2" x14ac:dyDescent="0.25">
      <c r="A8325">
        <f ca="1">25442.2766563899*((RANDBETWEEN(1620,2416)))</f>
        <v>59738465.589203373</v>
      </c>
      <c r="B8325">
        <v>157799931.15232739</v>
      </c>
    </row>
    <row r="8326" spans="1:2" x14ac:dyDescent="0.25">
      <c r="A8326">
        <f ca="1">29143.2808859524*((RANDBETWEEN(1620,2416)))</f>
        <v>53827639.796354175</v>
      </c>
      <c r="B8326">
        <v>201975973.83446732</v>
      </c>
    </row>
    <row r="8327" spans="1:2" x14ac:dyDescent="0.25">
      <c r="A8327">
        <f ca="1">26372.8523747577*((RANDBETWEEN(1620,2416)))</f>
        <v>57044479.686600938</v>
      </c>
      <c r="B8327">
        <v>154448586.97370416</v>
      </c>
    </row>
    <row r="8328" spans="1:2" x14ac:dyDescent="0.25">
      <c r="A8328">
        <f ca="1">27193.4130292649*((RANDBETWEEN(1620,2416)))</f>
        <v>52292933.255276427</v>
      </c>
      <c r="B8328">
        <v>143179596.49181703</v>
      </c>
    </row>
    <row r="8329" spans="1:2" x14ac:dyDescent="0.25">
      <c r="A8329">
        <f ca="1">28834.3454802293*((RANDBETWEEN(1620,2416)))</f>
        <v>64502430.839272946</v>
      </c>
      <c r="B8329">
        <v>174275189.15074366</v>
      </c>
    </row>
    <row r="8330" spans="1:2" x14ac:dyDescent="0.25">
      <c r="A8330">
        <f ca="1">30184.1380298276*((RANDBETWEEN(1620,2416)))</f>
        <v>64533687.107771471</v>
      </c>
      <c r="B8330">
        <v>190803051.70662397</v>
      </c>
    </row>
    <row r="8331" spans="1:2" x14ac:dyDescent="0.25">
      <c r="A8331">
        <f ca="1">28726.5181354576*((RANDBETWEEN(1620,2416)))</f>
        <v>56763599.835664287</v>
      </c>
      <c r="B8331">
        <v>147641374.01731613</v>
      </c>
    </row>
    <row r="8332" spans="1:2" x14ac:dyDescent="0.25">
      <c r="A8332">
        <f ca="1">27853.002803191*((RANDBETWEEN(1620,2416)))</f>
        <v>55900976.626004405</v>
      </c>
      <c r="B8332">
        <v>150500455.10659546</v>
      </c>
    </row>
    <row r="8333" spans="1:2" x14ac:dyDescent="0.25">
      <c r="A8333">
        <f ca="1">24594.7908024526*((RANDBETWEEN(1620,2416)))</f>
        <v>43286831.812316544</v>
      </c>
      <c r="B8333">
        <v>183671887.61072356</v>
      </c>
    </row>
    <row r="8334" spans="1:2" x14ac:dyDescent="0.25">
      <c r="A8334">
        <f ca="1">28239.2126750653*((RANDBETWEEN(1620,2416)))</f>
        <v>67491718.293406129</v>
      </c>
      <c r="B8334">
        <v>161908132.09198228</v>
      </c>
    </row>
    <row r="8335" spans="1:2" x14ac:dyDescent="0.25">
      <c r="A8335">
        <f ca="1">28664.8842413534*((RANDBETWEEN(1620,2416)))</f>
        <v>52055429.782297686</v>
      </c>
      <c r="B8335">
        <v>167409236.5038949</v>
      </c>
    </row>
    <row r="8336" spans="1:2" x14ac:dyDescent="0.25">
      <c r="A8336">
        <f ca="1">30238.6682567335*((RANDBETWEEN(1620,2416)))</f>
        <v>61172825.883371949</v>
      </c>
      <c r="B8336">
        <v>194612126.69056916</v>
      </c>
    </row>
    <row r="8337" spans="1:2" x14ac:dyDescent="0.25">
      <c r="A8337">
        <f ca="1">30767.8949205423*((RANDBETWEEN(1620,2416)))</f>
        <v>61135807.207117639</v>
      </c>
      <c r="B8337">
        <v>144551614.72820264</v>
      </c>
    </row>
    <row r="8338" spans="1:2" x14ac:dyDescent="0.25">
      <c r="A8338">
        <f ca="1">28495.8091424094*((RANDBETWEEN(1620,2416)))</f>
        <v>50238111.518067785</v>
      </c>
      <c r="B8338">
        <v>199855951.01512891</v>
      </c>
    </row>
    <row r="8339" spans="1:2" x14ac:dyDescent="0.25">
      <c r="A8339">
        <f ca="1">27894.5337591989*((RANDBETWEEN(1620,2416)))</f>
        <v>49735953.69265157</v>
      </c>
      <c r="B8339">
        <v>169743806.08922589</v>
      </c>
    </row>
    <row r="8340" spans="1:2" x14ac:dyDescent="0.25">
      <c r="A8340">
        <f ca="1">31436.190719847*((RANDBETWEEN(1620,2416)))</f>
        <v>73340632.949403137</v>
      </c>
      <c r="B8340">
        <v>184205621.5068455</v>
      </c>
    </row>
    <row r="8341" spans="1:2" x14ac:dyDescent="0.25">
      <c r="A8341">
        <f ca="1">26589.3869542735*((RANDBETWEEN(1620,2416)))</f>
        <v>53125595.134638406</v>
      </c>
      <c r="B8341">
        <v>172465276.66403764</v>
      </c>
    </row>
    <row r="8342" spans="1:2" x14ac:dyDescent="0.25">
      <c r="A8342">
        <f ca="1">27329.7495642473*((RANDBETWEEN(1620,2416)))</f>
        <v>56845879.093634382</v>
      </c>
      <c r="B8342">
        <v>181590608.14845571</v>
      </c>
    </row>
    <row r="8343" spans="1:2" x14ac:dyDescent="0.25">
      <c r="A8343">
        <f ca="1">30838.3946160402*((RANDBETWEEN(1620,2416)))</f>
        <v>69941478.989179194</v>
      </c>
      <c r="B8343">
        <v>200386103.2777667</v>
      </c>
    </row>
    <row r="8344" spans="1:2" x14ac:dyDescent="0.25">
      <c r="A8344">
        <f ca="1">27439.2786259524*((RANDBETWEEN(1620,2416)))</f>
        <v>51503525.980912715</v>
      </c>
      <c r="B8344">
        <v>198540300.454023</v>
      </c>
    </row>
    <row r="8345" spans="1:2" x14ac:dyDescent="0.25">
      <c r="A8345">
        <f ca="1">26754.0181155431*((RANDBETWEEN(1620,2416)))</f>
        <v>58805331.817963831</v>
      </c>
      <c r="B8345">
        <v>156171828.59526658</v>
      </c>
    </row>
    <row r="8346" spans="1:2" x14ac:dyDescent="0.25">
      <c r="A8346">
        <f ca="1">26131.1984033043*((RANDBETWEEN(1620,2416)))</f>
        <v>45572810.015362643</v>
      </c>
      <c r="B8346">
        <v>182275928.86351106</v>
      </c>
    </row>
    <row r="8347" spans="1:2" x14ac:dyDescent="0.25">
      <c r="A8347">
        <f ca="1">26817.4443789615*((RANDBETWEEN(1620,2416)))</f>
        <v>62162836.070432715</v>
      </c>
      <c r="B8347">
        <v>148365385.78894636</v>
      </c>
    </row>
    <row r="8348" spans="1:2" x14ac:dyDescent="0.25">
      <c r="A8348">
        <f ca="1">29243.1862227718*((RANDBETWEEN(1620,2416)))</f>
        <v>65475493.952785954</v>
      </c>
      <c r="B8348">
        <v>150670129.76967049</v>
      </c>
    </row>
    <row r="8349" spans="1:2" x14ac:dyDescent="0.25">
      <c r="A8349">
        <f ca="1">27861.5678916532*((RANDBETWEEN(1620,2416)))</f>
        <v>56308228.709031023</v>
      </c>
      <c r="B8349">
        <v>193050539.75053239</v>
      </c>
    </row>
    <row r="8350" spans="1:2" x14ac:dyDescent="0.25">
      <c r="A8350">
        <f ca="1">28140.7729639265*((RANDBETWEEN(1620,2416)))</f>
        <v>49415197.324654885</v>
      </c>
      <c r="B8350">
        <v>145411789.92510331</v>
      </c>
    </row>
    <row r="8351" spans="1:2" x14ac:dyDescent="0.25">
      <c r="A8351">
        <f ca="1">30936.7406069492*((RANDBETWEEN(1620,2416)))</f>
        <v>58161072.341064557</v>
      </c>
      <c r="B8351">
        <v>175962215.13205516</v>
      </c>
    </row>
    <row r="8352" spans="1:2" x14ac:dyDescent="0.25">
      <c r="A8352">
        <f ca="1">28207.0190686628*((RANDBETWEEN(1620,2416)))</f>
        <v>61745164.7413029</v>
      </c>
      <c r="B8352">
        <v>202439341.24507141</v>
      </c>
    </row>
    <row r="8353" spans="1:2" x14ac:dyDescent="0.25">
      <c r="A8353">
        <f ca="1">29827.5326249551*((RANDBETWEEN(1620,2416)))</f>
        <v>62369370.718781054</v>
      </c>
      <c r="B8353">
        <v>192382609.14391786</v>
      </c>
    </row>
    <row r="8354" spans="1:2" x14ac:dyDescent="0.25">
      <c r="A8354">
        <f ca="1">26782.942893859*((RANDBETWEEN(1620,2416)))</f>
        <v>45691700.576923527</v>
      </c>
      <c r="B8354">
        <v>145317965.3672722</v>
      </c>
    </row>
    <row r="8355" spans="1:2" x14ac:dyDescent="0.25">
      <c r="A8355">
        <f ca="1">27877.9619325808*((RANDBETWEEN(1620,2416)))</f>
        <v>47559803.056982823</v>
      </c>
      <c r="B8355">
        <v>153800450.9275547</v>
      </c>
    </row>
    <row r="8356" spans="1:2" x14ac:dyDescent="0.25">
      <c r="A8356">
        <f ca="1">34648.355181109*((RANDBETWEEN(1620,2416)))</f>
        <v>79795161.98209393</v>
      </c>
      <c r="B8356">
        <v>187624588.53508222</v>
      </c>
    </row>
    <row r="8357" spans="1:2" x14ac:dyDescent="0.25">
      <c r="A8357">
        <f ca="1">28673.8713015406*((RANDBETWEEN(1620,2416)))</f>
        <v>67125532.716906592</v>
      </c>
      <c r="B8357">
        <v>176470532.97542462</v>
      </c>
    </row>
    <row r="8358" spans="1:2" x14ac:dyDescent="0.25">
      <c r="A8358">
        <f ca="1">29715.4503704873*((RANDBETWEEN(1620,2416)))</f>
        <v>64512242.754328005</v>
      </c>
      <c r="B8358">
        <v>164206052.94792336</v>
      </c>
    </row>
    <row r="8359" spans="1:2" x14ac:dyDescent="0.25">
      <c r="A8359">
        <f ca="1">25929.8630728773*((RANDBETWEEN(1620,2416)))</f>
        <v>49914986.415288895</v>
      </c>
      <c r="B8359">
        <v>146981351.33639789</v>
      </c>
    </row>
    <row r="8360" spans="1:2" x14ac:dyDescent="0.25">
      <c r="A8360">
        <f ca="1">27759.261547248*((RANDBETWEEN(1620,2416)))</f>
        <v>45969337.122242674</v>
      </c>
      <c r="B8360">
        <v>146054601.63734588</v>
      </c>
    </row>
    <row r="8361" spans="1:2" x14ac:dyDescent="0.25">
      <c r="A8361">
        <f ca="1">25704.9217385196*((RANDBETWEEN(1620,2416)))</f>
        <v>43826891.564175993</v>
      </c>
      <c r="B8361">
        <v>146084985.83329552</v>
      </c>
    </row>
    <row r="8362" spans="1:2" x14ac:dyDescent="0.25">
      <c r="A8362">
        <f ca="1">27621.5444682983*((RANDBETWEEN(1620,2416)))</f>
        <v>49111106.064634465</v>
      </c>
      <c r="B8362">
        <v>158521179.15443045</v>
      </c>
    </row>
    <row r="8363" spans="1:2" x14ac:dyDescent="0.25">
      <c r="A8363">
        <f ca="1">32466.8051413908*((RANDBETWEEN(1620,2416)))</f>
        <v>53115693.211315386</v>
      </c>
      <c r="B8363">
        <v>186157454.68199608</v>
      </c>
    </row>
    <row r="8364" spans="1:2" x14ac:dyDescent="0.25">
      <c r="A8364">
        <f ca="1">27341.138844883*((RANDBETWEEN(1620,2416)))</f>
        <v>51483364.444914758</v>
      </c>
      <c r="B8364">
        <v>145755164.58518064</v>
      </c>
    </row>
    <row r="8365" spans="1:2" x14ac:dyDescent="0.25">
      <c r="A8365">
        <f ca="1">29231.8579354935*((RANDBETWEEN(1620,2416)))</f>
        <v>52383489.420404263</v>
      </c>
      <c r="B8365">
        <v>188613647.61752027</v>
      </c>
    </row>
    <row r="8366" spans="1:2" x14ac:dyDescent="0.25">
      <c r="A8366">
        <f ca="1">31682.7794636467*((RANDBETWEEN(1620,2416)))</f>
        <v>62098247.74874755</v>
      </c>
      <c r="B8366">
        <v>195784034.64782995</v>
      </c>
    </row>
    <row r="8367" spans="1:2" x14ac:dyDescent="0.25">
      <c r="A8367">
        <f ca="1">28842.5802571725*((RANDBETWEEN(1620,2416)))</f>
        <v>54425948.945284463</v>
      </c>
      <c r="B8367">
        <v>167512387.78113043</v>
      </c>
    </row>
    <row r="8368" spans="1:2" x14ac:dyDescent="0.25">
      <c r="A8368">
        <f ca="1">27259.3408365195*((RANDBETWEEN(1620,2416)))</f>
        <v>55145646.512278982</v>
      </c>
      <c r="B8368">
        <v>162712655.16498774</v>
      </c>
    </row>
    <row r="8369" spans="1:2" x14ac:dyDescent="0.25">
      <c r="A8369">
        <f ca="1">26706.1337409964*((RANDBETWEEN(1620,2416)))</f>
        <v>60889984.929471694</v>
      </c>
      <c r="B8369">
        <v>160286229.09963718</v>
      </c>
    </row>
    <row r="8370" spans="1:2" x14ac:dyDescent="0.25">
      <c r="A8370">
        <f ca="1">32807.1446881878*((RANDBETWEEN(1620,2416)))</f>
        <v>72831861.207776919</v>
      </c>
      <c r="B8370">
        <v>181588732.15160194</v>
      </c>
    </row>
    <row r="8371" spans="1:2" x14ac:dyDescent="0.25">
      <c r="A8371">
        <f ca="1">27262.4231653044*((RANDBETWEEN(1620,2416)))</f>
        <v>65838751.944210239</v>
      </c>
      <c r="B8371">
        <v>179824582.74824762</v>
      </c>
    </row>
    <row r="8372" spans="1:2" x14ac:dyDescent="0.25">
      <c r="A8372">
        <f ca="1">26052.1611415067*((RANDBETWEEN(1620,2416)))</f>
        <v>47623350.566674247</v>
      </c>
      <c r="B8372">
        <v>171538017.46156511</v>
      </c>
    </row>
    <row r="8373" spans="1:2" x14ac:dyDescent="0.25">
      <c r="A8373">
        <f ca="1">28092.4996776124*((RANDBETWEEN(1620,2416)))</f>
        <v>55623149.361672625</v>
      </c>
      <c r="B8373">
        <v>166618712.76044309</v>
      </c>
    </row>
    <row r="8374" spans="1:2" x14ac:dyDescent="0.25">
      <c r="A8374">
        <f ca="1">27911.9335768824*((RANDBETWEEN(1620,2416)))</f>
        <v>46919960.342739344</v>
      </c>
      <c r="B8374">
        <v>200254534.52408347</v>
      </c>
    </row>
    <row r="8375" spans="1:2" x14ac:dyDescent="0.25">
      <c r="A8375">
        <f ca="1">25907.0875412401*((RANDBETWEEN(1620,2416)))</f>
        <v>47358156.025386885</v>
      </c>
      <c r="B8375">
        <v>155744059.53673786</v>
      </c>
    </row>
    <row r="8376" spans="1:2" x14ac:dyDescent="0.25">
      <c r="A8376">
        <f ca="1">27352.0065632773*((RANDBETWEEN(1620,2416)))</f>
        <v>48276291.584184356</v>
      </c>
      <c r="B8376">
        <v>143217008.33260038</v>
      </c>
    </row>
    <row r="8377" spans="1:2" x14ac:dyDescent="0.25">
      <c r="A8377">
        <f ca="1">26328.8886070982*((RANDBETWEEN(1620,2416)))</f>
        <v>61346310.454538845</v>
      </c>
      <c r="B8377">
        <v>157639906.16679433</v>
      </c>
    </row>
    <row r="8378" spans="1:2" x14ac:dyDescent="0.25">
      <c r="A8378">
        <f ca="1">26307.0521303958*((RANDBETWEEN(1620,2416)))</f>
        <v>46984395.104886934</v>
      </c>
      <c r="B8378">
        <v>169086473.00202817</v>
      </c>
    </row>
    <row r="8379" spans="1:2" x14ac:dyDescent="0.25">
      <c r="A8379">
        <f ca="1">30435.74621907*((RANDBETWEEN(1620,2416)))</f>
        <v>53658220.584220424</v>
      </c>
      <c r="B8379">
        <v>182811892.39975721</v>
      </c>
    </row>
    <row r="8380" spans="1:2" x14ac:dyDescent="0.25">
      <c r="A8380">
        <f ca="1">31694.0271103772*((RANDBETWEEN(1620,2416)))</f>
        <v>54101704.277413957</v>
      </c>
      <c r="B8380">
        <v>146507625.08704656</v>
      </c>
    </row>
    <row r="8381" spans="1:2" x14ac:dyDescent="0.25">
      <c r="A8381">
        <f ca="1">27071.2387738595*((RANDBETWEEN(1620,2416)))</f>
        <v>61262213.345244087</v>
      </c>
      <c r="B8381">
        <v>188630614.08508435</v>
      </c>
    </row>
    <row r="8382" spans="1:2" x14ac:dyDescent="0.25">
      <c r="A8382">
        <f ca="1">28577.5444575957*((RANDBETWEEN(1620,2416)))</f>
        <v>57040778.737361066</v>
      </c>
      <c r="B8382">
        <v>191980213.58122426</v>
      </c>
    </row>
    <row r="8383" spans="1:2" x14ac:dyDescent="0.25">
      <c r="A8383">
        <f ca="1">29995.5109846638*((RANDBETWEEN(1620,2416)))</f>
        <v>70519446.32494466</v>
      </c>
      <c r="B8383">
        <v>199462706.99318379</v>
      </c>
    </row>
    <row r="8384" spans="1:2" x14ac:dyDescent="0.25">
      <c r="A8384">
        <f ca="1">26850.3675899649*((RANDBETWEEN(1620,2416)))</f>
        <v>49109322.322045982</v>
      </c>
      <c r="B8384">
        <v>169615336.28814858</v>
      </c>
    </row>
    <row r="8385" spans="1:2" x14ac:dyDescent="0.25">
      <c r="A8385">
        <f ca="1">29462.1903099682*((RANDBETWEEN(1620,2416)))</f>
        <v>63520482.308291502</v>
      </c>
      <c r="B8385">
        <v>164826649.90797722</v>
      </c>
    </row>
    <row r="8386" spans="1:2" x14ac:dyDescent="0.25">
      <c r="A8386">
        <f ca="1">25489.7191999638*((RANDBETWEEN(1620,2416)))</f>
        <v>54955834.595121972</v>
      </c>
      <c r="B8386">
        <v>175450483.98588216</v>
      </c>
    </row>
    <row r="8387" spans="1:2" x14ac:dyDescent="0.25">
      <c r="A8387">
        <f ca="1">26541.6253065629*((RANDBETWEEN(1620,2416)))</f>
        <v>52287001.853928991</v>
      </c>
      <c r="B8387">
        <v>172659289.53299797</v>
      </c>
    </row>
    <row r="8388" spans="1:2" x14ac:dyDescent="0.25">
      <c r="A8388">
        <f ca="1">27765.4402897753*((RANDBETWEEN(1620,2416)))</f>
        <v>63138611.218949102</v>
      </c>
      <c r="B8388">
        <v>159613230.73447627</v>
      </c>
    </row>
    <row r="8389" spans="1:2" x14ac:dyDescent="0.25">
      <c r="A8389">
        <f ca="1">25647.1853746821*((RANDBETWEEN(1620,2416)))</f>
        <v>52294610.978976846</v>
      </c>
      <c r="B8389">
        <v>145447029.57376194</v>
      </c>
    </row>
    <row r="8390" spans="1:2" x14ac:dyDescent="0.25">
      <c r="A8390">
        <f ca="1">29491.9744708577*((RANDBETWEEN(1620,2416)))</f>
        <v>65560659.248716727</v>
      </c>
      <c r="B8390">
        <v>167865309.57494298</v>
      </c>
    </row>
    <row r="8391" spans="1:2" x14ac:dyDescent="0.25">
      <c r="A8391">
        <f ca="1">30843.719434283*((RANDBETWEEN(1620,2416)))</f>
        <v>56505694.003606379</v>
      </c>
      <c r="B8391">
        <v>143970155.24772319</v>
      </c>
    </row>
    <row r="8392" spans="1:2" x14ac:dyDescent="0.25">
      <c r="A8392">
        <f ca="1">30442.7080849169*((RANDBETWEEN(1620,2416)))</f>
        <v>53244296.440519579</v>
      </c>
      <c r="B8392">
        <v>165873552.44984275</v>
      </c>
    </row>
    <row r="8393" spans="1:2" x14ac:dyDescent="0.25">
      <c r="A8393">
        <f ca="1">30626.5213322231*((RANDBETWEEN(1620,2416)))</f>
        <v>65142610.873638533</v>
      </c>
      <c r="B8393">
        <v>187754877.35545111</v>
      </c>
    </row>
    <row r="8394" spans="1:2" x14ac:dyDescent="0.25">
      <c r="A8394">
        <f ca="1">30572.394732339*((RANDBETWEEN(1620,2416)))</f>
        <v>62275968.069774486</v>
      </c>
      <c r="B8394">
        <v>167909974.4914155</v>
      </c>
    </row>
    <row r="8395" spans="1:2" x14ac:dyDescent="0.25">
      <c r="A8395">
        <f ca="1">26519.4316951525*((RANDBETWEEN(1620,2416)))</f>
        <v>48344923.980263017</v>
      </c>
      <c r="B8395">
        <v>190989973.89977711</v>
      </c>
    </row>
    <row r="8396" spans="1:2" x14ac:dyDescent="0.25">
      <c r="A8396">
        <f ca="1">27652.8304818802*((RANDBETWEEN(1620,2416)))</f>
        <v>58319819.486285239</v>
      </c>
      <c r="B8396">
        <v>178928629.44062236</v>
      </c>
    </row>
    <row r="8397" spans="1:2" x14ac:dyDescent="0.25">
      <c r="A8397">
        <f ca="1">27666.5071247365*((RANDBETWEEN(1620,2416)))</f>
        <v>62609305.623278663</v>
      </c>
      <c r="B8397">
        <v>155608253.90485883</v>
      </c>
    </row>
    <row r="8398" spans="1:2" x14ac:dyDescent="0.25">
      <c r="A8398">
        <f ca="1">26438.4044789725*((RANDBETWEEN(1620,2416)))</f>
        <v>48805294.668183215</v>
      </c>
      <c r="B8398">
        <v>193299477.86190069</v>
      </c>
    </row>
    <row r="8399" spans="1:2" x14ac:dyDescent="0.25">
      <c r="A8399">
        <f ca="1">26555.6985792621*((RANDBETWEEN(1620,2416)))</f>
        <v>57254086.136889122</v>
      </c>
      <c r="B8399">
        <v>146723813.91769731</v>
      </c>
    </row>
    <row r="8400" spans="1:2" x14ac:dyDescent="0.25">
      <c r="A8400">
        <f ca="1">27252.463604451*((RANDBETWEEN(1620,2416)))</f>
        <v>46601712.763611197</v>
      </c>
      <c r="B8400">
        <v>164281730.24903277</v>
      </c>
    </row>
    <row r="8401" spans="1:2" x14ac:dyDescent="0.25">
      <c r="A8401">
        <f ca="1">25412.667615147*((RANDBETWEEN(1620,2416)))</f>
        <v>42032552.235453054</v>
      </c>
      <c r="B8401">
        <v>178317938.00138694</v>
      </c>
    </row>
    <row r="8402" spans="1:2" x14ac:dyDescent="0.25">
      <c r="A8402">
        <f ca="1">26413.9885511797*((RANDBETWEEN(1620,2416)))</f>
        <v>45141506.433966093</v>
      </c>
      <c r="B8402">
        <v>150120615.9199529</v>
      </c>
    </row>
    <row r="8403" spans="1:2" x14ac:dyDescent="0.25">
      <c r="A8403">
        <f ca="1">25805.9640165523*((RANDBETWEEN(1620,2416)))</f>
        <v>56979568.548547551</v>
      </c>
      <c r="B8403">
        <v>175724268.80125514</v>
      </c>
    </row>
    <row r="8404" spans="1:2" x14ac:dyDescent="0.25">
      <c r="A8404">
        <f ca="1">30771.0444137076*((RANDBETWEEN(1620,2416)))</f>
        <v>67696297.710156634</v>
      </c>
      <c r="B8404">
        <v>172667355.33388245</v>
      </c>
    </row>
    <row r="8405" spans="1:2" x14ac:dyDescent="0.25">
      <c r="A8405">
        <f ca="1">28457.7146635108*((RANDBETWEEN(1620,2416)))</f>
        <v>47666672.061380588</v>
      </c>
      <c r="B8405">
        <v>169445566.21719512</v>
      </c>
    </row>
    <row r="8406" spans="1:2" x14ac:dyDescent="0.25">
      <c r="A8406">
        <f ca="1">25854.9220904045*((RANDBETWEEN(1620,2416)))</f>
        <v>60319533.23691377</v>
      </c>
      <c r="B8406">
        <v>195427551.39882034</v>
      </c>
    </row>
    <row r="8407" spans="1:2" x14ac:dyDescent="0.25">
      <c r="A8407">
        <f ca="1">31019.9622174055*((RANDBETWEEN(1620,2416)))</f>
        <v>63404802.772376835</v>
      </c>
      <c r="B8407">
        <v>174766019.65559518</v>
      </c>
    </row>
    <row r="8408" spans="1:2" x14ac:dyDescent="0.25">
      <c r="A8408">
        <f ca="1">30254.6947553905*((RANDBETWEEN(1620,2416)))</f>
        <v>62687727.533169143</v>
      </c>
      <c r="B8408">
        <v>151529014.03479612</v>
      </c>
    </row>
    <row r="8409" spans="1:2" x14ac:dyDescent="0.25">
      <c r="A8409">
        <f ca="1">27175.8915942016*((RANDBETWEEN(1620,2416)))</f>
        <v>59569554.374489956</v>
      </c>
      <c r="B8409">
        <v>147958705.83325189</v>
      </c>
    </row>
    <row r="8410" spans="1:2" x14ac:dyDescent="0.25">
      <c r="A8410">
        <f ca="1">29167.2275939039*((RANDBETWEEN(1620,2416)))</f>
        <v>60609498.940132245</v>
      </c>
      <c r="B8410">
        <v>148368680.63855463</v>
      </c>
    </row>
    <row r="8411" spans="1:2" x14ac:dyDescent="0.25">
      <c r="A8411">
        <f ca="1">26312.2502369532*((RANDBETWEEN(1620,2416)))</f>
        <v>63017839.317502797</v>
      </c>
      <c r="B8411">
        <v>149693736.01759651</v>
      </c>
    </row>
    <row r="8412" spans="1:2" x14ac:dyDescent="0.25">
      <c r="A8412">
        <f ca="1">28592.4728585127*((RANDBETWEEN(1620,2416)))</f>
        <v>58328644.631365873</v>
      </c>
      <c r="B8412">
        <v>143794240.74982068</v>
      </c>
    </row>
    <row r="8413" spans="1:2" x14ac:dyDescent="0.25">
      <c r="A8413">
        <f ca="1">27492.9998063219*((RANDBETWEEN(1620,2416)))</f>
        <v>61831756.564417876</v>
      </c>
      <c r="B8413">
        <v>144773543.01056504</v>
      </c>
    </row>
    <row r="8414" spans="1:2" x14ac:dyDescent="0.25">
      <c r="A8414">
        <f ca="1">29876.7545087412*((RANDBETWEEN(1620,2416)))</f>
        <v>66505655.536457971</v>
      </c>
      <c r="B8414">
        <v>144363298.29052815</v>
      </c>
    </row>
    <row r="8415" spans="1:2" x14ac:dyDescent="0.25">
      <c r="A8415">
        <f ca="1">28187.3500084699*((RANDBETWEEN(1620,2416)))</f>
        <v>59616245.267913744</v>
      </c>
      <c r="B8415">
        <v>145511136.92494974</v>
      </c>
    </row>
    <row r="8416" spans="1:2" x14ac:dyDescent="0.25">
      <c r="A8416">
        <f ca="1">27521.976093443*((RANDBETWEEN(1620,2416)))</f>
        <v>63768418.608507395</v>
      </c>
      <c r="B8416">
        <v>189398340.84328729</v>
      </c>
    </row>
    <row r="8417" spans="1:2" x14ac:dyDescent="0.25">
      <c r="A8417">
        <f ca="1">33173.0207559821*((RANDBETWEEN(1620,2416)))</f>
        <v>57190287.783313192</v>
      </c>
      <c r="B8417">
        <v>181625237.63247943</v>
      </c>
    </row>
    <row r="8418" spans="1:2" x14ac:dyDescent="0.25">
      <c r="A8418">
        <f ca="1">27174.831258671*((RANDBETWEEN(1620,2416)))</f>
        <v>62121664.257321902</v>
      </c>
      <c r="B8418">
        <v>152249667.87269112</v>
      </c>
    </row>
    <row r="8419" spans="1:2" x14ac:dyDescent="0.25">
      <c r="A8419">
        <f ca="1">28462.7026367637*((RANDBETWEEN(1620,2416)))</f>
        <v>64809573.903910935</v>
      </c>
      <c r="B8419">
        <v>187850503.86858362</v>
      </c>
    </row>
    <row r="8420" spans="1:2" x14ac:dyDescent="0.25">
      <c r="A8420">
        <f ca="1">31623.2610346632*((RANDBETWEEN(1620,2416)))</f>
        <v>64448205.988643549</v>
      </c>
      <c r="B8420">
        <v>180671286.48855364</v>
      </c>
    </row>
    <row r="8421" spans="1:2" x14ac:dyDescent="0.25">
      <c r="A8421">
        <f ca="1">27627.0055538162*((RANDBETWEEN(1620,2416)))</f>
        <v>48015735.652532615</v>
      </c>
      <c r="B8421">
        <v>145126306.80689687</v>
      </c>
    </row>
    <row r="8422" spans="1:2" x14ac:dyDescent="0.25">
      <c r="A8422">
        <f ca="1">33007.1883268154*((RANDBETWEEN(1620,2416)))</f>
        <v>55353054.824069485</v>
      </c>
      <c r="B8422">
        <v>179653720.71425349</v>
      </c>
    </row>
    <row r="8423" spans="1:2" x14ac:dyDescent="0.25">
      <c r="A8423">
        <f ca="1">26854.8286498192*((RANDBETWEEN(1620,2416)))</f>
        <v>53682802.470988534</v>
      </c>
      <c r="B8423">
        <v>155709849.98622322</v>
      </c>
    </row>
    <row r="8424" spans="1:2" x14ac:dyDescent="0.25">
      <c r="A8424">
        <f ca="1">27619.458485251*((RANDBETWEEN(1620,2416)))</f>
        <v>66424797.657028556</v>
      </c>
      <c r="B8424">
        <v>169463102.67871711</v>
      </c>
    </row>
    <row r="8425" spans="1:2" x14ac:dyDescent="0.25">
      <c r="A8425">
        <f ca="1">31998.1110207286*((RANDBETWEEN(1620,2416)))</f>
        <v>63804233.375332832</v>
      </c>
      <c r="B8425">
        <v>151760883.26848343</v>
      </c>
    </row>
    <row r="8426" spans="1:2" x14ac:dyDescent="0.25">
      <c r="A8426">
        <f ca="1">27079.1939516211*((RANDBETWEEN(1620,2416)))</f>
        <v>55295714.049210198</v>
      </c>
      <c r="B8426">
        <v>162902994.43648139</v>
      </c>
    </row>
    <row r="8427" spans="1:2" x14ac:dyDescent="0.25">
      <c r="A8427">
        <f ca="1">28155.4564198254*((RANDBETWEEN(1620,2416)))</f>
        <v>60055588.543487497</v>
      </c>
      <c r="B8427">
        <v>187825231.26985875</v>
      </c>
    </row>
    <row r="8428" spans="1:2" x14ac:dyDescent="0.25">
      <c r="A8428">
        <f ca="1">29007.1898477362*((RANDBETWEEN(1620,2416)))</f>
        <v>64918090.879233561</v>
      </c>
      <c r="B8428">
        <v>154354405.2262165</v>
      </c>
    </row>
    <row r="8429" spans="1:2" x14ac:dyDescent="0.25">
      <c r="A8429">
        <f ca="1">27247.5003323872*((RANDBETWEEN(1620,2416)))</f>
        <v>59590283.226930894</v>
      </c>
      <c r="B8429">
        <v>150325129.76364824</v>
      </c>
    </row>
    <row r="8430" spans="1:2" x14ac:dyDescent="0.25">
      <c r="A8430">
        <f ca="1">26338.2326619975*((RANDBETWEEN(1620,2416)))</f>
        <v>63080067.225483894</v>
      </c>
      <c r="B8430">
        <v>161274531.65170509</v>
      </c>
    </row>
    <row r="8431" spans="1:2" x14ac:dyDescent="0.25">
      <c r="A8431">
        <f ca="1">28328.3555715045*((RANDBETWEEN(1620,2416)))</f>
        <v>67109874.348894194</v>
      </c>
      <c r="B8431">
        <v>158521421.38006055</v>
      </c>
    </row>
    <row r="8432" spans="1:2" x14ac:dyDescent="0.25">
      <c r="A8432">
        <f ca="1">29086.0059827553*((RANDBETWEEN(1620,2416)))</f>
        <v>50289704.344183981</v>
      </c>
      <c r="B8432">
        <v>187255544.27223057</v>
      </c>
    </row>
    <row r="8433" spans="1:2" x14ac:dyDescent="0.25">
      <c r="A8433">
        <f ca="1">26830.6802042794*((RANDBETWEEN(1620,2416)))</f>
        <v>57068856.79450237</v>
      </c>
      <c r="B8433">
        <v>145027586.54396021</v>
      </c>
    </row>
    <row r="8434" spans="1:2" x14ac:dyDescent="0.25">
      <c r="A8434">
        <f ca="1">26586.4613863285*((RANDBETWEEN(1620,2416)))</f>
        <v>57798967.053878084</v>
      </c>
      <c r="B8434">
        <v>157417017.46462199</v>
      </c>
    </row>
    <row r="8435" spans="1:2" x14ac:dyDescent="0.25">
      <c r="A8435">
        <f ca="1">29802.0636905154*((RANDBETWEEN(1620,2416)))</f>
        <v>50186675.254827999</v>
      </c>
      <c r="B8435">
        <v>196817453.25927562</v>
      </c>
    </row>
    <row r="8436" spans="1:2" x14ac:dyDescent="0.25">
      <c r="A8436">
        <f ca="1">27124.625508025*((RANDBETWEEN(1620,2416)))</f>
        <v>59647051.492146924</v>
      </c>
      <c r="B8436">
        <v>146359019.07256278</v>
      </c>
    </row>
    <row r="8437" spans="1:2" x14ac:dyDescent="0.25">
      <c r="A8437">
        <f ca="1">27092.6292262618*((RANDBETWEEN(1620,2416)))</f>
        <v>46490951.752265245</v>
      </c>
      <c r="B8437">
        <v>172208122.83651829</v>
      </c>
    </row>
    <row r="8438" spans="1:2" x14ac:dyDescent="0.25">
      <c r="A8438">
        <f ca="1">27124.2337032243*((RANDBETWEEN(1620,2416)))</f>
        <v>65396527.458473898</v>
      </c>
      <c r="B8438">
        <v>156121072.61772799</v>
      </c>
    </row>
    <row r="8439" spans="1:2" x14ac:dyDescent="0.25">
      <c r="A8439">
        <f ca="1">26602.9959321518*((RANDBETWEEN(1620,2416)))</f>
        <v>53418815.831760772</v>
      </c>
      <c r="B8439">
        <v>203607133.22254902</v>
      </c>
    </row>
    <row r="8440" spans="1:2" x14ac:dyDescent="0.25">
      <c r="A8440">
        <f ca="1">28013.2638526924*((RANDBETWEEN(1620,2416)))</f>
        <v>60340570.338699505</v>
      </c>
      <c r="B8440">
        <v>150582666.87702811</v>
      </c>
    </row>
    <row r="8441" spans="1:2" x14ac:dyDescent="0.25">
      <c r="A8441">
        <f ca="1">28333.4851279406*((RANDBETWEEN(1620,2416)))</f>
        <v>66838691.416811883</v>
      </c>
      <c r="B8441">
        <v>202091867.55189312</v>
      </c>
    </row>
    <row r="8442" spans="1:2" x14ac:dyDescent="0.25">
      <c r="A8442">
        <f ca="1">28289.6893184154*((RANDBETWEEN(1620,2416)))</f>
        <v>49620115.064500622</v>
      </c>
      <c r="B8442">
        <v>195234906.1027078</v>
      </c>
    </row>
    <row r="8443" spans="1:2" x14ac:dyDescent="0.25">
      <c r="A8443">
        <f ca="1">26552.3280438408*((RANDBETWEEN(1620,2416)))</f>
        <v>45590347.251274653</v>
      </c>
      <c r="B8443">
        <v>182658659.51235092</v>
      </c>
    </row>
    <row r="8444" spans="1:2" x14ac:dyDescent="0.25">
      <c r="A8444">
        <f ca="1">30165.7827004877*((RANDBETWEEN(1620,2416)))</f>
        <v>65369251.111956842</v>
      </c>
      <c r="B8444">
        <v>203186316.93059558</v>
      </c>
    </row>
    <row r="8445" spans="1:2" x14ac:dyDescent="0.25">
      <c r="A8445">
        <f ca="1">27659.4056704374*((RANDBETWEEN(1620,2416)))</f>
        <v>63478336.013653725</v>
      </c>
      <c r="B8445">
        <v>151282620.84937918</v>
      </c>
    </row>
    <row r="8446" spans="1:2" x14ac:dyDescent="0.25">
      <c r="A8446">
        <f ca="1">26740.7404792439*((RANDBETWEEN(1620,2416)))</f>
        <v>44657036.600337245</v>
      </c>
      <c r="B8446">
        <v>170440701.57437825</v>
      </c>
    </row>
    <row r="8447" spans="1:2" x14ac:dyDescent="0.25">
      <c r="A8447">
        <f ca="1">26593.7851214803*((RANDBETWEEN(1620,2416)))</f>
        <v>61085924.42404031</v>
      </c>
      <c r="B8447">
        <v>169962529.42059594</v>
      </c>
    </row>
    <row r="8448" spans="1:2" x14ac:dyDescent="0.25">
      <c r="A8448">
        <f ca="1">27192.817455874*((RANDBETWEEN(1620,2416)))</f>
        <v>62625058.600877725</v>
      </c>
      <c r="B8448">
        <v>189484582.66444227</v>
      </c>
    </row>
    <row r="8449" spans="1:2" x14ac:dyDescent="0.25">
      <c r="A8449">
        <f ca="1">26805.2036469625*((RANDBETWEEN(1620,2416)))</f>
        <v>52672225.166281305</v>
      </c>
      <c r="B8449">
        <v>199964728.11639008</v>
      </c>
    </row>
    <row r="8450" spans="1:2" x14ac:dyDescent="0.25">
      <c r="A8450">
        <f ca="1">26965.5482274207*((RANDBETWEEN(1620,2416)))</f>
        <v>59054550.61805132</v>
      </c>
      <c r="B8450">
        <v>162093120.91286737</v>
      </c>
    </row>
    <row r="8451" spans="1:2" x14ac:dyDescent="0.25">
      <c r="A8451">
        <f ca="1">28395.9823364499*((RANDBETWEEN(1620,2416)))</f>
        <v>56649984.761217453</v>
      </c>
      <c r="B8451">
        <v>174276491.10200366</v>
      </c>
    </row>
    <row r="8452" spans="1:2" x14ac:dyDescent="0.25">
      <c r="A8452">
        <f ca="1">25858.7742362779*((RANDBETWEEN(1620,2416)))</f>
        <v>47399133.175097317</v>
      </c>
      <c r="B8452">
        <v>144941607.34772891</v>
      </c>
    </row>
    <row r="8453" spans="1:2" x14ac:dyDescent="0.25">
      <c r="A8453">
        <f ca="1">31807.3225437501*((RANDBETWEEN(1620,2416)))</f>
        <v>72647924.689925119</v>
      </c>
      <c r="B8453">
        <v>173402105.57463869</v>
      </c>
    </row>
    <row r="8454" spans="1:2" x14ac:dyDescent="0.25">
      <c r="A8454">
        <f ca="1">29671.0775961996*((RANDBETWEEN(1620,2416)))</f>
        <v>66937951.057026379</v>
      </c>
      <c r="B8454">
        <v>177013422.03238919</v>
      </c>
    </row>
    <row r="8455" spans="1:2" x14ac:dyDescent="0.25">
      <c r="A8455">
        <f ca="1">27918.9840739094*((RANDBETWEEN(1620,2416)))</f>
        <v>46987650.196389474</v>
      </c>
      <c r="B8455">
        <v>202400984.69384882</v>
      </c>
    </row>
    <row r="8456" spans="1:2" x14ac:dyDescent="0.25">
      <c r="A8456">
        <f ca="1">31275.6987527915*((RANDBETWEEN(1620,2416)))</f>
        <v>54576094.323621146</v>
      </c>
      <c r="B8456">
        <v>161622956.98978141</v>
      </c>
    </row>
    <row r="8457" spans="1:2" x14ac:dyDescent="0.25">
      <c r="A8457">
        <f ca="1">25344.7792300728*((RANDBETWEEN(1620,2416)))</f>
        <v>58977301.268379338</v>
      </c>
      <c r="B8457">
        <v>148432348.23642886</v>
      </c>
    </row>
    <row r="8458" spans="1:2" x14ac:dyDescent="0.25">
      <c r="A8458">
        <f ca="1">27968.6334487594*((RANDBETWEEN(1620,2416)))</f>
        <v>46539806.058735669</v>
      </c>
      <c r="B8458">
        <v>162458449.15942371</v>
      </c>
    </row>
    <row r="8459" spans="1:2" x14ac:dyDescent="0.25">
      <c r="A8459">
        <f ca="1">25935.9016004707*((RANDBETWEEN(1620,2416)))</f>
        <v>47073661.40485426</v>
      </c>
      <c r="B8459">
        <v>144368610.82202294</v>
      </c>
    </row>
    <row r="8460" spans="1:2" x14ac:dyDescent="0.25">
      <c r="A8460">
        <f ca="1">26669.7075184952*((RANDBETWEEN(1620,2416)))</f>
        <v>45125145.121293828</v>
      </c>
      <c r="B8460">
        <v>162535514.58806881</v>
      </c>
    </row>
    <row r="8461" spans="1:2" x14ac:dyDescent="0.25">
      <c r="A8461">
        <f ca="1">25160.0750446541*((RANDBETWEEN(1620,2416)))</f>
        <v>60333859.957080618</v>
      </c>
      <c r="B8461">
        <v>150964356.62009281</v>
      </c>
    </row>
    <row r="8462" spans="1:2" x14ac:dyDescent="0.25">
      <c r="A8462">
        <f ca="1">31291.6957936361*((RANDBETWEEN(1620,2416)))</f>
        <v>53477508.111324109</v>
      </c>
      <c r="B8462">
        <v>192507343.25194079</v>
      </c>
    </row>
    <row r="8463" spans="1:2" x14ac:dyDescent="0.25">
      <c r="A8463">
        <f ca="1">25996.2751386895*((RANDBETWEEN(1620,2416)))</f>
        <v>59037540.839963779</v>
      </c>
      <c r="B8463">
        <v>154589510.88405275</v>
      </c>
    </row>
    <row r="8464" spans="1:2" x14ac:dyDescent="0.25">
      <c r="A8464">
        <f ca="1">27561.1319716294*((RANDBETWEEN(1620,2416)))</f>
        <v>63197675.610946141</v>
      </c>
      <c r="B8464">
        <v>146919009.68768755</v>
      </c>
    </row>
    <row r="8465" spans="1:2" x14ac:dyDescent="0.25">
      <c r="A8465">
        <f ca="1">27189.8444140772*((RANDBETWEEN(1620,2416)))</f>
        <v>44672914.372328892</v>
      </c>
      <c r="B8465">
        <v>162336348.26648626</v>
      </c>
    </row>
    <row r="8466" spans="1:2" x14ac:dyDescent="0.25">
      <c r="A8466">
        <f ca="1">26794.253040393*((RANDBETWEEN(1620,2416)))</f>
        <v>46836354.314607039</v>
      </c>
      <c r="B8466">
        <v>147680101.83558613</v>
      </c>
    </row>
    <row r="8467" spans="1:2" x14ac:dyDescent="0.25">
      <c r="A8467">
        <f ca="1">27990.910109024*((RANDBETWEEN(1620,2416)))</f>
        <v>66198502.407841839</v>
      </c>
      <c r="B8467">
        <v>165006464.83770323</v>
      </c>
    </row>
    <row r="8468" spans="1:2" x14ac:dyDescent="0.25">
      <c r="A8468">
        <f ca="1">28411.5932679938*((RANDBETWEEN(1620,2416)))</f>
        <v>56425424.230235711</v>
      </c>
      <c r="B8468">
        <v>156114415.87388074</v>
      </c>
    </row>
    <row r="8469" spans="1:2" x14ac:dyDescent="0.25">
      <c r="A8469">
        <f ca="1">28362.584064963*((RANDBETWEEN(1620,2416)))</f>
        <v>54938325.333833277</v>
      </c>
      <c r="B8469">
        <v>154984300.66646269</v>
      </c>
    </row>
    <row r="8470" spans="1:2" x14ac:dyDescent="0.25">
      <c r="A8470">
        <f ca="1">27055.3774664818*((RANDBETWEEN(1620,2416)))</f>
        <v>61632149.868645459</v>
      </c>
      <c r="B8470">
        <v>145680531.99650863</v>
      </c>
    </row>
    <row r="8471" spans="1:2" x14ac:dyDescent="0.25">
      <c r="A8471">
        <f ca="1">29171.0883094506*((RANDBETWEEN(1620,2416)))</f>
        <v>69660558.882968143</v>
      </c>
      <c r="B8471">
        <v>197611074.92905515</v>
      </c>
    </row>
    <row r="8472" spans="1:2" x14ac:dyDescent="0.25">
      <c r="A8472">
        <f ca="1">28980.0989769273*((RANDBETWEEN(1620,2416)))</f>
        <v>55873630.827515818</v>
      </c>
      <c r="B8472">
        <v>181245130.16119722</v>
      </c>
    </row>
    <row r="8473" spans="1:2" x14ac:dyDescent="0.25">
      <c r="A8473">
        <f ca="1">31184.5355259117*((RANDBETWEEN(1620,2416)))</f>
        <v>67358596.735969216</v>
      </c>
      <c r="B8473">
        <v>196982379.74301571</v>
      </c>
    </row>
    <row r="8474" spans="1:2" x14ac:dyDescent="0.25">
      <c r="A8474">
        <f ca="1">29797.8775223486*((RANDBETWEEN(1620,2416)))</f>
        <v>68833097.076625332</v>
      </c>
      <c r="B8474">
        <v>161653953.21680507</v>
      </c>
    </row>
    <row r="8475" spans="1:2" x14ac:dyDescent="0.25">
      <c r="A8475">
        <f ca="1">27787.3423361786*((RANDBETWEEN(1620,2416)))</f>
        <v>48294400.98027838</v>
      </c>
      <c r="B8475">
        <v>145268581.30591342</v>
      </c>
    </row>
    <row r="8476" spans="1:2" x14ac:dyDescent="0.25">
      <c r="A8476">
        <f ca="1">26005.3844607826*((RANDBETWEEN(1620,2416)))</f>
        <v>56457689.664359078</v>
      </c>
      <c r="B8476">
        <v>148897531.83087182</v>
      </c>
    </row>
    <row r="8477" spans="1:2" x14ac:dyDescent="0.25">
      <c r="A8477">
        <f ca="1">26396.9645005612*((RANDBETWEEN(1620,2416)))</f>
        <v>42868670.348911345</v>
      </c>
      <c r="B8477">
        <v>154020852.55266368</v>
      </c>
    </row>
    <row r="8478" spans="1:2" x14ac:dyDescent="0.25">
      <c r="A8478">
        <f ca="1">27192.8792714304*((RANDBETWEEN(1620,2416)))</f>
        <v>47424381.449374661</v>
      </c>
      <c r="B8478">
        <v>172305475.51202706</v>
      </c>
    </row>
    <row r="8479" spans="1:2" x14ac:dyDescent="0.25">
      <c r="A8479">
        <f ca="1">28262.7049377153*((RANDBETWEEN(1620,2416)))</f>
        <v>50929394.29776302</v>
      </c>
      <c r="B8479">
        <v>180825910.12562037</v>
      </c>
    </row>
    <row r="8480" spans="1:2" x14ac:dyDescent="0.25">
      <c r="A8480">
        <f ca="1">25622.8904863155*((RANDBETWEEN(1620,2416)))</f>
        <v>42713358.440687902</v>
      </c>
      <c r="B8480">
        <v>148530675.7582033</v>
      </c>
    </row>
    <row r="8481" spans="1:2" x14ac:dyDescent="0.25">
      <c r="A8481">
        <f ca="1">27901.7340065086*((RANDBETWEEN(1620,2416)))</f>
        <v>51646109.646047466</v>
      </c>
      <c r="B8481">
        <v>149560203.90930143</v>
      </c>
    </row>
    <row r="8482" spans="1:2" x14ac:dyDescent="0.25">
      <c r="A8482">
        <f ca="1">26520.7502319155*((RANDBETWEEN(1620,2416)))</f>
        <v>57894797.756271504</v>
      </c>
      <c r="B8482">
        <v>154093940.58189261</v>
      </c>
    </row>
    <row r="8483" spans="1:2" x14ac:dyDescent="0.25">
      <c r="A8483">
        <f ca="1">28494.4817856835*((RANDBETWEEN(1620,2416)))</f>
        <v>54054031.94744163</v>
      </c>
      <c r="B8483">
        <v>192258534.32076705</v>
      </c>
    </row>
    <row r="8484" spans="1:2" x14ac:dyDescent="0.25">
      <c r="A8484">
        <f ca="1">30856.8703442009*((RANDBETWEEN(1620,2416)))</f>
        <v>67267977.350357994</v>
      </c>
      <c r="B8484">
        <v>198830730.03558618</v>
      </c>
    </row>
    <row r="8485" spans="1:2" x14ac:dyDescent="0.25">
      <c r="A8485">
        <f ca="1">27542.6913462355*((RANDBETWEEN(1620,2416)))</f>
        <v>54672242.322277516</v>
      </c>
      <c r="B8485">
        <v>152015305.3914921</v>
      </c>
    </row>
    <row r="8486" spans="1:2" x14ac:dyDescent="0.25">
      <c r="A8486">
        <f ca="1">27225.7980009755*((RANDBETWEEN(1620,2416)))</f>
        <v>49469274.967772484</v>
      </c>
      <c r="B8486">
        <v>169352797.56726187</v>
      </c>
    </row>
    <row r="8487" spans="1:2" x14ac:dyDescent="0.25">
      <c r="A8487">
        <f ca="1">26834.207328924*((RANDBETWEEN(1620,2416)))</f>
        <v>47764889.045484759</v>
      </c>
      <c r="B8487">
        <v>200371793.05837253</v>
      </c>
    </row>
    <row r="8488" spans="1:2" x14ac:dyDescent="0.25">
      <c r="A8488">
        <f ca="1">30286.9537187839*((RANDBETWEEN(1620,2416)))</f>
        <v>67115889.440825075</v>
      </c>
      <c r="B8488">
        <v>201444009.25398147</v>
      </c>
    </row>
    <row r="8489" spans="1:2" x14ac:dyDescent="0.25">
      <c r="A8489">
        <f ca="1">29442.7348264522*((RANDBETWEEN(1620,2416)))</f>
        <v>56559493.601614706</v>
      </c>
      <c r="B8489">
        <v>190751291.4638924</v>
      </c>
    </row>
    <row r="8490" spans="1:2" x14ac:dyDescent="0.25">
      <c r="A8490">
        <f ca="1">27676.8941558406*((RANDBETWEEN(1620,2416)))</f>
        <v>63352410.722719051</v>
      </c>
      <c r="B8490">
        <v>153256171.17113578</v>
      </c>
    </row>
    <row r="8491" spans="1:2" x14ac:dyDescent="0.25">
      <c r="A8491">
        <f ca="1">29400.8445083518*((RANDBETWEEN(1620,2416)))</f>
        <v>63123613.159431353</v>
      </c>
      <c r="B8491">
        <v>166776849.08767766</v>
      </c>
    </row>
    <row r="8492" spans="1:2" x14ac:dyDescent="0.25">
      <c r="A8492">
        <f ca="1">29124.6267360736*((RANDBETWEEN(1620,2416)))</f>
        <v>65472160.902693413</v>
      </c>
      <c r="B8492">
        <v>170606368.47421175</v>
      </c>
    </row>
    <row r="8493" spans="1:2" x14ac:dyDescent="0.25">
      <c r="A8493">
        <f ca="1">29710.3112357416*((RANDBETWEEN(1620,2416)))</f>
        <v>50448108.478289172</v>
      </c>
      <c r="B8493">
        <v>169303108.49291778</v>
      </c>
    </row>
    <row r="8494" spans="1:2" x14ac:dyDescent="0.25">
      <c r="A8494">
        <f ca="1">26718.1630162122*((RANDBETWEEN(1620,2416)))</f>
        <v>50898100.545884304</v>
      </c>
      <c r="B8494">
        <v>172552830.42552605</v>
      </c>
    </row>
    <row r="8495" spans="1:2" x14ac:dyDescent="0.25">
      <c r="A8495">
        <f ca="1">32101.3458554204*((RANDBETWEEN(1620,2416)))</f>
        <v>69049994.935009181</v>
      </c>
      <c r="B8495">
        <v>155074014.11598748</v>
      </c>
    </row>
    <row r="8496" spans="1:2" x14ac:dyDescent="0.25">
      <c r="A8496">
        <f ca="1">25542.9348756306*((RANDBETWEEN(1620,2416)))</f>
        <v>50600553.988624126</v>
      </c>
      <c r="B8496">
        <v>183496421.09621289</v>
      </c>
    </row>
    <row r="8497" spans="1:2" x14ac:dyDescent="0.25">
      <c r="A8497">
        <f ca="1">29775.2136462678*((RANDBETWEEN(1620,2416)))</f>
        <v>64761089.680632435</v>
      </c>
      <c r="B8497">
        <v>198926178.03719687</v>
      </c>
    </row>
    <row r="8498" spans="1:2" x14ac:dyDescent="0.25">
      <c r="A8498">
        <f ca="1">25718.6215692835*((RANDBETWEEN(1620,2416)))</f>
        <v>56503811.587715782</v>
      </c>
      <c r="B8498">
        <v>144286594.0803684</v>
      </c>
    </row>
    <row r="8499" spans="1:2" x14ac:dyDescent="0.25">
      <c r="A8499">
        <f ca="1">26411.5216646319*((RANDBETWEEN(1620,2416)))</f>
        <v>60693676.785323992</v>
      </c>
      <c r="B8499">
        <v>181363120.77184558</v>
      </c>
    </row>
    <row r="8500" spans="1:2" x14ac:dyDescent="0.25">
      <c r="A8500">
        <f ca="1">25669.6943841218*((RANDBETWEEN(1620,2416)))</f>
        <v>54856136.898868322</v>
      </c>
      <c r="B8500">
        <v>152363131.16638994</v>
      </c>
    </row>
    <row r="8501" spans="1:2" x14ac:dyDescent="0.25">
      <c r="A8501">
        <f ca="1">27320.5166832269*((RANDBETWEEN(1620,2416)))</f>
        <v>50761519.997435644</v>
      </c>
      <c r="B8501">
        <v>152381164.10899389</v>
      </c>
    </row>
    <row r="8502" spans="1:2" x14ac:dyDescent="0.25">
      <c r="A8502">
        <f ca="1">25685.3308958475*((RANDBETWEEN(1620,2416)))</f>
        <v>57946106.501031943</v>
      </c>
      <c r="B8502">
        <v>143747005.43492219</v>
      </c>
    </row>
    <row r="8503" spans="1:2" x14ac:dyDescent="0.25">
      <c r="A8503">
        <f ca="1">29519.9676955363*((RANDBETWEEN(1620,2416)))</f>
        <v>49623065.696196601</v>
      </c>
      <c r="B8503">
        <v>175233407.35533622</v>
      </c>
    </row>
    <row r="8504" spans="1:2" x14ac:dyDescent="0.25">
      <c r="A8504">
        <f ca="1">27377.7297695647*((RANDBETWEEN(1620,2416)))</f>
        <v>47363472.501346901</v>
      </c>
      <c r="B8504">
        <v>148893969.60604343</v>
      </c>
    </row>
    <row r="8505" spans="1:2" x14ac:dyDescent="0.25">
      <c r="A8505">
        <f ca="1">28842.8265599298*((RANDBETWEEN(1620,2416)))</f>
        <v>48311734.487882458</v>
      </c>
      <c r="B8505">
        <v>182043382.68272817</v>
      </c>
    </row>
    <row r="8506" spans="1:2" x14ac:dyDescent="0.25">
      <c r="A8506">
        <f ca="1">27982.6038643281*((RANDBETWEEN(1620,2416)))</f>
        <v>62149363.182672739</v>
      </c>
      <c r="B8506">
        <v>145383037.54360834</v>
      </c>
    </row>
    <row r="8507" spans="1:2" x14ac:dyDescent="0.25">
      <c r="A8507">
        <f ca="1">26772.3570264469*((RANDBETWEEN(1620,2416)))</f>
        <v>57373161.107675709</v>
      </c>
      <c r="B8507">
        <v>200459922.89300403</v>
      </c>
    </row>
    <row r="8508" spans="1:2" x14ac:dyDescent="0.25">
      <c r="A8508">
        <f ca="1">25501.6525796503*((RANDBETWEEN(1620,2416)))</f>
        <v>45622456.464994326</v>
      </c>
      <c r="B8508">
        <v>146071017.43901747</v>
      </c>
    </row>
    <row r="8509" spans="1:2" x14ac:dyDescent="0.25">
      <c r="A8509">
        <f ca="1">28455.846246043*((RANDBETWEEN(1620,2416)))</f>
        <v>55545811.872276023</v>
      </c>
      <c r="B8509">
        <v>180630446.15220779</v>
      </c>
    </row>
    <row r="8510" spans="1:2" x14ac:dyDescent="0.25">
      <c r="A8510">
        <f ca="1">27776.021021022*((RANDBETWEEN(1620,2416)))</f>
        <v>57218603.303305335</v>
      </c>
      <c r="B8510">
        <v>182720130.81678709</v>
      </c>
    </row>
    <row r="8511" spans="1:2" x14ac:dyDescent="0.25">
      <c r="A8511">
        <f ca="1">32286.3249172339*((RANDBETWEEN(1620,2416)))</f>
        <v>61214872.043075554</v>
      </c>
      <c r="B8511">
        <v>184573247.9243519</v>
      </c>
    </row>
    <row r="8512" spans="1:2" x14ac:dyDescent="0.25">
      <c r="A8512">
        <f ca="1">27887.7851567815*((RANDBETWEEN(1620,2416)))</f>
        <v>54074415.418999411</v>
      </c>
      <c r="B8512">
        <v>194480353.82844073</v>
      </c>
    </row>
    <row r="8513" spans="1:2" x14ac:dyDescent="0.25">
      <c r="A8513">
        <f ca="1">31190.4653542878*((RANDBETWEEN(1620,2416)))</f>
        <v>69804261.462896168</v>
      </c>
      <c r="B8513">
        <v>185114762.03665084</v>
      </c>
    </row>
    <row r="8514" spans="1:2" x14ac:dyDescent="0.25">
      <c r="A8514">
        <f ca="1">30757.6580694159*((RANDBETWEEN(1620,2416)))</f>
        <v>73080195.572932124</v>
      </c>
      <c r="B8514">
        <v>184554773.19839057</v>
      </c>
    </row>
    <row r="8515" spans="1:2" x14ac:dyDescent="0.25">
      <c r="A8515">
        <f ca="1">28496.0546330594*((RANDBETWEEN(1620,2416)))</f>
        <v>68134066.627644956</v>
      </c>
      <c r="B8515">
        <v>147404951.10938394</v>
      </c>
    </row>
    <row r="8516" spans="1:2" x14ac:dyDescent="0.25">
      <c r="A8516">
        <f ca="1">27769.4524961321*((RANDBETWEEN(1620,2416)))</f>
        <v>61814801.256389968</v>
      </c>
      <c r="B8516">
        <v>187108081.7216813</v>
      </c>
    </row>
    <row r="8517" spans="1:2" x14ac:dyDescent="0.25">
      <c r="A8517">
        <f ca="1">28829.474794231*((RANDBETWEEN(1620,2416)))</f>
        <v>52469644.125500381</v>
      </c>
      <c r="B8517">
        <v>166380451.95782742</v>
      </c>
    </row>
    <row r="8518" spans="1:2" x14ac:dyDescent="0.25">
      <c r="A8518">
        <f ca="1">29775.0669110887*((RANDBETWEEN(1620,2416)))</f>
        <v>51421540.555450238</v>
      </c>
      <c r="B8518">
        <v>163573168.8808468</v>
      </c>
    </row>
    <row r="8519" spans="1:2" x14ac:dyDescent="0.25">
      <c r="A8519">
        <f ca="1">27792.8039878366*((RANDBETWEEN(1620,2416)))</f>
        <v>56224842.467393376</v>
      </c>
      <c r="B8519">
        <v>177445143.31350029</v>
      </c>
    </row>
    <row r="8520" spans="1:2" x14ac:dyDescent="0.25">
      <c r="A8520">
        <f ca="1">26405.855637643*((RANDBETWEEN(1620,2416)))</f>
        <v>58198505.825365193</v>
      </c>
      <c r="B8520">
        <v>148977191.08764797</v>
      </c>
    </row>
    <row r="8521" spans="1:2" x14ac:dyDescent="0.25">
      <c r="A8521">
        <f ca="1">29001.118228661*((RANDBETWEEN(1620,2416)))</f>
        <v>63512448.920767508</v>
      </c>
      <c r="B8521">
        <v>190356974.49569157</v>
      </c>
    </row>
    <row r="8522" spans="1:2" x14ac:dyDescent="0.25">
      <c r="A8522">
        <f ca="1">26839.2195999526*((RANDBETWEEN(1620,2416)))</f>
        <v>61139742.248692051</v>
      </c>
      <c r="B8522">
        <v>143358017.74973506</v>
      </c>
    </row>
    <row r="8523" spans="1:2" x14ac:dyDescent="0.25">
      <c r="A8523">
        <f ca="1">27319.1825802934*((RANDBETWEEN(1620,2416)))</f>
        <v>54884237.803809449</v>
      </c>
      <c r="B8523">
        <v>184899663.72796854</v>
      </c>
    </row>
    <row r="8524" spans="1:2" x14ac:dyDescent="0.25">
      <c r="A8524">
        <f ca="1">26122.9559505585*((RANDBETWEEN(1620,2416)))</f>
        <v>43651459.39338322</v>
      </c>
      <c r="B8524">
        <v>184716028.25082889</v>
      </c>
    </row>
    <row r="8525" spans="1:2" x14ac:dyDescent="0.25">
      <c r="A8525">
        <f ca="1">29802.5468861755*((RANDBETWEEN(1620,2416)))</f>
        <v>52959125.816733778</v>
      </c>
      <c r="B8525">
        <v>164169665.57181334</v>
      </c>
    </row>
    <row r="8526" spans="1:2" x14ac:dyDescent="0.25">
      <c r="A8526">
        <f ca="1">26649.0641509896*((RANDBETWEEN(1620,2416)))</f>
        <v>43571219.886867978</v>
      </c>
      <c r="B8526">
        <v>160272149.70459995</v>
      </c>
    </row>
    <row r="8527" spans="1:2" x14ac:dyDescent="0.25">
      <c r="A8527">
        <f ca="1">28745.5601020679*((RANDBETWEEN(1620,2416)))</f>
        <v>60221948.41383218</v>
      </c>
      <c r="B8527">
        <v>173488865.19489744</v>
      </c>
    </row>
    <row r="8528" spans="1:2" x14ac:dyDescent="0.25">
      <c r="A8528">
        <f ca="1">26906.6546976795*((RANDBETWEEN(1620,2416)))</f>
        <v>58252907.420476206</v>
      </c>
      <c r="B8528">
        <v>171434255.93856812</v>
      </c>
    </row>
    <row r="8529" spans="1:2" x14ac:dyDescent="0.25">
      <c r="A8529">
        <f ca="1">26718.0934754677*((RANDBETWEEN(1620,2416)))</f>
        <v>57844672.374387659</v>
      </c>
      <c r="B8529">
        <v>153935381.32587707</v>
      </c>
    </row>
    <row r="8530" spans="1:2" x14ac:dyDescent="0.25">
      <c r="A8530">
        <f ca="1">25462.0162974048*((RANDBETWEEN(1620,2416)))</f>
        <v>58053397.158082955</v>
      </c>
      <c r="B8530">
        <v>160037923.67659947</v>
      </c>
    </row>
    <row r="8531" spans="1:2" x14ac:dyDescent="0.25">
      <c r="A8531">
        <f ca="1">26665.0071045441*((RANDBETWEEN(1620,2416)))</f>
        <v>48050342.802388519</v>
      </c>
      <c r="B8531">
        <v>171082617.30040199</v>
      </c>
    </row>
    <row r="8532" spans="1:2" x14ac:dyDescent="0.25">
      <c r="A8532">
        <f ca="1">24437.4015313663*((RANDBETWEEN(1620,2416)))</f>
        <v>40175088.117566228</v>
      </c>
      <c r="B8532">
        <v>168549601.75816032</v>
      </c>
    </row>
    <row r="8533" spans="1:2" x14ac:dyDescent="0.25">
      <c r="A8533">
        <f ca="1">28026.812326748*((RANDBETWEEN(1620,2416)))</f>
        <v>59164600.821764961</v>
      </c>
      <c r="B8533">
        <v>187029128.0455724</v>
      </c>
    </row>
    <row r="8534" spans="1:2" x14ac:dyDescent="0.25">
      <c r="A8534">
        <f ca="1">27199.7563017248*((RANDBETWEEN(1620,2416)))</f>
        <v>55514702.611820288</v>
      </c>
      <c r="B8534">
        <v>150414469.73719645</v>
      </c>
    </row>
    <row r="8535" spans="1:2" x14ac:dyDescent="0.25">
      <c r="A8535">
        <f ca="1">27601.2807927444*((RANDBETWEEN(1620,2416)))</f>
        <v>51034768.18578434</v>
      </c>
      <c r="B8535">
        <v>173231809.7427794</v>
      </c>
    </row>
    <row r="8536" spans="1:2" x14ac:dyDescent="0.25">
      <c r="A8536">
        <f ca="1">26931.3744370492*((RANDBETWEEN(1620,2416)))</f>
        <v>64608367.274481028</v>
      </c>
      <c r="B8536">
        <v>198491817.93781567</v>
      </c>
    </row>
    <row r="8537" spans="1:2" x14ac:dyDescent="0.25">
      <c r="A8537">
        <f ca="1">26916.4923031409*((RANDBETWEEN(1620,2416)))</f>
        <v>62527011.620196313</v>
      </c>
      <c r="B8537">
        <v>145696294.30357984</v>
      </c>
    </row>
    <row r="8538" spans="1:2" x14ac:dyDescent="0.25">
      <c r="A8538">
        <f ca="1">26793.3178705435*((RANDBETWEEN(1620,2416)))</f>
        <v>49728397.967728801</v>
      </c>
      <c r="B8538">
        <v>202603302.85490125</v>
      </c>
    </row>
    <row r="8539" spans="1:2" x14ac:dyDescent="0.25">
      <c r="A8539">
        <f ca="1">35027.1563906763*((RANDBETWEEN(1620,2416)))</f>
        <v>61332550.840074286</v>
      </c>
      <c r="B8539">
        <v>195162751.92056316</v>
      </c>
    </row>
    <row r="8540" spans="1:2" x14ac:dyDescent="0.25">
      <c r="A8540">
        <f ca="1">25769.7173355127*((RANDBETWEEN(1620,2416)))</f>
        <v>53601012.057866439</v>
      </c>
      <c r="B8540">
        <v>146779984.24438614</v>
      </c>
    </row>
    <row r="8541" spans="1:2" x14ac:dyDescent="0.25">
      <c r="A8541">
        <f ca="1">27614.858882766*((RANDBETWEEN(1620,2416)))</f>
        <v>60117547.787781522</v>
      </c>
      <c r="B8541">
        <v>189404248.23449621</v>
      </c>
    </row>
    <row r="8542" spans="1:2" x14ac:dyDescent="0.25">
      <c r="A8542">
        <f ca="1">28864.5454874782*((RANDBETWEEN(1620,2416)))</f>
        <v>63934968.254764162</v>
      </c>
      <c r="B8542">
        <v>160255143.81765991</v>
      </c>
    </row>
    <row r="8543" spans="1:2" x14ac:dyDescent="0.25">
      <c r="A8543">
        <f ca="1">26847.8977159351*((RANDBETWEEN(1620,2416)))</f>
        <v>56675912.078338891</v>
      </c>
      <c r="B8543">
        <v>152367138.44589156</v>
      </c>
    </row>
    <row r="8544" spans="1:2" x14ac:dyDescent="0.25">
      <c r="A8544">
        <f ca="1">33442.7245151506*((RANDBETWEEN(1620,2416)))</f>
        <v>73406780.310755521</v>
      </c>
      <c r="B8544">
        <v>183012799.20652983</v>
      </c>
    </row>
    <row r="8545" spans="1:2" x14ac:dyDescent="0.25">
      <c r="A8545">
        <f ca="1">32250.3325196438*((RANDBETWEEN(1620,2416)))</f>
        <v>63726657.058816098</v>
      </c>
      <c r="B8545">
        <v>175592723.02118319</v>
      </c>
    </row>
    <row r="8546" spans="1:2" x14ac:dyDescent="0.25">
      <c r="A8546">
        <f ca="1">26602.5740231771*((RANDBETWEEN(1620,2416)))</f>
        <v>58951304.035360523</v>
      </c>
      <c r="B8546">
        <v>145004469.33851364</v>
      </c>
    </row>
    <row r="8547" spans="1:2" x14ac:dyDescent="0.25">
      <c r="A8547">
        <f ca="1">31720.1421153348*((RANDBETWEEN(1620,2416)))</f>
        <v>62679000.819901504</v>
      </c>
      <c r="B8547">
        <v>197643655.73333704</v>
      </c>
    </row>
    <row r="8548" spans="1:2" x14ac:dyDescent="0.25">
      <c r="A8548">
        <f ca="1">27921.6210231355*((RANDBETWEEN(1620,2416)))</f>
        <v>54670533.963299394</v>
      </c>
      <c r="B8548">
        <v>179890901.80397791</v>
      </c>
    </row>
    <row r="8549" spans="1:2" x14ac:dyDescent="0.25">
      <c r="A8549">
        <f ca="1">27028.1784283249*((RANDBETWEEN(1620,2416)))</f>
        <v>54894230.387927912</v>
      </c>
      <c r="B8549">
        <v>168587134.36624104</v>
      </c>
    </row>
    <row r="8550" spans="1:2" x14ac:dyDescent="0.25">
      <c r="A8550">
        <f ca="1">31451.1974384803*((RANDBETWEEN(1620,2416)))</f>
        <v>55354107.491725259</v>
      </c>
      <c r="B8550">
        <v>152313540.09631523</v>
      </c>
    </row>
    <row r="8551" spans="1:2" x14ac:dyDescent="0.25">
      <c r="A8551">
        <f ca="1">27830.5968235349*((RANDBETWEEN(1620,2416)))</f>
        <v>57692827.2151879</v>
      </c>
      <c r="B8551">
        <v>188438799.85631281</v>
      </c>
    </row>
    <row r="8552" spans="1:2" x14ac:dyDescent="0.25">
      <c r="A8552">
        <f ca="1">26509.3704148623*((RANDBETWEEN(1620,2416)))</f>
        <v>60839005.102108948</v>
      </c>
      <c r="B8552">
        <v>145699460.49192041</v>
      </c>
    </row>
    <row r="8553" spans="1:2" x14ac:dyDescent="0.25">
      <c r="A8553">
        <f ca="1">26603.0492502984*((RANDBETWEEN(1620,2416)))</f>
        <v>61639265.112941489</v>
      </c>
      <c r="B8553">
        <v>166342059.61108786</v>
      </c>
    </row>
    <row r="8554" spans="1:2" x14ac:dyDescent="0.25">
      <c r="A8554">
        <f ca="1">26773.8939179753*((RANDBETWEEN(1620,2416)))</f>
        <v>50201051.096203655</v>
      </c>
      <c r="B8554">
        <v>143975343.01981997</v>
      </c>
    </row>
    <row r="8555" spans="1:2" x14ac:dyDescent="0.25">
      <c r="A8555">
        <f ca="1">26802.0802729528*((RANDBETWEEN(1620,2416)))</f>
        <v>52666087.736352183</v>
      </c>
      <c r="B8555">
        <v>176702682.89928553</v>
      </c>
    </row>
    <row r="8556" spans="1:2" x14ac:dyDescent="0.25">
      <c r="A8556">
        <f ca="1">30908.8091688517*((RANDBETWEEN(1620,2416)))</f>
        <v>67350295.178927928</v>
      </c>
      <c r="B8556">
        <v>156838237.90180361</v>
      </c>
    </row>
    <row r="8557" spans="1:2" x14ac:dyDescent="0.25">
      <c r="A8557">
        <f ca="1">27471.6117191102*((RANDBETWEEN(1620,2416)))</f>
        <v>47828076.002970919</v>
      </c>
      <c r="B8557">
        <v>148331387.65758201</v>
      </c>
    </row>
    <row r="8558" spans="1:2" x14ac:dyDescent="0.25">
      <c r="A8558">
        <f ca="1">26434.1364987476*((RANDBETWEEN(1620,2416)))</f>
        <v>49616874.208149165</v>
      </c>
      <c r="B8558">
        <v>143839475.05325601</v>
      </c>
    </row>
    <row r="8559" spans="1:2" x14ac:dyDescent="0.25">
      <c r="A8559">
        <f ca="1">27145.4477940755*((RANDBETWEEN(1620,2416)))</f>
        <v>52580732.377124213</v>
      </c>
      <c r="B8559">
        <v>175161030.51943982</v>
      </c>
    </row>
    <row r="8560" spans="1:2" x14ac:dyDescent="0.25">
      <c r="A8560">
        <f ca="1">27687.0999915757*((RANDBETWEEN(1620,2416)))</f>
        <v>45766776.286074713</v>
      </c>
      <c r="B8560">
        <v>143796097.28926015</v>
      </c>
    </row>
    <row r="8561" spans="1:2" x14ac:dyDescent="0.25">
      <c r="A8561">
        <f ca="1">26587.2914713974*((RANDBETWEEN(1620,2416)))</f>
        <v>61974976.41982726</v>
      </c>
      <c r="B8561">
        <v>170314084.99611714</v>
      </c>
    </row>
    <row r="8562" spans="1:2" x14ac:dyDescent="0.25">
      <c r="A8562">
        <f ca="1">29242.7721384845*((RANDBETWEEN(1620,2416)))</f>
        <v>64334098.704665996</v>
      </c>
      <c r="B8562">
        <v>174944703.01212192</v>
      </c>
    </row>
    <row r="8563" spans="1:2" x14ac:dyDescent="0.25">
      <c r="A8563">
        <f ca="1">30179.3365492528*((RANDBETWEEN(1620,2416)))</f>
        <v>66967947.802791916</v>
      </c>
      <c r="B8563">
        <v>164873474.41236547</v>
      </c>
    </row>
    <row r="8564" spans="1:2" x14ac:dyDescent="0.25">
      <c r="A8564">
        <f ca="1">26535.1236297542*((RANDBETWEEN(1620,2416)))</f>
        <v>45348526.283249974</v>
      </c>
      <c r="B8564">
        <v>196236208.27942359</v>
      </c>
    </row>
    <row r="8565" spans="1:2" x14ac:dyDescent="0.25">
      <c r="A8565">
        <f ca="1">27793.1384387442*((RANDBETWEEN(1620,2416)))</f>
        <v>60116558.443003774</v>
      </c>
      <c r="B8565">
        <v>148597688.07294858</v>
      </c>
    </row>
    <row r="8566" spans="1:2" x14ac:dyDescent="0.25">
      <c r="A8566">
        <f ca="1">29148.5272968846*((RANDBETWEEN(1620,2416)))</f>
        <v>53487547.589783184</v>
      </c>
      <c r="B8566">
        <v>175570866.11576122</v>
      </c>
    </row>
    <row r="8567" spans="1:2" x14ac:dyDescent="0.25">
      <c r="A8567">
        <f ca="1">27047.5852547816*((RANDBETWEEN(1620,2416)))</f>
        <v>55961453.892143123</v>
      </c>
      <c r="B8567">
        <v>174974075.0521597</v>
      </c>
    </row>
    <row r="8568" spans="1:2" x14ac:dyDescent="0.25">
      <c r="A8568">
        <f ca="1">25801.5756347332*((RANDBETWEEN(1620,2416)))</f>
        <v>55808808.097927943</v>
      </c>
      <c r="B8568">
        <v>174815905.85533935</v>
      </c>
    </row>
    <row r="8569" spans="1:2" x14ac:dyDescent="0.25">
      <c r="A8569">
        <f ca="1">30202.3599384435*((RANDBETWEEN(1620,2416)))</f>
        <v>70643319.896019384</v>
      </c>
      <c r="B8569">
        <v>196833356.61467659</v>
      </c>
    </row>
    <row r="8570" spans="1:2" x14ac:dyDescent="0.25">
      <c r="A8570">
        <f ca="1">32033.7596181971*((RANDBETWEEN(1620,2416)))</f>
        <v>56059079.331844985</v>
      </c>
      <c r="B8570">
        <v>172136128.61852667</v>
      </c>
    </row>
    <row r="8571" spans="1:2" x14ac:dyDescent="0.25">
      <c r="A8571">
        <f ca="1">25740.1533835159*((RANDBETWEEN(1620,2416)))</f>
        <v>44530465.353482574</v>
      </c>
      <c r="B8571">
        <v>152826466.73329389</v>
      </c>
    </row>
    <row r="8572" spans="1:2" x14ac:dyDescent="0.25">
      <c r="A8572">
        <f ca="1">27940.6346315573*((RANDBETWEEN(1620,2416)))</f>
        <v>51494589.625960119</v>
      </c>
      <c r="B8572">
        <v>153145344.96401167</v>
      </c>
    </row>
    <row r="8573" spans="1:2" x14ac:dyDescent="0.25">
      <c r="A8573">
        <f ca="1">28598.2841415659*((RANDBETWEEN(1620,2416)))</f>
        <v>47244365.401866876</v>
      </c>
      <c r="B8573">
        <v>149166928.61196345</v>
      </c>
    </row>
    <row r="8574" spans="1:2" x14ac:dyDescent="0.25">
      <c r="A8574">
        <f ca="1">27301.963656793*((RANDBETWEEN(1620,2416)))</f>
        <v>58644617.934791408</v>
      </c>
      <c r="B8574">
        <v>177285374.90289661</v>
      </c>
    </row>
    <row r="8575" spans="1:2" x14ac:dyDescent="0.25">
      <c r="A8575">
        <f ca="1">29532.5837267349*((RANDBETWEEN(1620,2416)))</f>
        <v>54399019.224645667</v>
      </c>
      <c r="B8575">
        <v>196463011.7081171</v>
      </c>
    </row>
    <row r="8576" spans="1:2" x14ac:dyDescent="0.25">
      <c r="A8576">
        <f ca="1">26757.6580210374*((RANDBETWEEN(1620,2416)))</f>
        <v>50143851.131424069</v>
      </c>
      <c r="B8576">
        <v>147780642.49085355</v>
      </c>
    </row>
    <row r="8577" spans="1:2" x14ac:dyDescent="0.25">
      <c r="A8577">
        <f ca="1">26148.2268403587*((RANDBETWEEN(1620,2416)))</f>
        <v>42804647.337667257</v>
      </c>
      <c r="B8577">
        <v>146934067.04731569</v>
      </c>
    </row>
    <row r="8578" spans="1:2" x14ac:dyDescent="0.25">
      <c r="A8578">
        <f ca="1">27666.2290527382*((RANDBETWEEN(1620,2416)))</f>
        <v>53285157.155573711</v>
      </c>
      <c r="B8578">
        <v>161440073.99649358</v>
      </c>
    </row>
    <row r="8579" spans="1:2" x14ac:dyDescent="0.25">
      <c r="A8579">
        <f ca="1">27173.2939418603*((RANDBETWEEN(1620,2416)))</f>
        <v>44428335.594941586</v>
      </c>
      <c r="B8579">
        <v>145302916.38806206</v>
      </c>
    </row>
    <row r="8580" spans="1:2" x14ac:dyDescent="0.25">
      <c r="A8580">
        <f ca="1">26070.8189129209*((RANDBETWEEN(1620,2416)))</f>
        <v>49977759.856069334</v>
      </c>
      <c r="B8580">
        <v>144286158.03598326</v>
      </c>
    </row>
    <row r="8581" spans="1:2" x14ac:dyDescent="0.25">
      <c r="A8581">
        <f ca="1">25710.5876394402*((RANDBETWEEN(1620,2416)))</f>
        <v>56794688.095523335</v>
      </c>
      <c r="B8581">
        <v>147265985.6360026</v>
      </c>
    </row>
    <row r="8582" spans="1:2" x14ac:dyDescent="0.25">
      <c r="A8582">
        <f ca="1">27197.4881142966*((RANDBETWEEN(1620,2416)))</f>
        <v>56788355.182651348</v>
      </c>
      <c r="B8582">
        <v>152594573.14321351</v>
      </c>
    </row>
    <row r="8583" spans="1:2" x14ac:dyDescent="0.25">
      <c r="A8583">
        <f ca="1">26474.6231836457*((RANDBETWEEN(1620,2416)))</f>
        <v>53505213.454148106</v>
      </c>
      <c r="B8583">
        <v>145223054.77162573</v>
      </c>
    </row>
    <row r="8584" spans="1:2" x14ac:dyDescent="0.25">
      <c r="A8584">
        <f ca="1">27013.6900854052*((RANDBETWEEN(1620,2416)))</f>
        <v>62347596.717115238</v>
      </c>
      <c r="B8584">
        <v>177828284.5227828</v>
      </c>
    </row>
    <row r="8585" spans="1:2" x14ac:dyDescent="0.25">
      <c r="A8585">
        <f ca="1">27909.5020437631*((RANDBETWEEN(1620,2416)))</f>
        <v>65252415.778318167</v>
      </c>
      <c r="B8585">
        <v>177128578.31306326</v>
      </c>
    </row>
    <row r="8586" spans="1:2" x14ac:dyDescent="0.25">
      <c r="A8586">
        <f ca="1">27095.1937155954*((RANDBETWEEN(1620,2416)))</f>
        <v>59446855.012016371</v>
      </c>
      <c r="B8586">
        <v>146809250.99830481</v>
      </c>
    </row>
    <row r="8587" spans="1:2" x14ac:dyDescent="0.25">
      <c r="A8587">
        <f ca="1">28564.7565132033*((RANDBETWEEN(1620,2416)))</f>
        <v>67384260.614646703</v>
      </c>
      <c r="B8587">
        <v>185661926.23942393</v>
      </c>
    </row>
    <row r="8588" spans="1:2" x14ac:dyDescent="0.25">
      <c r="A8588">
        <f ca="1">26819.1173876262*((RANDBETWEEN(1620,2416)))</f>
        <v>55864221.51842545</v>
      </c>
      <c r="B8588">
        <v>170260088.93566701</v>
      </c>
    </row>
    <row r="8589" spans="1:2" x14ac:dyDescent="0.25">
      <c r="A8589">
        <f ca="1">27082.5143671948*((RANDBETWEEN(1620,2416)))</f>
        <v>49561001.29196652</v>
      </c>
      <c r="B8589">
        <v>159938196.11487526</v>
      </c>
    </row>
    <row r="8590" spans="1:2" x14ac:dyDescent="0.25">
      <c r="A8590">
        <f ca="1">30438.9677570559*((RANDBETWEEN(1620,2416)))</f>
        <v>62460761.837478653</v>
      </c>
      <c r="B8590">
        <v>188316471.70284456</v>
      </c>
    </row>
    <row r="8591" spans="1:2" x14ac:dyDescent="0.25">
      <c r="A8591">
        <f ca="1">29770.3117699678*((RANDBETWEEN(1620,2416)))</f>
        <v>67578607.717826992</v>
      </c>
      <c r="B8591">
        <v>177610814.98926002</v>
      </c>
    </row>
    <row r="8592" spans="1:2" x14ac:dyDescent="0.25">
      <c r="A8592">
        <f ca="1">28647.6279062332*((RANDBETWEEN(1620,2416)))</f>
        <v>67493811.347085312</v>
      </c>
      <c r="B8592">
        <v>167069014.09972316</v>
      </c>
    </row>
    <row r="8593" spans="1:2" x14ac:dyDescent="0.25">
      <c r="A8593">
        <f ca="1">26387.6054861663*((RANDBETWEEN(1620,2416)))</f>
        <v>56363925.318451196</v>
      </c>
      <c r="B8593">
        <v>147970522.21078822</v>
      </c>
    </row>
    <row r="8594" spans="1:2" x14ac:dyDescent="0.25">
      <c r="A8594">
        <f ca="1">30909.5885626016*((RANDBETWEEN(1620,2416)))</f>
        <v>58357303.206191808</v>
      </c>
      <c r="B8594">
        <v>193592051.34318328</v>
      </c>
    </row>
    <row r="8595" spans="1:2" x14ac:dyDescent="0.25">
      <c r="A8595">
        <f ca="1">29987.8506122346*((RANDBETWEEN(1620,2416)))</f>
        <v>62884522.733855993</v>
      </c>
      <c r="B8595">
        <v>191571378.67710081</v>
      </c>
    </row>
    <row r="8596" spans="1:2" x14ac:dyDescent="0.25">
      <c r="A8596">
        <f ca="1">27821.3287015541*((RANDBETWEEN(1620,2416)))</f>
        <v>46851117.533417165</v>
      </c>
      <c r="B8596">
        <v>199110273.84737995</v>
      </c>
    </row>
    <row r="8597" spans="1:2" x14ac:dyDescent="0.25">
      <c r="A8597">
        <f ca="1">26296.9781143261*((RANDBETWEEN(1620,2416)))</f>
        <v>56827769.705058761</v>
      </c>
      <c r="B8597">
        <v>155469746.30713785</v>
      </c>
    </row>
    <row r="8598" spans="1:2" x14ac:dyDescent="0.25">
      <c r="A8598">
        <f ca="1">27649.8899261885*((RANDBETWEEN(1620,2416)))</f>
        <v>55852777.650900692</v>
      </c>
      <c r="B8598">
        <v>169793151.80413425</v>
      </c>
    </row>
    <row r="8599" spans="1:2" x14ac:dyDescent="0.25">
      <c r="A8599">
        <f ca="1">29541.2099772308*((RANDBETWEEN(1620,2416)))</f>
        <v>67442582.378017843</v>
      </c>
      <c r="B8599">
        <v>187276446.55912298</v>
      </c>
    </row>
    <row r="8600" spans="1:2" x14ac:dyDescent="0.25">
      <c r="A8600">
        <f ca="1">26146.2207183372*((RANDBETWEEN(1620,2416)))</f>
        <v>59325774.809907191</v>
      </c>
      <c r="B8600">
        <v>184811807.6928609</v>
      </c>
    </row>
    <row r="8601" spans="1:2" x14ac:dyDescent="0.25">
      <c r="A8601">
        <f ca="1">27119.3400240916*((RANDBETWEEN(1620,2416)))</f>
        <v>65493206.158181138</v>
      </c>
      <c r="B8601">
        <v>147234439.88557243</v>
      </c>
    </row>
    <row r="8602" spans="1:2" x14ac:dyDescent="0.25">
      <c r="A8602">
        <f ca="1">34475.5707810227*((RANDBETWEEN(1620,2416)))</f>
        <v>66848131.744403094</v>
      </c>
      <c r="B8602">
        <v>193896772.31880945</v>
      </c>
    </row>
    <row r="8603" spans="1:2" x14ac:dyDescent="0.25">
      <c r="A8603">
        <f ca="1">29531.4936780937*((RANDBETWEEN(1620,2416)))</f>
        <v>52093554.848157242</v>
      </c>
      <c r="B8603">
        <v>182580082.26830405</v>
      </c>
    </row>
    <row r="8604" spans="1:2" x14ac:dyDescent="0.25">
      <c r="A8604">
        <f ca="1">27313.7225559059*((RANDBETWEEN(1620,2416)))</f>
        <v>52496974.752451219</v>
      </c>
      <c r="B8604">
        <v>145501054.3095569</v>
      </c>
    </row>
    <row r="8605" spans="1:2" x14ac:dyDescent="0.25">
      <c r="A8605">
        <f ca="1">31277.9451809284*((RANDBETWEEN(1620,2416)))</f>
        <v>50670271.193104014</v>
      </c>
      <c r="B8605">
        <v>174794858.19615501</v>
      </c>
    </row>
    <row r="8606" spans="1:2" x14ac:dyDescent="0.25">
      <c r="A8606">
        <f ca="1">28804.0498683345*((RANDBETWEEN(1620,2416)))</f>
        <v>62850436.812705949</v>
      </c>
      <c r="B8606">
        <v>180408219.67914271</v>
      </c>
    </row>
    <row r="8607" spans="1:2" x14ac:dyDescent="0.25">
      <c r="A8607">
        <f ca="1">29415.9297756406*((RANDBETWEEN(1620,2416)))</f>
        <v>50477735.494999267</v>
      </c>
      <c r="B8607">
        <v>173653124.73766834</v>
      </c>
    </row>
    <row r="8608" spans="1:2" x14ac:dyDescent="0.25">
      <c r="A8608">
        <f ca="1">25653.4013884701*((RANDBETWEEN(1620,2416)))</f>
        <v>46637883.724238597</v>
      </c>
      <c r="B8608">
        <v>144721253.67873234</v>
      </c>
    </row>
    <row r="8609" spans="1:2" x14ac:dyDescent="0.25">
      <c r="A8609">
        <f ca="1">31934.8849751519*((RANDBETWEEN(1620,2416)))</f>
        <v>74567956.416979745</v>
      </c>
      <c r="B8609">
        <v>155968658.27246606</v>
      </c>
    </row>
    <row r="8610" spans="1:2" x14ac:dyDescent="0.25">
      <c r="A8610">
        <f ca="1">25273.6537313486*((RANDBETWEEN(1620,2416)))</f>
        <v>52114273.994040854</v>
      </c>
      <c r="B8610">
        <v>149959862.45254576</v>
      </c>
    </row>
    <row r="8611" spans="1:2" x14ac:dyDescent="0.25">
      <c r="A8611">
        <f ca="1">33791.3729769244*((RANDBETWEEN(1620,2416)))</f>
        <v>78497359.425395399</v>
      </c>
      <c r="B8611">
        <v>198283397.65104827</v>
      </c>
    </row>
    <row r="8612" spans="1:2" x14ac:dyDescent="0.25">
      <c r="A8612">
        <f ca="1">28778.6158390479*((RANDBETWEEN(1620,2416)))</f>
        <v>56607537.35540726</v>
      </c>
      <c r="B8612">
        <v>144687080.58677471</v>
      </c>
    </row>
    <row r="8613" spans="1:2" x14ac:dyDescent="0.25">
      <c r="A8613">
        <f ca="1">28634.0121034719*((RANDBETWEEN(1620,2416)))</f>
        <v>46988413.861797407</v>
      </c>
      <c r="B8613">
        <v>172099122.8980965</v>
      </c>
    </row>
    <row r="8614" spans="1:2" x14ac:dyDescent="0.25">
      <c r="A8614">
        <f ca="1">26823.6788542685*((RANDBETWEEN(1620,2416)))</f>
        <v>48228974.579974815</v>
      </c>
      <c r="B8614">
        <v>152636279.88965324</v>
      </c>
    </row>
    <row r="8615" spans="1:2" x14ac:dyDescent="0.25">
      <c r="A8615">
        <f ca="1">29991.9616903684*((RANDBETWEEN(1620,2416)))</f>
        <v>66522171.029237136</v>
      </c>
      <c r="B8615">
        <v>201967122.64551422</v>
      </c>
    </row>
    <row r="8616" spans="1:2" x14ac:dyDescent="0.25">
      <c r="A8616">
        <f ca="1">27652.1056522048*((RANDBETWEEN(1620,2416)))</f>
        <v>50520397.02657818</v>
      </c>
      <c r="B8616">
        <v>189638008.05225974</v>
      </c>
    </row>
    <row r="8617" spans="1:2" x14ac:dyDescent="0.25">
      <c r="A8617">
        <f ca="1">30464.6501970969*((RANDBETWEEN(1620,2416)))</f>
        <v>64280411.915874548</v>
      </c>
      <c r="B8617">
        <v>155698937.68100035</v>
      </c>
    </row>
    <row r="8618" spans="1:2" x14ac:dyDescent="0.25">
      <c r="A8618">
        <f ca="1">26135.4173479974*((RANDBETWEEN(1620,2416)))</f>
        <v>56295688.967586353</v>
      </c>
      <c r="B8618">
        <v>175332521.95634633</v>
      </c>
    </row>
    <row r="8619" spans="1:2" x14ac:dyDescent="0.25">
      <c r="A8619">
        <f ca="1">26859.8865034986*((RANDBETWEEN(1620,2416)))</f>
        <v>54740448.694130063</v>
      </c>
      <c r="B8619">
        <v>197764937.26109183</v>
      </c>
    </row>
    <row r="8620" spans="1:2" x14ac:dyDescent="0.25">
      <c r="A8620">
        <f ca="1">30973.5500616469*((RANDBETWEEN(1620,2416)))</f>
        <v>60739131.670889638</v>
      </c>
      <c r="B8620">
        <v>190029224.97777045</v>
      </c>
    </row>
    <row r="8621" spans="1:2" x14ac:dyDescent="0.25">
      <c r="A8621">
        <f ca="1">26214.8099921601*((RANDBETWEEN(1620,2416)))</f>
        <v>52560694.034280941</v>
      </c>
      <c r="B8621">
        <v>168455826.22942919</v>
      </c>
    </row>
    <row r="8622" spans="1:2" x14ac:dyDescent="0.25">
      <c r="A8622">
        <f ca="1">30825.9854988088*((RANDBETWEEN(1620,2416)))</f>
        <v>68187079.923364967</v>
      </c>
      <c r="B8622">
        <v>163297086.92831391</v>
      </c>
    </row>
    <row r="8623" spans="1:2" x14ac:dyDescent="0.25">
      <c r="A8623">
        <f ca="1">26670.5008501513*((RANDBETWEEN(1620,2416)))</f>
        <v>49793825.087232515</v>
      </c>
      <c r="B8623">
        <v>186992429.68801379</v>
      </c>
    </row>
    <row r="8624" spans="1:2" x14ac:dyDescent="0.25">
      <c r="A8624">
        <f ca="1">25172.736860707*((RANDBETWEEN(1620,2416)))</f>
        <v>60162841.097089842</v>
      </c>
      <c r="B8624">
        <v>147338645.67006999</v>
      </c>
    </row>
    <row r="8625" spans="1:2" x14ac:dyDescent="0.25">
      <c r="A8625">
        <f ca="1">28062.42769502*((RANDBETWEEN(1620,2416)))</f>
        <v>53290550.192843057</v>
      </c>
      <c r="B8625">
        <v>149808003.12970504</v>
      </c>
    </row>
    <row r="8626" spans="1:2" x14ac:dyDescent="0.25">
      <c r="A8626">
        <f ca="1">27383.1319796186*((RANDBETWEEN(1620,2416)))</f>
        <v>49700384.543007806</v>
      </c>
      <c r="B8626">
        <v>165251104.92289829</v>
      </c>
    </row>
    <row r="8627" spans="1:2" x14ac:dyDescent="0.25">
      <c r="A8627">
        <f ca="1">29020.2629472105*((RANDBETWEEN(1620,2416)))</f>
        <v>66398361.623217687</v>
      </c>
      <c r="B8627">
        <v>156768322.32334504</v>
      </c>
    </row>
    <row r="8628" spans="1:2" x14ac:dyDescent="0.25">
      <c r="A8628">
        <f ca="1">26543.6437050117*((RANDBETWEEN(1620,2416)))</f>
        <v>55927457.286459744</v>
      </c>
      <c r="B8628">
        <v>148308534.06339416</v>
      </c>
    </row>
    <row r="8629" spans="1:2" x14ac:dyDescent="0.25">
      <c r="A8629">
        <f ca="1">26784.6554880131*((RANDBETWEEN(1620,2416)))</f>
        <v>56569192.390683658</v>
      </c>
      <c r="B8629">
        <v>151516670.7624366</v>
      </c>
    </row>
    <row r="8630" spans="1:2" x14ac:dyDescent="0.25">
      <c r="A8630">
        <f ca="1">27761.0590344217*((RANDBETWEEN(1620,2416)))</f>
        <v>58464790.326492146</v>
      </c>
      <c r="B8630">
        <v>151125702.03223798</v>
      </c>
    </row>
    <row r="8631" spans="1:2" x14ac:dyDescent="0.25">
      <c r="A8631">
        <f ca="1">27191.7699810009*((RANDBETWEEN(1620,2416)))</f>
        <v>54737032.971754842</v>
      </c>
      <c r="B8631">
        <v>163068348.04066321</v>
      </c>
    </row>
    <row r="8632" spans="1:2" x14ac:dyDescent="0.25">
      <c r="A8632">
        <f ca="1">27629.2311324873*((RANDBETWEEN(1620,2416)))</f>
        <v>59734397.708437487</v>
      </c>
      <c r="B8632">
        <v>156427885.2746872</v>
      </c>
    </row>
    <row r="8633" spans="1:2" x14ac:dyDescent="0.25">
      <c r="A8633">
        <f ca="1">29543.0071856724*((RANDBETWEEN(1620,2416)))</f>
        <v>64315126.643208884</v>
      </c>
      <c r="B8633">
        <v>149254597.86490411</v>
      </c>
    </row>
    <row r="8634" spans="1:2" x14ac:dyDescent="0.25">
      <c r="A8634">
        <f ca="1">29171.4777442766*((RANDBETWEEN(1620,2416)))</f>
        <v>60880874.052305259</v>
      </c>
      <c r="B8634">
        <v>152507144.58454502</v>
      </c>
    </row>
    <row r="8635" spans="1:2" x14ac:dyDescent="0.25">
      <c r="A8635">
        <f ca="1">26648.2212977629*((RANDBETWEEN(1620,2416)))</f>
        <v>64062323.999822073</v>
      </c>
      <c r="B8635">
        <v>170472997.16136956</v>
      </c>
    </row>
    <row r="8636" spans="1:2" x14ac:dyDescent="0.25">
      <c r="A8636">
        <f ca="1">27375.9140354517*((RANDBETWEEN(1620,2416)))</f>
        <v>64908292.178055987</v>
      </c>
      <c r="B8636">
        <v>151304470.8209933</v>
      </c>
    </row>
    <row r="8637" spans="1:2" x14ac:dyDescent="0.25">
      <c r="A8637">
        <f ca="1">26348.0532362549*((RANDBETWEEN(1620,2416)))</f>
        <v>61496356.253418982</v>
      </c>
      <c r="B8637">
        <v>164745886.64214918</v>
      </c>
    </row>
    <row r="8638" spans="1:2" x14ac:dyDescent="0.25">
      <c r="A8638">
        <f ca="1">26451.5953793269*((RANDBETWEEN(1620,2416)))</f>
        <v>61050282.135486528</v>
      </c>
      <c r="B8638">
        <v>150521507.7996752</v>
      </c>
    </row>
    <row r="8639" spans="1:2" x14ac:dyDescent="0.25">
      <c r="A8639">
        <f ca="1">30853.3626545415*((RANDBETWEEN(1620,2416)))</f>
        <v>51987916.072902411</v>
      </c>
      <c r="B8639">
        <v>153848282.15431112</v>
      </c>
    </row>
    <row r="8640" spans="1:2" x14ac:dyDescent="0.25">
      <c r="A8640">
        <f ca="1">33667.1542361732*((RANDBETWEEN(1620,2416)))</f>
        <v>69758343.5773509</v>
      </c>
      <c r="B8640">
        <v>183406463.61383671</v>
      </c>
    </row>
    <row r="8641" spans="1:2" x14ac:dyDescent="0.25">
      <c r="A8641">
        <f ca="1">26885.1993032598*((RANDBETWEEN(1620,2416)))</f>
        <v>51323845.469922975</v>
      </c>
      <c r="B8641">
        <v>143025361.23996946</v>
      </c>
    </row>
    <row r="8642" spans="1:2" x14ac:dyDescent="0.25">
      <c r="A8642">
        <f ca="1">29108.8384142139*((RANDBETWEEN(1620,2416)))</f>
        <v>55539663.694320045</v>
      </c>
      <c r="B8642">
        <v>188392309.53287438</v>
      </c>
    </row>
    <row r="8643" spans="1:2" x14ac:dyDescent="0.25">
      <c r="A8643">
        <f ca="1">27768.1015229429*((RANDBETWEEN(1620,2416)))</f>
        <v>65671560.101759993</v>
      </c>
      <c r="B8643">
        <v>202609602.88670504</v>
      </c>
    </row>
    <row r="8644" spans="1:2" x14ac:dyDescent="0.25">
      <c r="A8644">
        <f ca="1">27300.1754753007*((RANDBETWEEN(1620,2416)))</f>
        <v>62599302.364864424</v>
      </c>
      <c r="B8644">
        <v>159975398.49254099</v>
      </c>
    </row>
    <row r="8645" spans="1:2" x14ac:dyDescent="0.25">
      <c r="A8645">
        <f ca="1">28631.6455804076*((RANDBETWEEN(1620,2416)))</f>
        <v>53083070.906075753</v>
      </c>
      <c r="B8645">
        <v>177757132.93176976</v>
      </c>
    </row>
    <row r="8646" spans="1:2" x14ac:dyDescent="0.25">
      <c r="A8646">
        <f ca="1">31145.1785648029*((RANDBETWEEN(1620,2416)))</f>
        <v>54223755.881321855</v>
      </c>
      <c r="B8646">
        <v>143142568.3119958</v>
      </c>
    </row>
    <row r="8647" spans="1:2" x14ac:dyDescent="0.25">
      <c r="A8647">
        <f ca="1">27189.9146428729*((RANDBETWEEN(1620,2416)))</f>
        <v>55902464.505746707</v>
      </c>
      <c r="B8647">
        <v>190887053.78240797</v>
      </c>
    </row>
    <row r="8648" spans="1:2" x14ac:dyDescent="0.25">
      <c r="A8648">
        <f ca="1">26776.6674514613*((RANDBETWEEN(1620,2416)))</f>
        <v>60086841.761079229</v>
      </c>
      <c r="B8648">
        <v>151452768.92593306</v>
      </c>
    </row>
    <row r="8649" spans="1:2" x14ac:dyDescent="0.25">
      <c r="A8649">
        <f ca="1">27860.0417657927*((RANDBETWEEN(1620,2416)))</f>
        <v>57837446.705785774</v>
      </c>
      <c r="B8649">
        <v>147201526.37953752</v>
      </c>
    </row>
    <row r="8650" spans="1:2" x14ac:dyDescent="0.25">
      <c r="A8650">
        <f ca="1">25917.629225927*((RANDBETWEEN(1620,2416)))</f>
        <v>57822230.803043157</v>
      </c>
      <c r="B8650">
        <v>163184768.99883065</v>
      </c>
    </row>
    <row r="8651" spans="1:2" x14ac:dyDescent="0.25">
      <c r="A8651">
        <f ca="1">30674.6395930763*((RANDBETWEEN(1620,2416)))</f>
        <v>59478126.17097497</v>
      </c>
      <c r="B8651">
        <v>165227108.05683219</v>
      </c>
    </row>
    <row r="8652" spans="1:2" x14ac:dyDescent="0.25">
      <c r="A8652">
        <f ca="1">27846.6005346535*((RANDBETWEEN(1620,2416)))</f>
        <v>55470428.265029728</v>
      </c>
      <c r="B8652">
        <v>200659890.91658998</v>
      </c>
    </row>
    <row r="8653" spans="1:2" x14ac:dyDescent="0.25">
      <c r="A8653">
        <f ca="1">27098.6592800794*((RANDBETWEEN(1620,2416)))</f>
        <v>52273313.751273237</v>
      </c>
      <c r="B8653">
        <v>143092470.7508508</v>
      </c>
    </row>
    <row r="8654" spans="1:2" x14ac:dyDescent="0.25">
      <c r="A8654">
        <f ca="1">29740.8718155579*((RANDBETWEEN(1620,2416)))</f>
        <v>56567138.193191133</v>
      </c>
      <c r="B8654">
        <v>184582333.58930632</v>
      </c>
    </row>
    <row r="8655" spans="1:2" x14ac:dyDescent="0.25">
      <c r="A8655">
        <f ca="1">30983.2509150544*((RANDBETWEEN(1620,2416)))</f>
        <v>66892838.725602545</v>
      </c>
      <c r="B8655">
        <v>184785614.02961454</v>
      </c>
    </row>
    <row r="8656" spans="1:2" x14ac:dyDescent="0.25">
      <c r="A8656">
        <f ca="1">27043.140987858*((RANDBETWEEN(1620,2416)))</f>
        <v>53437246.592007399</v>
      </c>
      <c r="B8656">
        <v>171878305.14617044</v>
      </c>
    </row>
    <row r="8657" spans="1:2" x14ac:dyDescent="0.25">
      <c r="A8657">
        <f ca="1">27784.4870368931*((RANDBETWEEN(1620,2416)))</f>
        <v>62904078.651526012</v>
      </c>
      <c r="B8657">
        <v>167477302.23681149</v>
      </c>
    </row>
    <row r="8658" spans="1:2" x14ac:dyDescent="0.25">
      <c r="A8658">
        <f ca="1">32367.4710184616*((RANDBETWEEN(1620,2416)))</f>
        <v>62372116.652575567</v>
      </c>
      <c r="B8658">
        <v>164839835.19457144</v>
      </c>
    </row>
    <row r="8659" spans="1:2" x14ac:dyDescent="0.25">
      <c r="A8659">
        <f ca="1">26780.0982803696*((RANDBETWEEN(1620,2416)))</f>
        <v>46704491.400964603</v>
      </c>
      <c r="B8659">
        <v>157296157.00748488</v>
      </c>
    </row>
    <row r="8660" spans="1:2" x14ac:dyDescent="0.25">
      <c r="A8660">
        <f ca="1">26456.124901025*((RANDBETWEEN(1620,2416)))</f>
        <v>55081652.043934241</v>
      </c>
      <c r="B8660">
        <v>147953342.57289439</v>
      </c>
    </row>
    <row r="8661" spans="1:2" x14ac:dyDescent="0.25">
      <c r="A8661">
        <f ca="1">27168.9912542493*((RANDBETWEEN(1620,2416)))</f>
        <v>63249411.639892474</v>
      </c>
      <c r="B8661">
        <v>147942046.22523463</v>
      </c>
    </row>
    <row r="8662" spans="1:2" x14ac:dyDescent="0.25">
      <c r="A8662">
        <f ca="1">32575.6938655341*((RANDBETWEEN(1620,2416)))</f>
        <v>75445306.992576972</v>
      </c>
      <c r="B8662">
        <v>180751184.8811025</v>
      </c>
    </row>
    <row r="8663" spans="1:2" x14ac:dyDescent="0.25">
      <c r="A8663">
        <f ca="1">26602.5725892193*((RANDBETWEEN(1620,2416)))</f>
        <v>48549694.975325212</v>
      </c>
      <c r="B8663">
        <v>154884227.99913886</v>
      </c>
    </row>
    <row r="8664" spans="1:2" x14ac:dyDescent="0.25">
      <c r="A8664">
        <f ca="1">28093.3901085787*((RANDBETWEEN(1620,2416)))</f>
        <v>45848412.657200404</v>
      </c>
      <c r="B8664">
        <v>164689725.80754584</v>
      </c>
    </row>
    <row r="8665" spans="1:2" x14ac:dyDescent="0.25">
      <c r="A8665">
        <f ca="1">25994.8353755862*((RANDBETWEEN(1620,2416)))</f>
        <v>59710136.8577215</v>
      </c>
      <c r="B8665">
        <v>155080535.9816598</v>
      </c>
    </row>
    <row r="8666" spans="1:2" x14ac:dyDescent="0.25">
      <c r="A8666">
        <f ca="1">27114.4792902038*((RANDBETWEEN(1620,2416)))</f>
        <v>59543396.521287508</v>
      </c>
      <c r="B8666">
        <v>170222631.24837381</v>
      </c>
    </row>
    <row r="8667" spans="1:2" x14ac:dyDescent="0.25">
      <c r="A8667">
        <f ca="1">28482.8725221714*((RANDBETWEEN(1620,2416)))</f>
        <v>50585581.599376388</v>
      </c>
      <c r="B8667">
        <v>167439815.18713614</v>
      </c>
    </row>
    <row r="8668" spans="1:2" x14ac:dyDescent="0.25">
      <c r="A8668">
        <f ca="1">26306.9564686628*((RANDBETWEEN(1620,2416)))</f>
        <v>48457413.815276861</v>
      </c>
      <c r="B8668">
        <v>151584956.75117895</v>
      </c>
    </row>
    <row r="8669" spans="1:2" x14ac:dyDescent="0.25">
      <c r="A8669">
        <f ca="1">28268.3252826332*((RANDBETWEEN(1620,2416)))</f>
        <v>53766354.687568277</v>
      </c>
      <c r="B8669">
        <v>155682314.28195065</v>
      </c>
    </row>
    <row r="8670" spans="1:2" x14ac:dyDescent="0.25">
      <c r="A8670">
        <f ca="1">27395.1997866695*((RANDBETWEEN(1620,2416)))</f>
        <v>62543241.112966433</v>
      </c>
      <c r="B8670">
        <v>146741566.82389182</v>
      </c>
    </row>
    <row r="8671" spans="1:2" x14ac:dyDescent="0.25">
      <c r="A8671">
        <f ca="1">26392.9668955936*((RANDBETWEEN(1620,2416)))</f>
        <v>50093851.167836651</v>
      </c>
      <c r="B8671">
        <v>158554682.50063822</v>
      </c>
    </row>
    <row r="8672" spans="1:2" x14ac:dyDescent="0.25">
      <c r="A8672">
        <f ca="1">29438.2840457525*((RANDBETWEEN(1620,2416)))</f>
        <v>52105762.760981955</v>
      </c>
      <c r="B8672">
        <v>180900107.31537792</v>
      </c>
    </row>
    <row r="8673" spans="1:2" x14ac:dyDescent="0.25">
      <c r="A8673">
        <f ca="1">26667.0620684462*((RANDBETWEEN(1620,2416)))</f>
        <v>44560660.716373667</v>
      </c>
      <c r="B8673">
        <v>173063283.71856183</v>
      </c>
    </row>
    <row r="8674" spans="1:2" x14ac:dyDescent="0.25">
      <c r="A8674">
        <f ca="1">29409.7663376792*((RANDBETWEEN(1620,2416)))</f>
        <v>51437681.32460092</v>
      </c>
      <c r="B8674">
        <v>163109039.98118091</v>
      </c>
    </row>
    <row r="8675" spans="1:2" x14ac:dyDescent="0.25">
      <c r="A8675">
        <f ca="1">27908.4603710561*((RANDBETWEEN(1620,2416)))</f>
        <v>56821625.315470286</v>
      </c>
      <c r="B8675">
        <v>143473050.97568998</v>
      </c>
    </row>
    <row r="8676" spans="1:2" x14ac:dyDescent="0.25">
      <c r="A8676">
        <f ca="1">29736.5864883148*((RANDBETWEEN(1620,2416)))</f>
        <v>57748450.960307427</v>
      </c>
      <c r="B8676">
        <v>188476192.94297796</v>
      </c>
    </row>
    <row r="8677" spans="1:2" x14ac:dyDescent="0.25">
      <c r="A8677">
        <f ca="1">30342.114951883*((RANDBETWEEN(1620,2416)))</f>
        <v>49852094.865943789</v>
      </c>
      <c r="B8677">
        <v>150272764.92059872</v>
      </c>
    </row>
    <row r="8678" spans="1:2" x14ac:dyDescent="0.25">
      <c r="A8678">
        <f ca="1">26807.5814226215*((RANDBETWEEN(1620,2416)))</f>
        <v>49459987.724736661</v>
      </c>
      <c r="B8678">
        <v>159387919.37710142</v>
      </c>
    </row>
    <row r="8679" spans="1:2" x14ac:dyDescent="0.25">
      <c r="A8679">
        <f ca="1">26953.1824248162*((RANDBETWEEN(1620,2416)))</f>
        <v>51049327.512601972</v>
      </c>
      <c r="B8679">
        <v>182159847.45901746</v>
      </c>
    </row>
    <row r="8680" spans="1:2" x14ac:dyDescent="0.25">
      <c r="A8680">
        <f ca="1">26544.3600359094*((RANDBETWEEN(1620,2416)))</f>
        <v>59432822.120401226</v>
      </c>
      <c r="B8680">
        <v>142901898.26541618</v>
      </c>
    </row>
    <row r="8681" spans="1:2" x14ac:dyDescent="0.25">
      <c r="A8681">
        <f ca="1">29565.8522081382*((RANDBETWEEN(1620,2416)))</f>
        <v>65813587.01531563</v>
      </c>
      <c r="B8681">
        <v>199917724.0396972</v>
      </c>
    </row>
    <row r="8682" spans="1:2" x14ac:dyDescent="0.25">
      <c r="A8682">
        <f ca="1">24918.7149336787*((RANDBETWEEN(1620,2416)))</f>
        <v>42835270.970993765</v>
      </c>
      <c r="B8682">
        <v>153523064.76490501</v>
      </c>
    </row>
    <row r="8683" spans="1:2" x14ac:dyDescent="0.25">
      <c r="A8683">
        <f ca="1">28285.1274237553*((RANDBETWEEN(1620,2416)))</f>
        <v>63415255.684059352</v>
      </c>
      <c r="B8683">
        <v>190704186.27248046</v>
      </c>
    </row>
    <row r="8684" spans="1:2" x14ac:dyDescent="0.25">
      <c r="A8684">
        <f ca="1">33481.4342273538*((RANDBETWEEN(1620,2416)))</f>
        <v>79752776.329556972</v>
      </c>
      <c r="B8684">
        <v>150448891.2262212</v>
      </c>
    </row>
    <row r="8685" spans="1:2" x14ac:dyDescent="0.25">
      <c r="A8685">
        <f ca="1">27172.5064856595*((RANDBETWEEN(1620,2416)))</f>
        <v>56491640.983686134</v>
      </c>
      <c r="B8685">
        <v>177806502.11280167</v>
      </c>
    </row>
    <row r="8686" spans="1:2" x14ac:dyDescent="0.25">
      <c r="A8686">
        <f ca="1">33234.3375906987*((RANDBETWEEN(1620,2416)))</f>
        <v>56033093.177918069</v>
      </c>
      <c r="B8686">
        <v>194089016.23972774</v>
      </c>
    </row>
    <row r="8687" spans="1:2" x14ac:dyDescent="0.25">
      <c r="A8687">
        <f ca="1">26296.1685177514*((RANDBETWEEN(1620,2416)))</f>
        <v>43835712.919091515</v>
      </c>
      <c r="B8687">
        <v>161299479.90143815</v>
      </c>
    </row>
    <row r="8688" spans="1:2" x14ac:dyDescent="0.25">
      <c r="A8688">
        <f ca="1">29482.2898815054*((RANDBETWEEN(1620,2416)))</f>
        <v>54571718.570666455</v>
      </c>
      <c r="B8688">
        <v>153302621.41549286</v>
      </c>
    </row>
    <row r="8689" spans="1:2" x14ac:dyDescent="0.25">
      <c r="A8689">
        <f ca="1">26966.8528935982*((RANDBETWEEN(1620,2416)))</f>
        <v>59731579.15931993</v>
      </c>
      <c r="B8689">
        <v>162884563.59036529</v>
      </c>
    </row>
    <row r="8690" spans="1:2" x14ac:dyDescent="0.25">
      <c r="A8690">
        <f ca="1">27544.9802811711*((RANDBETWEEN(1620,2416)))</f>
        <v>48258805.452611685</v>
      </c>
      <c r="B8690">
        <v>156073331.69951248</v>
      </c>
    </row>
    <row r="8691" spans="1:2" x14ac:dyDescent="0.25">
      <c r="A8691">
        <f ca="1">26790.4809512835*((RANDBETWEEN(1620,2416)))</f>
        <v>62395030.135539316</v>
      </c>
      <c r="B8691">
        <v>145417188.45072007</v>
      </c>
    </row>
    <row r="8692" spans="1:2" x14ac:dyDescent="0.25">
      <c r="A8692">
        <f ca="1">26702.7669506362*((RANDBETWEEN(1620,2416)))</f>
        <v>43391996.294783771</v>
      </c>
      <c r="B8692">
        <v>150125877.49058822</v>
      </c>
    </row>
    <row r="8693" spans="1:2" x14ac:dyDescent="0.25">
      <c r="A8693">
        <f ca="1">28022.8539264778*((RANDBETWEEN(1620,2416)))</f>
        <v>65265226.794766851</v>
      </c>
      <c r="B8693">
        <v>162121750.55304363</v>
      </c>
    </row>
    <row r="8694" spans="1:2" x14ac:dyDescent="0.25">
      <c r="A8694">
        <f ca="1">25411.2170701028*((RANDBETWEEN(1620,2416)))</f>
        <v>61088565.836527064</v>
      </c>
      <c r="B8694">
        <v>148599541.46879321</v>
      </c>
    </row>
    <row r="8695" spans="1:2" x14ac:dyDescent="0.25">
      <c r="A8695">
        <f ca="1">26851.2100766321*((RANDBETWEEN(1620,2416)))</f>
        <v>58938406.118207566</v>
      </c>
      <c r="B8695">
        <v>158591956.49909842</v>
      </c>
    </row>
    <row r="8696" spans="1:2" x14ac:dyDescent="0.25">
      <c r="A8696">
        <f ca="1">26991.3738222639*((RANDBETWEEN(1620,2416)))</f>
        <v>54306644.130395055</v>
      </c>
      <c r="B8696">
        <v>166629499.24486595</v>
      </c>
    </row>
    <row r="8697" spans="1:2" x14ac:dyDescent="0.25">
      <c r="A8697">
        <f ca="1">30141.5905572682*((RANDBETWEEN(1620,2416)))</f>
        <v>63779605.619179428</v>
      </c>
      <c r="B8697">
        <v>143353405.23028314</v>
      </c>
    </row>
    <row r="8698" spans="1:2" x14ac:dyDescent="0.25">
      <c r="A8698">
        <f ca="1">28912.0570380628*((RANDBETWEEN(1620,2416)))</f>
        <v>57506081.448707007</v>
      </c>
      <c r="B8698">
        <v>193557821.15978649</v>
      </c>
    </row>
    <row r="8699" spans="1:2" x14ac:dyDescent="0.25">
      <c r="A8699">
        <f ca="1">26195.0461790135*((RANDBETWEEN(1620,2416)))</f>
        <v>52966383.373965323</v>
      </c>
      <c r="B8699">
        <v>169446459.42465162</v>
      </c>
    </row>
    <row r="8700" spans="1:2" x14ac:dyDescent="0.25">
      <c r="A8700">
        <f ca="1">30384.4724562367*((RANDBETWEEN(1620,2416)))</f>
        <v>68638523.278638616</v>
      </c>
      <c r="B8700">
        <v>172429881.31370786</v>
      </c>
    </row>
    <row r="8701" spans="1:2" x14ac:dyDescent="0.25">
      <c r="A8701">
        <f ca="1">31004.5379702036*((RANDBETWEEN(1620,2416)))</f>
        <v>66566743.022027075</v>
      </c>
      <c r="B8701">
        <v>174238311.49119887</v>
      </c>
    </row>
    <row r="8702" spans="1:2" x14ac:dyDescent="0.25">
      <c r="A8702">
        <f ca="1">27833.3000851475*((RANDBETWEEN(1620,2416)))</f>
        <v>56585099.073104799</v>
      </c>
      <c r="B8702">
        <v>147727857.6646879</v>
      </c>
    </row>
    <row r="8703" spans="1:2" x14ac:dyDescent="0.25">
      <c r="A8703">
        <f ca="1">25567.8804003987*((RANDBETWEEN(1620,2416)))</f>
        <v>51212464.441998646</v>
      </c>
      <c r="B8703">
        <v>147923757.09644312</v>
      </c>
    </row>
    <row r="8704" spans="1:2" x14ac:dyDescent="0.25">
      <c r="A8704">
        <f ca="1">26939.5557079639*((RANDBETWEEN(1620,2416)))</f>
        <v>52639891.853361525</v>
      </c>
      <c r="B8704">
        <v>152681829.0535008</v>
      </c>
    </row>
    <row r="8705" spans="1:2" x14ac:dyDescent="0.25">
      <c r="A8705">
        <f ca="1">31778.3167277168*((RANDBETWEEN(1620,2416)))</f>
        <v>55580275.956776612</v>
      </c>
      <c r="B8705">
        <v>182618932.83322909</v>
      </c>
    </row>
    <row r="8706" spans="1:2" x14ac:dyDescent="0.25">
      <c r="A8706">
        <f ca="1">31553.2332565252*((RANDBETWEEN(1620,2416)))</f>
        <v>75128248.383786514</v>
      </c>
      <c r="B8706">
        <v>162892153.48775208</v>
      </c>
    </row>
    <row r="8707" spans="1:2" x14ac:dyDescent="0.25">
      <c r="A8707">
        <f ca="1">26308.7083863462*((RANDBETWEEN(1620,2416)))</f>
        <v>57116205.906757675</v>
      </c>
      <c r="B8707">
        <v>170362832.91643637</v>
      </c>
    </row>
    <row r="8708" spans="1:2" x14ac:dyDescent="0.25">
      <c r="A8708">
        <f ca="1">28665.139532905*((RANDBETWEEN(1620,2416)))</f>
        <v>54205778.856723391</v>
      </c>
      <c r="B8708">
        <v>155914483.54717717</v>
      </c>
    </row>
    <row r="8709" spans="1:2" x14ac:dyDescent="0.25">
      <c r="A8709">
        <f ca="1">30024.3800529052*((RANDBETWEEN(1620,2416)))</f>
        <v>71638170.806231841</v>
      </c>
      <c r="B8709">
        <v>160795296.50051674</v>
      </c>
    </row>
    <row r="8710" spans="1:2" x14ac:dyDescent="0.25">
      <c r="A8710">
        <f ca="1">31416.2438508192*((RANDBETWEEN(1620,2416)))</f>
        <v>51334142.452238545</v>
      </c>
      <c r="B8710">
        <v>166011592.8418119</v>
      </c>
    </row>
    <row r="8711" spans="1:2" x14ac:dyDescent="0.25">
      <c r="A8711">
        <f ca="1">26379.732453203*((RANDBETWEEN(1620,2416)))</f>
        <v>52363768.919607952</v>
      </c>
      <c r="B8711">
        <v>150637595.79112968</v>
      </c>
    </row>
    <row r="8712" spans="1:2" x14ac:dyDescent="0.25">
      <c r="A8712">
        <f ca="1">25736.1461093604*((RANDBETWEEN(1620,2416)))</f>
        <v>48744260.731128678</v>
      </c>
      <c r="B8712">
        <v>146447333.14730626</v>
      </c>
    </row>
    <row r="8713" spans="1:2" x14ac:dyDescent="0.25">
      <c r="A8713">
        <f ca="1">25499.6483350133*((RANDBETWEEN(1620,2416)))</f>
        <v>55640232.66699896</v>
      </c>
      <c r="B8713">
        <v>183123628.38771322</v>
      </c>
    </row>
    <row r="8714" spans="1:2" x14ac:dyDescent="0.25">
      <c r="A8714">
        <f ca="1">26940.2275548897*((RANDBETWEEN(1620,2416)))</f>
        <v>46094729.346416295</v>
      </c>
      <c r="B8714">
        <v>144137841.84993106</v>
      </c>
    </row>
    <row r="8715" spans="1:2" x14ac:dyDescent="0.25">
      <c r="A8715">
        <f ca="1">27440.8240109189*((RANDBETWEEN(1620,2416)))</f>
        <v>50792965.244210944</v>
      </c>
      <c r="B8715">
        <v>195786494.13247854</v>
      </c>
    </row>
    <row r="8716" spans="1:2" x14ac:dyDescent="0.25">
      <c r="A8716">
        <f ca="1">32130.9555113435*((RANDBETWEEN(1620,2416)))</f>
        <v>71202197.413137257</v>
      </c>
      <c r="B8716">
        <v>199945028.18804574</v>
      </c>
    </row>
    <row r="8717" spans="1:2" x14ac:dyDescent="0.25">
      <c r="A8717">
        <f ca="1">29561.1602190471*((RANDBETWEEN(1620,2416)))</f>
        <v>56225326.736627594</v>
      </c>
      <c r="B8717">
        <v>163330109.71369696</v>
      </c>
    </row>
    <row r="8718" spans="1:2" x14ac:dyDescent="0.25">
      <c r="A8718">
        <f ca="1">32088.1582444532*((RANDBETWEEN(1620,2416)))</f>
        <v>73610235.012775555</v>
      </c>
      <c r="B8718">
        <v>201708343.55047685</v>
      </c>
    </row>
    <row r="8719" spans="1:2" x14ac:dyDescent="0.25">
      <c r="A8719">
        <f ca="1">26615.6424722811*((RANDBETWEEN(1620,2416)))</f>
        <v>52645740.810172051</v>
      </c>
      <c r="B8719">
        <v>172415425.68275046</v>
      </c>
    </row>
    <row r="8720" spans="1:2" x14ac:dyDescent="0.25">
      <c r="A8720">
        <f ca="1">32359.1780119755*((RANDBETWEEN(1620,2416)))</f>
        <v>56628561.520957083</v>
      </c>
      <c r="B8720">
        <v>170007871.67591918</v>
      </c>
    </row>
    <row r="8721" spans="1:2" x14ac:dyDescent="0.25">
      <c r="A8721">
        <f ca="1">25883.0368151827*((RANDBETWEEN(1620,2416)))</f>
        <v>62429884.798220642</v>
      </c>
      <c r="B8721">
        <v>150704062.19297573</v>
      </c>
    </row>
    <row r="8722" spans="1:2" x14ac:dyDescent="0.25">
      <c r="A8722">
        <f ca="1">25636.9672979365*((RANDBETWEEN(1620,2416)))</f>
        <v>44377590.39272809</v>
      </c>
      <c r="B8722">
        <v>175394017.12689593</v>
      </c>
    </row>
    <row r="8723" spans="1:2" x14ac:dyDescent="0.25">
      <c r="A8723">
        <f ca="1">26504.1734228844*((RANDBETWEEN(1620,2416)))</f>
        <v>54148026.302952774</v>
      </c>
      <c r="B8723">
        <v>165127231.36196083</v>
      </c>
    </row>
    <row r="8724" spans="1:2" x14ac:dyDescent="0.25">
      <c r="A8724">
        <f ca="1">28618.4912069641*((RANDBETWEEN(1620,2416)))</f>
        <v>57236982.413928285</v>
      </c>
      <c r="B8724">
        <v>193829114.10662687</v>
      </c>
    </row>
    <row r="8725" spans="1:2" x14ac:dyDescent="0.25">
      <c r="A8725">
        <f ca="1">25570.5495625235*((RANDBETWEEN(1620,2416)))</f>
        <v>56434202.884489462</v>
      </c>
      <c r="B8725">
        <v>169796763.44973186</v>
      </c>
    </row>
    <row r="8726" spans="1:2" x14ac:dyDescent="0.25">
      <c r="A8726">
        <f ca="1">27268.704816831*((RANDBETWEEN(1620,2416)))</f>
        <v>58300490.898384765</v>
      </c>
      <c r="B8726">
        <v>170240486.65901142</v>
      </c>
    </row>
    <row r="8727" spans="1:2" x14ac:dyDescent="0.25">
      <c r="A8727">
        <f ca="1">28005.937871016*((RANDBETWEEN(1620,2416)))</f>
        <v>60716873.304362655</v>
      </c>
      <c r="B8727">
        <v>149636420.55380121</v>
      </c>
    </row>
    <row r="8728" spans="1:2" x14ac:dyDescent="0.25">
      <c r="A8728">
        <f ca="1">26832.9289235454*((RANDBETWEEN(1620,2416)))</f>
        <v>57771295.972393215</v>
      </c>
      <c r="B8728">
        <v>147780208.92606863</v>
      </c>
    </row>
    <row r="8729" spans="1:2" x14ac:dyDescent="0.25">
      <c r="A8729">
        <f ca="1">27367.2319462691*((RANDBETWEEN(1620,2416)))</f>
        <v>53831345.238311239</v>
      </c>
      <c r="B8729">
        <v>146029182.8627122</v>
      </c>
    </row>
    <row r="8730" spans="1:2" x14ac:dyDescent="0.25">
      <c r="A8730">
        <f ca="1">26945.5758528697*((RANDBETWEEN(1620,2416)))</f>
        <v>56585709.291026399</v>
      </c>
      <c r="B8730">
        <v>151723786.24408484</v>
      </c>
    </row>
    <row r="8731" spans="1:2" x14ac:dyDescent="0.25">
      <c r="A8731">
        <f ca="1">32785.9922659812*((RANDBETWEEN(1620,2416)))</f>
        <v>69932521.503337815</v>
      </c>
      <c r="B8731">
        <v>169664163.12847057</v>
      </c>
    </row>
    <row r="8732" spans="1:2" x14ac:dyDescent="0.25">
      <c r="A8732">
        <f ca="1">29810.2677986679*((RANDBETWEEN(1620,2416)))</f>
        <v>56937611.495455645</v>
      </c>
      <c r="B8732">
        <v>163216163.7232191</v>
      </c>
    </row>
    <row r="8733" spans="1:2" x14ac:dyDescent="0.25">
      <c r="A8733">
        <f ca="1">28929.4113622089*((RANDBETWEEN(1620,2416)))</f>
        <v>60838552.094725393</v>
      </c>
      <c r="B8733">
        <v>165639076.10936919</v>
      </c>
    </row>
    <row r="8734" spans="1:2" x14ac:dyDescent="0.25">
      <c r="A8734">
        <f ca="1">28273.0881635137*((RANDBETWEEN(1620,2416)))</f>
        <v>63133805.869126089</v>
      </c>
      <c r="B8734">
        <v>193569959.30159843</v>
      </c>
    </row>
    <row r="8735" spans="1:2" x14ac:dyDescent="0.25">
      <c r="A8735">
        <f ca="1">25114.0611235508*((RANDBETWEEN(1620,2416)))</f>
        <v>41965596.137453333</v>
      </c>
      <c r="B8735">
        <v>174250584.50214446</v>
      </c>
    </row>
    <row r="8736" spans="1:2" x14ac:dyDescent="0.25">
      <c r="A8736">
        <f ca="1">32989.5750617023*((RANDBETWEEN(1620,2416)))</f>
        <v>68783264.00364925</v>
      </c>
      <c r="B8736">
        <v>186317770.81089073</v>
      </c>
    </row>
    <row r="8737" spans="1:2" x14ac:dyDescent="0.25">
      <c r="A8737">
        <f ca="1">25789.9858085884*((RANDBETWEEN(1620,2416)))</f>
        <v>45906174.739287436</v>
      </c>
      <c r="B8737">
        <v>163056568.13955933</v>
      </c>
    </row>
    <row r="8738" spans="1:2" x14ac:dyDescent="0.25">
      <c r="A8738">
        <f ca="1">27784.7037464638*((RANDBETWEEN(1620,2416)))</f>
        <v>58375662.571320392</v>
      </c>
      <c r="B8738">
        <v>173760321.10222843</v>
      </c>
    </row>
    <row r="8739" spans="1:2" x14ac:dyDescent="0.25">
      <c r="A8739">
        <f ca="1">30545.954189212*((RANDBETWEEN(1620,2416)))</f>
        <v>55135447.311527677</v>
      </c>
      <c r="B8739">
        <v>160742872.90923056</v>
      </c>
    </row>
    <row r="8740" spans="1:2" x14ac:dyDescent="0.25">
      <c r="A8740">
        <f ca="1">28804.4886274893*((RANDBETWEEN(1620,2416)))</f>
        <v>68036202.138129637</v>
      </c>
      <c r="B8740">
        <v>193277027.6096718</v>
      </c>
    </row>
    <row r="8741" spans="1:2" x14ac:dyDescent="0.25">
      <c r="A8741">
        <f ca="1">25802.6778632517*((RANDBETWEEN(1620,2416)))</f>
        <v>62081242.938983642</v>
      </c>
      <c r="B8741">
        <v>165607328.06418452</v>
      </c>
    </row>
    <row r="8742" spans="1:2" x14ac:dyDescent="0.25">
      <c r="A8742">
        <f ca="1">30767.2168491164*((RANDBETWEEN(1620,2416)))</f>
        <v>53688793.401708044</v>
      </c>
      <c r="B8742">
        <v>180050869.03466606</v>
      </c>
    </row>
    <row r="8743" spans="1:2" x14ac:dyDescent="0.25">
      <c r="A8743">
        <f ca="1">29213.1056731932*((RANDBETWEEN(1620,2416)))</f>
        <v>49487001.010389276</v>
      </c>
      <c r="B8743">
        <v>180412131.64344281</v>
      </c>
    </row>
    <row r="8744" spans="1:2" x14ac:dyDescent="0.25">
      <c r="A8744">
        <f ca="1">34010.8998313831*((RANDBETWEEN(1620,2416)))</f>
        <v>66831418.168667801</v>
      </c>
      <c r="B8744">
        <v>174070415.35765767</v>
      </c>
    </row>
    <row r="8745" spans="1:2" x14ac:dyDescent="0.25">
      <c r="A8745">
        <f ca="1">25779.8082932884*((RANDBETWEEN(1620,2416)))</f>
        <v>59809155.240429178</v>
      </c>
      <c r="B8745">
        <v>172762159.63851091</v>
      </c>
    </row>
    <row r="8746" spans="1:2" x14ac:dyDescent="0.25">
      <c r="A8746">
        <f ca="1">26622.7700816044*((RANDBETWEEN(1620,2416)))</f>
        <v>45471691.299380384</v>
      </c>
      <c r="B8746">
        <v>146775370.20268863</v>
      </c>
    </row>
    <row r="8747" spans="1:2" x14ac:dyDescent="0.25">
      <c r="A8747">
        <f ca="1">28939.610128786*((RANDBETWEEN(1620,2416)))</f>
        <v>51280989.148208708</v>
      </c>
      <c r="B8747">
        <v>190981782.68793252</v>
      </c>
    </row>
    <row r="8748" spans="1:2" x14ac:dyDescent="0.25">
      <c r="A8748">
        <f ca="1">25561.1516626597*((RANDBETWEEN(1620,2416)))</f>
        <v>57512591.24098435</v>
      </c>
      <c r="B8748">
        <v>163992790.48749307</v>
      </c>
    </row>
    <row r="8749" spans="1:2" x14ac:dyDescent="0.25">
      <c r="A8749">
        <f ca="1">28349.7315324777*((RANDBETWEEN(1620,2416)))</f>
        <v>55763921.924383551</v>
      </c>
      <c r="B8749">
        <v>201071500.81043583</v>
      </c>
    </row>
    <row r="8750" spans="1:2" x14ac:dyDescent="0.25">
      <c r="A8750">
        <f ca="1">28205.2349929274*((RANDBETWEEN(1620,2416)))</f>
        <v>48907877.477736101</v>
      </c>
      <c r="B8750">
        <v>160700901.09894162</v>
      </c>
    </row>
    <row r="8751" spans="1:2" x14ac:dyDescent="0.25">
      <c r="A8751">
        <f ca="1">26443.8239558617*((RANDBETWEEN(1620,2416)))</f>
        <v>46012253.683199316</v>
      </c>
      <c r="B8751">
        <v>168490054.99125406</v>
      </c>
    </row>
    <row r="8752" spans="1:2" x14ac:dyDescent="0.25">
      <c r="A8752">
        <f ca="1">26843.9062980287*((RANDBETWEEN(1620,2416)))</f>
        <v>58949218.230471127</v>
      </c>
      <c r="B8752">
        <v>184687801.63210091</v>
      </c>
    </row>
    <row r="8753" spans="1:2" x14ac:dyDescent="0.25">
      <c r="A8753">
        <f ca="1">28582.7146170372*((RANDBETWEEN(1620,2416)))</f>
        <v>48647780.278197326</v>
      </c>
      <c r="B8753">
        <v>181040667.8160255</v>
      </c>
    </row>
    <row r="8754" spans="1:2" x14ac:dyDescent="0.25">
      <c r="A8754">
        <f ca="1">30913.949090544*((RANDBETWEEN(1620,2416)))</f>
        <v>54068496.959361441</v>
      </c>
      <c r="B8754">
        <v>153379425.80730158</v>
      </c>
    </row>
    <row r="8755" spans="1:2" x14ac:dyDescent="0.25">
      <c r="A8755">
        <f ca="1">28090.1244456556*((RANDBETWEEN(1620,2416)))</f>
        <v>59775784.820355102</v>
      </c>
      <c r="B8755">
        <v>180819754.47354949</v>
      </c>
    </row>
    <row r="8756" spans="1:2" x14ac:dyDescent="0.25">
      <c r="A8756">
        <f ca="1">30374.4325549105*((RANDBETWEEN(1620,2416)))</f>
        <v>71957030.722582906</v>
      </c>
      <c r="B8756">
        <v>177508112.0688583</v>
      </c>
    </row>
    <row r="8757" spans="1:2" x14ac:dyDescent="0.25">
      <c r="A8757">
        <f ca="1">27653.8446710681*((RANDBETWEEN(1620,2416)))</f>
        <v>51906266.447594866</v>
      </c>
      <c r="B8757">
        <v>167637578.687154</v>
      </c>
    </row>
    <row r="8758" spans="1:2" x14ac:dyDescent="0.25">
      <c r="A8758">
        <f ca="1">24956.5529124184*((RANDBETWEEN(1620,2416)))</f>
        <v>56726244.769927025</v>
      </c>
      <c r="B8758">
        <v>163879092.78976566</v>
      </c>
    </row>
    <row r="8759" spans="1:2" x14ac:dyDescent="0.25">
      <c r="A8759">
        <f ca="1">27430.992575551*((RANDBETWEEN(1620,2416)))</f>
        <v>53078970.633691244</v>
      </c>
      <c r="B8759">
        <v>170568023.70281088</v>
      </c>
    </row>
    <row r="8760" spans="1:2" x14ac:dyDescent="0.25">
      <c r="A8760">
        <f ca="1">27795.1459624175*((RANDBETWEEN(1620,2416)))</f>
        <v>46251122.881462671</v>
      </c>
      <c r="B8760">
        <v>161016863.48716182</v>
      </c>
    </row>
    <row r="8761" spans="1:2" x14ac:dyDescent="0.25">
      <c r="A8761">
        <f ca="1">29434.751774783*((RANDBETWEEN(1620,2416)))</f>
        <v>50745512.059725873</v>
      </c>
      <c r="B8761">
        <v>159610609.16200262</v>
      </c>
    </row>
    <row r="8762" spans="1:2" x14ac:dyDescent="0.25">
      <c r="A8762">
        <f ca="1">27142.8471350066*((RANDBETWEEN(1620,2416)))</f>
        <v>55479979.543953426</v>
      </c>
      <c r="B8762">
        <v>186196004.08302236</v>
      </c>
    </row>
    <row r="8763" spans="1:2" x14ac:dyDescent="0.25">
      <c r="A8763">
        <f ca="1">29506.9868309652*((RANDBETWEEN(1620,2416)))</f>
        <v>65859594.60671436</v>
      </c>
      <c r="B8763">
        <v>173061869.74763927</v>
      </c>
    </row>
    <row r="8764" spans="1:2" x14ac:dyDescent="0.25">
      <c r="A8764">
        <f ca="1">29049.1542254685*((RANDBETWEEN(1620,2416)))</f>
        <v>63414303.6741978</v>
      </c>
      <c r="B8764">
        <v>161974250.47807738</v>
      </c>
    </row>
    <row r="8765" spans="1:2" x14ac:dyDescent="0.25">
      <c r="A8765">
        <f ca="1">28371.6804105608*((RANDBETWEEN(1620,2416)))</f>
        <v>65283236.624700382</v>
      </c>
      <c r="B8765">
        <v>189183873.13288292</v>
      </c>
    </row>
    <row r="8766" spans="1:2" x14ac:dyDescent="0.25">
      <c r="A8766">
        <f ca="1">26061.5536479556*((RANDBETWEEN(1620,2416)))</f>
        <v>62130743.896726072</v>
      </c>
      <c r="B8766">
        <v>148139759.91983292</v>
      </c>
    </row>
    <row r="8767" spans="1:2" x14ac:dyDescent="0.25">
      <c r="A8767">
        <f ca="1">28290.2842945339*((RANDBETWEEN(1620,2416)))</f>
        <v>46028292.547206596</v>
      </c>
      <c r="B8767">
        <v>158386056.16623577</v>
      </c>
    </row>
    <row r="8768" spans="1:2" x14ac:dyDescent="0.25">
      <c r="A8768">
        <f ca="1">28511.6316280027*((RANDBETWEEN(1620,2416)))</f>
        <v>55455123.516465224</v>
      </c>
      <c r="B8768">
        <v>165671384.74559185</v>
      </c>
    </row>
    <row r="8769" spans="1:2" x14ac:dyDescent="0.25">
      <c r="A8769">
        <f ca="1">28161.1438380443*((RANDBETWEEN(1620,2416)))</f>
        <v>46775659.91499155</v>
      </c>
      <c r="B8769">
        <v>144415390.38571927</v>
      </c>
    </row>
    <row r="8770" spans="1:2" x14ac:dyDescent="0.25">
      <c r="A8770">
        <f ca="1">26963.9988564492*((RANDBETWEEN(1620,2416)))</f>
        <v>52067481.791803367</v>
      </c>
      <c r="B8770">
        <v>150508054.93008447</v>
      </c>
    </row>
    <row r="8771" spans="1:2" x14ac:dyDescent="0.25">
      <c r="A8771">
        <f ca="1">28573.1538912673*((RANDBETWEEN(1620,2416)))</f>
        <v>58917843.323793255</v>
      </c>
      <c r="B8771">
        <v>197355394.3767029</v>
      </c>
    </row>
    <row r="8772" spans="1:2" x14ac:dyDescent="0.25">
      <c r="A8772">
        <f ca="1">29471.8104131529*((RANDBETWEEN(1620,2416)))</f>
        <v>66282101.619180933</v>
      </c>
      <c r="B8772">
        <v>179259063.90585667</v>
      </c>
    </row>
    <row r="8773" spans="1:2" x14ac:dyDescent="0.25">
      <c r="A8773">
        <f ca="1">27314.3833386467*((RANDBETWEEN(1620,2416)))</f>
        <v>56868546.111062407</v>
      </c>
      <c r="B8773">
        <v>160334254.1366896</v>
      </c>
    </row>
    <row r="8774" spans="1:2" x14ac:dyDescent="0.25">
      <c r="A8774">
        <f ca="1">27748.5407528112*((RANDBETWEEN(1620,2416)))</f>
        <v>52250502.237543538</v>
      </c>
      <c r="B8774">
        <v>159418707.25962654</v>
      </c>
    </row>
    <row r="8775" spans="1:2" x14ac:dyDescent="0.25">
      <c r="A8775">
        <f ca="1">26923.3711669747*((RANDBETWEEN(1620,2416)))</f>
        <v>43696631.40399994</v>
      </c>
      <c r="B8775">
        <v>188211563.00805321</v>
      </c>
    </row>
    <row r="8776" spans="1:2" x14ac:dyDescent="0.25">
      <c r="A8776">
        <f ca="1">26663.6564585888*((RANDBETWEEN(1620,2416)))</f>
        <v>49541073.700058058</v>
      </c>
      <c r="B8776">
        <v>162818904.73215902</v>
      </c>
    </row>
    <row r="8777" spans="1:2" x14ac:dyDescent="0.25">
      <c r="A8777">
        <f ca="1">27254.6066815564*((RANDBETWEEN(1620,2416)))</f>
        <v>56417035.83082179</v>
      </c>
      <c r="B8777">
        <v>145493731.3575151</v>
      </c>
    </row>
    <row r="8778" spans="1:2" x14ac:dyDescent="0.25">
      <c r="A8778">
        <f ca="1">27780.0217692933*((RANDBETWEEN(1620,2416)))</f>
        <v>56310104.126357518</v>
      </c>
      <c r="B8778">
        <v>164137209.70036352</v>
      </c>
    </row>
    <row r="8779" spans="1:2" x14ac:dyDescent="0.25">
      <c r="A8779">
        <f ca="1">29932.1746621756*((RANDBETWEEN(1620,2416)))</f>
        <v>69113391.294963405</v>
      </c>
      <c r="B8779">
        <v>162428778.01235622</v>
      </c>
    </row>
    <row r="8780" spans="1:2" x14ac:dyDescent="0.25">
      <c r="A8780">
        <f ca="1">25661.6437191196*((RANDBETWEEN(1620,2416)))</f>
        <v>46806838.143674225</v>
      </c>
      <c r="B8780">
        <v>175944401.41316822</v>
      </c>
    </row>
    <row r="8781" spans="1:2" x14ac:dyDescent="0.25">
      <c r="A8781">
        <f ca="1">26739.4462309549*((RANDBETWEEN(1620,2416)))</f>
        <v>55297174.805614769</v>
      </c>
      <c r="B8781">
        <v>156643729.08693403</v>
      </c>
    </row>
    <row r="8782" spans="1:2" x14ac:dyDescent="0.25">
      <c r="A8782">
        <f ca="1">29250.5786839654*((RANDBETWEEN(1620,2416)))</f>
        <v>58325653.895826943</v>
      </c>
      <c r="B8782">
        <v>155370275.5564819</v>
      </c>
    </row>
    <row r="8783" spans="1:2" x14ac:dyDescent="0.25">
      <c r="A8783">
        <f ca="1">25046.8853821132*((RANDBETWEEN(1620,2416)))</f>
        <v>60212712.458600126</v>
      </c>
      <c r="B8783">
        <v>148458417.90495443</v>
      </c>
    </row>
    <row r="8784" spans="1:2" x14ac:dyDescent="0.25">
      <c r="A8784">
        <f ca="1">26195.4895622843*((RANDBETWEEN(1620,2416)))</f>
        <v>57263340.183153577</v>
      </c>
      <c r="B8784">
        <v>171886409.9087919</v>
      </c>
    </row>
    <row r="8785" spans="1:2" x14ac:dyDescent="0.25">
      <c r="A8785">
        <f ca="1">31415.3613506653*((RANDBETWEEN(1620,2416)))</f>
        <v>64370075.407513246</v>
      </c>
      <c r="B8785">
        <v>198715756.82231581</v>
      </c>
    </row>
    <row r="8786" spans="1:2" x14ac:dyDescent="0.25">
      <c r="A8786">
        <f ca="1">27639.3646499194*((RANDBETWEEN(1620,2416)))</f>
        <v>64952506.927310653</v>
      </c>
      <c r="B8786">
        <v>190612807.7726613</v>
      </c>
    </row>
    <row r="8787" spans="1:2" x14ac:dyDescent="0.25">
      <c r="A8787">
        <f ca="1">30753.8669169997*((RANDBETWEEN(1620,2416)))</f>
        <v>73409480.330878317</v>
      </c>
      <c r="B8787">
        <v>144418661.71678758</v>
      </c>
    </row>
    <row r="8788" spans="1:2" x14ac:dyDescent="0.25">
      <c r="A8788">
        <f ca="1">32768.5140831142*((RANDBETWEEN(1620,2416)))</f>
        <v>60195760.370680809</v>
      </c>
      <c r="B8788">
        <v>176143519.42052364</v>
      </c>
    </row>
    <row r="8789" spans="1:2" x14ac:dyDescent="0.25">
      <c r="A8789">
        <f ca="1">26736.0383851194*((RANDBETWEEN(1620,2416)))</f>
        <v>44301615.604142822</v>
      </c>
      <c r="B8789">
        <v>154419585.55396926</v>
      </c>
    </row>
    <row r="8790" spans="1:2" x14ac:dyDescent="0.25">
      <c r="A8790">
        <f ca="1">30536.7534864806*((RANDBETWEEN(1620,2416)))</f>
        <v>61287264.247366577</v>
      </c>
      <c r="B8790">
        <v>187479040.35505068</v>
      </c>
    </row>
    <row r="8791" spans="1:2" x14ac:dyDescent="0.25">
      <c r="A8791">
        <f ca="1">28164.6757957825*((RANDBETWEEN(1620,2416)))</f>
        <v>46443550.387245312</v>
      </c>
      <c r="B8791">
        <v>147780085.56570429</v>
      </c>
    </row>
    <row r="8792" spans="1:2" x14ac:dyDescent="0.25">
      <c r="A8792">
        <f ca="1">27349.9624815575*((RANDBETWEEN(1620,2416)))</f>
        <v>59021219.035201065</v>
      </c>
      <c r="B8792">
        <v>200152021.60557544</v>
      </c>
    </row>
    <row r="8793" spans="1:2" x14ac:dyDescent="0.25">
      <c r="A8793">
        <f ca="1">26193.89814958*((RANDBETWEEN(1620,2416)))</f>
        <v>45472607.187670909</v>
      </c>
      <c r="B8793">
        <v>159812389.60115215</v>
      </c>
    </row>
    <row r="8794" spans="1:2" x14ac:dyDescent="0.25">
      <c r="A8794">
        <f ca="1">27068.8330404136*((RANDBETWEEN(1620,2416)))</f>
        <v>60309360.014041536</v>
      </c>
      <c r="B8794">
        <v>199993314.17230427</v>
      </c>
    </row>
    <row r="8795" spans="1:2" x14ac:dyDescent="0.25">
      <c r="A8795">
        <f ca="1">27951.1596519442*((RANDBETWEEN(1620,2416)))</f>
        <v>67166636.643621981</v>
      </c>
      <c r="B8795">
        <v>145624168.61942178</v>
      </c>
    </row>
    <row r="8796" spans="1:2" x14ac:dyDescent="0.25">
      <c r="A8796">
        <f ca="1">25233.937336347*((RANDBETWEEN(1620,2416)))</f>
        <v>50493108.610030301</v>
      </c>
      <c r="B8796">
        <v>165696323.58038339</v>
      </c>
    </row>
    <row r="8797" spans="1:2" x14ac:dyDescent="0.25">
      <c r="A8797">
        <f ca="1">29130.0939382862*((RANDBETWEEN(1620,2416)))</f>
        <v>50307672.231420204</v>
      </c>
      <c r="B8797">
        <v>189366228.45650214</v>
      </c>
    </row>
    <row r="8798" spans="1:2" x14ac:dyDescent="0.25">
      <c r="A8798">
        <f ca="1">31433.5985730966*((RANDBETWEEN(1620,2416)))</f>
        <v>70725596.78946732</v>
      </c>
      <c r="B8798">
        <v>190329273.08891559</v>
      </c>
    </row>
    <row r="8799" spans="1:2" x14ac:dyDescent="0.25">
      <c r="A8799">
        <f ca="1">25540.3727936033*((RANDBETWEEN(1620,2416)))</f>
        <v>55856795.299610473</v>
      </c>
      <c r="B8799">
        <v>162465534.89357132</v>
      </c>
    </row>
    <row r="8800" spans="1:2" x14ac:dyDescent="0.25">
      <c r="A8800">
        <f ca="1">28545.5284494179*((RANDBETWEEN(1620,2416)))</f>
        <v>56291782.102252185</v>
      </c>
      <c r="B8800">
        <v>178736516.46175042</v>
      </c>
    </row>
    <row r="8801" spans="1:2" x14ac:dyDescent="0.25">
      <c r="A8801">
        <f ca="1">30609.6532746037*((RANDBETWEEN(1620,2416)))</f>
        <v>59260288.739632852</v>
      </c>
      <c r="B8801">
        <v>176795748.10445392</v>
      </c>
    </row>
    <row r="8802" spans="1:2" x14ac:dyDescent="0.25">
      <c r="A8802">
        <f ca="1">27088.3205367215*((RANDBETWEEN(1620,2416)))</f>
        <v>52090840.392115459</v>
      </c>
      <c r="B8802">
        <v>146679111.28388739</v>
      </c>
    </row>
    <row r="8803" spans="1:2" x14ac:dyDescent="0.25">
      <c r="A8803">
        <f ca="1">26418.5560904256*((RANDBETWEEN(1620,2416)))</f>
        <v>43220757.763936341</v>
      </c>
      <c r="B8803">
        <v>150600781.61983666</v>
      </c>
    </row>
    <row r="8804" spans="1:2" x14ac:dyDescent="0.25">
      <c r="A8804">
        <f ca="1">27956.2613451284*((RANDBETWEEN(1620,2416)))</f>
        <v>54011496.918788075</v>
      </c>
      <c r="B8804">
        <v>160737058.5514929</v>
      </c>
    </row>
    <row r="8805" spans="1:2" x14ac:dyDescent="0.25">
      <c r="A8805">
        <f ca="1">33003.565363174*((RANDBETWEEN(1620,2416)))</f>
        <v>58548324.954270728</v>
      </c>
      <c r="B8805">
        <v>175014667.39638114</v>
      </c>
    </row>
    <row r="8806" spans="1:2" x14ac:dyDescent="0.25">
      <c r="A8806">
        <f ca="1">29109.7080553429*((RANDBETWEEN(1620,2416)))</f>
        <v>69979738.165044293</v>
      </c>
      <c r="B8806">
        <v>158701698.87790322</v>
      </c>
    </row>
    <row r="8807" spans="1:2" x14ac:dyDescent="0.25">
      <c r="A8807">
        <f ca="1">26997.1953333056*((RANDBETWEEN(1620,2416)))</f>
        <v>54075382.252611168</v>
      </c>
      <c r="B8807">
        <v>169677233.1579662</v>
      </c>
    </row>
    <row r="8808" spans="1:2" x14ac:dyDescent="0.25">
      <c r="A8808">
        <f ca="1">29901.6651200753*((RANDBETWEEN(1620,2416)))</f>
        <v>63660645.040640406</v>
      </c>
      <c r="B8808">
        <v>173051942.31792921</v>
      </c>
    </row>
    <row r="8809" spans="1:2" x14ac:dyDescent="0.25">
      <c r="A8809">
        <f ca="1">31402.4066975862*((RANDBETWEEN(1620,2416)))</f>
        <v>68896880.29450421</v>
      </c>
      <c r="B8809">
        <v>181152619.7331281</v>
      </c>
    </row>
    <row r="8810" spans="1:2" x14ac:dyDescent="0.25">
      <c r="A8810">
        <f ca="1">27948.9725395226*((RANDBETWEEN(1620,2416)))</f>
        <v>50084558.790824443</v>
      </c>
      <c r="B8810">
        <v>167282598.63976172</v>
      </c>
    </row>
    <row r="8811" spans="1:2" x14ac:dyDescent="0.25">
      <c r="A8811">
        <f ca="1">26825.4008199154*((RANDBETWEEN(1620,2416)))</f>
        <v>47480959.4512503</v>
      </c>
      <c r="B8811">
        <v>142989695.57056233</v>
      </c>
    </row>
    <row r="8812" spans="1:2" x14ac:dyDescent="0.25">
      <c r="A8812">
        <f ca="1">27107.0562549998*((RANDBETWEEN(1620,2416)))</f>
        <v>50581766.971829623</v>
      </c>
      <c r="B8812">
        <v>179959978.78282702</v>
      </c>
    </row>
    <row r="8813" spans="1:2" x14ac:dyDescent="0.25">
      <c r="A8813">
        <f ca="1">28534.4221883409*((RANDBETWEEN(1620,2416)))</f>
        <v>65686239.877560802</v>
      </c>
      <c r="B8813">
        <v>163122884.26403719</v>
      </c>
    </row>
    <row r="8814" spans="1:2" x14ac:dyDescent="0.25">
      <c r="A8814">
        <f ca="1">26714.7913619006*((RANDBETWEEN(1620,2416)))</f>
        <v>45869296.768383317</v>
      </c>
      <c r="B8814">
        <v>164843232.52975535</v>
      </c>
    </row>
    <row r="8815" spans="1:2" x14ac:dyDescent="0.25">
      <c r="A8815">
        <f ca="1">25888.470544644*((RANDBETWEEN(1620,2416)))</f>
        <v>58689162.724707909</v>
      </c>
      <c r="B8815">
        <v>147049697.5481028</v>
      </c>
    </row>
    <row r="8816" spans="1:2" x14ac:dyDescent="0.25">
      <c r="A8816">
        <f ca="1">30743.402179879*((RANDBETWEEN(1620,2416)))</f>
        <v>53309059.379910201</v>
      </c>
      <c r="B8816">
        <v>170464846.44702226</v>
      </c>
    </row>
    <row r="8817" spans="1:2" x14ac:dyDescent="0.25">
      <c r="A8817">
        <f ca="1">29730.1730798893*((RANDBETWEEN(1620,2416)))</f>
        <v>49411547.658776</v>
      </c>
      <c r="B8817">
        <v>164319443.2238301</v>
      </c>
    </row>
    <row r="8818" spans="1:2" x14ac:dyDescent="0.25">
      <c r="A8818">
        <f ca="1">25207.8346156135*((RANDBETWEEN(1620,2416)))</f>
        <v>54776624.619728155</v>
      </c>
      <c r="B8818">
        <v>181437278.6112422</v>
      </c>
    </row>
    <row r="8819" spans="1:2" x14ac:dyDescent="0.25">
      <c r="A8819">
        <f ca="1">30439.3992787849*((RANDBETWEEN(1620,2416)))</f>
        <v>54486524.70902501</v>
      </c>
      <c r="B8819">
        <v>159881390.997675</v>
      </c>
    </row>
    <row r="8820" spans="1:2" x14ac:dyDescent="0.25">
      <c r="A8820">
        <f ca="1">28951.134456791*((RANDBETWEEN(1620,2416)))</f>
        <v>59639336.980989464</v>
      </c>
      <c r="B8820">
        <v>155132902.92071006</v>
      </c>
    </row>
    <row r="8821" spans="1:2" x14ac:dyDescent="0.25">
      <c r="A8821">
        <f ca="1">29048.5485153654*((RANDBETWEEN(1620,2416)))</f>
        <v>64429680.6070804</v>
      </c>
      <c r="B8821">
        <v>203078797.69295323</v>
      </c>
    </row>
    <row r="8822" spans="1:2" x14ac:dyDescent="0.25">
      <c r="A8822">
        <f ca="1">29137.3037011122*((RANDBETWEEN(1620,2416)))</f>
        <v>57079977.950478829</v>
      </c>
      <c r="B8822">
        <v>169618197.63263041</v>
      </c>
    </row>
    <row r="8823" spans="1:2" x14ac:dyDescent="0.25">
      <c r="A8823">
        <f ca="1">25917.1010242071*((RANDBETWEEN(1620,2416)))</f>
        <v>60024005.972063668</v>
      </c>
      <c r="B8823">
        <v>150477339.73940459</v>
      </c>
    </row>
    <row r="8824" spans="1:2" x14ac:dyDescent="0.25">
      <c r="A8824">
        <f ca="1">27268.3731440204*((RANDBETWEEN(1620,2416)))</f>
        <v>56418264.034978293</v>
      </c>
      <c r="B8824">
        <v>197058633.16393727</v>
      </c>
    </row>
    <row r="8825" spans="1:2" x14ac:dyDescent="0.25">
      <c r="A8825">
        <f ca="1">29232.4034233199*((RANDBETWEEN(1620,2416)))</f>
        <v>48905810.927214243</v>
      </c>
      <c r="B8825">
        <v>168661422.77588046</v>
      </c>
    </row>
    <row r="8826" spans="1:2" x14ac:dyDescent="0.25">
      <c r="A8826">
        <f ca="1">29753.8076568908*((RANDBETWEEN(1620,2416)))</f>
        <v>55401589.857130714</v>
      </c>
      <c r="B8826">
        <v>182039120.69981569</v>
      </c>
    </row>
    <row r="8827" spans="1:2" x14ac:dyDescent="0.25">
      <c r="A8827">
        <f ca="1">29017.4825955916*((RANDBETWEEN(1620,2416)))</f>
        <v>58063982.673778862</v>
      </c>
      <c r="B8827">
        <v>149697831.00969639</v>
      </c>
    </row>
    <row r="8828" spans="1:2" x14ac:dyDescent="0.25">
      <c r="A8828">
        <f ca="1">29637.1714392294*((RANDBETWEEN(1620,2416)))</f>
        <v>64905405.451912448</v>
      </c>
      <c r="B8828">
        <v>146189792.05165324</v>
      </c>
    </row>
    <row r="8829" spans="1:2" x14ac:dyDescent="0.25">
      <c r="A8829">
        <f ca="1">26617.5107958925*((RANDBETWEEN(1620,2416)))</f>
        <v>63083500.586265273</v>
      </c>
      <c r="B8829">
        <v>158763034.95523745</v>
      </c>
    </row>
    <row r="8830" spans="1:2" x14ac:dyDescent="0.25">
      <c r="A8830">
        <f ca="1">26292.5422855031*((RANDBETWEEN(1620,2416)))</f>
        <v>48483447.974467687</v>
      </c>
      <c r="B8830">
        <v>145129534.26233894</v>
      </c>
    </row>
    <row r="8831" spans="1:2" x14ac:dyDescent="0.25">
      <c r="A8831">
        <f ca="1">28642.8276057959*((RANDBETWEEN(1620,2416)))</f>
        <v>66995573.769956708</v>
      </c>
      <c r="B8831">
        <v>192888931.63765612</v>
      </c>
    </row>
    <row r="8832" spans="1:2" x14ac:dyDescent="0.25">
      <c r="A8832">
        <f ca="1">26690.3113678541*((RANDBETWEEN(1620,2416)))</f>
        <v>43798800.954648517</v>
      </c>
      <c r="B8832">
        <v>159921206.27988723</v>
      </c>
    </row>
    <row r="8833" spans="1:2" x14ac:dyDescent="0.25">
      <c r="A8833">
        <f ca="1">27358.1839949539*((RANDBETWEEN(1620,2416)))</f>
        <v>54606935.253927901</v>
      </c>
      <c r="B8833">
        <v>190831518.25197834</v>
      </c>
    </row>
    <row r="8834" spans="1:2" x14ac:dyDescent="0.25">
      <c r="A8834">
        <f ca="1">26180.3293380476*((RANDBETWEEN(1620,2416)))</f>
        <v>52805724.274842009</v>
      </c>
      <c r="B8834">
        <v>151689162.69127351</v>
      </c>
    </row>
    <row r="8835" spans="1:2" x14ac:dyDescent="0.25">
      <c r="A8835">
        <f ca="1">26188.5711878555*((RANDBETWEEN(1620,2416)))</f>
        <v>61045559.438891098</v>
      </c>
      <c r="B8835">
        <v>146247387.30542797</v>
      </c>
    </row>
    <row r="8836" spans="1:2" x14ac:dyDescent="0.25">
      <c r="A8836">
        <f ca="1">27553.8838922413*((RANDBETWEEN(1620,2416)))</f>
        <v>62933070.80987902</v>
      </c>
      <c r="B8836">
        <v>161172186.40839988</v>
      </c>
    </row>
    <row r="8837" spans="1:2" x14ac:dyDescent="0.25">
      <c r="A8837">
        <f ca="1">28696.959886408*((RANDBETWEEN(1620,2416)))</f>
        <v>63391584.389075369</v>
      </c>
      <c r="B8837">
        <v>173368327.68030167</v>
      </c>
    </row>
    <row r="8838" spans="1:2" x14ac:dyDescent="0.25">
      <c r="A8838">
        <f ca="1">28404.0115134169*((RANDBETWEEN(1620,2416)))</f>
        <v>46071306.674762264</v>
      </c>
      <c r="B8838">
        <v>144764938.78671622</v>
      </c>
    </row>
    <row r="8839" spans="1:2" x14ac:dyDescent="0.25">
      <c r="A8839">
        <f ca="1">29513.8985883989*((RANDBETWEEN(1620,2416)))</f>
        <v>63395854.167880878</v>
      </c>
      <c r="B8839">
        <v>185171443.25715953</v>
      </c>
    </row>
    <row r="8840" spans="1:2" x14ac:dyDescent="0.25">
      <c r="A8840">
        <f ca="1">30193.6862816547*((RANDBETWEEN(1620,2416)))</f>
        <v>72132716.526873171</v>
      </c>
      <c r="B8840">
        <v>154449509.42684111</v>
      </c>
    </row>
    <row r="8841" spans="1:2" x14ac:dyDescent="0.25">
      <c r="A8841">
        <f ca="1">26643.2960894639*((RANDBETWEEN(1620,2416)))</f>
        <v>50089396.648192167</v>
      </c>
      <c r="B8841">
        <v>178150866.83762193</v>
      </c>
    </row>
    <row r="8842" spans="1:2" x14ac:dyDescent="0.25">
      <c r="A8842">
        <f ca="1">29418.726404844*((RANDBETWEEN(1620,2416)))</f>
        <v>53600919.509625688</v>
      </c>
      <c r="B8842">
        <v>171084493.40085495</v>
      </c>
    </row>
    <row r="8843" spans="1:2" x14ac:dyDescent="0.25">
      <c r="A8843">
        <f ca="1">29174.0461993844*((RANDBETWEEN(1620,2416)))</f>
        <v>56043342.749017395</v>
      </c>
      <c r="B8843">
        <v>156189179.16403133</v>
      </c>
    </row>
    <row r="8844" spans="1:2" x14ac:dyDescent="0.25">
      <c r="A8844">
        <f ca="1">27833.7421500374*((RANDBETWEEN(1620,2416)))</f>
        <v>54888139.519873843</v>
      </c>
      <c r="B8844">
        <v>189644675.18518716</v>
      </c>
    </row>
    <row r="8845" spans="1:2" x14ac:dyDescent="0.25">
      <c r="A8845">
        <f ca="1">27237.1733387563*((RANDBETWEEN(1620,2416)))</f>
        <v>60357576.118683867</v>
      </c>
      <c r="B8845">
        <v>188086016.47625494</v>
      </c>
    </row>
    <row r="8846" spans="1:2" x14ac:dyDescent="0.25">
      <c r="A8846">
        <f ca="1">27201.8845615434*((RANDBETWEEN(1620,2416)))</f>
        <v>54648586.084140711</v>
      </c>
      <c r="B8846">
        <v>155648074.05145454</v>
      </c>
    </row>
    <row r="8847" spans="1:2" x14ac:dyDescent="0.25">
      <c r="A8847">
        <f ca="1">26592.1540003596*((RANDBETWEEN(1620,2416)))</f>
        <v>62358601.130843148</v>
      </c>
      <c r="B8847">
        <v>159270386.74236977</v>
      </c>
    </row>
    <row r="8848" spans="1:2" x14ac:dyDescent="0.25">
      <c r="A8848">
        <f ca="1">25743.0817194522*((RANDBETWEEN(1620,2416)))</f>
        <v>57020926.008586518</v>
      </c>
      <c r="B8848">
        <v>167067031.82611719</v>
      </c>
    </row>
    <row r="8849" spans="1:2" x14ac:dyDescent="0.25">
      <c r="A8849">
        <f ca="1">27416.335368404*((RANDBETWEEN(1620,2416)))</f>
        <v>60809431.847119972</v>
      </c>
      <c r="B8849">
        <v>149176713.21590027</v>
      </c>
    </row>
    <row r="8850" spans="1:2" x14ac:dyDescent="0.25">
      <c r="A8850">
        <f ca="1">29462.1275686371*((RANDBETWEEN(1620,2416)))</f>
        <v>63107877.252020657</v>
      </c>
      <c r="B8850">
        <v>167557032.08444557</v>
      </c>
    </row>
    <row r="8851" spans="1:2" x14ac:dyDescent="0.25">
      <c r="A8851">
        <f ca="1">25991.3255754485*((RANDBETWEEN(1620,2416)))</f>
        <v>47278221.221740864</v>
      </c>
      <c r="B8851">
        <v>186415463.69168022</v>
      </c>
    </row>
    <row r="8852" spans="1:2" x14ac:dyDescent="0.25">
      <c r="A8852">
        <f ca="1">29525.8579431587*((RANDBETWEEN(1620,2416)))</f>
        <v>68647619.717844009</v>
      </c>
      <c r="B8852">
        <v>165422448.83934319</v>
      </c>
    </row>
    <row r="8853" spans="1:2" x14ac:dyDescent="0.25">
      <c r="A8853">
        <f ca="1">26204.2967835011*((RANDBETWEEN(1620,2416)))</f>
        <v>50941152.94712621</v>
      </c>
      <c r="B8853">
        <v>168975455.76356304</v>
      </c>
    </row>
    <row r="8854" spans="1:2" x14ac:dyDescent="0.25">
      <c r="A8854">
        <f ca="1">29114.1704781183*((RANDBETWEEN(1620,2416)))</f>
        <v>53657416.191172041</v>
      </c>
      <c r="B8854">
        <v>153638468.41050559</v>
      </c>
    </row>
    <row r="8855" spans="1:2" x14ac:dyDescent="0.25">
      <c r="A8855">
        <f ca="1">26769.8138194389*((RANDBETWEEN(1620,2416)))</f>
        <v>64327862.608111769</v>
      </c>
      <c r="B8855">
        <v>156975673.33271521</v>
      </c>
    </row>
    <row r="8856" spans="1:2" x14ac:dyDescent="0.25">
      <c r="A8856">
        <f ca="1">28227.769254407*((RANDBETWEEN(1620,2416)))</f>
        <v>67182090.825488552</v>
      </c>
      <c r="B8856">
        <v>173546236.33813795</v>
      </c>
    </row>
    <row r="8857" spans="1:2" x14ac:dyDescent="0.25">
      <c r="A8857">
        <f ca="1">30781.7191627953*((RANDBETWEEN(1620,2416)))</f>
        <v>73414400.203266814</v>
      </c>
      <c r="B8857">
        <v>143903752.67611086</v>
      </c>
    </row>
    <row r="8858" spans="1:2" x14ac:dyDescent="0.25">
      <c r="A8858">
        <f ca="1">29645.3080250051*((RANDBETWEEN(1620,2416)))</f>
        <v>59142389.50988517</v>
      </c>
      <c r="B8858">
        <v>168576133.31319931</v>
      </c>
    </row>
    <row r="8859" spans="1:2" x14ac:dyDescent="0.25">
      <c r="A8859">
        <f ca="1">27232.1184633275*((RANDBETWEEN(1620,2416)))</f>
        <v>49671384.077109404</v>
      </c>
      <c r="B8859">
        <v>171249307.29264233</v>
      </c>
    </row>
    <row r="8860" spans="1:2" x14ac:dyDescent="0.25">
      <c r="A8860">
        <f ca="1">26078.2917710545*((RANDBETWEEN(1620,2416)))</f>
        <v>47149551.522066534</v>
      </c>
      <c r="B8860">
        <v>174247515.47508401</v>
      </c>
    </row>
    <row r="8861" spans="1:2" x14ac:dyDescent="0.25">
      <c r="A8861">
        <f ca="1">26287.048925728*((RANDBETWEEN(1620,2416)))</f>
        <v>46449215.451761357</v>
      </c>
      <c r="B8861">
        <v>147123859.62448475</v>
      </c>
    </row>
    <row r="8862" spans="1:2" x14ac:dyDescent="0.25">
      <c r="A8862">
        <f ca="1">32304.9602421264*((RANDBETWEEN(1620,2416)))</f>
        <v>76368926.012386799</v>
      </c>
      <c r="B8862">
        <v>192129296.42880702</v>
      </c>
    </row>
    <row r="8863" spans="1:2" x14ac:dyDescent="0.25">
      <c r="A8863">
        <f ca="1">32654.4530319877*((RANDBETWEEN(1620,2416)))</f>
        <v>67692681.135310426</v>
      </c>
      <c r="B8863">
        <v>172431885.05647701</v>
      </c>
    </row>
    <row r="8864" spans="1:2" x14ac:dyDescent="0.25">
      <c r="A8864">
        <f ca="1">27777.7297959643*((RANDBETWEEN(1620,2416)))</f>
        <v>56027680.998460069</v>
      </c>
      <c r="B8864">
        <v>155543236.97146842</v>
      </c>
    </row>
    <row r="8865" spans="1:2" x14ac:dyDescent="0.25">
      <c r="A8865">
        <f ca="1">32566.6266507553*((RANDBETWEEN(1620,2416)))</f>
        <v>66891851.140651301</v>
      </c>
      <c r="B8865">
        <v>159809863.97863042</v>
      </c>
    </row>
    <row r="8866" spans="1:2" x14ac:dyDescent="0.25">
      <c r="A8866">
        <f ca="1">26671.9505903286*((RANDBETWEEN(1620,2416)))</f>
        <v>46542553.780123487</v>
      </c>
      <c r="B8866">
        <v>143726044.80081466</v>
      </c>
    </row>
    <row r="8867" spans="1:2" x14ac:dyDescent="0.25">
      <c r="A8867">
        <f ca="1">26736.7844252639*((RANDBETWEEN(1620,2416)))</f>
        <v>51628730.725184686</v>
      </c>
      <c r="B8867">
        <v>155219091.87964612</v>
      </c>
    </row>
    <row r="8868" spans="1:2" x14ac:dyDescent="0.25">
      <c r="A8868">
        <f ca="1">27076.0935980842*((RANDBETWEEN(1620,2416)))</f>
        <v>54206339.383364566</v>
      </c>
      <c r="B8868">
        <v>146584011.36291966</v>
      </c>
    </row>
    <row r="8869" spans="1:2" x14ac:dyDescent="0.25">
      <c r="A8869">
        <f ca="1">28490.1057845303*((RANDBETWEEN(1620,2416)))</f>
        <v>64359148.96725402</v>
      </c>
      <c r="B8869">
        <v>167948945.87017033</v>
      </c>
    </row>
    <row r="8870" spans="1:2" x14ac:dyDescent="0.25">
      <c r="A8870">
        <f ca="1">25895.7097909093*((RANDBETWEEN(1620,2416)))</f>
        <v>43634270.997682109</v>
      </c>
      <c r="B8870">
        <v>146258680.40431523</v>
      </c>
    </row>
    <row r="8871" spans="1:2" x14ac:dyDescent="0.25">
      <c r="A8871">
        <f ca="1">26891.8902230182*((RANDBETWEEN(1620,2416)))</f>
        <v>46818780.878274642</v>
      </c>
      <c r="B8871">
        <v>147598490.97102669</v>
      </c>
    </row>
    <row r="8872" spans="1:2" x14ac:dyDescent="0.25">
      <c r="A8872">
        <f ca="1">25541.8108766854*((RANDBETWEEN(1620,2416)))</f>
        <v>60968302.562648021</v>
      </c>
      <c r="B8872">
        <v>197366136.09287244</v>
      </c>
    </row>
    <row r="8873" spans="1:2" x14ac:dyDescent="0.25">
      <c r="A8873">
        <f ca="1">27219.9537125945*((RANDBETWEEN(1620,2416)))</f>
        <v>57189122.750161082</v>
      </c>
      <c r="B8873">
        <v>201355869.16086343</v>
      </c>
    </row>
    <row r="8874" spans="1:2" x14ac:dyDescent="0.25">
      <c r="A8874">
        <f ca="1">26520.813565091*((RANDBETWEEN(1620,2416)))</f>
        <v>48957421.841158018</v>
      </c>
      <c r="B8874">
        <v>200560742.59017831</v>
      </c>
    </row>
    <row r="8875" spans="1:2" x14ac:dyDescent="0.25">
      <c r="A8875">
        <f ca="1">27877.4422739212*((RANDBETWEEN(1620,2416)))</f>
        <v>49816989.343497194</v>
      </c>
      <c r="B8875">
        <v>200001627.11027503</v>
      </c>
    </row>
    <row r="8876" spans="1:2" x14ac:dyDescent="0.25">
      <c r="A8876">
        <f ca="1">28697.742554218*((RANDBETWEEN(1620,2416)))</f>
        <v>66980531.121544793</v>
      </c>
      <c r="B8876">
        <v>202138980.9472352</v>
      </c>
    </row>
    <row r="8877" spans="1:2" x14ac:dyDescent="0.25">
      <c r="A8877">
        <f ca="1">25924.9883455506*((RANDBETWEEN(1620,2416)))</f>
        <v>44928004.802839153</v>
      </c>
      <c r="B8877">
        <v>154703984.71202981</v>
      </c>
    </row>
    <row r="8878" spans="1:2" x14ac:dyDescent="0.25">
      <c r="A8878">
        <f ca="1">27006.8164177678*((RANDBETWEEN(1620,2416)))</f>
        <v>56606287.211641297</v>
      </c>
      <c r="B8878">
        <v>165499890.52865016</v>
      </c>
    </row>
    <row r="8879" spans="1:2" x14ac:dyDescent="0.25">
      <c r="A8879">
        <f ca="1">26695.7432047175*((RANDBETWEEN(1620,2416)))</f>
        <v>59264549.914472826</v>
      </c>
      <c r="B8879">
        <v>152559171.34093657</v>
      </c>
    </row>
    <row r="8880" spans="1:2" x14ac:dyDescent="0.25">
      <c r="A8880">
        <f ca="1">26514.8005979975*((RANDBETWEEN(1620,2416)))</f>
        <v>43510787.781313889</v>
      </c>
      <c r="B8880">
        <v>154602293.35009453</v>
      </c>
    </row>
    <row r="8881" spans="1:2" x14ac:dyDescent="0.25">
      <c r="A8881">
        <f ca="1">26148.6096594697*((RANDBETWEEN(1620,2416)))</f>
        <v>43981961.447227992</v>
      </c>
      <c r="B8881">
        <v>153237198.43638125</v>
      </c>
    </row>
    <row r="8882" spans="1:2" x14ac:dyDescent="0.25">
      <c r="A8882">
        <f ca="1">31193.5358178966*((RANDBETWEEN(1620,2416)))</f>
        <v>68157875.762104079</v>
      </c>
      <c r="B8882">
        <v>189243015.37079963</v>
      </c>
    </row>
    <row r="8883" spans="1:2" x14ac:dyDescent="0.25">
      <c r="A8883">
        <f ca="1">26267.328685229*((RANDBETWEEN(1620,2416)))</f>
        <v>61990895.697140515</v>
      </c>
      <c r="B8883">
        <v>171239161.19963768</v>
      </c>
    </row>
    <row r="8884" spans="1:2" x14ac:dyDescent="0.25">
      <c r="A8884">
        <f ca="1">27976.9953325669*((RANDBETWEEN(1620,2416)))</f>
        <v>48204362.95801276</v>
      </c>
      <c r="B8884">
        <v>201146468.0516465</v>
      </c>
    </row>
    <row r="8885" spans="1:2" x14ac:dyDescent="0.25">
      <c r="A8885">
        <f ca="1">27997.7818998688*((RANDBETWEEN(1620,2416)))</f>
        <v>61651115.74351117</v>
      </c>
      <c r="B8885">
        <v>145811837.03968018</v>
      </c>
    </row>
    <row r="8886" spans="1:2" x14ac:dyDescent="0.25">
      <c r="A8886">
        <f ca="1">31312.0754471118*((RANDBETWEEN(1620,2416)))</f>
        <v>61590852.404468924</v>
      </c>
      <c r="B8886">
        <v>153588614.78122696</v>
      </c>
    </row>
    <row r="8887" spans="1:2" x14ac:dyDescent="0.25">
      <c r="A8887">
        <f ca="1">26333.0770053984*((RANDBETWEEN(1620,2416)))</f>
        <v>50059179.387262419</v>
      </c>
      <c r="B8887">
        <v>171757348.33814538</v>
      </c>
    </row>
    <row r="8888" spans="1:2" x14ac:dyDescent="0.25">
      <c r="A8888">
        <f ca="1">26574.8151719409*((RANDBETWEEN(1620,2416)))</f>
        <v>52511834.779755317</v>
      </c>
      <c r="B8888">
        <v>158363667.94297931</v>
      </c>
    </row>
    <row r="8889" spans="1:2" x14ac:dyDescent="0.25">
      <c r="A8889">
        <f ca="1">27789.3372453269*((RANDBETWEEN(1620,2416)))</f>
        <v>51438063.241100013</v>
      </c>
      <c r="B8889">
        <v>166301860.37051243</v>
      </c>
    </row>
    <row r="8890" spans="1:2" x14ac:dyDescent="0.25">
      <c r="A8890">
        <f ca="1">26088.8731699588*((RANDBETWEEN(1620,2416)))</f>
        <v>44507617.627949744</v>
      </c>
      <c r="B8890">
        <v>159609646.29693264</v>
      </c>
    </row>
    <row r="8891" spans="1:2" x14ac:dyDescent="0.25">
      <c r="A8891">
        <f ca="1">26438.9057968227*((RANDBETWEEN(1620,2416)))</f>
        <v>51450110.680616878</v>
      </c>
      <c r="B8891">
        <v>156652866.00788221</v>
      </c>
    </row>
    <row r="8892" spans="1:2" x14ac:dyDescent="0.25">
      <c r="A8892">
        <f ca="1">26783.0130544605*((RANDBETWEEN(1620,2416)))</f>
        <v>52226875.456198022</v>
      </c>
      <c r="B8892">
        <v>142993362.3676542</v>
      </c>
    </row>
    <row r="8893" spans="1:2" x14ac:dyDescent="0.25">
      <c r="A8893">
        <f ca="1">26505.7963292499*((RANDBETWEEN(1620,2416)))</f>
        <v>50042943.469623782</v>
      </c>
      <c r="B8893">
        <v>150846968.60614231</v>
      </c>
    </row>
    <row r="8894" spans="1:2" x14ac:dyDescent="0.25">
      <c r="A8894">
        <f ca="1">27584.3762293054*((RANDBETWEEN(1620,2416)))</f>
        <v>61209730.852828793</v>
      </c>
      <c r="B8894">
        <v>151132464.79268104</v>
      </c>
    </row>
    <row r="8895" spans="1:2" x14ac:dyDescent="0.25">
      <c r="A8895">
        <f ca="1">28836.6346516816*((RANDBETWEEN(1620,2416)))</f>
        <v>67535398.354238391</v>
      </c>
      <c r="B8895">
        <v>154951902.98621026</v>
      </c>
    </row>
    <row r="8896" spans="1:2" x14ac:dyDescent="0.25">
      <c r="A8896">
        <f ca="1">27134.1807137041*((RANDBETWEEN(1620,2416)))</f>
        <v>64742155.182898074</v>
      </c>
      <c r="B8896">
        <v>162317707.14315695</v>
      </c>
    </row>
    <row r="8897" spans="1:2" x14ac:dyDescent="0.25">
      <c r="A8897">
        <f ca="1">25749.4464840191*((RANDBETWEEN(1620,2416)))</f>
        <v>47919719.906759501</v>
      </c>
      <c r="B8897">
        <v>151080807.90045944</v>
      </c>
    </row>
    <row r="8898" spans="1:2" x14ac:dyDescent="0.25">
      <c r="A8898">
        <f ca="1">29421.2125467393*((RANDBETWEEN(1620,2416)))</f>
        <v>56341622.027005784</v>
      </c>
      <c r="B8898">
        <v>145491435.82722282</v>
      </c>
    </row>
    <row r="8899" spans="1:2" x14ac:dyDescent="0.25">
      <c r="A8899">
        <f ca="1">26663.4689146271*((RANDBETWEEN(1620,2416)))</f>
        <v>59726170.368764646</v>
      </c>
      <c r="B8899">
        <v>143906678.89779326</v>
      </c>
    </row>
    <row r="8900" spans="1:2" x14ac:dyDescent="0.25">
      <c r="A8900">
        <f ca="1">29357.1245267233*((RANDBETWEEN(1620,2416)))</f>
        <v>63763674.472043008</v>
      </c>
      <c r="B8900">
        <v>168213049.17206755</v>
      </c>
    </row>
    <row r="8901" spans="1:2" x14ac:dyDescent="0.25">
      <c r="A8901">
        <f ca="1">27614.1867898066*((RANDBETWEEN(1620,2416)))</f>
        <v>48324826.88216155</v>
      </c>
      <c r="B8901">
        <v>174210786.20454979</v>
      </c>
    </row>
    <row r="8902" spans="1:2" x14ac:dyDescent="0.25">
      <c r="A8902">
        <f ca="1">27988.6424568534*((RANDBETWEEN(1620,2416)))</f>
        <v>64765718.645158857</v>
      </c>
      <c r="B8902">
        <v>147449526.66213638</v>
      </c>
    </row>
    <row r="8903" spans="1:2" x14ac:dyDescent="0.25">
      <c r="A8903">
        <f ca="1">28821.777141119*((RANDBETWEEN(1620,2416)))</f>
        <v>55193703.225242905</v>
      </c>
      <c r="B8903">
        <v>150758952.18816924</v>
      </c>
    </row>
    <row r="8904" spans="1:2" x14ac:dyDescent="0.25">
      <c r="A8904">
        <f ca="1">29987.9758938752*((RANDBETWEEN(1620,2416)))</f>
        <v>52478957.814281687</v>
      </c>
      <c r="B8904">
        <v>174177814.82726654</v>
      </c>
    </row>
    <row r="8905" spans="1:2" x14ac:dyDescent="0.25">
      <c r="A8905">
        <f ca="1">31555.6314925837*((RANDBETWEEN(1620,2416)))</f>
        <v>67402828.868158683</v>
      </c>
      <c r="B8905">
        <v>151747909.27147716</v>
      </c>
    </row>
    <row r="8906" spans="1:2" x14ac:dyDescent="0.25">
      <c r="A8906">
        <f ca="1">27027.6180284112*((RANDBETWEEN(1620,2416)))</f>
        <v>59947256.787016071</v>
      </c>
      <c r="B8906">
        <v>149316354.78423828</v>
      </c>
    </row>
    <row r="8907" spans="1:2" x14ac:dyDescent="0.25">
      <c r="A8907">
        <f ca="1">25380.8745343655*((RANDBETWEEN(1620,2416)))</f>
        <v>54898831.617832489</v>
      </c>
      <c r="B8907">
        <v>168383164.94663361</v>
      </c>
    </row>
    <row r="8908" spans="1:2" x14ac:dyDescent="0.25">
      <c r="A8908">
        <f ca="1">27958.4017969197*((RANDBETWEEN(1620,2416)))</f>
        <v>49066995.153594032</v>
      </c>
      <c r="B8908">
        <v>155112442.04596415</v>
      </c>
    </row>
    <row r="8909" spans="1:2" x14ac:dyDescent="0.25">
      <c r="A8909">
        <f ca="1">27548.5101611944*((RANDBETWEEN(1620,2416)))</f>
        <v>45179556.664358772</v>
      </c>
      <c r="B8909">
        <v>162446337.33216256</v>
      </c>
    </row>
    <row r="8910" spans="1:2" x14ac:dyDescent="0.25">
      <c r="A8910">
        <f ca="1">27264.6932787784*((RANDBETWEEN(1620,2416)))</f>
        <v>59246178.49478557</v>
      </c>
      <c r="B8910">
        <v>158395470.14954054</v>
      </c>
    </row>
    <row r="8911" spans="1:2" x14ac:dyDescent="0.25">
      <c r="A8911">
        <f ca="1">28091.1807654367*((RANDBETWEEN(1620,2416)))</f>
        <v>53766519.985045813</v>
      </c>
      <c r="B8911">
        <v>192635682.48691547</v>
      </c>
    </row>
    <row r="8912" spans="1:2" x14ac:dyDescent="0.25">
      <c r="A8912">
        <f ca="1">30876.9469919728*((RANDBETWEEN(1620,2416)))</f>
        <v>51193978.112690955</v>
      </c>
      <c r="B8912">
        <v>161175265.73956093</v>
      </c>
    </row>
    <row r="8913" spans="1:2" x14ac:dyDescent="0.25">
      <c r="A8913">
        <f ca="1">26073.8258741912*((RANDBETWEEN(1620,2416)))</f>
        <v>45498826.15046367</v>
      </c>
      <c r="B8913">
        <v>164075175.62839374</v>
      </c>
    </row>
    <row r="8914" spans="1:2" x14ac:dyDescent="0.25">
      <c r="A8914">
        <f ca="1">32946.2266571005*((RANDBETWEEN(1620,2416)))</f>
        <v>65398259.914344497</v>
      </c>
      <c r="B8914">
        <v>182664175.06937683</v>
      </c>
    </row>
    <row r="8915" spans="1:2" x14ac:dyDescent="0.25">
      <c r="A8915">
        <f ca="1">27101.5236116407*((RANDBETWEEN(1620,2416)))</f>
        <v>44365194.152255803</v>
      </c>
      <c r="B8915">
        <v>159861815.40820873</v>
      </c>
    </row>
    <row r="8916" spans="1:2" x14ac:dyDescent="0.25">
      <c r="A8916">
        <f ca="1">27938.2770053584*((RANDBETWEEN(1620,2416)))</f>
        <v>49087552.698414735</v>
      </c>
      <c r="B8916">
        <v>167690102.2619018</v>
      </c>
    </row>
    <row r="8917" spans="1:2" x14ac:dyDescent="0.25">
      <c r="A8917">
        <f ca="1">33891.8022055339*((RANDBETWEEN(1620,2416)))</f>
        <v>76290446.764656752</v>
      </c>
      <c r="B8917">
        <v>194082080.9771859</v>
      </c>
    </row>
    <row r="8918" spans="1:2" x14ac:dyDescent="0.25">
      <c r="A8918">
        <f ca="1">30938.7738600344*((RANDBETWEEN(1620,2416)))</f>
        <v>71406690.0689594</v>
      </c>
      <c r="B8918">
        <v>187569310.72555706</v>
      </c>
    </row>
    <row r="8919" spans="1:2" x14ac:dyDescent="0.25">
      <c r="A8919">
        <f ca="1">32776.5151798606*((RANDBETWEEN(1620,2416)))</f>
        <v>60931541.719360903</v>
      </c>
      <c r="B8919">
        <v>161305588.82721302</v>
      </c>
    </row>
    <row r="8920" spans="1:2" x14ac:dyDescent="0.25">
      <c r="A8920">
        <f ca="1">30922.8668322994*((RANDBETWEEN(1620,2416)))</f>
        <v>62804342.53640008</v>
      </c>
      <c r="B8920">
        <v>165699226.43023163</v>
      </c>
    </row>
    <row r="8921" spans="1:2" x14ac:dyDescent="0.25">
      <c r="A8921">
        <f ca="1">26061.1842773687*((RANDBETWEEN(1620,2416)))</f>
        <v>60540131.076327473</v>
      </c>
      <c r="B8921">
        <v>158038661.09292629</v>
      </c>
    </row>
    <row r="8922" spans="1:2" x14ac:dyDescent="0.25">
      <c r="A8922">
        <f ca="1">26420.4241443871*((RANDBETWEEN(1620,2416)))</f>
        <v>56486866.82069955</v>
      </c>
      <c r="B8922">
        <v>161009812.97543216</v>
      </c>
    </row>
    <row r="8923" spans="1:2" x14ac:dyDescent="0.25">
      <c r="A8923">
        <f ca="1">27039.3162502541*((RANDBETWEEN(1620,2416)))</f>
        <v>50509442.755474739</v>
      </c>
      <c r="B8923">
        <v>147414500.18628311</v>
      </c>
    </row>
    <row r="8924" spans="1:2" x14ac:dyDescent="0.25">
      <c r="A8924">
        <f ca="1">25491.7777448909*((RANDBETWEEN(1620,2416)))</f>
        <v>48969705.047935493</v>
      </c>
      <c r="B8924">
        <v>150928377.36109868</v>
      </c>
    </row>
    <row r="8925" spans="1:2" x14ac:dyDescent="0.25">
      <c r="A8925">
        <f ca="1">26795.0943009799*((RANDBETWEEN(1620,2416)))</f>
        <v>59645879.913981281</v>
      </c>
      <c r="B8925">
        <v>146351438.10736448</v>
      </c>
    </row>
    <row r="8926" spans="1:2" x14ac:dyDescent="0.25">
      <c r="A8926">
        <f ca="1">26817.8855100594*((RANDBETWEEN(1620,2416)))</f>
        <v>61895679.757217012</v>
      </c>
      <c r="B8926">
        <v>148236516.09770066</v>
      </c>
    </row>
    <row r="8927" spans="1:2" x14ac:dyDescent="0.25">
      <c r="A8927">
        <f ca="1">26442.291411325*((RANDBETWEEN(1620,2416)))</f>
        <v>49870161.60175889</v>
      </c>
      <c r="B8927">
        <v>144264633.01915047</v>
      </c>
    </row>
    <row r="8928" spans="1:2" x14ac:dyDescent="0.25">
      <c r="A8928">
        <f ca="1">27115.2299411318*((RANDBETWEEN(1620,2416)))</f>
        <v>44143594.344162621</v>
      </c>
      <c r="B8928">
        <v>182879653.51137108</v>
      </c>
    </row>
    <row r="8929" spans="1:2" x14ac:dyDescent="0.25">
      <c r="A8929">
        <f ca="1">28683.7822098368*((RANDBETWEEN(1620,2416)))</f>
        <v>61469345.275680356</v>
      </c>
      <c r="B8929">
        <v>147098029.53469253</v>
      </c>
    </row>
    <row r="8930" spans="1:2" x14ac:dyDescent="0.25">
      <c r="A8930">
        <f ca="1">31961.0699034079*((RANDBETWEEN(1620,2416)))</f>
        <v>66191375.769957662</v>
      </c>
      <c r="B8930">
        <v>193157859.75252014</v>
      </c>
    </row>
    <row r="8931" spans="1:2" x14ac:dyDescent="0.25">
      <c r="A8931">
        <f ca="1">31281.639677235*((RANDBETWEEN(1620,2416)))</f>
        <v>54805432.714515664</v>
      </c>
      <c r="B8931">
        <v>178890942.86336446</v>
      </c>
    </row>
    <row r="8932" spans="1:2" x14ac:dyDescent="0.25">
      <c r="A8932">
        <f ca="1">27793.3677115563*((RANDBETWEEN(1620,2416)))</f>
        <v>49110880.746320017</v>
      </c>
      <c r="B8932">
        <v>163450427.73195592</v>
      </c>
    </row>
    <row r="8933" spans="1:2" x14ac:dyDescent="0.25">
      <c r="A8933">
        <f ca="1">27067.3982082359*((RANDBETWEEN(1620,2416)))</f>
        <v>61415926.534487322</v>
      </c>
      <c r="B8933">
        <v>160175604.70758817</v>
      </c>
    </row>
    <row r="8934" spans="1:2" x14ac:dyDescent="0.25">
      <c r="A8934">
        <f ca="1">28414.8734649744*((RANDBETWEEN(1620,2416)))</f>
        <v>47594913.053832106</v>
      </c>
      <c r="B8934">
        <v>159139691.75139087</v>
      </c>
    </row>
    <row r="8935" spans="1:2" x14ac:dyDescent="0.25">
      <c r="A8935">
        <f ca="1">25999.648235204*((RANDBETWEEN(1620,2416)))</f>
        <v>53559275.364520229</v>
      </c>
      <c r="B8935">
        <v>147231777.55194414</v>
      </c>
    </row>
    <row r="8936" spans="1:2" x14ac:dyDescent="0.25">
      <c r="A8936">
        <f ca="1">26338.8850842435*((RANDBETWEEN(1620,2416)))</f>
        <v>50359948.281073608</v>
      </c>
      <c r="B8936">
        <v>152688076.05029431</v>
      </c>
    </row>
    <row r="8937" spans="1:2" x14ac:dyDescent="0.25">
      <c r="A8937">
        <f ca="1">27801.0194335264*((RANDBETWEEN(1620,2416)))</f>
        <v>60244809.112451755</v>
      </c>
      <c r="B8937">
        <v>179482802.02895656</v>
      </c>
    </row>
    <row r="8938" spans="1:2" x14ac:dyDescent="0.25">
      <c r="A8938">
        <f ca="1">27618.0234277607*((RANDBETWEEN(1620,2416)))</f>
        <v>53965617.777844489</v>
      </c>
      <c r="B8938">
        <v>203305189.83470553</v>
      </c>
    </row>
    <row r="8939" spans="1:2" x14ac:dyDescent="0.25">
      <c r="A8939">
        <f ca="1">29821.7557791275*((RANDBETWEEN(1620,2416)))</f>
        <v>55140426.43560683</v>
      </c>
      <c r="B8939">
        <v>198244088.20746642</v>
      </c>
    </row>
    <row r="8940" spans="1:2" x14ac:dyDescent="0.25">
      <c r="A8940">
        <f ca="1">28187.7468127767*((RANDBETWEEN(1620,2416)))</f>
        <v>54768792.057225108</v>
      </c>
      <c r="B8940">
        <v>178171188.26646557</v>
      </c>
    </row>
    <row r="8941" spans="1:2" x14ac:dyDescent="0.25">
      <c r="A8941">
        <f ca="1">27962.9419378402*((RANDBETWEEN(1620,2416)))</f>
        <v>65852728.263613656</v>
      </c>
      <c r="B8941">
        <v>162635961.92013472</v>
      </c>
    </row>
    <row r="8942" spans="1:2" x14ac:dyDescent="0.25">
      <c r="A8942">
        <f ca="1">27347.8327404667*((RANDBETWEEN(1620,2416)))</f>
        <v>62462449.979225837</v>
      </c>
      <c r="B8942">
        <v>152416784.7578024</v>
      </c>
    </row>
    <row r="8943" spans="1:2" x14ac:dyDescent="0.25">
      <c r="A8943">
        <f ca="1">28133.1988420766*((RANDBETWEEN(1620,2416)))</f>
        <v>65072088.921723247</v>
      </c>
      <c r="B8943">
        <v>183694149.17648679</v>
      </c>
    </row>
    <row r="8944" spans="1:2" x14ac:dyDescent="0.25">
      <c r="A8944">
        <f ca="1">30019.7982350391*((RANDBETWEEN(1620,2416)))</f>
        <v>51033656.999566473</v>
      </c>
      <c r="B8944">
        <v>176302897.88927314</v>
      </c>
    </row>
    <row r="8945" spans="1:2" x14ac:dyDescent="0.25">
      <c r="A8945">
        <f ca="1">27375.1354382054*((RANDBETWEEN(1620,2416)))</f>
        <v>62497434.205422834</v>
      </c>
      <c r="B8945">
        <v>151616833.5407263</v>
      </c>
    </row>
    <row r="8946" spans="1:2" x14ac:dyDescent="0.25">
      <c r="A8946">
        <f ca="1">27400.0099608403*((RANDBETWEEN(1620,2416)))</f>
        <v>59951221.794318564</v>
      </c>
      <c r="B8946">
        <v>144372242.72475812</v>
      </c>
    </row>
    <row r="8947" spans="1:2" x14ac:dyDescent="0.25">
      <c r="A8947">
        <f ca="1">28319.0000753591*((RANDBETWEEN(1620,2416)))</f>
        <v>61140721.16270034</v>
      </c>
      <c r="B8947">
        <v>149330505.66903901</v>
      </c>
    </row>
    <row r="8948" spans="1:2" x14ac:dyDescent="0.25">
      <c r="A8948">
        <f ca="1">29205.9669028788*((RANDBETWEEN(1620,2416)))</f>
        <v>49825379.536311217</v>
      </c>
      <c r="B8948">
        <v>189201306.1787281</v>
      </c>
    </row>
    <row r="8949" spans="1:2" x14ac:dyDescent="0.25">
      <c r="A8949">
        <f ca="1">27888.7997384042*((RANDBETWEEN(1620,2416)))</f>
        <v>63251797.806700639</v>
      </c>
      <c r="B8949">
        <v>177107289.32867646</v>
      </c>
    </row>
    <row r="8950" spans="1:2" x14ac:dyDescent="0.25">
      <c r="A8950">
        <f ca="1">25348.2286759609*((RANDBETWEEN(1620,2416)))</f>
        <v>45246588.18659015</v>
      </c>
      <c r="B8950">
        <v>154540751.35642704</v>
      </c>
    </row>
    <row r="8951" spans="1:2" x14ac:dyDescent="0.25">
      <c r="A8951">
        <f ca="1">26406.5310806351*((RANDBETWEEN(1620,2416)))</f>
        <v>43517963.220886648</v>
      </c>
      <c r="B8951">
        <v>171690327.13760728</v>
      </c>
    </row>
    <row r="8952" spans="1:2" x14ac:dyDescent="0.25">
      <c r="A8952">
        <f ca="1">31797.8045997897*((RANDBETWEEN(1620,2416)))</f>
        <v>59080320.94640933</v>
      </c>
      <c r="B8952">
        <v>180999559.4091844</v>
      </c>
    </row>
    <row r="8953" spans="1:2" x14ac:dyDescent="0.25">
      <c r="A8953">
        <f ca="1">28296.4911530168*((RANDBETWEEN(1620,2416)))</f>
        <v>51725985.827714778</v>
      </c>
      <c r="B8953">
        <v>179415333.30837667</v>
      </c>
    </row>
    <row r="8954" spans="1:2" x14ac:dyDescent="0.25">
      <c r="A8954">
        <f ca="1">26841.8598173199*((RANDBETWEEN(1620,2416)))</f>
        <v>50570063.895830758</v>
      </c>
      <c r="B8954">
        <v>184272839.92194039</v>
      </c>
    </row>
    <row r="8955" spans="1:2" x14ac:dyDescent="0.25">
      <c r="A8955">
        <f ca="1">26687.1474289641*((RANDBETWEEN(1620,2416)))</f>
        <v>60019394.567740306</v>
      </c>
      <c r="B8955">
        <v>171303626.47397241</v>
      </c>
    </row>
    <row r="8956" spans="1:2" x14ac:dyDescent="0.25">
      <c r="A8956">
        <f ca="1">27314.0584716043*((RANDBETWEEN(1620,2416)))</f>
        <v>50039355.119979143</v>
      </c>
      <c r="B8956">
        <v>144254346.1395871</v>
      </c>
    </row>
    <row r="8957" spans="1:2" x14ac:dyDescent="0.25">
      <c r="A8957">
        <f ca="1">25928.8146726727*((RANDBETWEEN(1620,2416)))</f>
        <v>44804991.754378393</v>
      </c>
      <c r="B8957">
        <v>154478579.82352093</v>
      </c>
    </row>
    <row r="8958" spans="1:2" x14ac:dyDescent="0.25">
      <c r="A8958">
        <f ca="1">27340.2397701652*((RANDBETWEEN(1620,2416)))</f>
        <v>57906627.833209999</v>
      </c>
      <c r="B8958">
        <v>149697606.0259549</v>
      </c>
    </row>
    <row r="8959" spans="1:2" x14ac:dyDescent="0.25">
      <c r="A8959">
        <f ca="1">27032.4366304299*((RANDBETWEEN(1620,2416)))</f>
        <v>52740283.865968734</v>
      </c>
      <c r="B8959">
        <v>171685770.86418465</v>
      </c>
    </row>
    <row r="8960" spans="1:2" x14ac:dyDescent="0.25">
      <c r="A8960">
        <f ca="1">25753.5756686038*((RANDBETWEEN(1620,2416)))</f>
        <v>61885842.331655003</v>
      </c>
      <c r="B8960">
        <v>157285884.08775383</v>
      </c>
    </row>
    <row r="8961" spans="1:2" x14ac:dyDescent="0.25">
      <c r="A8961">
        <f ca="1">27949.7458545688*((RANDBETWEEN(1620,2416)))</f>
        <v>45474236.505383521</v>
      </c>
      <c r="B8961">
        <v>183026256.89575374</v>
      </c>
    </row>
    <row r="8962" spans="1:2" x14ac:dyDescent="0.25">
      <c r="A8962">
        <f ca="1">31639.8880657793*((RANDBETWEEN(1620,2416)))</f>
        <v>58533792.921691768</v>
      </c>
      <c r="B8962">
        <v>183075344.11926454</v>
      </c>
    </row>
    <row r="8963" spans="1:2" x14ac:dyDescent="0.25">
      <c r="A8963">
        <f ca="1">28050.9606378682*((RANDBETWEEN(1620,2416)))</f>
        <v>63619578.72668504</v>
      </c>
      <c r="B8963">
        <v>156268954.49653605</v>
      </c>
    </row>
    <row r="8964" spans="1:2" x14ac:dyDescent="0.25">
      <c r="A8964">
        <f ca="1">30137.8691035957*((RANDBETWEEN(1620,2416)))</f>
        <v>51415204.690734267</v>
      </c>
      <c r="B8964">
        <v>186719622.16918859</v>
      </c>
    </row>
    <row r="8965" spans="1:2" x14ac:dyDescent="0.25">
      <c r="A8965">
        <f ca="1">24851.3219843555*((RANDBETWEEN(1620,2416)))</f>
        <v>46223458.890901186</v>
      </c>
      <c r="B8965">
        <v>188683495.04440486</v>
      </c>
    </row>
    <row r="8966" spans="1:2" x14ac:dyDescent="0.25">
      <c r="A8966">
        <f ca="1">27382.3078601239*((RANDBETWEEN(1620,2416)))</f>
        <v>48850037.222461037</v>
      </c>
      <c r="B8966">
        <v>172477278.45228195</v>
      </c>
    </row>
    <row r="8967" spans="1:2" x14ac:dyDescent="0.25">
      <c r="A8967">
        <f ca="1">31437.9658761688*((RANDBETWEEN(1620,2416)))</f>
        <v>63001683.615842327</v>
      </c>
      <c r="B8967">
        <v>181476565.97854641</v>
      </c>
    </row>
    <row r="8968" spans="1:2" x14ac:dyDescent="0.25">
      <c r="A8968">
        <f ca="1">30806.2781085629*((RANDBETWEEN(1620,2416)))</f>
        <v>55389688.039196089</v>
      </c>
      <c r="B8968">
        <v>176732219.11933011</v>
      </c>
    </row>
    <row r="8969" spans="1:2" x14ac:dyDescent="0.25">
      <c r="A8969">
        <f ca="1">29605.1851911181*((RANDBETWEEN(1620,2416)))</f>
        <v>54799197.788759515</v>
      </c>
      <c r="B8969">
        <v>181125927.16746181</v>
      </c>
    </row>
    <row r="8970" spans="1:2" x14ac:dyDescent="0.25">
      <c r="A8970">
        <f ca="1">27233.6005764678*((RANDBETWEEN(1620,2416)))</f>
        <v>53350623.529300392</v>
      </c>
      <c r="B8970">
        <v>171379126.21018171</v>
      </c>
    </row>
    <row r="8971" spans="1:2" x14ac:dyDescent="0.25">
      <c r="A8971">
        <f ca="1">26313.4912715111*((RANDBETWEEN(1620,2416)))</f>
        <v>60968359.276091255</v>
      </c>
      <c r="B8971">
        <v>152207701.58412319</v>
      </c>
    </row>
    <row r="8972" spans="1:2" x14ac:dyDescent="0.25">
      <c r="A8972">
        <f ca="1">27936.5078966523*((RANDBETWEEN(1620,2416)))</f>
        <v>56822857.061790705</v>
      </c>
      <c r="B8972">
        <v>203369173.16720319</v>
      </c>
    </row>
    <row r="8973" spans="1:2" x14ac:dyDescent="0.25">
      <c r="A8973">
        <f ca="1">29182.7339342706*((RANDBETWEEN(1620,2416)))</f>
        <v>53871326.842663504</v>
      </c>
      <c r="B8973">
        <v>153927299.83021998</v>
      </c>
    </row>
    <row r="8974" spans="1:2" x14ac:dyDescent="0.25">
      <c r="A8974">
        <f ca="1">28487.2897762521*((RANDBETWEEN(1620,2416)))</f>
        <v>56832143.10362298</v>
      </c>
      <c r="B8974">
        <v>155324642.24260861</v>
      </c>
    </row>
    <row r="8975" spans="1:2" x14ac:dyDescent="0.25">
      <c r="A8975">
        <f ca="1">24919.1211881949*((RANDBETWEEN(1620,2416)))</f>
        <v>46823028.712618165</v>
      </c>
      <c r="B8975">
        <v>146064829.2106998</v>
      </c>
    </row>
    <row r="8976" spans="1:2" x14ac:dyDescent="0.25">
      <c r="A8976">
        <f ca="1">28889.1525985267*((RANDBETWEEN(1620,2416)))</f>
        <v>48418219.755130678</v>
      </c>
      <c r="B8976">
        <v>194791011.45171434</v>
      </c>
    </row>
    <row r="8977" spans="1:2" x14ac:dyDescent="0.25">
      <c r="A8977">
        <f ca="1">26037.9653144992*((RANDBETWEEN(1620,2416)))</f>
        <v>62360926.928225562</v>
      </c>
      <c r="B8977">
        <v>160600205.41142279</v>
      </c>
    </row>
    <row r="8978" spans="1:2" x14ac:dyDescent="0.25">
      <c r="A8978">
        <f ca="1">27983.414701887*((RANDBETWEEN(1620,2416)))</f>
        <v>61983263.564679801</v>
      </c>
      <c r="B8978">
        <v>173668183.4971486</v>
      </c>
    </row>
    <row r="8979" spans="1:2" x14ac:dyDescent="0.25">
      <c r="A8979">
        <f ca="1">26934.4815451022*((RANDBETWEEN(1620,2416)))</f>
        <v>47054539.259293579</v>
      </c>
      <c r="B8979">
        <v>157231723.41312328</v>
      </c>
    </row>
    <row r="8980" spans="1:2" x14ac:dyDescent="0.25">
      <c r="A8980">
        <f ca="1">26379.9524080569*((RANDBETWEEN(1620,2416)))</f>
        <v>53498543.48353938</v>
      </c>
      <c r="B8980">
        <v>154405504.99055684</v>
      </c>
    </row>
    <row r="8981" spans="1:2" x14ac:dyDescent="0.25">
      <c r="A8981">
        <f ca="1">28013.409720784*((RANDBETWEEN(1620,2416)))</f>
        <v>52805277.323677875</v>
      </c>
      <c r="B8981">
        <v>164306639.72429654</v>
      </c>
    </row>
    <row r="8982" spans="1:2" x14ac:dyDescent="0.25">
      <c r="A8982">
        <f ca="1">28266.6752202269*((RANDBETWEEN(1620,2416)))</f>
        <v>66030953.314449959</v>
      </c>
      <c r="B8982">
        <v>200887693.40510711</v>
      </c>
    </row>
    <row r="8983" spans="1:2" x14ac:dyDescent="0.25">
      <c r="A8983">
        <f ca="1">27334.938175466*((RANDBETWEEN(1620,2416)))</f>
        <v>58032073.746514358</v>
      </c>
      <c r="B8983">
        <v>164216079.22081137</v>
      </c>
    </row>
    <row r="8984" spans="1:2" x14ac:dyDescent="0.25">
      <c r="A8984">
        <f ca="1">25629.3868273755*((RANDBETWEEN(1620,2416)))</f>
        <v>46953036.667751901</v>
      </c>
      <c r="B8984">
        <v>149617975.28845453</v>
      </c>
    </row>
    <row r="8985" spans="1:2" x14ac:dyDescent="0.25">
      <c r="A8985">
        <f ca="1">26636.2056741759*((RANDBETWEEN(1620,2416)))</f>
        <v>45521275.497166649</v>
      </c>
      <c r="B8985">
        <v>183831940.73244017</v>
      </c>
    </row>
    <row r="8986" spans="1:2" x14ac:dyDescent="0.25">
      <c r="A8986">
        <f ca="1">26429.8420343005*((RANDBETWEEN(1620,2416)))</f>
        <v>56189844.164922848</v>
      </c>
      <c r="B8986">
        <v>148126543.68477577</v>
      </c>
    </row>
    <row r="8987" spans="1:2" x14ac:dyDescent="0.25">
      <c r="A8987">
        <f ca="1">28310.0396845111*((RANDBETWEEN(1620,2416)))</f>
        <v>59988974.091479033</v>
      </c>
      <c r="B8987">
        <v>194719383.64999545</v>
      </c>
    </row>
    <row r="8988" spans="1:2" x14ac:dyDescent="0.25">
      <c r="A8988">
        <f ca="1">25571.6226534789*((RANDBETWEEN(1620,2416)))</f>
        <v>48483796.550996058</v>
      </c>
      <c r="B8988">
        <v>149168101.97545817</v>
      </c>
    </row>
    <row r="8989" spans="1:2" x14ac:dyDescent="0.25">
      <c r="A8989">
        <f ca="1">27563.4919026192*((RANDBETWEEN(1620,2416)))</f>
        <v>55237237.772848882</v>
      </c>
      <c r="B8989">
        <v>182893312.17193028</v>
      </c>
    </row>
    <row r="8990" spans="1:2" x14ac:dyDescent="0.25">
      <c r="A8990">
        <f ca="1">27641.1099007447*((RANDBETWEEN(1620,2416)))</f>
        <v>57852843.022258654</v>
      </c>
      <c r="B8990">
        <v>174251928.25032073</v>
      </c>
    </row>
    <row r="8991" spans="1:2" x14ac:dyDescent="0.25">
      <c r="A8991">
        <f ca="1">28579.1901930476*((RANDBETWEEN(1620,2416)))</f>
        <v>59158923.699608594</v>
      </c>
      <c r="B8991">
        <v>201150214.93684757</v>
      </c>
    </row>
    <row r="8992" spans="1:2" x14ac:dyDescent="0.25">
      <c r="A8992">
        <f ca="1">27885.7776247275*((RANDBETWEEN(1620,2416)))</f>
        <v>64611346.756493665</v>
      </c>
      <c r="B8992">
        <v>202010666.29664782</v>
      </c>
    </row>
    <row r="8993" spans="1:2" x14ac:dyDescent="0.25">
      <c r="A8993">
        <f ca="1">27315.8173800531*((RANDBETWEEN(1620,2416)))</f>
        <v>46491521.180850424</v>
      </c>
      <c r="B8993">
        <v>174770306.66062602</v>
      </c>
    </row>
    <row r="8994" spans="1:2" x14ac:dyDescent="0.25">
      <c r="A8994">
        <f ca="1">26985.2315365991*((RANDBETWEEN(1620,2416)))</f>
        <v>43716075.089290477</v>
      </c>
      <c r="B8994">
        <v>153102318.54253981</v>
      </c>
    </row>
    <row r="8995" spans="1:2" x14ac:dyDescent="0.25">
      <c r="A8995">
        <f ca="1">29169.979574678*((RANDBETWEEN(1620,2416)))</f>
        <v>51251654.112709269</v>
      </c>
      <c r="B8995">
        <v>178952136.78674775</v>
      </c>
    </row>
    <row r="8996" spans="1:2" x14ac:dyDescent="0.25">
      <c r="A8996">
        <f ca="1">26526.3666651601*((RANDBETWEEN(1620,2416)))</f>
        <v>57482636.563402019</v>
      </c>
      <c r="B8996">
        <v>187512515.56234717</v>
      </c>
    </row>
    <row r="8997" spans="1:2" x14ac:dyDescent="0.25">
      <c r="A8997">
        <f ca="1">27154.9131812557*((RANDBETWEEN(1620,2416)))</f>
        <v>57242556.986087061</v>
      </c>
      <c r="B8997">
        <v>162300754.87870699</v>
      </c>
    </row>
    <row r="8998" spans="1:2" x14ac:dyDescent="0.25">
      <c r="A8998">
        <f ca="1">26222.5362195428*((RANDBETWEEN(1620,2416)))</f>
        <v>53179303.453232765</v>
      </c>
      <c r="B8998">
        <v>146319393.08803186</v>
      </c>
    </row>
    <row r="8999" spans="1:2" x14ac:dyDescent="0.25">
      <c r="A8999">
        <f ca="1">29641.5302145958*((RANDBETWEEN(1620,2416)))</f>
        <v>54629340.185500003</v>
      </c>
      <c r="B8999">
        <v>165140286.19379342</v>
      </c>
    </row>
    <row r="9000" spans="1:2" x14ac:dyDescent="0.25">
      <c r="A9000">
        <f ca="1">32080.1032976522*((RANDBETWEEN(1620,2416)))</f>
        <v>53349211.783995539</v>
      </c>
      <c r="B9000">
        <v>149818702.05739737</v>
      </c>
    </row>
    <row r="9001" spans="1:2" x14ac:dyDescent="0.25">
      <c r="A9001">
        <f ca="1">26857.5721311335*((RANDBETWEEN(1620,2416)))</f>
        <v>44288136.444239192</v>
      </c>
      <c r="B9001">
        <v>163359383.9656857</v>
      </c>
    </row>
    <row r="9002" spans="1:2" x14ac:dyDescent="0.25">
      <c r="A9002">
        <f ca="1">27874.1002692005*((RANDBETWEEN(1620,2416)))</f>
        <v>58563484.665590324</v>
      </c>
      <c r="B9002">
        <v>169580636.49161726</v>
      </c>
    </row>
    <row r="9003" spans="1:2" x14ac:dyDescent="0.25">
      <c r="A9003">
        <f ca="1">27702.3319274919*((RANDBETWEEN(1620,2416)))</f>
        <v>66042359.315140635</v>
      </c>
      <c r="B9003">
        <v>163116054.58634332</v>
      </c>
    </row>
    <row r="9004" spans="1:2" x14ac:dyDescent="0.25">
      <c r="A9004">
        <f ca="1">25206.4344751342*((RANDBETWEEN(1620,2416)))</f>
        <v>58756198.761537902</v>
      </c>
      <c r="B9004">
        <v>145548761.95992291</v>
      </c>
    </row>
    <row r="9005" spans="1:2" x14ac:dyDescent="0.25">
      <c r="A9005">
        <f ca="1">27748.8069855432*((RANDBETWEEN(1620,2416)))</f>
        <v>50780316.783544049</v>
      </c>
      <c r="B9005">
        <v>199591961.52931008</v>
      </c>
    </row>
    <row r="9006" spans="1:2" x14ac:dyDescent="0.25">
      <c r="A9006">
        <f ca="1">27547.1908441261*((RANDBETWEEN(1620,2416)))</f>
        <v>49998151.382088915</v>
      </c>
      <c r="B9006">
        <v>154801930.78844294</v>
      </c>
    </row>
    <row r="9007" spans="1:2" x14ac:dyDescent="0.25">
      <c r="A9007">
        <f ca="1">27892.6032053945*((RANDBETWEEN(1620,2416)))</f>
        <v>63623027.91150479</v>
      </c>
      <c r="B9007">
        <v>191915896.54913971</v>
      </c>
    </row>
    <row r="9008" spans="1:2" x14ac:dyDescent="0.25">
      <c r="A9008">
        <f ca="1">27950.3991919247*((RANDBETWEEN(1620,2416)))</f>
        <v>57270367.94425372</v>
      </c>
      <c r="B9008">
        <v>150194592.10530615</v>
      </c>
    </row>
    <row r="9009" spans="1:2" x14ac:dyDescent="0.25">
      <c r="A9009">
        <f ca="1">26971.7570587623*((RANDBETWEEN(1620,2416)))</f>
        <v>48495219.19165469</v>
      </c>
      <c r="B9009">
        <v>154007797.5593158</v>
      </c>
    </row>
    <row r="9010" spans="1:2" x14ac:dyDescent="0.25">
      <c r="A9010">
        <f ca="1">26777.0717232833*((RANDBETWEEN(1620,2416)))</f>
        <v>48546831.034312658</v>
      </c>
      <c r="B9010">
        <v>201111887.23656851</v>
      </c>
    </row>
    <row r="9011" spans="1:2" x14ac:dyDescent="0.25">
      <c r="A9011">
        <f ca="1">26417.7894437212*((RANDBETWEEN(1620,2416)))</f>
        <v>58277643.512848869</v>
      </c>
      <c r="B9011">
        <v>154855186.40701598</v>
      </c>
    </row>
    <row r="9012" spans="1:2" x14ac:dyDescent="0.25">
      <c r="A9012">
        <f ca="1">28996.6719334721*((RANDBETWEEN(1620,2416)))</f>
        <v>49033372.239501283</v>
      </c>
      <c r="B9012">
        <v>169002560.34567112</v>
      </c>
    </row>
    <row r="9013" spans="1:2" x14ac:dyDescent="0.25">
      <c r="A9013">
        <f ca="1">27618.7170635073*((RANDBETWEEN(1620,2416)))</f>
        <v>56397420.243681803</v>
      </c>
      <c r="B9013">
        <v>149741996.37848431</v>
      </c>
    </row>
    <row r="9014" spans="1:2" x14ac:dyDescent="0.25">
      <c r="A9014">
        <f ca="1">26228.3385453317*((RANDBETWEEN(1620,2416)))</f>
        <v>47919174.522320963</v>
      </c>
      <c r="B9014">
        <v>149880130.29547966</v>
      </c>
    </row>
    <row r="9015" spans="1:2" x14ac:dyDescent="0.25">
      <c r="A9015">
        <f ca="1">27323.0726850056*((RANDBETWEEN(1620,2416)))</f>
        <v>51667930.447345652</v>
      </c>
      <c r="B9015">
        <v>162521139.70166013</v>
      </c>
    </row>
    <row r="9016" spans="1:2" x14ac:dyDescent="0.25">
      <c r="A9016">
        <f ca="1">25920.823284752*((RANDBETWEEN(1620,2416)))</f>
        <v>53915312.432284072</v>
      </c>
      <c r="B9016">
        <v>149254597.22694254</v>
      </c>
    </row>
    <row r="9017" spans="1:2" x14ac:dyDescent="0.25">
      <c r="A9017">
        <f ca="1">26364.0522397732*((RANDBETWEEN(1620,2416)))</f>
        <v>55786334.539360128</v>
      </c>
      <c r="B9017">
        <v>152178380.51883969</v>
      </c>
    </row>
    <row r="9018" spans="1:2" x14ac:dyDescent="0.25">
      <c r="A9018">
        <f ca="1">27973.0682487*((RANDBETWEEN(1620,2416)))</f>
        <v>48561246.47974316</v>
      </c>
      <c r="B9018">
        <v>146540857.91918778</v>
      </c>
    </row>
    <row r="9019" spans="1:2" x14ac:dyDescent="0.25">
      <c r="A9019">
        <f ca="1">28453.4489380365*((RANDBETWEEN(1620,2416)))</f>
        <v>54260727.124835677</v>
      </c>
      <c r="B9019">
        <v>159070687.99791077</v>
      </c>
    </row>
    <row r="9020" spans="1:2" x14ac:dyDescent="0.25">
      <c r="A9020">
        <f ca="1">27612.5648906891*((RANDBETWEEN(1620,2416)))</f>
        <v>60278229.156374261</v>
      </c>
      <c r="B9020">
        <v>152801621.59665495</v>
      </c>
    </row>
    <row r="9021" spans="1:2" x14ac:dyDescent="0.25">
      <c r="A9021">
        <f ca="1">29578.7365762224*((RANDBETWEEN(1620,2416)))</f>
        <v>53685406.885843679</v>
      </c>
      <c r="B9021">
        <v>190662952.24436301</v>
      </c>
    </row>
    <row r="9022" spans="1:2" x14ac:dyDescent="0.25">
      <c r="A9022">
        <f ca="1">25830.8293193162*((RANDBETWEEN(1620,2416)))</f>
        <v>55432959.719252534</v>
      </c>
      <c r="B9022">
        <v>151186456.79288483</v>
      </c>
    </row>
    <row r="9023" spans="1:2" x14ac:dyDescent="0.25">
      <c r="A9023">
        <f ca="1">25704.1977452755*((RANDBETWEEN(1620,2416)))</f>
        <v>58991133.825407319</v>
      </c>
      <c r="B9023">
        <v>144081037.87221858</v>
      </c>
    </row>
    <row r="9024" spans="1:2" x14ac:dyDescent="0.25">
      <c r="A9024">
        <f ca="1">26534.8481643742*((RANDBETWEEN(1620,2416)))</f>
        <v>59278850.799212046</v>
      </c>
      <c r="B9024">
        <v>143244860.60476387</v>
      </c>
    </row>
    <row r="9025" spans="1:2" x14ac:dyDescent="0.25">
      <c r="A9025">
        <f ca="1">26962.3141835477*((RANDBETWEEN(1620,2416)))</f>
        <v>63577136.844805561</v>
      </c>
      <c r="B9025">
        <v>151348684.48290327</v>
      </c>
    </row>
    <row r="9026" spans="1:2" x14ac:dyDescent="0.25">
      <c r="A9026">
        <f ca="1">27329.1104880033*((RANDBETWEEN(1620,2416)))</f>
        <v>61080561.940687418</v>
      </c>
      <c r="B9026">
        <v>150200432.48631269</v>
      </c>
    </row>
    <row r="9027" spans="1:2" x14ac:dyDescent="0.25">
      <c r="A9027">
        <f ca="1">27320.1756888444*((RANDBETWEEN(1620,2416)))</f>
        <v>64830776.90962784</v>
      </c>
      <c r="B9027">
        <v>175262906.74257058</v>
      </c>
    </row>
    <row r="9028" spans="1:2" x14ac:dyDescent="0.25">
      <c r="A9028">
        <f ca="1">28400.6049794489*((RANDBETWEEN(1620,2416)))</f>
        <v>66968626.54154063</v>
      </c>
      <c r="B9028">
        <v>152066476.56356877</v>
      </c>
    </row>
    <row r="9029" spans="1:2" x14ac:dyDescent="0.25">
      <c r="A9029">
        <f ca="1">29245.659269827*((RANDBETWEEN(1620,2416)))</f>
        <v>63258361.000635795</v>
      </c>
      <c r="B9029">
        <v>157807082.5722346</v>
      </c>
    </row>
    <row r="9030" spans="1:2" x14ac:dyDescent="0.25">
      <c r="A9030">
        <f ca="1">30303.1677675427*((RANDBETWEEN(1620,2416)))</f>
        <v>52454783.40561644</v>
      </c>
      <c r="B9030">
        <v>197618382.9568502</v>
      </c>
    </row>
    <row r="9031" spans="1:2" x14ac:dyDescent="0.25">
      <c r="A9031">
        <f ca="1">27962.553488715*((RANDBETWEEN(1620,2416)))</f>
        <v>66690690.070585184</v>
      </c>
      <c r="B9031">
        <v>152045789.25925916</v>
      </c>
    </row>
    <row r="9032" spans="1:2" x14ac:dyDescent="0.25">
      <c r="A9032">
        <f ca="1">28106.8230424437*((RANDBETWEEN(1620,2416)))</f>
        <v>50142572.307719573</v>
      </c>
      <c r="B9032">
        <v>165355298.3388963</v>
      </c>
    </row>
    <row r="9033" spans="1:2" x14ac:dyDescent="0.25">
      <c r="A9033">
        <f ca="1">26761.5503711838*((RANDBETWEEN(1620,2416)))</f>
        <v>62514981.66708526</v>
      </c>
      <c r="B9033">
        <v>150954708.05852166</v>
      </c>
    </row>
    <row r="9034" spans="1:2" x14ac:dyDescent="0.25">
      <c r="A9034">
        <f ca="1">27963.8909887266*((RANDBETWEEN(1620,2416)))</f>
        <v>62107801.885961816</v>
      </c>
      <c r="B9034">
        <v>166695960.36681902</v>
      </c>
    </row>
    <row r="9035" spans="1:2" x14ac:dyDescent="0.25">
      <c r="A9035">
        <f ca="1">25258.8434757083*((RANDBETWEEN(1620,2416)))</f>
        <v>45895318.59536206</v>
      </c>
      <c r="B9035">
        <v>195836220.70625272</v>
      </c>
    </row>
    <row r="9036" spans="1:2" x14ac:dyDescent="0.25">
      <c r="A9036">
        <f ca="1">25469.8117338062*((RANDBETWEEN(1620,2416)))</f>
        <v>58173050.000013441</v>
      </c>
      <c r="B9036">
        <v>145064761.12646371</v>
      </c>
    </row>
    <row r="9037" spans="1:2" x14ac:dyDescent="0.25">
      <c r="A9037">
        <f ca="1">25864.4653445346*((RANDBETWEEN(1620,2416)))</f>
        <v>56927688.2233207</v>
      </c>
      <c r="B9037">
        <v>147500918.12328681</v>
      </c>
    </row>
    <row r="9038" spans="1:2" x14ac:dyDescent="0.25">
      <c r="A9038">
        <f ca="1">26609.1475763043*((RANDBETWEEN(1620,2416)))</f>
        <v>60030236.932142586</v>
      </c>
      <c r="B9038">
        <v>170152206.07153502</v>
      </c>
    </row>
    <row r="9039" spans="1:2" x14ac:dyDescent="0.25">
      <c r="A9039">
        <f ca="1">27489.8786874288*((RANDBETWEEN(1620,2416)))</f>
        <v>48052307.945625596</v>
      </c>
      <c r="B9039">
        <v>148867495.50392273</v>
      </c>
    </row>
    <row r="9040" spans="1:2" x14ac:dyDescent="0.25">
      <c r="A9040">
        <f ca="1">30272.4077584164*((RANDBETWEEN(1620,2416)))</f>
        <v>68688093.203846902</v>
      </c>
      <c r="B9040">
        <v>173633506.72867125</v>
      </c>
    </row>
    <row r="9041" spans="1:2" x14ac:dyDescent="0.25">
      <c r="A9041">
        <f ca="1">32234.229396699*((RANDBETWEEN(1620,2416)))</f>
        <v>71817863.095845327</v>
      </c>
      <c r="B9041">
        <v>154499928.04893309</v>
      </c>
    </row>
    <row r="9042" spans="1:2" x14ac:dyDescent="0.25">
      <c r="A9042">
        <f ca="1">27012.6737053162*((RANDBETWEEN(1620,2416)))</f>
        <v>61642921.395531669</v>
      </c>
      <c r="B9042">
        <v>188719275.79322439</v>
      </c>
    </row>
    <row r="9043" spans="1:2" x14ac:dyDescent="0.25">
      <c r="A9043">
        <f ca="1">29291.923617982*((RANDBETWEEN(1620,2416)))</f>
        <v>56621288.353559144</v>
      </c>
      <c r="B9043">
        <v>163997329.42895746</v>
      </c>
    </row>
    <row r="9044" spans="1:2" x14ac:dyDescent="0.25">
      <c r="A9044">
        <f ca="1">28178.6670207573*((RANDBETWEEN(1620,2416)))</f>
        <v>48636379.277827136</v>
      </c>
      <c r="B9044">
        <v>197076025.40771282</v>
      </c>
    </row>
    <row r="9045" spans="1:2" x14ac:dyDescent="0.25">
      <c r="A9045">
        <f ca="1">28985.7084700126*((RANDBETWEEN(1620,2416)))</f>
        <v>61362744.831016667</v>
      </c>
      <c r="B9045">
        <v>160346712.39223912</v>
      </c>
    </row>
    <row r="9046" spans="1:2" x14ac:dyDescent="0.25">
      <c r="A9046">
        <f ca="1">28209.3298787901*((RANDBETWEEN(1620,2416)))</f>
        <v>57039265.014913499</v>
      </c>
      <c r="B9046">
        <v>202297173.4129172</v>
      </c>
    </row>
    <row r="9047" spans="1:2" x14ac:dyDescent="0.25">
      <c r="A9047">
        <f ca="1">32474.4361202506*((RANDBETWEEN(1620,2416)))</f>
        <v>54329731.629179239</v>
      </c>
      <c r="B9047">
        <v>197157826.32170045</v>
      </c>
    </row>
    <row r="9048" spans="1:2" x14ac:dyDescent="0.25">
      <c r="A9048">
        <f ca="1">27528.3137925338*((RANDBETWEEN(1620,2416)))</f>
        <v>61663422.895275749</v>
      </c>
      <c r="B9048">
        <v>151906206.51366124</v>
      </c>
    </row>
    <row r="9049" spans="1:2" x14ac:dyDescent="0.25">
      <c r="A9049">
        <f ca="1">25260.3771877683*((RANDBETWEEN(1620,2416)))</f>
        <v>43119463.85952048</v>
      </c>
      <c r="B9049">
        <v>148693156.74820182</v>
      </c>
    </row>
    <row r="9050" spans="1:2" x14ac:dyDescent="0.25">
      <c r="A9050">
        <f ca="1">26831.726607718*((RANDBETWEEN(1620,2416)))</f>
        <v>59915245.515034303</v>
      </c>
      <c r="B9050">
        <v>156518571.96397939</v>
      </c>
    </row>
    <row r="9051" spans="1:2" x14ac:dyDescent="0.25">
      <c r="A9051">
        <f ca="1">32306.4664680526*((RANDBETWEEN(1620,2416)))</f>
        <v>59056220.703600124</v>
      </c>
      <c r="B9051">
        <v>184228709.55097294</v>
      </c>
    </row>
    <row r="9052" spans="1:2" x14ac:dyDescent="0.25">
      <c r="A9052">
        <f ca="1">27860.0067448012*((RANDBETWEEN(1620,2416)))</f>
        <v>45216790.946812339</v>
      </c>
      <c r="B9052">
        <v>168772820.72028497</v>
      </c>
    </row>
    <row r="9053" spans="1:2" x14ac:dyDescent="0.25">
      <c r="A9053">
        <f ca="1">28910.8948950257*((RANDBETWEEN(1620,2416)))</f>
        <v>57359215.471730903</v>
      </c>
      <c r="B9053">
        <v>174308518.95190576</v>
      </c>
    </row>
    <row r="9054" spans="1:2" x14ac:dyDescent="0.25">
      <c r="A9054">
        <f ca="1">29747.6339804029*((RANDBETWEEN(1620,2416)))</f>
        <v>65950504.53455323</v>
      </c>
      <c r="B9054">
        <v>156164281.29509306</v>
      </c>
    </row>
    <row r="9055" spans="1:2" x14ac:dyDescent="0.25">
      <c r="A9055">
        <f ca="1">28029.0658901718*((RANDBETWEEN(1620,2416)))</f>
        <v>47088830.695488572</v>
      </c>
      <c r="B9055">
        <v>173300382.91213673</v>
      </c>
    </row>
    <row r="9056" spans="1:2" x14ac:dyDescent="0.25">
      <c r="A9056">
        <f ca="1">27410.2090876151*((RANDBETWEEN(1620,2416)))</f>
        <v>46323253.358069539</v>
      </c>
      <c r="B9056">
        <v>201320873.67073062</v>
      </c>
    </row>
    <row r="9057" spans="1:2" x14ac:dyDescent="0.25">
      <c r="A9057">
        <f ca="1">28816.2147925571*((RANDBETWEEN(1620,2416)))</f>
        <v>64087261.698646985</v>
      </c>
      <c r="B9057">
        <v>194088769.39727601</v>
      </c>
    </row>
    <row r="9058" spans="1:2" x14ac:dyDescent="0.25">
      <c r="A9058">
        <f ca="1">29678.398135883*((RANDBETWEEN(1620,2416)))</f>
        <v>62146565.696539037</v>
      </c>
      <c r="B9058">
        <v>147141407.70629886</v>
      </c>
    </row>
    <row r="9059" spans="1:2" x14ac:dyDescent="0.25">
      <c r="A9059">
        <f ca="1">26248.8941021588*((RANDBETWEEN(1620,2416)))</f>
        <v>44150639.879831143</v>
      </c>
      <c r="B9059">
        <v>192207206.76001102</v>
      </c>
    </row>
    <row r="9060" spans="1:2" x14ac:dyDescent="0.25">
      <c r="A9060">
        <f ca="1">27911.3818276342*((RANDBETWEEN(1620,2416)))</f>
        <v>52110549.872192971</v>
      </c>
      <c r="B9060">
        <v>170801272.07051486</v>
      </c>
    </row>
    <row r="9061" spans="1:2" x14ac:dyDescent="0.25">
      <c r="A9061">
        <f ca="1">26549.7355824673*((RANDBETWEEN(1620,2416)))</f>
        <v>49860403.423873551</v>
      </c>
      <c r="B9061">
        <v>159190675.75893316</v>
      </c>
    </row>
    <row r="9062" spans="1:2" x14ac:dyDescent="0.25">
      <c r="A9062">
        <f ca="1">26775.5305225794*((RANDBETWEEN(1620,2416)))</f>
        <v>55104041.815468334</v>
      </c>
      <c r="B9062">
        <v>193778077.71111459</v>
      </c>
    </row>
    <row r="9063" spans="1:2" x14ac:dyDescent="0.25">
      <c r="A9063">
        <f ca="1">26710.5715738587*((RANDBETWEEN(1620,2416)))</f>
        <v>61033656.046267159</v>
      </c>
      <c r="B9063">
        <v>146458765.19184986</v>
      </c>
    </row>
    <row r="9064" spans="1:2" x14ac:dyDescent="0.25">
      <c r="A9064">
        <f ca="1">26178.5383994637*((RANDBETWEEN(1620,2416)))</f>
        <v>55079644.792471625</v>
      </c>
      <c r="B9064">
        <v>169415886.81136826</v>
      </c>
    </row>
    <row r="9065" spans="1:2" x14ac:dyDescent="0.25">
      <c r="A9065">
        <f ca="1">30586.1590011773*((RANDBETWEEN(1620,2416)))</f>
        <v>63710969.199452318</v>
      </c>
      <c r="B9065">
        <v>160584947.36851242</v>
      </c>
    </row>
    <row r="9066" spans="1:2" x14ac:dyDescent="0.25">
      <c r="A9066">
        <f ca="1">27256.9339420243*((RANDBETWEEN(1620,2416)))</f>
        <v>63372371.415206507</v>
      </c>
      <c r="B9066">
        <v>154552798.23167455</v>
      </c>
    </row>
    <row r="9067" spans="1:2" x14ac:dyDescent="0.25">
      <c r="A9067">
        <f ca="1">25937.843277162*((RANDBETWEEN(1620,2416)))</f>
        <v>57711701.291685432</v>
      </c>
      <c r="B9067">
        <v>152659639.03514054</v>
      </c>
    </row>
    <row r="9068" spans="1:2" x14ac:dyDescent="0.25">
      <c r="A9068">
        <f ca="1">26483.765049874*((RANDBETWEEN(1620,2416)))</f>
        <v>63455101.059498101</v>
      </c>
      <c r="B9068">
        <v>184403716.79053819</v>
      </c>
    </row>
    <row r="9069" spans="1:2" x14ac:dyDescent="0.25">
      <c r="A9069">
        <f ca="1">26724.4823453249*((RANDBETWEEN(1620,2416)))</f>
        <v>50001506.468102828</v>
      </c>
      <c r="B9069">
        <v>150165699.81203204</v>
      </c>
    </row>
    <row r="9070" spans="1:2" x14ac:dyDescent="0.25">
      <c r="A9070">
        <f ca="1">27202.4969570472*((RANDBETWEEN(1620,2416)))</f>
        <v>60634365.717258163</v>
      </c>
      <c r="B9070">
        <v>144666887.60511008</v>
      </c>
    </row>
    <row r="9071" spans="1:2" x14ac:dyDescent="0.25">
      <c r="A9071">
        <f ca="1">26941.4303736592*((RANDBETWEEN(1620,2416)))</f>
        <v>59109498.239808306</v>
      </c>
      <c r="B9071">
        <v>147493507.45424598</v>
      </c>
    </row>
    <row r="9072" spans="1:2" x14ac:dyDescent="0.25">
      <c r="A9072">
        <f ca="1">28077.770347143*((RANDBETWEEN(1620,2416)))</f>
        <v>48462231.619168736</v>
      </c>
      <c r="B9072">
        <v>181011228.58835059</v>
      </c>
    </row>
    <row r="9073" spans="1:2" x14ac:dyDescent="0.25">
      <c r="A9073">
        <f ca="1">28667.9846858214*((RANDBETWEEN(1620,2416)))</f>
        <v>46700147.053203136</v>
      </c>
      <c r="B9073">
        <v>152695839.97252741</v>
      </c>
    </row>
    <row r="9074" spans="1:2" x14ac:dyDescent="0.25">
      <c r="A9074">
        <f ca="1">30136.5673180372*((RANDBETWEEN(1620,2416)))</f>
        <v>49122604.72840064</v>
      </c>
      <c r="B9074">
        <v>189671081.02170479</v>
      </c>
    </row>
    <row r="9075" spans="1:2" x14ac:dyDescent="0.25">
      <c r="A9075">
        <f ca="1">26045.5211642744*((RANDBETWEEN(1620,2416)))</f>
        <v>61519520.990016095</v>
      </c>
      <c r="B9075">
        <v>147342314.70273066</v>
      </c>
    </row>
    <row r="9076" spans="1:2" x14ac:dyDescent="0.25">
      <c r="A9076">
        <f ca="1">26601.0166734295*((RANDBETWEEN(1620,2416)))</f>
        <v>55117306.547346026</v>
      </c>
      <c r="B9076">
        <v>158040879.03724182</v>
      </c>
    </row>
    <row r="9077" spans="1:2" x14ac:dyDescent="0.25">
      <c r="A9077">
        <f ca="1">28583.084131518*((RANDBETWEEN(1620,2416)))</f>
        <v>67941990.980618387</v>
      </c>
      <c r="B9077">
        <v>150521708.14734724</v>
      </c>
    </row>
    <row r="9078" spans="1:2" x14ac:dyDescent="0.25">
      <c r="A9078">
        <f ca="1">29167.8757812839*((RANDBETWEEN(1620,2416)))</f>
        <v>65773559.886795133</v>
      </c>
      <c r="B9078">
        <v>151903880.25747627</v>
      </c>
    </row>
    <row r="9079" spans="1:2" x14ac:dyDescent="0.25">
      <c r="A9079">
        <f ca="1">26186.311294932*((RANDBETWEEN(1620,2416)))</f>
        <v>44176307.154550306</v>
      </c>
      <c r="B9079">
        <v>146537224.32619318</v>
      </c>
    </row>
    <row r="9080" spans="1:2" x14ac:dyDescent="0.25">
      <c r="A9080">
        <f ca="1">26952.2101864715*((RANDBETWEEN(1620,2416)))</f>
        <v>55952788.347114876</v>
      </c>
      <c r="B9080">
        <v>161414417.71895525</v>
      </c>
    </row>
    <row r="9081" spans="1:2" x14ac:dyDescent="0.25">
      <c r="A9081">
        <f ca="1">29400.3182412305*((RANDBETWEEN(1620,2416)))</f>
        <v>62240473.716685019</v>
      </c>
      <c r="B9081">
        <v>158863765.23428193</v>
      </c>
    </row>
    <row r="9082" spans="1:2" x14ac:dyDescent="0.25">
      <c r="A9082">
        <f ca="1">27378.5172369417*((RANDBETWEEN(1620,2416)))</f>
        <v>44681740.130688936</v>
      </c>
      <c r="B9082">
        <v>147086036.45912755</v>
      </c>
    </row>
    <row r="9083" spans="1:2" x14ac:dyDescent="0.25">
      <c r="A9083">
        <f ca="1">26240.9759940714*((RANDBETWEEN(1620,2416)))</f>
        <v>44714623.093897738</v>
      </c>
      <c r="B9083">
        <v>153250484.19912171</v>
      </c>
    </row>
    <row r="9084" spans="1:2" x14ac:dyDescent="0.25">
      <c r="A9084">
        <f ca="1">25588.2929904996*((RANDBETWEEN(1620,2416)))</f>
        <v>47517460.083357811</v>
      </c>
      <c r="B9084">
        <v>154670418.5879283</v>
      </c>
    </row>
    <row r="9085" spans="1:2" x14ac:dyDescent="0.25">
      <c r="A9085">
        <f ca="1">27713.7146831063*((RANDBETWEEN(1620,2416)))</f>
        <v>50993235.016915627</v>
      </c>
      <c r="B9085">
        <v>146056709.80448616</v>
      </c>
    </row>
    <row r="9086" spans="1:2" x14ac:dyDescent="0.25">
      <c r="A9086">
        <f ca="1">26911.2455829972*((RANDBETWEEN(1620,2416)))</f>
        <v>55894657.075885251</v>
      </c>
      <c r="B9086">
        <v>163591111.1014092</v>
      </c>
    </row>
    <row r="9087" spans="1:2" x14ac:dyDescent="0.25">
      <c r="A9087">
        <f ca="1">25994.9716967704*((RANDBETWEEN(1620,2416)))</f>
        <v>56487073.497082017</v>
      </c>
      <c r="B9087">
        <v>149499356.78205657</v>
      </c>
    </row>
    <row r="9088" spans="1:2" x14ac:dyDescent="0.25">
      <c r="A9088">
        <f ca="1">26881.8698402693*((RANDBETWEEN(1620,2416)))</f>
        <v>59516459.826356232</v>
      </c>
      <c r="B9088">
        <v>144170310.69079095</v>
      </c>
    </row>
    <row r="9089" spans="1:2" x14ac:dyDescent="0.25">
      <c r="A9089">
        <f ca="1">29484.9925790221*((RANDBETWEEN(1620,2416)))</f>
        <v>70498617.256441921</v>
      </c>
      <c r="B9089">
        <v>161651694.27704293</v>
      </c>
    </row>
    <row r="9090" spans="1:2" x14ac:dyDescent="0.25">
      <c r="A9090">
        <f ca="1">27509.3635229316*((RANDBETWEEN(1620,2416)))</f>
        <v>46518333.717277415</v>
      </c>
      <c r="B9090">
        <v>160511789.2505824</v>
      </c>
    </row>
    <row r="9091" spans="1:2" x14ac:dyDescent="0.25">
      <c r="A9091">
        <f ca="1">30761.3853794041*((RANDBETWEEN(1620,2416)))</f>
        <v>65490989.472751357</v>
      </c>
      <c r="B9091">
        <v>197515771.91111305</v>
      </c>
    </row>
    <row r="9092" spans="1:2" x14ac:dyDescent="0.25">
      <c r="A9092">
        <f ca="1">28523.3969967197*((RANDBETWEEN(1620,2416)))</f>
        <v>58501487.240272187</v>
      </c>
      <c r="B9092">
        <v>173617495.08230621</v>
      </c>
    </row>
    <row r="9093" spans="1:2" x14ac:dyDescent="0.25">
      <c r="A9093">
        <f ca="1">26494.4662355825*((RANDBETWEEN(1620,2416)))</f>
        <v>58579264.846872896</v>
      </c>
      <c r="B9093">
        <v>177182517.98945582</v>
      </c>
    </row>
    <row r="9094" spans="1:2" x14ac:dyDescent="0.25">
      <c r="A9094">
        <f ca="1">26938.1244766713*((RANDBETWEEN(1620,2416)))</f>
        <v>45363801.618714429</v>
      </c>
      <c r="B9094">
        <v>162640595.37005001</v>
      </c>
    </row>
    <row r="9095" spans="1:2" x14ac:dyDescent="0.25">
      <c r="A9095">
        <f ca="1">30803.176446172*((RANDBETWEEN(1620,2416)))</f>
        <v>51995761.841138303</v>
      </c>
      <c r="B9095">
        <v>189997037.25354955</v>
      </c>
    </row>
    <row r="9096" spans="1:2" x14ac:dyDescent="0.25">
      <c r="A9096">
        <f ca="1">29061.9344096414*((RANDBETWEEN(1620,2416)))</f>
        <v>57135763.049354956</v>
      </c>
      <c r="B9096">
        <v>169759122.62873894</v>
      </c>
    </row>
    <row r="9097" spans="1:2" x14ac:dyDescent="0.25">
      <c r="A9097">
        <f ca="1">26408.7586931914*((RANDBETWEEN(1620,2416)))</f>
        <v>48063940.82160832</v>
      </c>
      <c r="B9097">
        <v>196695278.62493846</v>
      </c>
    </row>
    <row r="9098" spans="1:2" x14ac:dyDescent="0.25">
      <c r="A9098">
        <f ca="1">26345.1475863942*((RANDBETWEEN(1620,2416)))</f>
        <v>51083241.170018345</v>
      </c>
      <c r="B9098">
        <v>150794564.06239656</v>
      </c>
    </row>
    <row r="9099" spans="1:2" x14ac:dyDescent="0.25">
      <c r="A9099">
        <f ca="1">25505.9650452821*((RANDBETWEEN(1620,2416)))</f>
        <v>46089278.836824752</v>
      </c>
      <c r="B9099">
        <v>162049413.95823923</v>
      </c>
    </row>
    <row r="9100" spans="1:2" x14ac:dyDescent="0.25">
      <c r="A9100">
        <f ca="1">25172.9493650453*((RANDBETWEEN(1620,2416)))</f>
        <v>44077834.338194236</v>
      </c>
      <c r="B9100">
        <v>149630132.48773515</v>
      </c>
    </row>
    <row r="9101" spans="1:2" x14ac:dyDescent="0.25">
      <c r="A9101">
        <f ca="1">29628.5094891917*((RANDBETWEEN(1620,2416)))</f>
        <v>67197459.521486744</v>
      </c>
      <c r="B9101">
        <v>189670651.9694328</v>
      </c>
    </row>
    <row r="9102" spans="1:2" x14ac:dyDescent="0.25">
      <c r="A9102">
        <f ca="1">30675.4248318781*((RANDBETWEEN(1620,2416)))</f>
        <v>72946160.250206038</v>
      </c>
      <c r="B9102">
        <v>157660159.60685605</v>
      </c>
    </row>
    <row r="9103" spans="1:2" x14ac:dyDescent="0.25">
      <c r="A9103">
        <f ca="1">28083.6777112202*((RANDBETWEEN(1620,2416)))</f>
        <v>59228476.2929634</v>
      </c>
      <c r="B9103">
        <v>186051818.17087853</v>
      </c>
    </row>
    <row r="9104" spans="1:2" x14ac:dyDescent="0.25">
      <c r="A9104">
        <f ca="1">28079.2859524207*((RANDBETWEEN(1620,2416)))</f>
        <v>46808169.682685226</v>
      </c>
      <c r="B9104">
        <v>166258201.48325503</v>
      </c>
    </row>
    <row r="9105" spans="1:2" x14ac:dyDescent="0.25">
      <c r="A9105">
        <f ca="1">26977.677651959*((RANDBETWEEN(1620,2416)))</f>
        <v>50124525.077339895</v>
      </c>
      <c r="B9105">
        <v>167139332.41331026</v>
      </c>
    </row>
    <row r="9106" spans="1:2" x14ac:dyDescent="0.25">
      <c r="A9106">
        <f ca="1">27924.3228067301*((RANDBETWEEN(1620,2416)))</f>
        <v>57105240.139763109</v>
      </c>
      <c r="B9106">
        <v>145815260.68627611</v>
      </c>
    </row>
    <row r="9107" spans="1:2" x14ac:dyDescent="0.25">
      <c r="A9107">
        <f ca="1">30769.6689865956*((RANDBETWEEN(1620,2416)))</f>
        <v>51969970.918359965</v>
      </c>
      <c r="B9107">
        <v>179939732.4207412</v>
      </c>
    </row>
    <row r="9108" spans="1:2" x14ac:dyDescent="0.25">
      <c r="A9108">
        <f ca="1">26081.5648768325*((RANDBETWEEN(1620,2416)))</f>
        <v>61187351.20104897</v>
      </c>
      <c r="B9108">
        <v>152235445.72224578</v>
      </c>
    </row>
    <row r="9109" spans="1:2" x14ac:dyDescent="0.25">
      <c r="A9109">
        <f ca="1">27369.2921078361*((RANDBETWEEN(1620,2416)))</f>
        <v>57366036.258024439</v>
      </c>
      <c r="B9109">
        <v>158436494.7518214</v>
      </c>
    </row>
    <row r="9110" spans="1:2" x14ac:dyDescent="0.25">
      <c r="A9110">
        <f ca="1">29482.7315918074*((RANDBETWEEN(1620,2416)))</f>
        <v>49678402.73219543</v>
      </c>
      <c r="B9110">
        <v>165555105.15578124</v>
      </c>
    </row>
    <row r="9111" spans="1:2" x14ac:dyDescent="0.25">
      <c r="A9111">
        <f ca="1">25976.2516557354*((RANDBETWEEN(1620,2416)))</f>
        <v>56108703.576388456</v>
      </c>
      <c r="B9111">
        <v>146306426.2829586</v>
      </c>
    </row>
    <row r="9112" spans="1:2" x14ac:dyDescent="0.25">
      <c r="A9112">
        <f ca="1">27298.0745447248*((RANDBETWEEN(1620,2416)))</f>
        <v>51129293.622269459</v>
      </c>
      <c r="B9112">
        <v>143195830.04511383</v>
      </c>
    </row>
    <row r="9113" spans="1:2" x14ac:dyDescent="0.25">
      <c r="A9113">
        <f ca="1">27590.595613257*((RANDBETWEEN(1620,2416)))</f>
        <v>56809036.367696248</v>
      </c>
      <c r="B9113">
        <v>179083482.42249352</v>
      </c>
    </row>
    <row r="9114" spans="1:2" x14ac:dyDescent="0.25">
      <c r="A9114">
        <f ca="1">27036.9729338367*((RANDBETWEEN(1620,2416)))</f>
        <v>45124707.826573491</v>
      </c>
      <c r="B9114">
        <v>156230411.53212842</v>
      </c>
    </row>
    <row r="9115" spans="1:2" x14ac:dyDescent="0.25">
      <c r="A9115">
        <f ca="1">29541.8833769236*((RANDBETWEEN(1620,2416)))</f>
        <v>57134002.450970158</v>
      </c>
      <c r="B9115">
        <v>144205736.29502583</v>
      </c>
    </row>
    <row r="9116" spans="1:2" x14ac:dyDescent="0.25">
      <c r="A9116">
        <f ca="1">27131.0418703711*((RANDBETWEEN(1620,2416)))</f>
        <v>57436415.639575705</v>
      </c>
      <c r="B9116">
        <v>173891298.72894001</v>
      </c>
    </row>
    <row r="9117" spans="1:2" x14ac:dyDescent="0.25">
      <c r="A9117">
        <f ca="1">30100.8962571141*((RANDBETWEEN(1620,2416)))</f>
        <v>52676568.44994963</v>
      </c>
      <c r="B9117">
        <v>174939890.12251937</v>
      </c>
    </row>
    <row r="9118" spans="1:2" x14ac:dyDescent="0.25">
      <c r="A9118">
        <f ca="1">28593.8821745108*((RANDBETWEEN(1620,2416)))</f>
        <v>67824688.517939687</v>
      </c>
      <c r="B9118">
        <v>171807768.78636628</v>
      </c>
    </row>
    <row r="9119" spans="1:2" x14ac:dyDescent="0.25">
      <c r="A9119">
        <f ca="1">27446.0981787538*((RANDBETWEEN(1620,2416)))</f>
        <v>61534152.116766006</v>
      </c>
      <c r="B9119">
        <v>195405053.05902395</v>
      </c>
    </row>
    <row r="9120" spans="1:2" x14ac:dyDescent="0.25">
      <c r="A9120">
        <f ca="1">31657.2802395481*((RANDBETWEEN(1620,2416)))</f>
        <v>75787528.893478155</v>
      </c>
      <c r="B9120">
        <v>158088570.20696467</v>
      </c>
    </row>
    <row r="9121" spans="1:2" x14ac:dyDescent="0.25">
      <c r="A9121">
        <f ca="1">27297.6026630463*((RANDBETWEEN(1620,2416)))</f>
        <v>54540610.120766476</v>
      </c>
      <c r="B9121">
        <v>162944581.10002577</v>
      </c>
    </row>
    <row r="9122" spans="1:2" x14ac:dyDescent="0.25">
      <c r="A9122">
        <f ca="1">29415.2419425886*((RANDBETWEEN(1620,2416)))</f>
        <v>64654701.789809816</v>
      </c>
      <c r="B9122">
        <v>151149071.85423964</v>
      </c>
    </row>
    <row r="9123" spans="1:2" x14ac:dyDescent="0.25">
      <c r="A9123">
        <f ca="1">28468.3241475868*((RANDBETWEEN(1620,2416)))</f>
        <v>62858059.717871606</v>
      </c>
      <c r="B9123">
        <v>203579958.64912441</v>
      </c>
    </row>
    <row r="9124" spans="1:2" x14ac:dyDescent="0.25">
      <c r="A9124">
        <f ca="1">26475.3230453336*((RANDBETWEEN(1620,2416)))</f>
        <v>48449841.172960423</v>
      </c>
      <c r="B9124">
        <v>191956563.26466534</v>
      </c>
    </row>
    <row r="9125" spans="1:2" x14ac:dyDescent="0.25">
      <c r="A9125">
        <f ca="1">28843.0019142719*((RANDBETWEEN(1620,2416)))</f>
        <v>62070140.119513132</v>
      </c>
      <c r="B9125">
        <v>177218695.02616164</v>
      </c>
    </row>
    <row r="9126" spans="1:2" x14ac:dyDescent="0.25">
      <c r="A9126">
        <f ca="1">26339.9360217327*((RANDBETWEEN(1620,2416)))</f>
        <v>48781561.512248896</v>
      </c>
      <c r="B9126">
        <v>146954109.04179481</v>
      </c>
    </row>
    <row r="9127" spans="1:2" x14ac:dyDescent="0.25">
      <c r="A9127">
        <f ca="1">25788.2498382885*((RANDBETWEEN(1620,2416)))</f>
        <v>44587883.970400855</v>
      </c>
      <c r="B9127">
        <v>152097319.56808031</v>
      </c>
    </row>
    <row r="9128" spans="1:2" x14ac:dyDescent="0.25">
      <c r="A9128">
        <f ca="1">26476.2662690927*((RANDBETWEEN(1620,2416)))</f>
        <v>48636901.136323281</v>
      </c>
      <c r="B9128">
        <v>151124375.6493969</v>
      </c>
    </row>
    <row r="9129" spans="1:2" x14ac:dyDescent="0.25">
      <c r="A9129">
        <f ca="1">26972.5856696771*((RANDBETWEEN(1620,2416)))</f>
        <v>43965314.6415736</v>
      </c>
      <c r="B9129">
        <v>184051549.45610341</v>
      </c>
    </row>
    <row r="9130" spans="1:2" x14ac:dyDescent="0.25">
      <c r="A9130">
        <f ca="1">26518.2568462487*((RANDBETWEEN(1620,2416)))</f>
        <v>53116068.46303618</v>
      </c>
      <c r="B9130">
        <v>148004387.9872542</v>
      </c>
    </row>
    <row r="9131" spans="1:2" x14ac:dyDescent="0.25">
      <c r="A9131">
        <f ca="1">29225.3457935405*((RANDBETWEEN(1620,2416)))</f>
        <v>63652803.138331115</v>
      </c>
      <c r="B9131">
        <v>201278253.14307088</v>
      </c>
    </row>
    <row r="9132" spans="1:2" x14ac:dyDescent="0.25">
      <c r="A9132">
        <f ca="1">27311.8291560706*((RANDBETWEEN(1620,2416)))</f>
        <v>52903013.075308815</v>
      </c>
      <c r="B9132">
        <v>170406605.6237002</v>
      </c>
    </row>
    <row r="9133" spans="1:2" x14ac:dyDescent="0.25">
      <c r="A9133">
        <f ca="1">27749.4010317552*((RANDBETWEEN(1620,2416)))</f>
        <v>60327197.843035772</v>
      </c>
      <c r="B9133">
        <v>149238636.22614971</v>
      </c>
    </row>
    <row r="9134" spans="1:2" x14ac:dyDescent="0.25">
      <c r="A9134">
        <f ca="1">28293.1305096586*((RANDBETWEEN(1620,2416)))</f>
        <v>63489784.863673896</v>
      </c>
      <c r="B9134">
        <v>159772951.22259182</v>
      </c>
    </row>
    <row r="9135" spans="1:2" x14ac:dyDescent="0.25">
      <c r="A9135">
        <f ca="1">27950.2960548469*((RANDBETWEEN(1620,2416)))</f>
        <v>46537242.931320041</v>
      </c>
      <c r="B9135">
        <v>188747320.29252985</v>
      </c>
    </row>
    <row r="9136" spans="1:2" x14ac:dyDescent="0.25">
      <c r="A9136">
        <f ca="1">28400.3235411454*((RANDBETWEEN(1620,2416)))</f>
        <v>47485340.960795149</v>
      </c>
      <c r="B9136">
        <v>200861929.13709465</v>
      </c>
    </row>
    <row r="9137" spans="1:2" x14ac:dyDescent="0.25">
      <c r="A9137">
        <f ca="1">32532.4789914153*((RANDBETWEEN(1620,2416)))</f>
        <v>65910802.436607338</v>
      </c>
      <c r="B9137">
        <v>159057000.28969812</v>
      </c>
    </row>
    <row r="9138" spans="1:2" x14ac:dyDescent="0.25">
      <c r="A9138">
        <f ca="1">26272.2889682*((RANDBETWEEN(1620,2416)))</f>
        <v>45319698.470145002</v>
      </c>
      <c r="B9138">
        <v>148128342.59680748</v>
      </c>
    </row>
    <row r="9139" spans="1:2" x14ac:dyDescent="0.25">
      <c r="A9139">
        <f ca="1">26450.3492130358*((RANDBETWEEN(1620,2416)))</f>
        <v>57767562.681270227</v>
      </c>
      <c r="B9139">
        <v>177505252.23666349</v>
      </c>
    </row>
    <row r="9140" spans="1:2" x14ac:dyDescent="0.25">
      <c r="A9140">
        <f ca="1">27723.7002832543*((RANDBETWEEN(1620,2416)))</f>
        <v>55863256.070757374</v>
      </c>
      <c r="B9140">
        <v>154630948.56772012</v>
      </c>
    </row>
    <row r="9141" spans="1:2" x14ac:dyDescent="0.25">
      <c r="A9141">
        <f ca="1">27229.32426892*((RANDBETWEEN(1620,2416)))</f>
        <v>57835084.747186154</v>
      </c>
      <c r="B9141">
        <v>161055261.09594512</v>
      </c>
    </row>
    <row r="9142" spans="1:2" x14ac:dyDescent="0.25">
      <c r="A9142">
        <f ca="1">27395.6648073859*((RANDBETWEEN(1620,2416)))</f>
        <v>59037657.659916595</v>
      </c>
      <c r="B9142">
        <v>187853663.52998322</v>
      </c>
    </row>
    <row r="9143" spans="1:2" x14ac:dyDescent="0.25">
      <c r="A9143">
        <f ca="1">30359.4301134075*((RANDBETWEEN(1620,2416)))</f>
        <v>63633365.517702192</v>
      </c>
      <c r="B9143">
        <v>180814667.17728668</v>
      </c>
    </row>
    <row r="9144" spans="1:2" x14ac:dyDescent="0.25">
      <c r="A9144">
        <f ca="1">27574.9561486813*((RANDBETWEEN(1620,2416)))</f>
        <v>61547302.123856679</v>
      </c>
      <c r="B9144">
        <v>159143889.80443934</v>
      </c>
    </row>
    <row r="9145" spans="1:2" x14ac:dyDescent="0.25">
      <c r="A9145">
        <f ca="1">27223.9036205964*((RANDBETWEEN(1620,2416)))</f>
        <v>47968518.17949079</v>
      </c>
      <c r="B9145">
        <v>155978664.02882445</v>
      </c>
    </row>
    <row r="9146" spans="1:2" x14ac:dyDescent="0.25">
      <c r="A9146">
        <f ca="1">28929.2087608319*((RANDBETWEEN(1620,2416)))</f>
        <v>52217221.813301578</v>
      </c>
      <c r="B9146">
        <v>151646537.85471109</v>
      </c>
    </row>
    <row r="9147" spans="1:2" x14ac:dyDescent="0.25">
      <c r="A9147">
        <f ca="1">31170.9301576107*((RANDBETWEEN(1620,2416)))</f>
        <v>58320810.324889675</v>
      </c>
      <c r="B9147">
        <v>157870863.92589593</v>
      </c>
    </row>
    <row r="9148" spans="1:2" x14ac:dyDescent="0.25">
      <c r="A9148">
        <f ca="1">27010.1193867121*((RANDBETWEEN(1620,2416)))</f>
        <v>62447396.02207844</v>
      </c>
      <c r="B9148">
        <v>159779624.53351083</v>
      </c>
    </row>
    <row r="9149" spans="1:2" x14ac:dyDescent="0.25">
      <c r="A9149">
        <f ca="1">33624.4608581192*((RANDBETWEEN(1620,2416)))</f>
        <v>69804380.741455495</v>
      </c>
      <c r="B9149">
        <v>197900063.33098844</v>
      </c>
    </row>
    <row r="9150" spans="1:2" x14ac:dyDescent="0.25">
      <c r="A9150">
        <f ca="1">27680.5576129563*((RANDBETWEEN(1620,2416)))</f>
        <v>49077628.64777144</v>
      </c>
      <c r="B9150">
        <v>147139430.9683857</v>
      </c>
    </row>
    <row r="9151" spans="1:2" x14ac:dyDescent="0.25">
      <c r="A9151">
        <f ca="1">27830.2985841024*((RANDBETWEEN(1620,2416)))</f>
        <v>46838392.517044388</v>
      </c>
      <c r="B9151">
        <v>152134802.53639352</v>
      </c>
    </row>
    <row r="9152" spans="1:2" x14ac:dyDescent="0.25">
      <c r="A9152">
        <f ca="1">31247.9721034413*((RANDBETWEEN(1620,2416)))</f>
        <v>60214842.243331395</v>
      </c>
      <c r="B9152">
        <v>166788526.40190953</v>
      </c>
    </row>
    <row r="9153" spans="1:2" x14ac:dyDescent="0.25">
      <c r="A9153">
        <f ca="1">24908.5957456095*((RANDBETWEEN(1620,2416)))</f>
        <v>43789311.320781559</v>
      </c>
      <c r="B9153">
        <v>164534687.07222104</v>
      </c>
    </row>
    <row r="9154" spans="1:2" x14ac:dyDescent="0.25">
      <c r="A9154">
        <f ca="1">26841.3924050224*((RANDBETWEEN(1620,2416)))</f>
        <v>49227113.670811132</v>
      </c>
      <c r="B9154">
        <v>191007032.7615287</v>
      </c>
    </row>
    <row r="9155" spans="1:2" x14ac:dyDescent="0.25">
      <c r="A9155">
        <f ca="1">27014.0045550187*((RANDBETWEEN(1620,2416)))</f>
        <v>62780546.585863389</v>
      </c>
      <c r="B9155">
        <v>183048457.84821871</v>
      </c>
    </row>
    <row r="9156" spans="1:2" x14ac:dyDescent="0.25">
      <c r="A9156">
        <f ca="1">26112.9345147843*((RANDBETWEEN(1620,2416)))</f>
        <v>47995573.638173476</v>
      </c>
      <c r="B9156">
        <v>171632553.20440727</v>
      </c>
    </row>
    <row r="9157" spans="1:2" x14ac:dyDescent="0.25">
      <c r="A9157">
        <f ca="1">29233.5362255805*((RANDBETWEEN(1620,2416)))</f>
        <v>49638544.511035725</v>
      </c>
      <c r="B9157">
        <v>155443712.55783993</v>
      </c>
    </row>
    <row r="9158" spans="1:2" x14ac:dyDescent="0.25">
      <c r="A9158">
        <f ca="1">26378.900736631*((RANDBETWEEN(1620,2416)))</f>
        <v>60829745.098671004</v>
      </c>
      <c r="B9158">
        <v>180017866.57997262</v>
      </c>
    </row>
    <row r="9159" spans="1:2" x14ac:dyDescent="0.25">
      <c r="A9159">
        <f ca="1">26047.2557414111*((RANDBETWEEN(1620,2416)))</f>
        <v>50193061.813699275</v>
      </c>
      <c r="B9159">
        <v>156821544.79053587</v>
      </c>
    </row>
    <row r="9160" spans="1:2" x14ac:dyDescent="0.25">
      <c r="A9160">
        <f ca="1">27767.1583292636*((RANDBETWEEN(1620,2416)))</f>
        <v>59810459.041233793</v>
      </c>
      <c r="B9160">
        <v>168928176.5249179</v>
      </c>
    </row>
    <row r="9161" spans="1:2" x14ac:dyDescent="0.25">
      <c r="A9161">
        <f ca="1">26456.8784830043*((RANDBETWEEN(1620,2416)))</f>
        <v>50241612.239225231</v>
      </c>
      <c r="B9161">
        <v>154595131.43948439</v>
      </c>
    </row>
    <row r="9162" spans="1:2" x14ac:dyDescent="0.25">
      <c r="A9162">
        <f ca="1">26312.8025778639*((RANDBETWEEN(1620,2416)))</f>
        <v>57888165.67130065</v>
      </c>
      <c r="B9162">
        <v>169622865.9167423</v>
      </c>
    </row>
    <row r="9163" spans="1:2" x14ac:dyDescent="0.25">
      <c r="A9163">
        <f ca="1">25924.3515852305*((RANDBETWEEN(1620,2416)))</f>
        <v>42593709.654533669</v>
      </c>
      <c r="B9163">
        <v>190552061.17742023</v>
      </c>
    </row>
    <row r="9164" spans="1:2" x14ac:dyDescent="0.25">
      <c r="A9164">
        <f ca="1">27544.1698926905*((RANDBETWEEN(1620,2416)))</f>
        <v>60211555.385421358</v>
      </c>
      <c r="B9164">
        <v>146056475.90919837</v>
      </c>
    </row>
    <row r="9165" spans="1:2" x14ac:dyDescent="0.25">
      <c r="A9165">
        <f ca="1">26390.817983327*((RANDBETWEEN(1620,2416)))</f>
        <v>43650412.944422871</v>
      </c>
      <c r="B9165">
        <v>165858136.28418869</v>
      </c>
    </row>
    <row r="9166" spans="1:2" x14ac:dyDescent="0.25">
      <c r="A9166">
        <f ca="1">26803.6559225277*((RANDBETWEEN(1620,2416)))</f>
        <v>52401147.328541629</v>
      </c>
      <c r="B9166">
        <v>187109976.5302451</v>
      </c>
    </row>
    <row r="9167" spans="1:2" x14ac:dyDescent="0.25">
      <c r="A9167">
        <f ca="1">26538.6239624665*((RANDBETWEEN(1620,2416)))</f>
        <v>56235344.176466584</v>
      </c>
      <c r="B9167">
        <v>159011930.41004524</v>
      </c>
    </row>
    <row r="9168" spans="1:2" x14ac:dyDescent="0.25">
      <c r="A9168">
        <f ca="1">30066.0415319353*((RANDBETWEEN(1620,2416)))</f>
        <v>53938478.508291982</v>
      </c>
      <c r="B9168">
        <v>169990971.47520274</v>
      </c>
    </row>
    <row r="9169" spans="1:2" x14ac:dyDescent="0.25">
      <c r="A9169">
        <f ca="1">29538.6181494619*((RANDBETWEEN(1620,2416)))</f>
        <v>57925230.191094838</v>
      </c>
      <c r="B9169">
        <v>145441086.49483633</v>
      </c>
    </row>
    <row r="9170" spans="1:2" x14ac:dyDescent="0.25">
      <c r="A9170">
        <f ca="1">26423.2497455073*((RANDBETWEEN(1620,2416)))</f>
        <v>55911596.461493388</v>
      </c>
      <c r="B9170">
        <v>150125491.6223374</v>
      </c>
    </row>
    <row r="9171" spans="1:2" x14ac:dyDescent="0.25">
      <c r="A9171">
        <f ca="1">27749.9178940115*((RANDBETWEEN(1620,2416)))</f>
        <v>55583085.541705012</v>
      </c>
      <c r="B9171">
        <v>155519109.39318299</v>
      </c>
    </row>
    <row r="9172" spans="1:2" x14ac:dyDescent="0.25">
      <c r="A9172">
        <f ca="1">24972.3111420764*((RANDBETWEEN(1620,2416)))</f>
        <v>46748166.457966954</v>
      </c>
      <c r="B9172">
        <v>146361088.12414721</v>
      </c>
    </row>
    <row r="9173" spans="1:2" x14ac:dyDescent="0.25">
      <c r="A9173">
        <f ca="1">26484.5600723195*((RANDBETWEEN(1620,2416)))</f>
        <v>56835865.915197648</v>
      </c>
      <c r="B9173">
        <v>144224808.91600978</v>
      </c>
    </row>
    <row r="9174" spans="1:2" x14ac:dyDescent="0.25">
      <c r="A9174">
        <f ca="1">31907.8237882906*((RANDBETWEEN(1620,2416)))</f>
        <v>73260363.41791527</v>
      </c>
      <c r="B9174">
        <v>144815925.05638152</v>
      </c>
    </row>
    <row r="9175" spans="1:2" x14ac:dyDescent="0.25">
      <c r="A9175">
        <f ca="1">27184.9563807172*((RANDBETWEEN(1620,2416)))</f>
        <v>49530990.525666662</v>
      </c>
      <c r="B9175">
        <v>173772108.98895675</v>
      </c>
    </row>
    <row r="9176" spans="1:2" x14ac:dyDescent="0.25">
      <c r="A9176">
        <f ca="1">33615.6872451527*((RANDBETWEEN(1620,2416)))</f>
        <v>73483892.317903832</v>
      </c>
      <c r="B9176">
        <v>152479793.45260584</v>
      </c>
    </row>
    <row r="9177" spans="1:2" x14ac:dyDescent="0.25">
      <c r="A9177">
        <f ca="1">26673.3376925996*((RANDBETWEEN(1620,2416)))</f>
        <v>56174049.180614688</v>
      </c>
      <c r="B9177">
        <v>165947653.79644027</v>
      </c>
    </row>
    <row r="9178" spans="1:2" x14ac:dyDescent="0.25">
      <c r="A9178">
        <f ca="1">27093.6982383722*((RANDBETWEEN(1620,2416)))</f>
        <v>47332690.822436184</v>
      </c>
      <c r="B9178">
        <v>199164373.61288902</v>
      </c>
    </row>
    <row r="9179" spans="1:2" x14ac:dyDescent="0.25">
      <c r="A9179">
        <f ca="1">27865.0279788257*((RANDBETWEEN(1620,2416)))</f>
        <v>45559320.745380066</v>
      </c>
      <c r="B9179">
        <v>151608240.18812865</v>
      </c>
    </row>
    <row r="9180" spans="1:2" x14ac:dyDescent="0.25">
      <c r="A9180">
        <f ca="1">25894.0626966168*((RANDBETWEEN(1620,2416)))</f>
        <v>56397268.553231381</v>
      </c>
      <c r="B9180">
        <v>149390259.12710127</v>
      </c>
    </row>
    <row r="9181" spans="1:2" x14ac:dyDescent="0.25">
      <c r="A9181">
        <f ca="1">29843.8565436357*((RANDBETWEEN(1620,2416)))</f>
        <v>53599566.352369703</v>
      </c>
      <c r="B9181">
        <v>189516996.90948072</v>
      </c>
    </row>
    <row r="9182" spans="1:2" x14ac:dyDescent="0.25">
      <c r="A9182">
        <f ca="1">25718.261238859*((RANDBETWEEN(1620,2416)))</f>
        <v>56631611.247967586</v>
      </c>
      <c r="B9182">
        <v>174753107.74830544</v>
      </c>
    </row>
    <row r="9183" spans="1:2" x14ac:dyDescent="0.25">
      <c r="A9183">
        <f ca="1">30736.0242032487*((RANDBETWEEN(1620,2416)))</f>
        <v>65283315.407700315</v>
      </c>
      <c r="B9183">
        <v>187048521.33315718</v>
      </c>
    </row>
    <row r="9184" spans="1:2" x14ac:dyDescent="0.25">
      <c r="A9184">
        <f ca="1">27180.8482645777*((RANDBETWEEN(1620,2416)))</f>
        <v>62597493.55332236</v>
      </c>
      <c r="B9184">
        <v>144314593.83225536</v>
      </c>
    </row>
    <row r="9185" spans="1:2" x14ac:dyDescent="0.25">
      <c r="A9185">
        <f ca="1">27072.075847385*((RANDBETWEEN(1620,2416)))</f>
        <v>59206629.878231056</v>
      </c>
      <c r="B9185">
        <v>155008355.30067629</v>
      </c>
    </row>
    <row r="9186" spans="1:2" x14ac:dyDescent="0.25">
      <c r="A9186">
        <f ca="1">29029.8848789753*((RANDBETWEEN(1620,2416)))</f>
        <v>56288946.780333102</v>
      </c>
      <c r="B9186">
        <v>160010807.77017772</v>
      </c>
    </row>
    <row r="9187" spans="1:2" x14ac:dyDescent="0.25">
      <c r="A9187">
        <f ca="1">28371.703382367*((RANDBETWEEN(1620,2416)))</f>
        <v>50217914.986789569</v>
      </c>
      <c r="B9187">
        <v>150217748.01223239</v>
      </c>
    </row>
    <row r="9188" spans="1:2" x14ac:dyDescent="0.25">
      <c r="A9188">
        <f ca="1">28190.8600800085*((RANDBETWEEN(1620,2416)))</f>
        <v>56325338.439857036</v>
      </c>
      <c r="B9188">
        <v>183509255.35766375</v>
      </c>
    </row>
    <row r="9189" spans="1:2" x14ac:dyDescent="0.25">
      <c r="A9189">
        <f ca="1">26965.4789738808*((RANDBETWEEN(1620,2416)))</f>
        <v>61265568.228657104</v>
      </c>
      <c r="B9189">
        <v>162724343.61252779</v>
      </c>
    </row>
    <row r="9190" spans="1:2" x14ac:dyDescent="0.25">
      <c r="A9190">
        <f ca="1">29310.5782253994*((RANDBETWEEN(1620,2416)))</f>
        <v>65098794.238612168</v>
      </c>
      <c r="B9190">
        <v>189319959.0616686</v>
      </c>
    </row>
    <row r="9191" spans="1:2" x14ac:dyDescent="0.25">
      <c r="A9191">
        <f ca="1">25064.1616580668*((RANDBETWEEN(1620,2416)))</f>
        <v>51431659.722352989</v>
      </c>
      <c r="B9191">
        <v>156447026.79550412</v>
      </c>
    </row>
    <row r="9192" spans="1:2" x14ac:dyDescent="0.25">
      <c r="A9192">
        <f ca="1">26203.448309742*((RANDBETWEEN(1620,2416)))</f>
        <v>61447086.286344983</v>
      </c>
      <c r="B9192">
        <v>199593725.50547662</v>
      </c>
    </row>
    <row r="9193" spans="1:2" x14ac:dyDescent="0.25">
      <c r="A9193">
        <f ca="1">28240.672867883*((RANDBETWEEN(1620,2416)))</f>
        <v>64981788.268998735</v>
      </c>
      <c r="B9193">
        <v>157653011.91227701</v>
      </c>
    </row>
    <row r="9194" spans="1:2" x14ac:dyDescent="0.25">
      <c r="A9194">
        <f ca="1">28352.3883232567*((RANDBETWEEN(1620,2416)))</f>
        <v>57498643.519564666</v>
      </c>
      <c r="B9194">
        <v>173403297.41517025</v>
      </c>
    </row>
    <row r="9195" spans="1:2" x14ac:dyDescent="0.25">
      <c r="A9195">
        <f ca="1">27075.364865359*((RANDBETWEEN(1620,2416)))</f>
        <v>61461078.244364999</v>
      </c>
      <c r="B9195">
        <v>167203769.00848755</v>
      </c>
    </row>
    <row r="9196" spans="1:2" x14ac:dyDescent="0.25">
      <c r="A9196">
        <f ca="1">28852.3413803431*((RANDBETWEEN(1620,2416)))</f>
        <v>47231282.839621708</v>
      </c>
      <c r="B9196">
        <v>183004493.18362293</v>
      </c>
    </row>
    <row r="9197" spans="1:2" x14ac:dyDescent="0.25">
      <c r="A9197">
        <f ca="1">27074.4976787649*((RANDBETWEEN(1620,2416)))</f>
        <v>46405689.021403015</v>
      </c>
      <c r="B9197">
        <v>157496961.00780714</v>
      </c>
    </row>
    <row r="9198" spans="1:2" x14ac:dyDescent="0.25">
      <c r="A9198">
        <f ca="1">33516.8595059041*((RANDBETWEEN(1620,2416)))</f>
        <v>66463932.400207736</v>
      </c>
      <c r="B9198">
        <v>200200487.37466961</v>
      </c>
    </row>
    <row r="9199" spans="1:2" x14ac:dyDescent="0.25">
      <c r="A9199">
        <f ca="1">32385.3395203077*((RANDBETWEEN(1620,2416)))</f>
        <v>68365451.727369487</v>
      </c>
      <c r="B9199">
        <v>159246657.85641164</v>
      </c>
    </row>
    <row r="9200" spans="1:2" x14ac:dyDescent="0.25">
      <c r="A9200">
        <f ca="1">27660.9392084388*((RANDBETWEEN(1620,2416)))</f>
        <v>62347756.975821011</v>
      </c>
      <c r="B9200">
        <v>165259312.4833658</v>
      </c>
    </row>
    <row r="9201" spans="1:2" x14ac:dyDescent="0.25">
      <c r="A9201">
        <f ca="1">26092.8865745366*((RANDBETWEEN(1620,2416)))</f>
        <v>49993970.676812038</v>
      </c>
      <c r="B9201">
        <v>157160093.05827054</v>
      </c>
    </row>
    <row r="9202" spans="1:2" x14ac:dyDescent="0.25">
      <c r="A9202">
        <f ca="1">33251.9056973611*((RANDBETWEEN(1620,2416)))</f>
        <v>59188392.141302824</v>
      </c>
      <c r="B9202">
        <v>179734009.41302741</v>
      </c>
    </row>
    <row r="9203" spans="1:2" x14ac:dyDescent="0.25">
      <c r="A9203">
        <f ca="1">27729.112643332*((RANDBETWEEN(1620,2416)))</f>
        <v>46141243.438504502</v>
      </c>
      <c r="B9203">
        <v>176230740.33941823</v>
      </c>
    </row>
    <row r="9204" spans="1:2" x14ac:dyDescent="0.25">
      <c r="A9204">
        <f ca="1">29823.9955610628*((RANDBETWEEN(1620,2416)))</f>
        <v>51655160.311760686</v>
      </c>
      <c r="B9204">
        <v>147526493.29493022</v>
      </c>
    </row>
    <row r="9205" spans="1:2" x14ac:dyDescent="0.25">
      <c r="A9205">
        <f ca="1">27308.4157980013*((RANDBETWEEN(1620,2416)))</f>
        <v>51476363.779232517</v>
      </c>
      <c r="B9205">
        <v>157575381.96224311</v>
      </c>
    </row>
    <row r="9206" spans="1:2" x14ac:dyDescent="0.25">
      <c r="A9206">
        <f ca="1">27510.7109479323*((RANDBETWEEN(1620,2416)))</f>
        <v>54526229.098801777</v>
      </c>
      <c r="B9206">
        <v>183386681.53844535</v>
      </c>
    </row>
    <row r="9207" spans="1:2" x14ac:dyDescent="0.25">
      <c r="A9207">
        <f ca="1">31539.987790406*((RANDBETWEEN(1620,2416)))</f>
        <v>70302632.784815028</v>
      </c>
      <c r="B9207">
        <v>203605450.54670566</v>
      </c>
    </row>
    <row r="9208" spans="1:2" x14ac:dyDescent="0.25">
      <c r="A9208">
        <f ca="1">25997.423548748*((RANDBETWEEN(1620,2416)))</f>
        <v>61223932.457301565</v>
      </c>
      <c r="B9208">
        <v>169779935.44549245</v>
      </c>
    </row>
    <row r="9209" spans="1:2" x14ac:dyDescent="0.25">
      <c r="A9209">
        <f ca="1">24976.6113639147*((RANDBETWEEN(1620,2416)))</f>
        <v>48030023.652807921</v>
      </c>
      <c r="B9209">
        <v>149519514.00839245</v>
      </c>
    </row>
    <row r="9210" spans="1:2" x14ac:dyDescent="0.25">
      <c r="A9210">
        <f ca="1">30316.0267957816*((RANDBETWEEN(1620,2416)))</f>
        <v>63997132.565894961</v>
      </c>
      <c r="B9210">
        <v>190291208.37329438</v>
      </c>
    </row>
    <row r="9211" spans="1:2" x14ac:dyDescent="0.25">
      <c r="A9211">
        <f ca="1">27805.9324437511*((RANDBETWEEN(1620,2416)))</f>
        <v>49160888.560551979</v>
      </c>
      <c r="B9211">
        <v>178316810.08312535</v>
      </c>
    </row>
    <row r="9212" spans="1:2" x14ac:dyDescent="0.25">
      <c r="A9212">
        <f ca="1">28591.133878753*((RANDBETWEEN(1620,2416)))</f>
        <v>46689321.624003649</v>
      </c>
      <c r="B9212">
        <v>151127092.20912737</v>
      </c>
    </row>
    <row r="9213" spans="1:2" x14ac:dyDescent="0.25">
      <c r="A9213">
        <f ca="1">26384.5306000175*((RANDBETWEEN(1620,2416)))</f>
        <v>49576532.997432843</v>
      </c>
      <c r="B9213">
        <v>144732202.63587576</v>
      </c>
    </row>
    <row r="9214" spans="1:2" x14ac:dyDescent="0.25">
      <c r="A9214">
        <f ca="1">27437.6085444311*((RANDBETWEEN(1620,2416)))</f>
        <v>50896763.849919632</v>
      </c>
      <c r="B9214">
        <v>200590055.24511796</v>
      </c>
    </row>
    <row r="9215" spans="1:2" x14ac:dyDescent="0.25">
      <c r="A9215">
        <f ca="1">31648.0693610182*((RANDBETWEEN(1620,2416)))</f>
        <v>74816035.969447121</v>
      </c>
      <c r="B9215">
        <v>176323286.00355595</v>
      </c>
    </row>
    <row r="9216" spans="1:2" x14ac:dyDescent="0.25">
      <c r="A9216">
        <f ca="1">29093.8027818412*((RANDBETWEEN(1620,2416)))</f>
        <v>59700483.308338165</v>
      </c>
      <c r="B9216">
        <v>200476814.69742155</v>
      </c>
    </row>
    <row r="9217" spans="1:2" x14ac:dyDescent="0.25">
      <c r="A9217">
        <f ca="1">28318.6342383355*((RANDBETWEEN(1620,2416)))</f>
        <v>68191271.245911986</v>
      </c>
      <c r="B9217">
        <v>150003960.34005511</v>
      </c>
    </row>
    <row r="9218" spans="1:2" x14ac:dyDescent="0.25">
      <c r="A9218">
        <f ca="1">26489.2175022311*((RANDBETWEEN(1620,2416)))</f>
        <v>44766777.578770645</v>
      </c>
      <c r="B9218">
        <v>143541481.45869109</v>
      </c>
    </row>
    <row r="9219" spans="1:2" x14ac:dyDescent="0.25">
      <c r="A9219">
        <f ca="1">29007.9193676902*((RANDBETWEEN(1620,2416)))</f>
        <v>58189886.251586489</v>
      </c>
      <c r="B9219">
        <v>175428742.13213795</v>
      </c>
    </row>
    <row r="9220" spans="1:2" x14ac:dyDescent="0.25">
      <c r="A9220">
        <f ca="1">26446.1683913444*((RANDBETWEEN(1620,2416)))</f>
        <v>52548536.593601294</v>
      </c>
      <c r="B9220">
        <v>153344936.7034224</v>
      </c>
    </row>
    <row r="9221" spans="1:2" x14ac:dyDescent="0.25">
      <c r="A9221">
        <f ca="1">26055.3841409072*((RANDBETWEEN(1620,2416)))</f>
        <v>49244676.026314527</v>
      </c>
      <c r="B9221">
        <v>182461678.24138379</v>
      </c>
    </row>
    <row r="9222" spans="1:2" x14ac:dyDescent="0.25">
      <c r="A9222">
        <f ca="1">33031.6239117464*((RANDBETWEEN(1620,2416)))</f>
        <v>69597631.582049638</v>
      </c>
      <c r="B9222">
        <v>202465620.21435189</v>
      </c>
    </row>
    <row r="9223" spans="1:2" x14ac:dyDescent="0.25">
      <c r="A9223">
        <f ca="1">25832.8762228376*((RANDBETWEEN(1620,2416)))</f>
        <v>52466571.608583167</v>
      </c>
      <c r="B9223">
        <v>148207635.20310625</v>
      </c>
    </row>
    <row r="9224" spans="1:2" x14ac:dyDescent="0.25">
      <c r="A9224">
        <f ca="1">26474.9550561949*((RANDBETWEEN(1620,2416)))</f>
        <v>61130671.224753931</v>
      </c>
      <c r="B9224">
        <v>147022670.32890415</v>
      </c>
    </row>
    <row r="9225" spans="1:2" x14ac:dyDescent="0.25">
      <c r="A9225">
        <f ca="1">27447.8003363592*((RANDBETWEEN(1620,2416)))</f>
        <v>61702655.15613538</v>
      </c>
      <c r="B9225">
        <v>157434196.07778254</v>
      </c>
    </row>
    <row r="9226" spans="1:2" x14ac:dyDescent="0.25">
      <c r="A9226">
        <f ca="1">30844.3285746383*((RANDBETWEEN(1620,2416)))</f>
        <v>69338050.635786831</v>
      </c>
      <c r="B9226">
        <v>188612952.30810219</v>
      </c>
    </row>
    <row r="9227" spans="1:2" x14ac:dyDescent="0.25">
      <c r="A9227">
        <f ca="1">27251.7353169403*((RANDBETWEEN(1620,2416)))</f>
        <v>54639729.310465291</v>
      </c>
      <c r="B9227">
        <v>165978238.16448444</v>
      </c>
    </row>
    <row r="9228" spans="1:2" x14ac:dyDescent="0.25">
      <c r="A9228">
        <f ca="1">24926.9792071936*((RANDBETWEEN(1620,2416)))</f>
        <v>58802743.949769661</v>
      </c>
      <c r="B9228">
        <v>150574368.09678751</v>
      </c>
    </row>
    <row r="9229" spans="1:2" x14ac:dyDescent="0.25">
      <c r="A9229">
        <f ca="1">28211.9213757209*((RANDBETWEEN(1620,2416)))</f>
        <v>64887419.164158151</v>
      </c>
      <c r="B9229">
        <v>165840817.50120559</v>
      </c>
    </row>
    <row r="9230" spans="1:2" x14ac:dyDescent="0.25">
      <c r="A9230">
        <f ca="1">30975.1115655725*((RANDBETWEEN(1620,2416)))</f>
        <v>53401092.339046977</v>
      </c>
      <c r="B9230">
        <v>197880196.40192783</v>
      </c>
    </row>
    <row r="9231" spans="1:2" x14ac:dyDescent="0.25">
      <c r="A9231">
        <f ca="1">27900.8275427113*((RANDBETWEEN(1620,2416)))</f>
        <v>58926547.77020631</v>
      </c>
      <c r="B9231">
        <v>171816764.73020279</v>
      </c>
    </row>
    <row r="9232" spans="1:2" x14ac:dyDescent="0.25">
      <c r="A9232">
        <f ca="1">27609.9656996889*((RANDBETWEEN(1620,2416)))</f>
        <v>56545209.75296291</v>
      </c>
      <c r="B9232">
        <v>159030890.25512826</v>
      </c>
    </row>
    <row r="9233" spans="1:2" x14ac:dyDescent="0.25">
      <c r="A9233">
        <f ca="1">26942.1836486605*((RANDBETWEEN(1620,2416)))</f>
        <v>58275943.232052602</v>
      </c>
      <c r="B9233">
        <v>174385765.89556515</v>
      </c>
    </row>
    <row r="9234" spans="1:2" x14ac:dyDescent="0.25">
      <c r="A9234">
        <f ca="1">26736.4915265659*((RANDBETWEEN(1620,2416)))</f>
        <v>44623204.357838437</v>
      </c>
      <c r="B9234">
        <v>149846361.72301039</v>
      </c>
    </row>
    <row r="9235" spans="1:2" x14ac:dyDescent="0.25">
      <c r="A9235">
        <f ca="1">25918.8157272614*((RANDBETWEEN(1620,2416)))</f>
        <v>52848465.26788605</v>
      </c>
      <c r="B9235">
        <v>161874116.66279149</v>
      </c>
    </row>
    <row r="9236" spans="1:2" x14ac:dyDescent="0.25">
      <c r="A9236">
        <f ca="1">29170.764682734*((RANDBETWEEN(1620,2416)))</f>
        <v>55132745.250367261</v>
      </c>
      <c r="B9236">
        <v>200150088.36210546</v>
      </c>
    </row>
    <row r="9237" spans="1:2" x14ac:dyDescent="0.25">
      <c r="A9237">
        <f ca="1">29176.7955961666*((RANDBETWEEN(1620,2416)))</f>
        <v>56515453.069774665</v>
      </c>
      <c r="B9237">
        <v>169192490.52324069</v>
      </c>
    </row>
    <row r="9238" spans="1:2" x14ac:dyDescent="0.25">
      <c r="A9238">
        <f ca="1">27427.7297853808*((RANDBETWEEN(1620,2416)))</f>
        <v>54005199.947414711</v>
      </c>
      <c r="B9238">
        <v>146053149.79877028</v>
      </c>
    </row>
    <row r="9239" spans="1:2" x14ac:dyDescent="0.25">
      <c r="A9239">
        <f ca="1">29611.3997985889*((RANDBETWEEN(1620,2416)))</f>
        <v>63723732.366563417</v>
      </c>
      <c r="B9239">
        <v>179230198.61177775</v>
      </c>
    </row>
    <row r="9240" spans="1:2" x14ac:dyDescent="0.25">
      <c r="A9240">
        <f ca="1">26423.2767589178*((RANDBETWEEN(1620,2416)))</f>
        <v>55066108.765584767</v>
      </c>
      <c r="B9240">
        <v>159452980.05589372</v>
      </c>
    </row>
    <row r="9241" spans="1:2" x14ac:dyDescent="0.25">
      <c r="A9241">
        <f ca="1">25918.8376870613*((RANDBETWEEN(1620,2416)))</f>
        <v>49686411.846096426</v>
      </c>
      <c r="B9241">
        <v>148074052.80020031</v>
      </c>
    </row>
    <row r="9242" spans="1:2" x14ac:dyDescent="0.25">
      <c r="A9242">
        <f ca="1">26231.457597076*((RANDBETWEEN(1620,2416)))</f>
        <v>59440482.914974287</v>
      </c>
      <c r="B9242">
        <v>194976218.0150142</v>
      </c>
    </row>
    <row r="9243" spans="1:2" x14ac:dyDescent="0.25">
      <c r="A9243">
        <f ca="1">28694.0067440804*((RANDBETWEEN(1620,2416)))</f>
        <v>47746827.222149879</v>
      </c>
      <c r="B9243">
        <v>169852270.73373318</v>
      </c>
    </row>
    <row r="9244" spans="1:2" x14ac:dyDescent="0.25">
      <c r="A9244">
        <f ca="1">28180.7030758132*((RANDBETWEEN(1620,2416)))</f>
        <v>63350220.514427982</v>
      </c>
      <c r="B9244">
        <v>154485464.96933159</v>
      </c>
    </row>
    <row r="9245" spans="1:2" x14ac:dyDescent="0.25">
      <c r="A9245">
        <f ca="1">27201.3992214861*((RANDBETWEEN(1620,2416)))</f>
        <v>55708465.605603613</v>
      </c>
      <c r="B9245">
        <v>167346014.2655735</v>
      </c>
    </row>
    <row r="9246" spans="1:2" x14ac:dyDescent="0.25">
      <c r="A9246">
        <f ca="1">31863.1781145593*((RANDBETWEEN(1620,2416)))</f>
        <v>61049849.267495655</v>
      </c>
      <c r="B9246">
        <v>202331631.04457122</v>
      </c>
    </row>
    <row r="9247" spans="1:2" x14ac:dyDescent="0.25">
      <c r="A9247">
        <f ca="1">33616.5896079936*((RANDBETWEEN(1620,2416)))</f>
        <v>79805783.729376838</v>
      </c>
      <c r="B9247">
        <v>170920853.47483784</v>
      </c>
    </row>
    <row r="9248" spans="1:2" x14ac:dyDescent="0.25">
      <c r="A9248">
        <f ca="1">26856.1268965697*((RANDBETWEEN(1620,2416)))</f>
        <v>46219394.388996489</v>
      </c>
      <c r="B9248">
        <v>195392023.29875717</v>
      </c>
    </row>
    <row r="9249" spans="1:2" x14ac:dyDescent="0.25">
      <c r="A9249">
        <f ca="1">25971.9686914762*((RANDBETWEEN(1620,2416)))</f>
        <v>60073163.583384424</v>
      </c>
      <c r="B9249">
        <v>163220717.26841086</v>
      </c>
    </row>
    <row r="9250" spans="1:2" x14ac:dyDescent="0.25">
      <c r="A9250">
        <f ca="1">26381.8461098923*((RANDBETWEEN(1620,2416)))</f>
        <v>52737310.373674735</v>
      </c>
      <c r="B9250">
        <v>153148900.47712904</v>
      </c>
    </row>
    <row r="9251" spans="1:2" x14ac:dyDescent="0.25">
      <c r="A9251">
        <f ca="1">28280.5665489227*((RANDBETWEEN(1620,2416)))</f>
        <v>58257967.090780847</v>
      </c>
      <c r="B9251">
        <v>200415850.47473389</v>
      </c>
    </row>
    <row r="9252" spans="1:2" x14ac:dyDescent="0.25">
      <c r="A9252">
        <f ca="1">32930.2256663731*((RANDBETWEEN(1620,2416)))</f>
        <v>65992172.235411711</v>
      </c>
      <c r="B9252">
        <v>188425502.81843427</v>
      </c>
    </row>
    <row r="9253" spans="1:2" x14ac:dyDescent="0.25">
      <c r="A9253">
        <f ca="1">26523.8583318781*((RANDBETWEEN(1620,2416)))</f>
        <v>60447873.138350144</v>
      </c>
      <c r="B9253">
        <v>149946891.44693109</v>
      </c>
    </row>
    <row r="9254" spans="1:2" x14ac:dyDescent="0.25">
      <c r="A9254">
        <f ca="1">28330.358245395*((RANDBETWEEN(1620,2416)))</f>
        <v>50909653.766974799</v>
      </c>
      <c r="B9254">
        <v>144277779.85127568</v>
      </c>
    </row>
    <row r="9255" spans="1:2" x14ac:dyDescent="0.25">
      <c r="A9255">
        <f ca="1">27179.3522517113*((RANDBETWEEN(1620,2416)))</f>
        <v>57593047.421376295</v>
      </c>
      <c r="B9255">
        <v>185799124.75324056</v>
      </c>
    </row>
    <row r="9256" spans="1:2" x14ac:dyDescent="0.25">
      <c r="A9256">
        <f ca="1">27665.994312937*((RANDBETWEEN(1620,2416)))</f>
        <v>45897884.565162532</v>
      </c>
      <c r="B9256">
        <v>175915605.95455432</v>
      </c>
    </row>
    <row r="9257" spans="1:2" x14ac:dyDescent="0.25">
      <c r="A9257">
        <f ca="1">26927.1339852554*((RANDBETWEEN(1620,2416)))</f>
        <v>61043812.7445741</v>
      </c>
      <c r="B9257">
        <v>149321781.36231235</v>
      </c>
    </row>
    <row r="9258" spans="1:2" x14ac:dyDescent="0.25">
      <c r="A9258">
        <f ca="1">26246.6276914415*((RANDBETWEEN(1620,2416)))</f>
        <v>44278060.915461771</v>
      </c>
      <c r="B9258">
        <v>151257640.9011786</v>
      </c>
    </row>
    <row r="9259" spans="1:2" x14ac:dyDescent="0.25">
      <c r="A9259">
        <f ca="1">30054.1932091274*((RANDBETWEEN(1620,2416)))</f>
        <v>57673996.768315546</v>
      </c>
      <c r="B9259">
        <v>193470010.0355261</v>
      </c>
    </row>
    <row r="9260" spans="1:2" x14ac:dyDescent="0.25">
      <c r="A9260">
        <f ca="1">27126.3447541284*((RANDBETWEEN(1620,2416)))</f>
        <v>52191087.306942955</v>
      </c>
      <c r="B9260">
        <v>179435874.75162828</v>
      </c>
    </row>
    <row r="9261" spans="1:2" x14ac:dyDescent="0.25">
      <c r="A9261">
        <f ca="1">26844.9068584266*((RANDBETWEEN(1620,2416)))</f>
        <v>48750350.854902692</v>
      </c>
      <c r="B9261">
        <v>173371869.12968534</v>
      </c>
    </row>
    <row r="9262" spans="1:2" x14ac:dyDescent="0.25">
      <c r="A9262">
        <f ca="1">26195.6452887473*((RANDBETWEEN(1620,2416)))</f>
        <v>56661180.759560376</v>
      </c>
      <c r="B9262">
        <v>162360780.73043519</v>
      </c>
    </row>
    <row r="9263" spans="1:2" x14ac:dyDescent="0.25">
      <c r="A9263">
        <f ca="1">30565.5452499522*((RANDBETWEEN(1620,2416)))</f>
        <v>70575843.982139558</v>
      </c>
      <c r="B9263">
        <v>180263163.17603239</v>
      </c>
    </row>
    <row r="9264" spans="1:2" x14ac:dyDescent="0.25">
      <c r="A9264">
        <f ca="1">27613.8397333262*((RANDBETWEEN(1620,2416)))</f>
        <v>49539228.481587254</v>
      </c>
      <c r="B9264">
        <v>180097219.56204861</v>
      </c>
    </row>
    <row r="9265" spans="1:2" x14ac:dyDescent="0.25">
      <c r="A9265">
        <f ca="1">27397.1430955091*((RANDBETWEEN(1620,2416)))</f>
        <v>55013463.335782208</v>
      </c>
      <c r="B9265">
        <v>154136143.40599439</v>
      </c>
    </row>
    <row r="9266" spans="1:2" x14ac:dyDescent="0.25">
      <c r="A9266">
        <f ca="1">26649.3644823579*((RANDBETWEEN(1620,2416)))</f>
        <v>51646468.366809577</v>
      </c>
      <c r="B9266">
        <v>162535761.79209197</v>
      </c>
    </row>
    <row r="9267" spans="1:2" x14ac:dyDescent="0.25">
      <c r="A9267">
        <f ca="1">32115.2551473541*((RANDBETWEEN(1620,2416)))</f>
        <v>63909357.743234761</v>
      </c>
      <c r="B9267">
        <v>202350391.8790434</v>
      </c>
    </row>
    <row r="9268" spans="1:2" x14ac:dyDescent="0.25">
      <c r="A9268">
        <f ca="1">32593.3611988526*((RANDBETWEEN(1620,2416)))</f>
        <v>58439896.629542775</v>
      </c>
      <c r="B9268">
        <v>188836630.14544275</v>
      </c>
    </row>
    <row r="9269" spans="1:2" x14ac:dyDescent="0.25">
      <c r="A9269">
        <f ca="1">27298.0568275196*((RANDBETWEEN(1620,2416)))</f>
        <v>63495280.180810526</v>
      </c>
      <c r="B9269">
        <v>183384586.54469928</v>
      </c>
    </row>
    <row r="9270" spans="1:2" x14ac:dyDescent="0.25">
      <c r="A9270">
        <f ca="1">27331.7231901892*((RANDBETWEEN(1620,2416)))</f>
        <v>45534650.834855214</v>
      </c>
      <c r="B9270">
        <v>181554915.28406581</v>
      </c>
    </row>
    <row r="9271" spans="1:2" x14ac:dyDescent="0.25">
      <c r="A9271">
        <f ca="1">26197.7519861283*((RANDBETWEEN(1620,2416)))</f>
        <v>49146982.725976728</v>
      </c>
      <c r="B9271">
        <v>156698784.82005584</v>
      </c>
    </row>
    <row r="9272" spans="1:2" x14ac:dyDescent="0.25">
      <c r="A9272">
        <f ca="1">27624.7437991707*((RANDBETWEEN(1620,2416)))</f>
        <v>64807648.952854566</v>
      </c>
      <c r="B9272">
        <v>180188152.96371156</v>
      </c>
    </row>
    <row r="9273" spans="1:2" x14ac:dyDescent="0.25">
      <c r="A9273">
        <f ca="1">26681.6701033765*((RANDBETWEEN(1620,2416)))</f>
        <v>54403925.340784647</v>
      </c>
      <c r="B9273">
        <v>144331974.44886237</v>
      </c>
    </row>
    <row r="9274" spans="1:2" x14ac:dyDescent="0.25">
      <c r="A9274">
        <f ca="1">28042.3788310065*((RANDBETWEEN(1620,2416)))</f>
        <v>56617562.859802201</v>
      </c>
      <c r="B9274">
        <v>155072203.27547795</v>
      </c>
    </row>
    <row r="9275" spans="1:2" x14ac:dyDescent="0.25">
      <c r="A9275">
        <f ca="1">31422.1893156114*((RANDBETWEEN(1620,2416)))</f>
        <v>52380789.589124173</v>
      </c>
      <c r="B9275">
        <v>152129966.73799914</v>
      </c>
    </row>
    <row r="9276" spans="1:2" x14ac:dyDescent="0.25">
      <c r="A9276">
        <f ca="1">26830.8076928778*((RANDBETWEEN(1620,2416)))</f>
        <v>43868370.577855192</v>
      </c>
      <c r="B9276">
        <v>158814691.0079239</v>
      </c>
    </row>
    <row r="9277" spans="1:2" x14ac:dyDescent="0.25">
      <c r="A9277">
        <f ca="1">25650.8527316119*((RANDBETWEEN(1620,2416)))</f>
        <v>52866407.479852185</v>
      </c>
      <c r="B9277">
        <v>156673133.00879157</v>
      </c>
    </row>
    <row r="9278" spans="1:2" x14ac:dyDescent="0.25">
      <c r="A9278">
        <f ca="1">34141.2953513952*((RANDBETWEEN(1620,2416)))</f>
        <v>77159327.494153172</v>
      </c>
      <c r="B9278">
        <v>175029446.64174625</v>
      </c>
    </row>
    <row r="9279" spans="1:2" x14ac:dyDescent="0.25">
      <c r="A9279">
        <f ca="1">29519.2480038565*((RANDBETWEEN(1620,2416)))</f>
        <v>66654461.99270802</v>
      </c>
      <c r="B9279">
        <v>193226924.09886426</v>
      </c>
    </row>
    <row r="9280" spans="1:2" x14ac:dyDescent="0.25">
      <c r="A9280">
        <f ca="1">26176.1999556705*((RANDBETWEEN(1620,2416)))</f>
        <v>52928276.310365729</v>
      </c>
      <c r="B9280">
        <v>150782696.13923004</v>
      </c>
    </row>
    <row r="9281" spans="1:2" x14ac:dyDescent="0.25">
      <c r="A9281">
        <f ca="1">27640.6187722193*((RANDBETWEEN(1620,2416)))</f>
        <v>57077877.764632814</v>
      </c>
      <c r="B9281">
        <v>174156324.41360199</v>
      </c>
    </row>
    <row r="9282" spans="1:2" x14ac:dyDescent="0.25">
      <c r="A9282">
        <f ca="1">32945.7240368611*((RANDBETWEEN(1620,2416)))</f>
        <v>67242222.759233519</v>
      </c>
      <c r="B9282">
        <v>202912680.18242759</v>
      </c>
    </row>
    <row r="9283" spans="1:2" x14ac:dyDescent="0.25">
      <c r="A9283">
        <f ca="1">33203.509591847*((RANDBETWEEN(1620,2416)))</f>
        <v>55748692.604711093</v>
      </c>
      <c r="B9283">
        <v>155809721.4041543</v>
      </c>
    </row>
    <row r="9284" spans="1:2" x14ac:dyDescent="0.25">
      <c r="A9284">
        <f ca="1">27233.6657654452*((RANDBETWEEN(1620,2416)))</f>
        <v>53868190.884050578</v>
      </c>
      <c r="B9284">
        <v>143073479.65704453</v>
      </c>
    </row>
    <row r="9285" spans="1:2" x14ac:dyDescent="0.25">
      <c r="A9285">
        <f ca="1">30143.2185645916*((RANDBETWEEN(1620,2416)))</f>
        <v>69480118.791383579</v>
      </c>
      <c r="B9285">
        <v>192823093.06006795</v>
      </c>
    </row>
    <row r="9286" spans="1:2" x14ac:dyDescent="0.25">
      <c r="A9286">
        <f ca="1">24895.008513145*((RANDBETWEEN(1620,2416)))</f>
        <v>53972378.456498399</v>
      </c>
      <c r="B9286">
        <v>177918130.13935876</v>
      </c>
    </row>
    <row r="9287" spans="1:2" x14ac:dyDescent="0.25">
      <c r="A9287">
        <f ca="1">30659.0747442048*((RANDBETWEEN(1620,2416)))</f>
        <v>63770875.467945889</v>
      </c>
      <c r="B9287">
        <v>167793441.36835092</v>
      </c>
    </row>
    <row r="9288" spans="1:2" x14ac:dyDescent="0.25">
      <c r="A9288">
        <f ca="1">30900.6288488692*((RANDBETWEEN(1620,2416)))</f>
        <v>66868960.828952998</v>
      </c>
      <c r="B9288">
        <v>168849459.25991341</v>
      </c>
    </row>
    <row r="9289" spans="1:2" x14ac:dyDescent="0.25">
      <c r="A9289">
        <f ca="1">27318.7484404537*((RANDBETWEEN(1620,2416)))</f>
        <v>63324858.884971693</v>
      </c>
      <c r="B9289">
        <v>149734540.84784141</v>
      </c>
    </row>
    <row r="9290" spans="1:2" x14ac:dyDescent="0.25">
      <c r="A9290">
        <f ca="1">27031.9247710804*((RANDBETWEEN(1620,2416)))</f>
        <v>57632063.611943439</v>
      </c>
      <c r="B9290">
        <v>169801885.89534199</v>
      </c>
    </row>
    <row r="9291" spans="1:2" x14ac:dyDescent="0.25">
      <c r="A9291">
        <f ca="1">25479.9312218566*((RANDBETWEEN(1620,2416)))</f>
        <v>55291450.751428761</v>
      </c>
      <c r="B9291">
        <v>157796268.29176268</v>
      </c>
    </row>
    <row r="9292" spans="1:2" x14ac:dyDescent="0.25">
      <c r="A9292">
        <f ca="1">27534.569359028*((RANDBETWEEN(1620,2416)))</f>
        <v>49865105.109199628</v>
      </c>
      <c r="B9292">
        <v>182578273.88232464</v>
      </c>
    </row>
    <row r="9293" spans="1:2" x14ac:dyDescent="0.25">
      <c r="A9293">
        <f ca="1">28958.3658811391*((RANDBETWEEN(1620,2416)))</f>
        <v>48186720.826215401</v>
      </c>
      <c r="B9293">
        <v>159498269.64903522</v>
      </c>
    </row>
    <row r="9294" spans="1:2" x14ac:dyDescent="0.25">
      <c r="A9294">
        <f ca="1">26905.0826501296*((RANDBETWEEN(1620,2416)))</f>
        <v>45039108.356316984</v>
      </c>
      <c r="B9294">
        <v>147127662.03453603</v>
      </c>
    </row>
    <row r="9295" spans="1:2" x14ac:dyDescent="0.25">
      <c r="A9295">
        <f ca="1">30163.9330223358*((RANDBETWEEN(1620,2416)))</f>
        <v>69467537.750439256</v>
      </c>
      <c r="B9295">
        <v>203263064.74968332</v>
      </c>
    </row>
    <row r="9296" spans="1:2" x14ac:dyDescent="0.25">
      <c r="A9296">
        <f ca="1">27648.1056877747*((RANDBETWEEN(1620,2416)))</f>
        <v>53443788.29446847</v>
      </c>
      <c r="B9296">
        <v>168059394.68082386</v>
      </c>
    </row>
    <row r="9297" spans="1:2" x14ac:dyDescent="0.25">
      <c r="A9297">
        <f ca="1">32365.5876135044*((RANDBETWEEN(1620,2416)))</f>
        <v>58031498.591013297</v>
      </c>
      <c r="B9297">
        <v>199782524.59062636</v>
      </c>
    </row>
    <row r="9298" spans="1:2" x14ac:dyDescent="0.25">
      <c r="A9298">
        <f ca="1">28218.90646445*((RANDBETWEEN(1620,2416)))</f>
        <v>63548977.357941508</v>
      </c>
      <c r="B9298">
        <v>159043053.38027611</v>
      </c>
    </row>
    <row r="9299" spans="1:2" x14ac:dyDescent="0.25">
      <c r="A9299">
        <f ca="1">29949.9572058875*((RANDBETWEEN(1620,2416)))</f>
        <v>58941515.781186551</v>
      </c>
      <c r="B9299">
        <v>176241072.79885662</v>
      </c>
    </row>
    <row r="9300" spans="1:2" x14ac:dyDescent="0.25">
      <c r="A9300">
        <f ca="1">27704.699197182*((RANDBETWEEN(1620,2416)))</f>
        <v>52666633.173842989</v>
      </c>
      <c r="B9300">
        <v>199413458.84657383</v>
      </c>
    </row>
    <row r="9301" spans="1:2" x14ac:dyDescent="0.25">
      <c r="A9301">
        <f ca="1">29724.887157969*((RANDBETWEEN(1620,2416)))</f>
        <v>54158744.401819572</v>
      </c>
      <c r="B9301">
        <v>151578648.2918382</v>
      </c>
    </row>
    <row r="9302" spans="1:2" x14ac:dyDescent="0.25">
      <c r="A9302">
        <f ca="1">32715.7929402363*((RANDBETWEEN(1620,2416)))</f>
        <v>68506870.416854784</v>
      </c>
      <c r="B9302">
        <v>178288279.08408257</v>
      </c>
    </row>
    <row r="9303" spans="1:2" x14ac:dyDescent="0.25">
      <c r="A9303">
        <f ca="1">25440.6744075859*((RANDBETWEEN(1620,2416)))</f>
        <v>45157197.07346496</v>
      </c>
      <c r="B9303">
        <v>177010400.94866019</v>
      </c>
    </row>
    <row r="9304" spans="1:2" x14ac:dyDescent="0.25">
      <c r="A9304">
        <f ca="1">27027.1105370079*((RANDBETWEEN(1620,2416)))</f>
        <v>55459630.821940161</v>
      </c>
      <c r="B9304">
        <v>145777931.49402967</v>
      </c>
    </row>
    <row r="9305" spans="1:2" x14ac:dyDescent="0.25">
      <c r="A9305">
        <f ca="1">26931.6795164578*((RANDBETWEEN(1620,2416)))</f>
        <v>60326962.116865396</v>
      </c>
      <c r="B9305">
        <v>163027288.58823457</v>
      </c>
    </row>
    <row r="9306" spans="1:2" x14ac:dyDescent="0.25">
      <c r="A9306">
        <f ca="1">28680.5272391598*((RANDBETWEEN(1620,2416)))</f>
        <v>52800850.647293136</v>
      </c>
      <c r="B9306">
        <v>178094000.12073785</v>
      </c>
    </row>
    <row r="9307" spans="1:2" x14ac:dyDescent="0.25">
      <c r="A9307">
        <f ca="1">27501.6706500799*((RANDBETWEEN(1620,2416)))</f>
        <v>61933762.303979822</v>
      </c>
      <c r="B9307">
        <v>170749869.5415079</v>
      </c>
    </row>
    <row r="9308" spans="1:2" x14ac:dyDescent="0.25">
      <c r="A9308">
        <f ca="1">27606.7702152043*((RANDBETWEEN(1620,2416)))</f>
        <v>56014136.7666495</v>
      </c>
      <c r="B9308">
        <v>149428477.09688374</v>
      </c>
    </row>
    <row r="9309" spans="1:2" x14ac:dyDescent="0.25">
      <c r="A9309">
        <f ca="1">27462.2591640784*((RANDBETWEEN(1620,2416)))</f>
        <v>63877214.815646447</v>
      </c>
      <c r="B9309">
        <v>152806348.53573257</v>
      </c>
    </row>
    <row r="9310" spans="1:2" x14ac:dyDescent="0.25">
      <c r="A9310">
        <f ca="1">26163.0845243795*((RANDBETWEEN(1620,2416)))</f>
        <v>42724317.028311782</v>
      </c>
      <c r="B9310">
        <v>143916485.51288256</v>
      </c>
    </row>
    <row r="9311" spans="1:2" x14ac:dyDescent="0.25">
      <c r="A9311">
        <f ca="1">30824.5579510429*((RANDBETWEEN(1620,2416)))</f>
        <v>54220397.435884506</v>
      </c>
      <c r="B9311">
        <v>194442515.9167608</v>
      </c>
    </row>
    <row r="9312" spans="1:2" x14ac:dyDescent="0.25">
      <c r="A9312">
        <f ca="1">25779.382138385*((RANDBETWEEN(1620,2416)))</f>
        <v>53543776.701425731</v>
      </c>
      <c r="B9312">
        <v>165409101.8714745</v>
      </c>
    </row>
    <row r="9313" spans="1:2" x14ac:dyDescent="0.25">
      <c r="A9313">
        <f ca="1">26724.4776799436*((RANDBETWEEN(1620,2416)))</f>
        <v>58205912.386917122</v>
      </c>
      <c r="B9313">
        <v>146265759.84853548</v>
      </c>
    </row>
    <row r="9314" spans="1:2" x14ac:dyDescent="0.25">
      <c r="A9314">
        <f ca="1">30046.1522994974*((RANDBETWEEN(1620,2416)))</f>
        <v>65891211.992797799</v>
      </c>
      <c r="B9314">
        <v>149593307.24664375</v>
      </c>
    </row>
    <row r="9315" spans="1:2" x14ac:dyDescent="0.25">
      <c r="A9315">
        <f ca="1">32331.1233630002*((RANDBETWEEN(1620,2416)))</f>
        <v>55674194.431086302</v>
      </c>
      <c r="B9315">
        <v>189417351.97004339</v>
      </c>
    </row>
    <row r="9316" spans="1:2" x14ac:dyDescent="0.25">
      <c r="A9316">
        <f ca="1">28134.5775233475*((RANDBETWEEN(1620,2416)))</f>
        <v>67832466.408790901</v>
      </c>
      <c r="B9316">
        <v>147461349.84025651</v>
      </c>
    </row>
    <row r="9317" spans="1:2" x14ac:dyDescent="0.25">
      <c r="A9317">
        <f ca="1">30391.9030733877*((RANDBETWEEN(1620,2416)))</f>
        <v>65008280.673976198</v>
      </c>
      <c r="B9317">
        <v>202364293.77879891</v>
      </c>
    </row>
    <row r="9318" spans="1:2" x14ac:dyDescent="0.25">
      <c r="A9318">
        <f ca="1">29349.1725342989*((RANDBETWEEN(1620,2416)))</f>
        <v>67855286.89929904</v>
      </c>
      <c r="B9318">
        <v>180682315.79110491</v>
      </c>
    </row>
    <row r="9319" spans="1:2" x14ac:dyDescent="0.25">
      <c r="A9319">
        <f ca="1">26768.410027489*((RANDBETWEEN(1620,2416)))</f>
        <v>59506175.491108194</v>
      </c>
      <c r="B9319">
        <v>165654491.4787969</v>
      </c>
    </row>
    <row r="9320" spans="1:2" x14ac:dyDescent="0.25">
      <c r="A9320">
        <f ca="1">32793.050176901*((RANDBETWEEN(1620,2416)))</f>
        <v>67061787.611762576</v>
      </c>
      <c r="B9320">
        <v>156849535.46256047</v>
      </c>
    </row>
    <row r="9321" spans="1:2" x14ac:dyDescent="0.25">
      <c r="A9321">
        <f ca="1">27572.6922564473*((RANDBETWEEN(1620,2416)))</f>
        <v>50513172.213811472</v>
      </c>
      <c r="B9321">
        <v>179736560.18687838</v>
      </c>
    </row>
    <row r="9322" spans="1:2" x14ac:dyDescent="0.25">
      <c r="A9322">
        <f ca="1">31170.7028331888*((RANDBETWEEN(1620,2416)))</f>
        <v>73874565.714657456</v>
      </c>
      <c r="B9322">
        <v>167066498.32219306</v>
      </c>
    </row>
    <row r="9323" spans="1:2" x14ac:dyDescent="0.25">
      <c r="A9323">
        <f ca="1">32046.5097388541*((RANDBETWEEN(1620,2416)))</f>
        <v>68739763.389842063</v>
      </c>
      <c r="B9323">
        <v>192937566.53242719</v>
      </c>
    </row>
    <row r="9324" spans="1:2" x14ac:dyDescent="0.25">
      <c r="A9324">
        <f ca="1">29398.1348946795*((RANDBETWEEN(1620,2416)))</f>
        <v>70261542.398284107</v>
      </c>
      <c r="B9324">
        <v>161084197.79827619</v>
      </c>
    </row>
    <row r="9325" spans="1:2" x14ac:dyDescent="0.25">
      <c r="A9325">
        <f ca="1">28038.0567734247*((RANDBETWEEN(1620,2416)))</f>
        <v>58375234.202270254</v>
      </c>
      <c r="B9325">
        <v>160245847.58369279</v>
      </c>
    </row>
    <row r="9326" spans="1:2" x14ac:dyDescent="0.25">
      <c r="A9326">
        <f ca="1">32032.7835994206*((RANDBETWEEN(1620,2416)))</f>
        <v>70087730.51553221</v>
      </c>
      <c r="B9326">
        <v>187086791.72676456</v>
      </c>
    </row>
    <row r="9327" spans="1:2" x14ac:dyDescent="0.25">
      <c r="A9327">
        <f ca="1">28602.9636237944*((RANDBETWEEN(1620,2416)))</f>
        <v>61067327.336801246</v>
      </c>
      <c r="B9327">
        <v>163155903.12156892</v>
      </c>
    </row>
    <row r="9328" spans="1:2" x14ac:dyDescent="0.25">
      <c r="A9328">
        <f ca="1">26025.5488479948*((RANDBETWEEN(1620,2416)))</f>
        <v>47626754.391830541</v>
      </c>
      <c r="B9328">
        <v>143954510.46499896</v>
      </c>
    </row>
    <row r="9329" spans="1:2" x14ac:dyDescent="0.25">
      <c r="A9329">
        <f ca="1">29825.6629143905*((RANDBETWEEN(1620,2416)))</f>
        <v>58905684.255921304</v>
      </c>
      <c r="B9329">
        <v>157732262.85594764</v>
      </c>
    </row>
    <row r="9330" spans="1:2" x14ac:dyDescent="0.25">
      <c r="A9330">
        <f ca="1">27442.5029435694*((RANDBETWEEN(1620,2416)))</f>
        <v>60949799.037667654</v>
      </c>
      <c r="B9330">
        <v>200674423.9407919</v>
      </c>
    </row>
    <row r="9331" spans="1:2" x14ac:dyDescent="0.25">
      <c r="A9331">
        <f ca="1">29364.4019195508*((RANDBETWEEN(1620,2416)))</f>
        <v>59932744.317803174</v>
      </c>
      <c r="B9331">
        <v>165065265.76092309</v>
      </c>
    </row>
    <row r="9332" spans="1:2" x14ac:dyDescent="0.25">
      <c r="A9332">
        <f ca="1">29443.7918485774*((RANDBETWEEN(1620,2416)))</f>
        <v>59770897.452612199</v>
      </c>
      <c r="B9332">
        <v>169829074.75525051</v>
      </c>
    </row>
    <row r="9333" spans="1:2" x14ac:dyDescent="0.25">
      <c r="A9333">
        <f ca="1">26377.6582459413*((RANDBETWEEN(1620,2416)))</f>
        <v>56580076.937544167</v>
      </c>
      <c r="B9333">
        <v>146567614.21490142</v>
      </c>
    </row>
    <row r="9334" spans="1:2" x14ac:dyDescent="0.25">
      <c r="A9334">
        <f ca="1">28170.6155630994*((RANDBETWEEN(1620,2416)))</f>
        <v>66510823.344477572</v>
      </c>
      <c r="B9334">
        <v>180225342.6015735</v>
      </c>
    </row>
    <row r="9335" spans="1:2" x14ac:dyDescent="0.25">
      <c r="A9335">
        <f ca="1">27752.6998541291*((RANDBETWEEN(1620,2416)))</f>
        <v>63442671.866539024</v>
      </c>
      <c r="B9335">
        <v>144858680.68061265</v>
      </c>
    </row>
    <row r="9336" spans="1:2" x14ac:dyDescent="0.25">
      <c r="A9336">
        <f ca="1">25165.5086514334*((RANDBETWEEN(1620,2416)))</f>
        <v>46883342.617620349</v>
      </c>
      <c r="B9336">
        <v>147196345.39670184</v>
      </c>
    </row>
    <row r="9337" spans="1:2" x14ac:dyDescent="0.25">
      <c r="A9337">
        <f ca="1">29990.1397335864*((RANDBETWEEN(1620,2416)))</f>
        <v>52212833.276173942</v>
      </c>
      <c r="B9337">
        <v>162033453.19264513</v>
      </c>
    </row>
    <row r="9338" spans="1:2" x14ac:dyDescent="0.25">
      <c r="A9338">
        <f ca="1">31098.1357920383*((RANDBETWEEN(1620,2416)))</f>
        <v>56567509.005717605</v>
      </c>
      <c r="B9338">
        <v>174470332.08655995</v>
      </c>
    </row>
    <row r="9339" spans="1:2" x14ac:dyDescent="0.25">
      <c r="A9339">
        <f ca="1">30992.5399470621*((RANDBETWEEN(1620,2416)))</f>
        <v>53679079.18831151</v>
      </c>
      <c r="B9339">
        <v>157323805.51694563</v>
      </c>
    </row>
    <row r="9340" spans="1:2" x14ac:dyDescent="0.25">
      <c r="A9340">
        <f ca="1">30584.1784100983*((RANDBETWEEN(1620,2416)))</f>
        <v>73126770.578545138</v>
      </c>
      <c r="B9340">
        <v>174441219.59633958</v>
      </c>
    </row>
    <row r="9341" spans="1:2" x14ac:dyDescent="0.25">
      <c r="A9341">
        <f ca="1">27608.8165635035*((RANDBETWEEN(1620,2416)))</f>
        <v>63307016.38011349</v>
      </c>
      <c r="B9341">
        <v>161007723.12987071</v>
      </c>
    </row>
    <row r="9342" spans="1:2" x14ac:dyDescent="0.25">
      <c r="A9342">
        <f ca="1">28807.0006594689*((RANDBETWEEN(1620,2416)))</f>
        <v>56692177.297834806</v>
      </c>
      <c r="B9342">
        <v>187657267.9676621</v>
      </c>
    </row>
    <row r="9343" spans="1:2" x14ac:dyDescent="0.25">
      <c r="A9343">
        <f ca="1">26760.9066493377*((RANDBETWEEN(1620,2416)))</f>
        <v>45600584.930471487</v>
      </c>
      <c r="B9343">
        <v>165661998.40552932</v>
      </c>
    </row>
    <row r="9344" spans="1:2" x14ac:dyDescent="0.25">
      <c r="A9344">
        <f ca="1">26861.3552939919*((RANDBETWEEN(1620,2416)))</f>
        <v>48995112.056241274</v>
      </c>
      <c r="B9344">
        <v>165431963.65295225</v>
      </c>
    </row>
    <row r="9345" spans="1:2" x14ac:dyDescent="0.25">
      <c r="A9345">
        <f ca="1">30151.3405977849*((RANDBETWEEN(1620,2416)))</f>
        <v>69740050.802676558</v>
      </c>
      <c r="B9345">
        <v>178865901.70161796</v>
      </c>
    </row>
    <row r="9346" spans="1:2" x14ac:dyDescent="0.25">
      <c r="A9346">
        <f ca="1">25636.8192656175*((RANDBETWEEN(1620,2416)))</f>
        <v>52529842.675250255</v>
      </c>
      <c r="B9346">
        <v>146469946.10749513</v>
      </c>
    </row>
    <row r="9347" spans="1:2" x14ac:dyDescent="0.25">
      <c r="A9347">
        <f ca="1">28211.1913563267*((RANDBETWEEN(1620,2416)))</f>
        <v>52218915.200560763</v>
      </c>
      <c r="B9347">
        <v>158089053.53946525</v>
      </c>
    </row>
    <row r="9348" spans="1:2" x14ac:dyDescent="0.25">
      <c r="A9348">
        <f ca="1">27725.3840476958*((RANDBETWEEN(1620,2416)))</f>
        <v>60136357.999452189</v>
      </c>
      <c r="B9348">
        <v>158434181.1782788</v>
      </c>
    </row>
    <row r="9349" spans="1:2" x14ac:dyDescent="0.25">
      <c r="A9349">
        <f ca="1">26702.3203779001*((RANDBETWEEN(1620,2416)))</f>
        <v>45794479.4480986</v>
      </c>
      <c r="B9349">
        <v>154566166.81866133</v>
      </c>
    </row>
    <row r="9350" spans="1:2" x14ac:dyDescent="0.25">
      <c r="A9350">
        <f ca="1">26908.8187790217*((RANDBETWEEN(1620,2416)))</f>
        <v>58715042.575825386</v>
      </c>
      <c r="B9350">
        <v>159204110.04743952</v>
      </c>
    </row>
    <row r="9351" spans="1:2" x14ac:dyDescent="0.25">
      <c r="A9351">
        <f ca="1">27483.533755942*((RANDBETWEEN(1620,2416)))</f>
        <v>65768096.277969114</v>
      </c>
      <c r="B9351">
        <v>143789666.71718654</v>
      </c>
    </row>
    <row r="9352" spans="1:2" x14ac:dyDescent="0.25">
      <c r="A9352">
        <f ca="1">27041.8225174456*((RANDBETWEEN(1620,2416)))</f>
        <v>60059887.811246663</v>
      </c>
      <c r="B9352">
        <v>173712034.25028226</v>
      </c>
    </row>
    <row r="9353" spans="1:2" x14ac:dyDescent="0.25">
      <c r="A9353">
        <f ca="1">30387.9428219948*((RANDBETWEEN(1620,2416)))</f>
        <v>63997007.58312124</v>
      </c>
      <c r="B9353">
        <v>145240859.70050222</v>
      </c>
    </row>
    <row r="9354" spans="1:2" x14ac:dyDescent="0.25">
      <c r="A9354">
        <f ca="1">28093.0560137665*((RANDBETWEEN(1620,2416)))</f>
        <v>48938103.575981312</v>
      </c>
      <c r="B9354">
        <v>170216654.12317309</v>
      </c>
    </row>
    <row r="9355" spans="1:2" x14ac:dyDescent="0.25">
      <c r="A9355">
        <f ca="1">28355.5013357951*((RANDBETWEEN(1620,2416)))</f>
        <v>64253566.026911646</v>
      </c>
      <c r="B9355">
        <v>179560956.07133374</v>
      </c>
    </row>
    <row r="9356" spans="1:2" x14ac:dyDescent="0.25">
      <c r="A9356">
        <f ca="1">28772.0426528649*((RANDBETWEEN(1620,2416)))</f>
        <v>59212863.779595979</v>
      </c>
      <c r="B9356">
        <v>176008949.80322513</v>
      </c>
    </row>
    <row r="9357" spans="1:2" x14ac:dyDescent="0.25">
      <c r="A9357">
        <f ca="1">26842.4636792575*((RANDBETWEEN(1620,2416)))</f>
        <v>64341385.439180158</v>
      </c>
      <c r="B9357">
        <v>194100466.6611824</v>
      </c>
    </row>
    <row r="9358" spans="1:2" x14ac:dyDescent="0.25">
      <c r="A9358">
        <f ca="1">28766.181974492*((RANDBETWEEN(1620,2416)))</f>
        <v>57877558.132677935</v>
      </c>
      <c r="B9358">
        <v>193451251.70510414</v>
      </c>
    </row>
    <row r="9359" spans="1:2" x14ac:dyDescent="0.25">
      <c r="A9359">
        <f ca="1">26226.2452777908*((RANDBETWEEN(1620,2416)))</f>
        <v>42879911.029188037</v>
      </c>
      <c r="B9359">
        <v>157384136.86818415</v>
      </c>
    </row>
    <row r="9360" spans="1:2" x14ac:dyDescent="0.25">
      <c r="A9360">
        <f ca="1">26375.6780962516*((RANDBETWEEN(1620,2416)))</f>
        <v>54439399.590663373</v>
      </c>
      <c r="B9360">
        <v>148668377.60154852</v>
      </c>
    </row>
    <row r="9361" spans="1:2" x14ac:dyDescent="0.25">
      <c r="A9361">
        <f ca="1">27678.3822688049*((RANDBETWEEN(1620,2416)))</f>
        <v>66400439.062863007</v>
      </c>
      <c r="B9361">
        <v>172397222.37006241</v>
      </c>
    </row>
    <row r="9362" spans="1:2" x14ac:dyDescent="0.25">
      <c r="A9362">
        <f ca="1">26648.7406396047*((RANDBETWEEN(1620,2416)))</f>
        <v>49566657.589664787</v>
      </c>
      <c r="B9362">
        <v>171326515.85501868</v>
      </c>
    </row>
    <row r="9363" spans="1:2" x14ac:dyDescent="0.25">
      <c r="A9363">
        <f ca="1">26261.809253496*((RANDBETWEEN(1620,2416)))</f>
        <v>62975818.589883462</v>
      </c>
      <c r="B9363">
        <v>147901508.19851238</v>
      </c>
    </row>
    <row r="9364" spans="1:2" x14ac:dyDescent="0.25">
      <c r="A9364">
        <f ca="1">26717.4204403774*((RANDBETWEEN(1620,2416)))</f>
        <v>48278378.735761933</v>
      </c>
      <c r="B9364">
        <v>171209873.6061784</v>
      </c>
    </row>
    <row r="9365" spans="1:2" x14ac:dyDescent="0.25">
      <c r="A9365">
        <f ca="1">27097.9298056121*((RANDBETWEEN(1620,2416)))</f>
        <v>54683622.347725146</v>
      </c>
      <c r="B9365">
        <v>188634830.48195827</v>
      </c>
    </row>
    <row r="9366" spans="1:2" x14ac:dyDescent="0.25">
      <c r="A9366">
        <f ca="1">29982.5732245207*((RANDBETWEEN(1620,2416)))</f>
        <v>70818837.956317946</v>
      </c>
      <c r="B9366">
        <v>151511506.7090897</v>
      </c>
    </row>
    <row r="9367" spans="1:2" x14ac:dyDescent="0.25">
      <c r="A9367">
        <f ca="1">26647.054507468*((RANDBETWEEN(1620,2416)))</f>
        <v>43834404.664784811</v>
      </c>
      <c r="B9367">
        <v>164255898.38565642</v>
      </c>
    </row>
    <row r="9368" spans="1:2" x14ac:dyDescent="0.25">
      <c r="A9368">
        <f ca="1">28055.4714935255*((RANDBETWEEN(1620,2416)))</f>
        <v>53838449.796075515</v>
      </c>
      <c r="B9368">
        <v>155273510.85459757</v>
      </c>
    </row>
    <row r="9369" spans="1:2" x14ac:dyDescent="0.25">
      <c r="A9369">
        <f ca="1">28226.6450468278*((RANDBETWEEN(1620,2416)))</f>
        <v>56848463.124311239</v>
      </c>
      <c r="B9369">
        <v>200375471.52604264</v>
      </c>
    </row>
    <row r="9370" spans="1:2" x14ac:dyDescent="0.25">
      <c r="A9370">
        <f ca="1">28557.9381140943*((RANDBETWEEN(1620,2416)))</f>
        <v>47691756.650537506</v>
      </c>
      <c r="B9370">
        <v>150664590.35082915</v>
      </c>
    </row>
    <row r="9371" spans="1:2" x14ac:dyDescent="0.25">
      <c r="A9371">
        <f ca="1">31603.6663769991*((RANDBETWEEN(1620,2416)))</f>
        <v>51197939.530738607</v>
      </c>
      <c r="B9371">
        <v>175163857.74707609</v>
      </c>
    </row>
    <row r="9372" spans="1:2" x14ac:dyDescent="0.25">
      <c r="A9372">
        <f ca="1">30473.6651827312*((RANDBETWEEN(1620,2416)))</f>
        <v>53085124.748317838</v>
      </c>
      <c r="B9372">
        <v>175899141.78120238</v>
      </c>
    </row>
    <row r="9373" spans="1:2" x14ac:dyDescent="0.25">
      <c r="A9373">
        <f ca="1">28130.0783095896*((RANDBETWEEN(1620,2416)))</f>
        <v>59720156.251258776</v>
      </c>
      <c r="B9373">
        <v>149358452.27132896</v>
      </c>
    </row>
    <row r="9374" spans="1:2" x14ac:dyDescent="0.25">
      <c r="A9374">
        <f ca="1">27698.7357455595*((RANDBETWEEN(1620,2416)))</f>
        <v>51990526.994415164</v>
      </c>
      <c r="B9374">
        <v>172410077.05188257</v>
      </c>
    </row>
    <row r="9375" spans="1:2" x14ac:dyDescent="0.25">
      <c r="A9375">
        <f ca="1">31312.1832887892*((RANDBETWEEN(1620,2416)))</f>
        <v>72738201.779857293</v>
      </c>
      <c r="B9375">
        <v>153861184.06084356</v>
      </c>
    </row>
    <row r="9376" spans="1:2" x14ac:dyDescent="0.25">
      <c r="A9376">
        <f ca="1">31147.7764310928*((RANDBETWEEN(1620,2416)))</f>
        <v>52421707.733529225</v>
      </c>
      <c r="B9376">
        <v>160105632.03187072</v>
      </c>
    </row>
    <row r="9377" spans="1:2" x14ac:dyDescent="0.25">
      <c r="A9377">
        <f ca="1">26174.8506241646*((RANDBETWEEN(1620,2416)))</f>
        <v>59128987.559987895</v>
      </c>
      <c r="B9377">
        <v>149134144.58333635</v>
      </c>
    </row>
    <row r="9378" spans="1:2" x14ac:dyDescent="0.25">
      <c r="A9378">
        <f ca="1">27506.7354007714*((RANDBETWEEN(1620,2416)))</f>
        <v>56856422.073394403</v>
      </c>
      <c r="B9378">
        <v>178861721.35534176</v>
      </c>
    </row>
    <row r="9379" spans="1:2" x14ac:dyDescent="0.25">
      <c r="A9379">
        <f ca="1">26419.0107490667*((RANDBETWEEN(1620,2416)))</f>
        <v>52045451.175661311</v>
      </c>
      <c r="B9379">
        <v>145210784.1188547</v>
      </c>
    </row>
    <row r="9380" spans="1:2" x14ac:dyDescent="0.25">
      <c r="A9380">
        <f ca="1">24768.3197419661*((RANDBETWEEN(1620,2416)))</f>
        <v>45449866.726507761</v>
      </c>
      <c r="B9380">
        <v>158092350.5840596</v>
      </c>
    </row>
    <row r="9381" spans="1:2" x14ac:dyDescent="0.25">
      <c r="A9381">
        <f ca="1">29802.3781158448*((RANDBETWEEN(1620,2416)))</f>
        <v>60439222.818933167</v>
      </c>
      <c r="B9381">
        <v>147507417.46991557</v>
      </c>
    </row>
    <row r="9382" spans="1:2" x14ac:dyDescent="0.25">
      <c r="A9382">
        <f ca="1">34257.7324493095*((RANDBETWEEN(1620,2416)))</f>
        <v>56148423.484418198</v>
      </c>
      <c r="B9382">
        <v>155144060.91922805</v>
      </c>
    </row>
    <row r="9383" spans="1:2" x14ac:dyDescent="0.25">
      <c r="A9383">
        <f ca="1">27071.6623301051*((RANDBETWEEN(1620,2416)))</f>
        <v>47023477.467392623</v>
      </c>
      <c r="B9383">
        <v>197637378.33322495</v>
      </c>
    </row>
    <row r="9384" spans="1:2" x14ac:dyDescent="0.25">
      <c r="A9384">
        <f ca="1">31071.9872929017*((RANDBETWEEN(1620,2416)))</f>
        <v>55308137.381365016</v>
      </c>
      <c r="B9384">
        <v>202766105.41247606</v>
      </c>
    </row>
    <row r="9385" spans="1:2" x14ac:dyDescent="0.25">
      <c r="A9385">
        <f ca="1">30213.1065954263*((RANDBETWEEN(1620,2416)))</f>
        <v>59096836.500653863</v>
      </c>
      <c r="B9385">
        <v>143320691.01020199</v>
      </c>
    </row>
    <row r="9386" spans="1:2" x14ac:dyDescent="0.25">
      <c r="A9386">
        <f ca="1">27056.9758361962*((RANDBETWEEN(1620,2416)))</f>
        <v>44292269.443853155</v>
      </c>
      <c r="B9386">
        <v>157128863.72173077</v>
      </c>
    </row>
    <row r="9387" spans="1:2" x14ac:dyDescent="0.25">
      <c r="A9387">
        <f ca="1">31742.4511767869*((RANDBETWEEN(1620,2416)))</f>
        <v>67897103.067147151</v>
      </c>
      <c r="B9387">
        <v>160237356.48415574</v>
      </c>
    </row>
    <row r="9388" spans="1:2" x14ac:dyDescent="0.25">
      <c r="A9388">
        <f ca="1">27380.2983288865*((RANDBETWEEN(1620,2416)))</f>
        <v>50489270.118466653</v>
      </c>
      <c r="B9388">
        <v>184426856.57574859</v>
      </c>
    </row>
    <row r="9389" spans="1:2" x14ac:dyDescent="0.25">
      <c r="A9389">
        <f ca="1">27817.8734052501*((RANDBETWEEN(1620,2416)))</f>
        <v>55274114.456231855</v>
      </c>
      <c r="B9389">
        <v>170719449.67318082</v>
      </c>
    </row>
    <row r="9390" spans="1:2" x14ac:dyDescent="0.25">
      <c r="A9390">
        <f ca="1">25252.7111226731*((RANDBETWEEN(1620,2416)))</f>
        <v>42651829.086194813</v>
      </c>
      <c r="B9390">
        <v>157312304.63300699</v>
      </c>
    </row>
    <row r="9391" spans="1:2" x14ac:dyDescent="0.25">
      <c r="A9391">
        <f ca="1">27124.9836492178*((RANDBETWEEN(1620,2416)))</f>
        <v>59457964.159085423</v>
      </c>
      <c r="B9391">
        <v>174983695.32959929</v>
      </c>
    </row>
    <row r="9392" spans="1:2" x14ac:dyDescent="0.25">
      <c r="A9392">
        <f ca="1">29349.2162151741*((RANDBETWEEN(1620,2416)))</f>
        <v>57260320.835804611</v>
      </c>
      <c r="B9392">
        <v>187132641.22601447</v>
      </c>
    </row>
    <row r="9393" spans="1:2" x14ac:dyDescent="0.25">
      <c r="A9393">
        <f ca="1">29612.4410082738*((RANDBETWEEN(1620,2416)))</f>
        <v>55197590.039422318</v>
      </c>
      <c r="B9393">
        <v>162034790.45479643</v>
      </c>
    </row>
    <row r="9394" spans="1:2" x14ac:dyDescent="0.25">
      <c r="A9394">
        <f ca="1">28420.1928568589*((RANDBETWEEN(1620,2416)))</f>
        <v>60563430.977966346</v>
      </c>
      <c r="B9394">
        <v>158825308.05612195</v>
      </c>
    </row>
    <row r="9395" spans="1:2" x14ac:dyDescent="0.25">
      <c r="A9395">
        <f ca="1">26297.4238837306*((RANDBETWEEN(1620,2416)))</f>
        <v>58827337.227905326</v>
      </c>
      <c r="B9395">
        <v>144605180.41070986</v>
      </c>
    </row>
    <row r="9396" spans="1:2" x14ac:dyDescent="0.25">
      <c r="A9396">
        <f ca="1">28888.5332082597*((RANDBETWEEN(1620,2416)))</f>
        <v>62861448.261173099</v>
      </c>
      <c r="B9396">
        <v>166450043.48365775</v>
      </c>
    </row>
    <row r="9397" spans="1:2" x14ac:dyDescent="0.25">
      <c r="A9397">
        <f ca="1">26173.3006813322*((RANDBETWEEN(1620,2416)))</f>
        <v>48551472.763871312</v>
      </c>
      <c r="B9397">
        <v>143539864.08013034</v>
      </c>
    </row>
    <row r="9398" spans="1:2" x14ac:dyDescent="0.25">
      <c r="A9398">
        <f ca="1">26977.949954857*((RANDBETWEEN(1620,2416)))</f>
        <v>46132294.422805421</v>
      </c>
      <c r="B9398">
        <v>148874540.33392</v>
      </c>
    </row>
    <row r="9399" spans="1:2" x14ac:dyDescent="0.25">
      <c r="A9399">
        <f ca="1">28770.4291585664*((RANDBETWEEN(1620,2416)))</f>
        <v>49197433.861148559</v>
      </c>
      <c r="B9399">
        <v>162688310.4334614</v>
      </c>
    </row>
    <row r="9400" spans="1:2" x14ac:dyDescent="0.25">
      <c r="A9400">
        <f ca="1">25220.3653719471*((RANDBETWEEN(1620,2416)))</f>
        <v>46304590.822894894</v>
      </c>
      <c r="B9400">
        <v>151961403.61729866</v>
      </c>
    </row>
    <row r="9401" spans="1:2" x14ac:dyDescent="0.25">
      <c r="A9401">
        <f ca="1">26226.1473528417*((RANDBETWEEN(1620,2416)))</f>
        <v>55127361.735673308</v>
      </c>
      <c r="B9401">
        <v>186574009.13617134</v>
      </c>
    </row>
    <row r="9402" spans="1:2" x14ac:dyDescent="0.25">
      <c r="A9402">
        <f ca="1">27546.9736324198*((RANDBETWEEN(1620,2416)))</f>
        <v>45011754.915373988</v>
      </c>
      <c r="B9402">
        <v>165985602.56521761</v>
      </c>
    </row>
    <row r="9403" spans="1:2" x14ac:dyDescent="0.25">
      <c r="A9403">
        <f ca="1">28104.415270379*((RANDBETWEEN(1620,2416)))</f>
        <v>47159208.823696032</v>
      </c>
      <c r="B9403">
        <v>147985105.00709829</v>
      </c>
    </row>
    <row r="9404" spans="1:2" x14ac:dyDescent="0.25">
      <c r="A9404">
        <f ca="1">27230.6986783002*((RANDBETWEEN(1620,2416)))</f>
        <v>58546002.158345439</v>
      </c>
      <c r="B9404">
        <v>158511406.82838434</v>
      </c>
    </row>
    <row r="9405" spans="1:2" x14ac:dyDescent="0.25">
      <c r="A9405">
        <f ca="1">28274.8785277132*((RANDBETWEEN(1620,2416)))</f>
        <v>61780609.583053328</v>
      </c>
      <c r="B9405">
        <v>165232627.73837361</v>
      </c>
    </row>
    <row r="9406" spans="1:2" x14ac:dyDescent="0.25">
      <c r="A9406">
        <f ca="1">32049.0399863162*((RANDBETWEEN(1620,2416)))</f>
        <v>53970583.336956523</v>
      </c>
      <c r="B9406">
        <v>147434094.46018508</v>
      </c>
    </row>
    <row r="9407" spans="1:2" x14ac:dyDescent="0.25">
      <c r="A9407">
        <f ca="1">27021.0957521166*((RANDBETWEEN(1620,2416)))</f>
        <v>55285161.908830531</v>
      </c>
      <c r="B9407">
        <v>170935131.31232283</v>
      </c>
    </row>
    <row r="9408" spans="1:2" x14ac:dyDescent="0.25">
      <c r="A9408">
        <f ca="1">27914.8698725598*((RANDBETWEEN(1620,2416)))</f>
        <v>53066167.627736107</v>
      </c>
      <c r="B9408">
        <v>192829935.47867796</v>
      </c>
    </row>
    <row r="9409" spans="1:2" x14ac:dyDescent="0.25">
      <c r="A9409">
        <f ca="1">26736.8889333801*((RANDBETWEEN(1620,2416)))</f>
        <v>57243679.206366703</v>
      </c>
      <c r="B9409">
        <v>172858824.75922146</v>
      </c>
    </row>
    <row r="9410" spans="1:2" x14ac:dyDescent="0.25">
      <c r="A9410">
        <f ca="1">26281.5873367019*((RANDBETWEEN(1620,2416)))</f>
        <v>49461947.367673032</v>
      </c>
      <c r="B9410">
        <v>189903957.12835717</v>
      </c>
    </row>
    <row r="9411" spans="1:2" x14ac:dyDescent="0.25">
      <c r="A9411">
        <f ca="1">28917.8249124954*((RANDBETWEEN(1620,2416)))</f>
        <v>66597750.773476943</v>
      </c>
      <c r="B9411">
        <v>189393327.94496927</v>
      </c>
    </row>
    <row r="9412" spans="1:2" x14ac:dyDescent="0.25">
      <c r="A9412">
        <f ca="1">28237.1207127193*((RANDBETWEEN(1620,2416)))</f>
        <v>60145067.118092008</v>
      </c>
      <c r="B9412">
        <v>170754199.07584944</v>
      </c>
    </row>
    <row r="9413" spans="1:2" x14ac:dyDescent="0.25">
      <c r="A9413">
        <f ca="1">27377.918168968*((RANDBETWEEN(1620,2416)))</f>
        <v>64228596.024398826</v>
      </c>
      <c r="B9413">
        <v>157587620.40581694</v>
      </c>
    </row>
    <row r="9414" spans="1:2" x14ac:dyDescent="0.25">
      <c r="A9414">
        <f ca="1">27103.4942038912*((RANDBETWEEN(1620,2416)))</f>
        <v>44747868.930624299</v>
      </c>
      <c r="B9414">
        <v>153595395.9606798</v>
      </c>
    </row>
    <row r="9415" spans="1:2" x14ac:dyDescent="0.25">
      <c r="A9415">
        <f ca="1">25679.0033966215*((RANDBETWEEN(1620,2416)))</f>
        <v>45272082.988243625</v>
      </c>
      <c r="B9415">
        <v>170694233.4318575</v>
      </c>
    </row>
    <row r="9416" spans="1:2" x14ac:dyDescent="0.25">
      <c r="A9416">
        <f ca="1">34174.2560684284*((RANDBETWEEN(1620,2416)))</f>
        <v>56934310.610001698</v>
      </c>
      <c r="B9416">
        <v>177332362.49716458</v>
      </c>
    </row>
    <row r="9417" spans="1:2" x14ac:dyDescent="0.25">
      <c r="A9417">
        <f ca="1">26186.1568828948*((RANDBETWEEN(1620,2416)))</f>
        <v>43495206.582488224</v>
      </c>
      <c r="B9417">
        <v>151920851.35705641</v>
      </c>
    </row>
    <row r="9418" spans="1:2" x14ac:dyDescent="0.25">
      <c r="A9418">
        <f ca="1">28547.9740329382*((RANDBETWEEN(1620,2416)))</f>
        <v>49502186.9731149</v>
      </c>
      <c r="B9418">
        <v>146509037.82681534</v>
      </c>
    </row>
    <row r="9419" spans="1:2" x14ac:dyDescent="0.25">
      <c r="A9419">
        <f ca="1">27101.5597781293*((RANDBETWEEN(1620,2416)))</f>
        <v>64583016.951282084</v>
      </c>
      <c r="B9419">
        <v>163118441.196053</v>
      </c>
    </row>
    <row r="9420" spans="1:2" x14ac:dyDescent="0.25">
      <c r="A9420">
        <f ca="1">30543.5121447239*((RANDBETWEEN(1620,2416)))</f>
        <v>53267885.180398434</v>
      </c>
      <c r="B9420">
        <v>172699251.14408708</v>
      </c>
    </row>
    <row r="9421" spans="1:2" x14ac:dyDescent="0.25">
      <c r="A9421">
        <f ca="1">28417.4631320779*((RANDBETWEEN(1620,2416)))</f>
        <v>47428745.967438087</v>
      </c>
      <c r="B9421">
        <v>158929473.3036958</v>
      </c>
    </row>
    <row r="9422" spans="1:2" x14ac:dyDescent="0.25">
      <c r="A9422">
        <f ca="1">26908.0516096565*((RANDBETWEEN(1620,2416)))</f>
        <v>64660048.018004499</v>
      </c>
      <c r="B9422">
        <v>143572615.47709268</v>
      </c>
    </row>
    <row r="9423" spans="1:2" x14ac:dyDescent="0.25">
      <c r="A9423">
        <f ca="1">29868.3884160385*((RANDBETWEEN(1620,2416)))</f>
        <v>51463233.240834273</v>
      </c>
      <c r="B9423">
        <v>197635049.10569632</v>
      </c>
    </row>
    <row r="9424" spans="1:2" x14ac:dyDescent="0.25">
      <c r="A9424">
        <f ca="1">26040.6220095338*((RANDBETWEEN(1620,2416)))</f>
        <v>46899160.239170454</v>
      </c>
      <c r="B9424">
        <v>159375782.85107219</v>
      </c>
    </row>
    <row r="9425" spans="1:2" x14ac:dyDescent="0.25">
      <c r="A9425">
        <f ca="1">32506.3821895032*((RANDBETWEEN(1620,2416)))</f>
        <v>72976828.015434578</v>
      </c>
      <c r="B9425">
        <v>151052783.44948247</v>
      </c>
    </row>
    <row r="9426" spans="1:2" x14ac:dyDescent="0.25">
      <c r="A9426">
        <f ca="1">27415.9125074564*((RANDBETWEEN(1620,2416)))</f>
        <v>61164900.804135323</v>
      </c>
      <c r="B9426">
        <v>194207149.76107863</v>
      </c>
    </row>
    <row r="9427" spans="1:2" x14ac:dyDescent="0.25">
      <c r="A9427">
        <f ca="1">27412.6353090143*((RANDBETWEEN(1620,2416)))</f>
        <v>63487663.375677183</v>
      </c>
      <c r="B9427">
        <v>193082784.08904594</v>
      </c>
    </row>
    <row r="9428" spans="1:2" x14ac:dyDescent="0.25">
      <c r="A9428">
        <f ca="1">26021.981193852*((RANDBETWEEN(1620,2416)))</f>
        <v>49363698.324737176</v>
      </c>
      <c r="B9428">
        <v>158929872.64800006</v>
      </c>
    </row>
    <row r="9429" spans="1:2" x14ac:dyDescent="0.25">
      <c r="A9429">
        <f ca="1">27453.0091923116*((RANDBETWEEN(1620,2416)))</f>
        <v>48070219.095737658</v>
      </c>
      <c r="B9429">
        <v>149114223.62186342</v>
      </c>
    </row>
    <row r="9430" spans="1:2" x14ac:dyDescent="0.25">
      <c r="A9430">
        <f ca="1">32159.6578255312*((RANDBETWEEN(1620,2416)))</f>
        <v>66570491.698849596</v>
      </c>
      <c r="B9430">
        <v>195600449.97185695</v>
      </c>
    </row>
    <row r="9431" spans="1:2" x14ac:dyDescent="0.25">
      <c r="A9431">
        <f ca="1">25863.9720463268*((RANDBETWEEN(1620,2416)))</f>
        <v>47279340.900685377</v>
      </c>
      <c r="B9431">
        <v>147549846.2749266</v>
      </c>
    </row>
    <row r="9432" spans="1:2" x14ac:dyDescent="0.25">
      <c r="A9432">
        <f ca="1">27498.1056483238*((RANDBETWEEN(1620,2416)))</f>
        <v>55271192.35313078</v>
      </c>
      <c r="B9432">
        <v>168399486.89292216</v>
      </c>
    </row>
    <row r="9433" spans="1:2" x14ac:dyDescent="0.25">
      <c r="A9433">
        <f ca="1">31062.4868974082*((RANDBETWEEN(1620,2416)))</f>
        <v>59888474.738203049</v>
      </c>
      <c r="B9433">
        <v>190451239.77584711</v>
      </c>
    </row>
    <row r="9434" spans="1:2" x14ac:dyDescent="0.25">
      <c r="A9434">
        <f ca="1">27039.0765589731*((RANDBETWEEN(1620,2416)))</f>
        <v>62000602.549725316</v>
      </c>
      <c r="B9434">
        <v>203590577.39176026</v>
      </c>
    </row>
    <row r="9435" spans="1:2" x14ac:dyDescent="0.25">
      <c r="A9435">
        <f ca="1">30218.5168273687*((RANDBETWEEN(1620,2416)))</f>
        <v>66843359.222139604</v>
      </c>
      <c r="B9435">
        <v>198247819.94277716</v>
      </c>
    </row>
    <row r="9436" spans="1:2" x14ac:dyDescent="0.25">
      <c r="A9436">
        <f ca="1">27119.1349385124*((RANDBETWEEN(1620,2416)))</f>
        <v>47512724.412273675</v>
      </c>
      <c r="B9436">
        <v>145710566.72518641</v>
      </c>
    </row>
    <row r="9437" spans="1:2" x14ac:dyDescent="0.25">
      <c r="A9437">
        <f ca="1">33178.1430048552*((RANDBETWEEN(1620,2416)))</f>
        <v>73091449.039696023</v>
      </c>
      <c r="B9437">
        <v>203010887.55717018</v>
      </c>
    </row>
    <row r="9438" spans="1:2" x14ac:dyDescent="0.25">
      <c r="A9438">
        <f ca="1">28192.7394769537*((RANDBETWEEN(1620,2416)))</f>
        <v>52833193.779811293</v>
      </c>
      <c r="B9438">
        <v>147572365.07411402</v>
      </c>
    </row>
    <row r="9439" spans="1:2" x14ac:dyDescent="0.25">
      <c r="A9439">
        <f ca="1">30384.8360975237*((RANDBETWEEN(1620,2416)))</f>
        <v>72953991.470154434</v>
      </c>
      <c r="B9439">
        <v>174553559.18487844</v>
      </c>
    </row>
    <row r="9440" spans="1:2" x14ac:dyDescent="0.25">
      <c r="A9440">
        <f ca="1">27989.8948376201*((RANDBETWEEN(1620,2416)))</f>
        <v>59730435.583481207</v>
      </c>
      <c r="B9440">
        <v>171321910.58108747</v>
      </c>
    </row>
    <row r="9441" spans="1:2" x14ac:dyDescent="0.25">
      <c r="A9441">
        <f ca="1">29962.8217446403*((RANDBETWEEN(1620,2416)))</f>
        <v>70951961.891308188</v>
      </c>
      <c r="B9441">
        <v>152727366.14851141</v>
      </c>
    </row>
    <row r="9442" spans="1:2" x14ac:dyDescent="0.25">
      <c r="A9442">
        <f ca="1">25706.5756066816*((RANDBETWEEN(1620,2416)))</f>
        <v>49382331.740435377</v>
      </c>
      <c r="B9442">
        <v>157856565.26350129</v>
      </c>
    </row>
    <row r="9443" spans="1:2" x14ac:dyDescent="0.25">
      <c r="A9443">
        <f ca="1">26085.2454606815*((RANDBETWEEN(1620,2416)))</f>
        <v>57857074.431791656</v>
      </c>
      <c r="B9443">
        <v>156522717.69569945</v>
      </c>
    </row>
    <row r="9444" spans="1:2" x14ac:dyDescent="0.25">
      <c r="A9444">
        <f ca="1">26168.8882662446*((RANDBETWEEN(1620,2416)))</f>
        <v>48412443.292552494</v>
      </c>
      <c r="B9444">
        <v>146189895.66493502</v>
      </c>
    </row>
    <row r="9445" spans="1:2" x14ac:dyDescent="0.25">
      <c r="A9445">
        <f ca="1">26668.4220503763*((RANDBETWEEN(1620,2416)))</f>
        <v>55390312.598631576</v>
      </c>
      <c r="B9445">
        <v>144835709.48723158</v>
      </c>
    </row>
    <row r="9446" spans="1:2" x14ac:dyDescent="0.25">
      <c r="A9446">
        <f ca="1">28673.9413284013*((RANDBETWEEN(1620,2416)))</f>
        <v>51842485.921749607</v>
      </c>
      <c r="B9446">
        <v>184867045.90058103</v>
      </c>
    </row>
    <row r="9447" spans="1:2" x14ac:dyDescent="0.25">
      <c r="A9447">
        <f ca="1">28337.2900853204*((RANDBETWEEN(1620,2416)))</f>
        <v>64467334.944103852</v>
      </c>
      <c r="B9447">
        <v>161844637.23140541</v>
      </c>
    </row>
    <row r="9448" spans="1:2" x14ac:dyDescent="0.25">
      <c r="A9448">
        <f ca="1">26873.6767099251*((RANDBETWEEN(1620,2416)))</f>
        <v>58799604.641316049</v>
      </c>
      <c r="B9448">
        <v>143505012.46631801</v>
      </c>
    </row>
    <row r="9449" spans="1:2" x14ac:dyDescent="0.25">
      <c r="A9449">
        <f ca="1">29596.2400333111*((RANDBETWEEN(1620,2416)))</f>
        <v>55108198.942025326</v>
      </c>
      <c r="B9449">
        <v>173779168.31268185</v>
      </c>
    </row>
    <row r="9450" spans="1:2" x14ac:dyDescent="0.25">
      <c r="A9450">
        <f ca="1">27282.8566697453*((RANDBETWEEN(1620,2416)))</f>
        <v>60977184.656880818</v>
      </c>
      <c r="B9450">
        <v>196469622.85707298</v>
      </c>
    </row>
    <row r="9451" spans="1:2" x14ac:dyDescent="0.25">
      <c r="A9451">
        <f ca="1">27175.2207493435*((RANDBETWEEN(1620,2416)))</f>
        <v>64541149.279690854</v>
      </c>
      <c r="B9451">
        <v>185645562.48221388</v>
      </c>
    </row>
    <row r="9452" spans="1:2" x14ac:dyDescent="0.25">
      <c r="A9452">
        <f ca="1">32390.8247885685*((RANDBETWEEN(1620,2416)))</f>
        <v>74725632.787227601</v>
      </c>
      <c r="B9452">
        <v>187032310.78382823</v>
      </c>
    </row>
    <row r="9453" spans="1:2" x14ac:dyDescent="0.25">
      <c r="A9453">
        <f ca="1">27487.7288562963*((RANDBETWEEN(1620,2416)))</f>
        <v>55470236.832005851</v>
      </c>
      <c r="B9453">
        <v>146107900.03877074</v>
      </c>
    </row>
    <row r="9454" spans="1:2" x14ac:dyDescent="0.25">
      <c r="A9454">
        <f ca="1">25156.0190635848*((RANDBETWEEN(1620,2416)))</f>
        <v>51695619.175666839</v>
      </c>
      <c r="B9454">
        <v>188064952.97209597</v>
      </c>
    </row>
    <row r="9455" spans="1:2" x14ac:dyDescent="0.25">
      <c r="A9455">
        <f ca="1">26833.0533707227*((RANDBETWEEN(1620,2416)))</f>
        <v>47655502.786403477</v>
      </c>
      <c r="B9455">
        <v>153481030.99178749</v>
      </c>
    </row>
    <row r="9456" spans="1:2" x14ac:dyDescent="0.25">
      <c r="A9456">
        <f ca="1">28286.6258903518*((RANDBETWEEN(1620,2416)))</f>
        <v>46248633.330725215</v>
      </c>
      <c r="B9456">
        <v>150105997.20700657</v>
      </c>
    </row>
    <row r="9457" spans="1:2" x14ac:dyDescent="0.25">
      <c r="A9457">
        <f ca="1">27710.0395589217*((RANDBETWEEN(1620,2416)))</f>
        <v>52455104.885038845</v>
      </c>
      <c r="B9457">
        <v>195171942.32731321</v>
      </c>
    </row>
    <row r="9458" spans="1:2" x14ac:dyDescent="0.25">
      <c r="A9458">
        <f ca="1">29796.8923966573*((RANDBETWEEN(1620,2416)))</f>
        <v>69814118.885368124</v>
      </c>
      <c r="B9458">
        <v>171376011.14770174</v>
      </c>
    </row>
    <row r="9459" spans="1:2" x14ac:dyDescent="0.25">
      <c r="A9459">
        <f ca="1">28220.3883635116*((RANDBETWEEN(1620,2416)))</f>
        <v>67559609.742246687</v>
      </c>
      <c r="B9459">
        <v>175076332.35578108</v>
      </c>
    </row>
    <row r="9460" spans="1:2" x14ac:dyDescent="0.25">
      <c r="A9460">
        <f ca="1">26421.4480184189*((RANDBETWEEN(1620,2416)))</f>
        <v>61746924.019044854</v>
      </c>
      <c r="B9460">
        <v>144636606.92686415</v>
      </c>
    </row>
    <row r="9461" spans="1:2" x14ac:dyDescent="0.25">
      <c r="A9461">
        <f ca="1">32329.7882472132*((RANDBETWEEN(1620,2416)))</f>
        <v>58387597.574466966</v>
      </c>
      <c r="B9461">
        <v>190997131.0777677</v>
      </c>
    </row>
    <row r="9462" spans="1:2" x14ac:dyDescent="0.25">
      <c r="A9462">
        <f ca="1">25140.5753565754*((RANDBETWEEN(1620,2416)))</f>
        <v>43141227.31188333</v>
      </c>
      <c r="B9462">
        <v>172013050.37121683</v>
      </c>
    </row>
    <row r="9463" spans="1:2" x14ac:dyDescent="0.25">
      <c r="A9463">
        <f ca="1">26849.0684686111*((RANDBETWEEN(1620,2416)))</f>
        <v>44462057.384019919</v>
      </c>
      <c r="B9463">
        <v>184657588.35105252</v>
      </c>
    </row>
    <row r="9464" spans="1:2" x14ac:dyDescent="0.25">
      <c r="A9464">
        <f ca="1">26607.0767297137*((RANDBETWEEN(1620,2416)))</f>
        <v>44353996.908432685</v>
      </c>
      <c r="B9464">
        <v>159374889.20629287</v>
      </c>
    </row>
    <row r="9465" spans="1:2" x14ac:dyDescent="0.25">
      <c r="A9465">
        <f ca="1">29646.5023401593*((RANDBETWEEN(1620,2416)))</f>
        <v>65400184.162391387</v>
      </c>
      <c r="B9465">
        <v>199003005.01729485</v>
      </c>
    </row>
    <row r="9466" spans="1:2" x14ac:dyDescent="0.25">
      <c r="A9466">
        <f ca="1">26722.8435539985*((RANDBETWEEN(1620,2416)))</f>
        <v>63279693.535868503</v>
      </c>
      <c r="B9466">
        <v>184189338.60529983</v>
      </c>
    </row>
    <row r="9467" spans="1:2" x14ac:dyDescent="0.25">
      <c r="A9467">
        <f ca="1">27688.8485810576*((RANDBETWEEN(1620,2416)))</f>
        <v>54796231.34191294</v>
      </c>
      <c r="B9467">
        <v>144457940.79086709</v>
      </c>
    </row>
    <row r="9468" spans="1:2" x14ac:dyDescent="0.25">
      <c r="A9468">
        <f ca="1">25435.113777107*((RANDBETWEEN(1620,2416)))</f>
        <v>43061647.624642089</v>
      </c>
      <c r="B9468">
        <v>149488477.35718858</v>
      </c>
    </row>
    <row r="9469" spans="1:2" x14ac:dyDescent="0.25">
      <c r="A9469">
        <f ca="1">28148.7318205512*((RANDBETWEEN(1620,2416)))</f>
        <v>67472510.17386125</v>
      </c>
      <c r="B9469">
        <v>192784139.92961124</v>
      </c>
    </row>
    <row r="9470" spans="1:2" x14ac:dyDescent="0.25">
      <c r="A9470">
        <f ca="1">27706.4713976451*((RANDBETWEEN(1620,2416)))</f>
        <v>51090733.257257566</v>
      </c>
      <c r="B9470">
        <v>195983308.14926589</v>
      </c>
    </row>
    <row r="9471" spans="1:2" x14ac:dyDescent="0.25">
      <c r="A9471">
        <f ca="1">25995.3550875948*((RANDBETWEEN(1620,2416)))</f>
        <v>53680408.255883344</v>
      </c>
      <c r="B9471">
        <v>171402482.88376564</v>
      </c>
    </row>
    <row r="9472" spans="1:2" x14ac:dyDescent="0.25">
      <c r="A9472">
        <f ca="1">30059.2042915613*((RANDBETWEEN(1620,2416)))</f>
        <v>51852127.402943328</v>
      </c>
      <c r="B9472">
        <v>156909809.7560086</v>
      </c>
    </row>
    <row r="9473" spans="1:2" x14ac:dyDescent="0.25">
      <c r="A9473">
        <f ca="1">30461.4584229124*((RANDBETWEEN(1620,2416)))</f>
        <v>70944736.666962877</v>
      </c>
      <c r="B9473">
        <v>173724326.60868451</v>
      </c>
    </row>
    <row r="9474" spans="1:2" x14ac:dyDescent="0.25">
      <c r="A9474">
        <f ca="1">26071.6845407021*((RANDBETWEEN(1620,2416)))</f>
        <v>51178716.753398247</v>
      </c>
      <c r="B9474">
        <v>172753216.43577683</v>
      </c>
    </row>
    <row r="9475" spans="1:2" x14ac:dyDescent="0.25">
      <c r="A9475">
        <f ca="1">31247.004786552*((RANDBETWEEN(1620,2416)))</f>
        <v>69587079.659651369</v>
      </c>
      <c r="B9475">
        <v>180026200.72551849</v>
      </c>
    </row>
    <row r="9476" spans="1:2" x14ac:dyDescent="0.25">
      <c r="A9476">
        <f ca="1">26735.4234460586*((RANDBETWEEN(1620,2416)))</f>
        <v>52962873.84664201</v>
      </c>
      <c r="B9476">
        <v>156723536.85587403</v>
      </c>
    </row>
    <row r="9477" spans="1:2" x14ac:dyDescent="0.25">
      <c r="A9477">
        <f ca="1">29240.1643146518*((RANDBETWEEN(1620,2416)))</f>
        <v>67398578.745272383</v>
      </c>
      <c r="B9477">
        <v>159928617.91338602</v>
      </c>
    </row>
    <row r="9478" spans="1:2" x14ac:dyDescent="0.25">
      <c r="A9478">
        <f ca="1">29467.4933638049*((RANDBETWEEN(1620,2416)))</f>
        <v>55133680.083679028</v>
      </c>
      <c r="B9478">
        <v>197663759.11576682</v>
      </c>
    </row>
    <row r="9479" spans="1:2" x14ac:dyDescent="0.25">
      <c r="A9479">
        <f ca="1">31735.3008545087*((RANDBETWEEN(1620,2416)))</f>
        <v>54902070.47830002</v>
      </c>
      <c r="B9479">
        <v>192308020.8594299</v>
      </c>
    </row>
    <row r="9480" spans="1:2" x14ac:dyDescent="0.25">
      <c r="A9480">
        <f ca="1">26314.9413349098*((RANDBETWEEN(1620,2416)))</f>
        <v>51603599.957758121</v>
      </c>
      <c r="B9480">
        <v>156008664.62305641</v>
      </c>
    </row>
    <row r="9481" spans="1:2" x14ac:dyDescent="0.25">
      <c r="A9481">
        <f ca="1">27038.2885932254*((RANDBETWEEN(1620,2416)))</f>
        <v>62701791.247689746</v>
      </c>
      <c r="B9481">
        <v>148548395.54016724</v>
      </c>
    </row>
    <row r="9482" spans="1:2" x14ac:dyDescent="0.25">
      <c r="A9482">
        <f ca="1">27482.5530702629*((RANDBETWEEN(1620,2416)))</f>
        <v>48231880.638311394</v>
      </c>
      <c r="B9482">
        <v>145964824.5091593</v>
      </c>
    </row>
    <row r="9483" spans="1:2" x14ac:dyDescent="0.25">
      <c r="A9483">
        <f ca="1">30038.3449833742*((RANDBETWEEN(1620,2416)))</f>
        <v>67466122.83265844</v>
      </c>
      <c r="B9483">
        <v>149138781.40603554</v>
      </c>
    </row>
    <row r="9484" spans="1:2" x14ac:dyDescent="0.25">
      <c r="A9484">
        <f ca="1">28526.7890181252*((RANDBETWEEN(1620,2416)))</f>
        <v>60619426.663516141</v>
      </c>
      <c r="B9484">
        <v>162269080.21629688</v>
      </c>
    </row>
    <row r="9485" spans="1:2" x14ac:dyDescent="0.25">
      <c r="A9485">
        <f ca="1">27921.7505424632*((RANDBETWEEN(1620,2416)))</f>
        <v>51348099.247589834</v>
      </c>
      <c r="B9485">
        <v>170682257.83340794</v>
      </c>
    </row>
    <row r="9486" spans="1:2" x14ac:dyDescent="0.25">
      <c r="A9486">
        <f ca="1">25666.2303209311*((RANDBETWEEN(1620,2416)))</f>
        <v>45377895.207406208</v>
      </c>
      <c r="B9486">
        <v>200895384.56085074</v>
      </c>
    </row>
    <row r="9487" spans="1:2" x14ac:dyDescent="0.25">
      <c r="A9487">
        <f ca="1">26224.0134439815*((RANDBETWEEN(1620,2416)))</f>
        <v>44633270.881656475</v>
      </c>
      <c r="B9487">
        <v>148664145.79338777</v>
      </c>
    </row>
    <row r="9488" spans="1:2" x14ac:dyDescent="0.25">
      <c r="A9488">
        <f ca="1">33499.6284135655*((RANDBETWEEN(1620,2416)))</f>
        <v>54905890.969833888</v>
      </c>
      <c r="B9488">
        <v>154163702.33605757</v>
      </c>
    </row>
    <row r="9489" spans="1:2" x14ac:dyDescent="0.25">
      <c r="A9489">
        <f ca="1">29806.6711057415*((RANDBETWEEN(1620,2416)))</f>
        <v>54456788.110189669</v>
      </c>
      <c r="B9489">
        <v>157654653.73214722</v>
      </c>
    </row>
    <row r="9490" spans="1:2" x14ac:dyDescent="0.25">
      <c r="A9490">
        <f ca="1">26863.0063970185*((RANDBETWEEN(1620,2416)))</f>
        <v>51227753.199114352</v>
      </c>
      <c r="B9490">
        <v>157146910.56337243</v>
      </c>
    </row>
    <row r="9491" spans="1:2" x14ac:dyDescent="0.25">
      <c r="A9491">
        <f ca="1">25656.0963236617*((RANDBETWEEN(1620,2416)))</f>
        <v>45950068.515678093</v>
      </c>
      <c r="B9491">
        <v>150668454.60587981</v>
      </c>
    </row>
    <row r="9492" spans="1:2" x14ac:dyDescent="0.25">
      <c r="A9492">
        <f ca="1">30296.7687838332*((RANDBETWEEN(1620,2416)))</f>
        <v>69561381.127681002</v>
      </c>
      <c r="B9492">
        <v>152886917.2262139</v>
      </c>
    </row>
    <row r="9493" spans="1:2" x14ac:dyDescent="0.25">
      <c r="A9493">
        <f ca="1">26765.9678232775*((RANDBETWEEN(1620,2416)))</f>
        <v>62900024.384702064</v>
      </c>
      <c r="B9493">
        <v>169399851.72139287</v>
      </c>
    </row>
    <row r="9494" spans="1:2" x14ac:dyDescent="0.25">
      <c r="A9494">
        <f ca="1">31181.5838684989*((RANDBETWEEN(1620,2416)))</f>
        <v>51013071.208864175</v>
      </c>
      <c r="B9494">
        <v>182028483.86624023</v>
      </c>
    </row>
    <row r="9495" spans="1:2" x14ac:dyDescent="0.25">
      <c r="A9495">
        <f ca="1">27671.9846952275*((RANDBETWEEN(1620,2416)))</f>
        <v>54098730.079169817</v>
      </c>
      <c r="B9495">
        <v>159555745.32447499</v>
      </c>
    </row>
    <row r="9496" spans="1:2" x14ac:dyDescent="0.25">
      <c r="A9496">
        <f ca="1">31976.9974431867*((RANDBETWEEN(1620,2416)))</f>
        <v>56055676.517906241</v>
      </c>
      <c r="B9496">
        <v>156171583.67421836</v>
      </c>
    </row>
    <row r="9497" spans="1:2" x14ac:dyDescent="0.25">
      <c r="A9497">
        <f ca="1">31283.7643857625*((RANDBETWEEN(1620,2416)))</f>
        <v>56248208.36560104</v>
      </c>
      <c r="B9497">
        <v>178781349.41854471</v>
      </c>
    </row>
    <row r="9498" spans="1:2" x14ac:dyDescent="0.25">
      <c r="A9498">
        <f ca="1">27266.196257432*((RANDBETWEEN(1620,2416)))</f>
        <v>56795486.804230846</v>
      </c>
      <c r="B9498">
        <v>147496217.20558003</v>
      </c>
    </row>
    <row r="9499" spans="1:2" x14ac:dyDescent="0.25">
      <c r="A9499">
        <f ca="1">30606.6416759249*((RANDBETWEEN(1620,2416)))</f>
        <v>68069171.087256923</v>
      </c>
      <c r="B9499">
        <v>186635414.02321976</v>
      </c>
    </row>
    <row r="9500" spans="1:2" x14ac:dyDescent="0.25">
      <c r="A9500">
        <f ca="1">26335.6316331436*((RANDBETWEEN(1620,2416)))</f>
        <v>59571198.75417079</v>
      </c>
      <c r="B9500">
        <v>189204863.27015352</v>
      </c>
    </row>
    <row r="9501" spans="1:2" x14ac:dyDescent="0.25">
      <c r="A9501">
        <f ca="1">26960.2420130287*((RANDBETWEEN(1620,2416)))</f>
        <v>59231651.702624053</v>
      </c>
      <c r="B9501">
        <v>175524101.80481768</v>
      </c>
    </row>
    <row r="9502" spans="1:2" x14ac:dyDescent="0.25">
      <c r="A9502">
        <f ca="1">26244.0362087208*((RANDBETWEEN(1620,2416)))</f>
        <v>49023859.637890473</v>
      </c>
      <c r="B9502">
        <v>147466723.45342237</v>
      </c>
    </row>
    <row r="9503" spans="1:2" x14ac:dyDescent="0.25">
      <c r="A9503">
        <f ca="1">25999.7193429097*((RANDBETWEEN(1620,2416)))</f>
        <v>45941504.078921437</v>
      </c>
      <c r="B9503">
        <v>159716669.5901511</v>
      </c>
    </row>
    <row r="9504" spans="1:2" x14ac:dyDescent="0.25">
      <c r="A9504">
        <f ca="1">26064.9815726135*((RANDBETWEEN(1620,2416)))</f>
        <v>45379132.91792012</v>
      </c>
      <c r="B9504">
        <v>153542591.87869638</v>
      </c>
    </row>
    <row r="9505" spans="1:2" x14ac:dyDescent="0.25">
      <c r="A9505">
        <f ca="1">31221.2511314391*((RANDBETWEEN(1620,2416)))</f>
        <v>57946642.09995091</v>
      </c>
      <c r="B9505">
        <v>193638965.0836494</v>
      </c>
    </row>
    <row r="9506" spans="1:2" x14ac:dyDescent="0.25">
      <c r="A9506">
        <f ca="1">27553.0670149313*((RANDBETWEEN(1620,2416)))</f>
        <v>50174135.034189969</v>
      </c>
      <c r="B9506">
        <v>145555147.51577032</v>
      </c>
    </row>
    <row r="9507" spans="1:2" x14ac:dyDescent="0.25">
      <c r="A9507">
        <f ca="1">27544.2745263958*((RANDBETWEEN(1620,2416)))</f>
        <v>59660898.624173351</v>
      </c>
      <c r="B9507">
        <v>186925282.89321849</v>
      </c>
    </row>
    <row r="9508" spans="1:2" x14ac:dyDescent="0.25">
      <c r="A9508">
        <f ca="1">32720.0267485945*((RANDBETWEEN(1620,2416)))</f>
        <v>55624045.472610585</v>
      </c>
      <c r="B9508">
        <v>148717129.63369584</v>
      </c>
    </row>
    <row r="9509" spans="1:2" x14ac:dyDescent="0.25">
      <c r="A9509">
        <f ca="1">26551.7656804232*((RANDBETWEEN(1620,2416)))</f>
        <v>49519042.993989192</v>
      </c>
      <c r="B9509">
        <v>173884962.72914568</v>
      </c>
    </row>
    <row r="9510" spans="1:2" x14ac:dyDescent="0.25">
      <c r="A9510">
        <f ca="1">31507.0252665584*((RANDBETWEEN(1620,2416)))</f>
        <v>68748329.13163054</v>
      </c>
      <c r="B9510">
        <v>175260568.73900974</v>
      </c>
    </row>
    <row r="9511" spans="1:2" x14ac:dyDescent="0.25">
      <c r="A9511">
        <f ca="1">28775.8116175381*((RANDBETWEEN(1620,2416)))</f>
        <v>60860841.571093127</v>
      </c>
      <c r="B9511">
        <v>155289925.10263893</v>
      </c>
    </row>
    <row r="9512" spans="1:2" x14ac:dyDescent="0.25">
      <c r="A9512">
        <f ca="1">25842.7237744102*((RANDBETWEEN(1620,2416)))</f>
        <v>48015780.772854105</v>
      </c>
      <c r="B9512">
        <v>156078014.8954412</v>
      </c>
    </row>
    <row r="9513" spans="1:2" x14ac:dyDescent="0.25">
      <c r="A9513">
        <f ca="1">25340.7349630682*((RANDBETWEEN(1620,2416)))</f>
        <v>57751534.980832383</v>
      </c>
      <c r="B9513">
        <v>149827202.11151582</v>
      </c>
    </row>
    <row r="9514" spans="1:2" x14ac:dyDescent="0.25">
      <c r="A9514">
        <f ca="1">27325.9577622534*((RANDBETWEEN(1620,2416)))</f>
        <v>49979176.747161493</v>
      </c>
      <c r="B9514">
        <v>182470136.59202582</v>
      </c>
    </row>
    <row r="9515" spans="1:2" x14ac:dyDescent="0.25">
      <c r="A9515">
        <f ca="1">26948.3950729633*((RANDBETWEEN(1620,2416)))</f>
        <v>60175766.197926991</v>
      </c>
      <c r="B9515">
        <v>191295038.06688944</v>
      </c>
    </row>
    <row r="9516" spans="1:2" x14ac:dyDescent="0.25">
      <c r="A9516">
        <f ca="1">28776.9620052717*((RANDBETWEEN(1620,2416)))</f>
        <v>47539541.232708834</v>
      </c>
      <c r="B9516">
        <v>164247157.54877716</v>
      </c>
    </row>
    <row r="9517" spans="1:2" x14ac:dyDescent="0.25">
      <c r="A9517">
        <f ca="1">29162.5788654086*((RANDBETWEEN(1620,2416)))</f>
        <v>51413626.539715424</v>
      </c>
      <c r="B9517">
        <v>177411132.87838158</v>
      </c>
    </row>
    <row r="9518" spans="1:2" x14ac:dyDescent="0.25">
      <c r="A9518">
        <f ca="1">25880.8506433083*((RANDBETWEEN(1620,2416)))</f>
        <v>53340433.175858386</v>
      </c>
      <c r="B9518">
        <v>145476356.18499696</v>
      </c>
    </row>
    <row r="9519" spans="1:2" x14ac:dyDescent="0.25">
      <c r="A9519">
        <f ca="1">26653.4557515905*((RANDBETWEEN(1620,2416)))</f>
        <v>62608967.560486078</v>
      </c>
      <c r="B9519">
        <v>175555431.88907826</v>
      </c>
    </row>
    <row r="9520" spans="1:2" x14ac:dyDescent="0.25">
      <c r="A9520">
        <f ca="1">27733.8295339636*((RANDBETWEEN(1620,2416)))</f>
        <v>57353559.476236798</v>
      </c>
      <c r="B9520">
        <v>169337791.26424038</v>
      </c>
    </row>
    <row r="9521" spans="1:2" x14ac:dyDescent="0.25">
      <c r="A9521">
        <f ca="1">26805.8507484545*((RANDBETWEEN(1620,2416)))</f>
        <v>47821637.735242911</v>
      </c>
      <c r="B9521">
        <v>168644347.49536327</v>
      </c>
    </row>
    <row r="9522" spans="1:2" x14ac:dyDescent="0.25">
      <c r="A9522">
        <f ca="1">30985.9374913497*((RANDBETWEEN(1620,2416)))</f>
        <v>69346528.105640694</v>
      </c>
      <c r="B9522">
        <v>151977410.6596683</v>
      </c>
    </row>
    <row r="9523" spans="1:2" x14ac:dyDescent="0.25">
      <c r="A9523">
        <f ca="1">30554.7094711972*((RANDBETWEEN(1620,2416)))</f>
        <v>68748096.310193747</v>
      </c>
      <c r="B9523">
        <v>177454585.29546884</v>
      </c>
    </row>
    <row r="9524" spans="1:2" x14ac:dyDescent="0.25">
      <c r="A9524">
        <f ca="1">29233.9397471354*((RANDBETWEEN(1620,2416)))</f>
        <v>62589864.998616979</v>
      </c>
      <c r="B9524">
        <v>180991759.92190385</v>
      </c>
    </row>
    <row r="9525" spans="1:2" x14ac:dyDescent="0.25">
      <c r="A9525">
        <f ca="1">26743.3839664135*((RANDBETWEEN(1620,2416)))</f>
        <v>61402809.586885504</v>
      </c>
      <c r="B9525">
        <v>177498808.10627353</v>
      </c>
    </row>
    <row r="9526" spans="1:2" x14ac:dyDescent="0.25">
      <c r="A9526">
        <f ca="1">27076.5266022612*((RANDBETWEEN(1620,2416)))</f>
        <v>56265022.279498823</v>
      </c>
      <c r="B9526">
        <v>153051889.4570877</v>
      </c>
    </row>
    <row r="9527" spans="1:2" x14ac:dyDescent="0.25">
      <c r="A9527">
        <f ca="1">26151.588374531*((RANDBETWEEN(1620,2416)))</f>
        <v>50838687.800088234</v>
      </c>
      <c r="B9527">
        <v>150575687.77933979</v>
      </c>
    </row>
    <row r="9528" spans="1:2" x14ac:dyDescent="0.25">
      <c r="A9528">
        <f ca="1">27038.3092478402*((RANDBETWEEN(1620,2416)))</f>
        <v>53049162.744262457</v>
      </c>
      <c r="B9528">
        <v>183243323.11383808</v>
      </c>
    </row>
    <row r="9529" spans="1:2" x14ac:dyDescent="0.25">
      <c r="A9529">
        <f ca="1">27077.4815134616*((RANDBETWEEN(1620,2416)))</f>
        <v>65040110.595334746</v>
      </c>
      <c r="B9529">
        <v>158814123.23782942</v>
      </c>
    </row>
    <row r="9530" spans="1:2" x14ac:dyDescent="0.25">
      <c r="A9530">
        <f ca="1">30643.1457946775*((RANDBETWEEN(1620,2416)))</f>
        <v>53012642.224792033</v>
      </c>
      <c r="B9530">
        <v>153895444.84254798</v>
      </c>
    </row>
    <row r="9531" spans="1:2" x14ac:dyDescent="0.25">
      <c r="A9531">
        <f ca="1">31628.7639702961*((RANDBETWEEN(1620,2416)))</f>
        <v>53452611.109800465</v>
      </c>
      <c r="B9531">
        <v>158190461.98965397</v>
      </c>
    </row>
    <row r="9532" spans="1:2" x14ac:dyDescent="0.25">
      <c r="A9532">
        <f ca="1">28021.4046289404*((RANDBETWEEN(1620,2416)))</f>
        <v>63720674.126210496</v>
      </c>
      <c r="B9532">
        <v>153332844.88847637</v>
      </c>
    </row>
    <row r="9533" spans="1:2" x14ac:dyDescent="0.25">
      <c r="A9533">
        <f ca="1">25326.0615209329*((RANDBETWEEN(1620,2416)))</f>
        <v>46827887.752205014</v>
      </c>
      <c r="B9533">
        <v>160652492.84867871</v>
      </c>
    </row>
    <row r="9534" spans="1:2" x14ac:dyDescent="0.25">
      <c r="A9534">
        <f ca="1">27808.4505204089*((RANDBETWEEN(1620,2416)))</f>
        <v>45188732.095664442</v>
      </c>
      <c r="B9534">
        <v>146403461.30407351</v>
      </c>
    </row>
    <row r="9535" spans="1:2" x14ac:dyDescent="0.25">
      <c r="A9535">
        <f ca="1">26325.0678464379*((RANDBETWEEN(1620,2416)))</f>
        <v>48596075.244524457</v>
      </c>
      <c r="B9535">
        <v>164691108.3361868</v>
      </c>
    </row>
    <row r="9536" spans="1:2" x14ac:dyDescent="0.25">
      <c r="A9536">
        <f ca="1">27904.892648006*((RANDBETWEEN(1620,2416)))</f>
        <v>67278696.174342439</v>
      </c>
      <c r="B9536">
        <v>188443821.08334389</v>
      </c>
    </row>
    <row r="9537" spans="1:2" x14ac:dyDescent="0.25">
      <c r="A9537">
        <f ca="1">26930.1504828941*((RANDBETWEEN(1620,2416)))</f>
        <v>48635851.772106715</v>
      </c>
      <c r="B9537">
        <v>165380752.61416867</v>
      </c>
    </row>
    <row r="9538" spans="1:2" x14ac:dyDescent="0.25">
      <c r="A9538">
        <f ca="1">27383.9311463325*((RANDBETWEEN(1620,2416)))</f>
        <v>45457325.702912003</v>
      </c>
      <c r="B9538">
        <v>162120187.93935028</v>
      </c>
    </row>
    <row r="9539" spans="1:2" x14ac:dyDescent="0.25">
      <c r="A9539">
        <f ca="1">27026.2592993483*((RANDBETWEEN(1620,2416)))</f>
        <v>44296038.99163188</v>
      </c>
      <c r="B9539">
        <v>152019264.49321726</v>
      </c>
    </row>
    <row r="9540" spans="1:2" x14ac:dyDescent="0.25">
      <c r="A9540">
        <f ca="1">27564.2297493465*((RANDBETWEEN(1620,2416)))</f>
        <v>52702807.280750461</v>
      </c>
      <c r="B9540">
        <v>202925279.96388933</v>
      </c>
    </row>
    <row r="9541" spans="1:2" x14ac:dyDescent="0.25">
      <c r="A9541">
        <f ca="1">26327.7825736873*((RANDBETWEEN(1620,2416)))</f>
        <v>52655565.147374697</v>
      </c>
      <c r="B9541">
        <v>165777145.04011977</v>
      </c>
    </row>
    <row r="9542" spans="1:2" x14ac:dyDescent="0.25">
      <c r="A9542">
        <f ca="1">32223.7146095765*((RANDBETWEEN(1620,2416)))</f>
        <v>62320664.054920889</v>
      </c>
      <c r="B9542">
        <v>172543096.85193664</v>
      </c>
    </row>
    <row r="9543" spans="1:2" x14ac:dyDescent="0.25">
      <c r="A9543">
        <f ca="1">29341.9437912249*((RANDBETWEEN(1620,2416)))</f>
        <v>64640302.172068536</v>
      </c>
      <c r="B9543">
        <v>203193550.56467691</v>
      </c>
    </row>
    <row r="9544" spans="1:2" x14ac:dyDescent="0.25">
      <c r="A9544">
        <f ca="1">28527.5829725924*((RANDBETWEEN(1620,2416)))</f>
        <v>68494726.717194244</v>
      </c>
      <c r="B9544">
        <v>152171626.60887104</v>
      </c>
    </row>
    <row r="9545" spans="1:2" x14ac:dyDescent="0.25">
      <c r="A9545">
        <f ca="1">27549.9588414925*((RANDBETWEEN(1620,2416)))</f>
        <v>57083514.719572447</v>
      </c>
      <c r="B9545">
        <v>158899661.5070366</v>
      </c>
    </row>
    <row r="9546" spans="1:2" x14ac:dyDescent="0.25">
      <c r="A9546">
        <f ca="1">26271.0711851914*((RANDBETWEEN(1620,2416)))</f>
        <v>56298905.549865223</v>
      </c>
      <c r="B9546">
        <v>186893831.20818293</v>
      </c>
    </row>
    <row r="9547" spans="1:2" x14ac:dyDescent="0.25">
      <c r="A9547">
        <f ca="1">27013.15479866*((RANDBETWEEN(1620,2416)))</f>
        <v>47110941.968862981</v>
      </c>
      <c r="B9547">
        <v>162431825.00538617</v>
      </c>
    </row>
    <row r="9548" spans="1:2" x14ac:dyDescent="0.25">
      <c r="A9548">
        <f ca="1">26615.6429970376*((RANDBETWEEN(1620,2416)))</f>
        <v>44847358.450008318</v>
      </c>
      <c r="B9548">
        <v>149988843.5148299</v>
      </c>
    </row>
    <row r="9549" spans="1:2" x14ac:dyDescent="0.25">
      <c r="A9549">
        <f ca="1">25822.6205397815*((RANDBETWEEN(1620,2416)))</f>
        <v>45215408.565157391</v>
      </c>
      <c r="B9549">
        <v>151797472.81180495</v>
      </c>
    </row>
    <row r="9550" spans="1:2" x14ac:dyDescent="0.25">
      <c r="A9550">
        <f ca="1">32808.5589217672*((RANDBETWEEN(1620,2416)))</f>
        <v>55479273.136708312</v>
      </c>
      <c r="B9550">
        <v>144925425.34332925</v>
      </c>
    </row>
    <row r="9551" spans="1:2" x14ac:dyDescent="0.25">
      <c r="A9551">
        <f ca="1">27033.8437725048*((RANDBETWEEN(1620,2416)))</f>
        <v>44119233.036727794</v>
      </c>
      <c r="B9551">
        <v>147991137.50825301</v>
      </c>
    </row>
    <row r="9552" spans="1:2" x14ac:dyDescent="0.25">
      <c r="A9552">
        <f ca="1">29875.3862018154*((RANDBETWEEN(1620,2416)))</f>
        <v>70087656.02945891</v>
      </c>
      <c r="B9552">
        <v>197537414.76676902</v>
      </c>
    </row>
    <row r="9553" spans="1:2" x14ac:dyDescent="0.25">
      <c r="A9553">
        <f ca="1">27683.7002944851*((RANDBETWEEN(1620,2416)))</f>
        <v>52349877.256871268</v>
      </c>
      <c r="B9553">
        <v>151406164.52714181</v>
      </c>
    </row>
    <row r="9554" spans="1:2" x14ac:dyDescent="0.25">
      <c r="A9554">
        <f ca="1">27270.0256996482*((RANDBETWEEN(1620,2416)))</f>
        <v>55058181.887589738</v>
      </c>
      <c r="B9554">
        <v>167866277.30534562</v>
      </c>
    </row>
    <row r="9555" spans="1:2" x14ac:dyDescent="0.25">
      <c r="A9555">
        <f ca="1">30454.3533666302*((RANDBETWEEN(1620,2416)))</f>
        <v>66146855.512320854</v>
      </c>
      <c r="B9555">
        <v>146654231.15048078</v>
      </c>
    </row>
    <row r="9556" spans="1:2" x14ac:dyDescent="0.25">
      <c r="A9556">
        <f ca="1">29521.0227093325*((RANDBETWEEN(1620,2416)))</f>
        <v>70614286.3207234</v>
      </c>
      <c r="B9556">
        <v>193066590.99937844</v>
      </c>
    </row>
    <row r="9557" spans="1:2" x14ac:dyDescent="0.25">
      <c r="A9557">
        <f ca="1">29340.6437399651*((RANDBETWEEN(1620,2416)))</f>
        <v>54338872.206415437</v>
      </c>
      <c r="B9557">
        <v>200753975.2927531</v>
      </c>
    </row>
    <row r="9558" spans="1:2" x14ac:dyDescent="0.25">
      <c r="A9558">
        <f ca="1">28552.5991946016*((RANDBETWEEN(1620,2416)))</f>
        <v>58161644.559403375</v>
      </c>
      <c r="B9558">
        <v>163683091.13398832</v>
      </c>
    </row>
    <row r="9559" spans="1:2" x14ac:dyDescent="0.25">
      <c r="A9559">
        <f ca="1">29021.4563090683*((RANDBETWEEN(1620,2416)))</f>
        <v>59145727.957881123</v>
      </c>
      <c r="B9559">
        <v>154719160.88414177</v>
      </c>
    </row>
    <row r="9560" spans="1:2" x14ac:dyDescent="0.25">
      <c r="A9560">
        <f ca="1">27133.0683505548*((RANDBETWEEN(1620,2416)))</f>
        <v>63464246.871947743</v>
      </c>
      <c r="B9560">
        <v>177325433.90018022</v>
      </c>
    </row>
    <row r="9561" spans="1:2" x14ac:dyDescent="0.25">
      <c r="A9561">
        <f ca="1">29762.2518320399*((RANDBETWEEN(1620,2416)))</f>
        <v>56101844.703395233</v>
      </c>
      <c r="B9561">
        <v>196676473.87505969</v>
      </c>
    </row>
    <row r="9562" spans="1:2" x14ac:dyDescent="0.25">
      <c r="A9562">
        <f ca="1">26191.4534900563*((RANDBETWEEN(1620,2416)))</f>
        <v>60004619.945718937</v>
      </c>
      <c r="B9562">
        <v>164235826.75847197</v>
      </c>
    </row>
    <row r="9563" spans="1:2" x14ac:dyDescent="0.25">
      <c r="A9563">
        <f ca="1">26796.8898757951*((RANDBETWEEN(1620,2416)))</f>
        <v>59944642.652153611</v>
      </c>
      <c r="B9563">
        <v>166733874.40296632</v>
      </c>
    </row>
    <row r="9564" spans="1:2" x14ac:dyDescent="0.25">
      <c r="A9564">
        <f ca="1">28606.489461155*((RANDBETWEEN(1620,2416)))</f>
        <v>51520287.519540168</v>
      </c>
      <c r="B9564">
        <v>144276353.27106306</v>
      </c>
    </row>
    <row r="9565" spans="1:2" x14ac:dyDescent="0.25">
      <c r="A9565">
        <f ca="1">26566.8943088253*((RANDBETWEEN(1620,2416)))</f>
        <v>57437625.495680258</v>
      </c>
      <c r="B9565">
        <v>158651161.39061078</v>
      </c>
    </row>
    <row r="9566" spans="1:2" x14ac:dyDescent="0.25">
      <c r="A9566">
        <f ca="1">28850.5618783256*((RANDBETWEEN(1620,2416)))</f>
        <v>63009627.142263085</v>
      </c>
      <c r="B9566">
        <v>170252332.65526339</v>
      </c>
    </row>
    <row r="9567" spans="1:2" x14ac:dyDescent="0.25">
      <c r="A9567">
        <f ca="1">27694.7043177518*((RANDBETWEEN(1620,2416)))</f>
        <v>48382648.443112351</v>
      </c>
      <c r="B9567">
        <v>195110171.62934107</v>
      </c>
    </row>
    <row r="9568" spans="1:2" x14ac:dyDescent="0.25">
      <c r="A9568">
        <f ca="1">25872.5707223711*((RANDBETWEEN(1620,2416)))</f>
        <v>50684366.045125008</v>
      </c>
      <c r="B9568">
        <v>161231410.85621631</v>
      </c>
    </row>
    <row r="9569" spans="1:2" x14ac:dyDescent="0.25">
      <c r="A9569">
        <f ca="1">28114.8965456389*((RANDBETWEEN(1620,2416)))</f>
        <v>46333349.507212915</v>
      </c>
      <c r="B9569">
        <v>152532582.36180961</v>
      </c>
    </row>
    <row r="9570" spans="1:2" x14ac:dyDescent="0.25">
      <c r="A9570">
        <f ca="1">27224.8131544377*((RANDBETWEEN(1620,2416)))</f>
        <v>44104197.31018912</v>
      </c>
      <c r="B9570">
        <v>155130860.7058554</v>
      </c>
    </row>
    <row r="9571" spans="1:2" x14ac:dyDescent="0.25">
      <c r="A9571">
        <f ca="1">29408.0483066424*((RANDBETWEEN(1620,2416)))</f>
        <v>56669309.086899862</v>
      </c>
      <c r="B9571">
        <v>170055313.91769642</v>
      </c>
    </row>
    <row r="9572" spans="1:2" x14ac:dyDescent="0.25">
      <c r="A9572">
        <f ca="1">26062.620398573*((RANDBETWEEN(1620,2416)))</f>
        <v>53767185.882256031</v>
      </c>
      <c r="B9572">
        <v>158504116.48833731</v>
      </c>
    </row>
    <row r="9573" spans="1:2" x14ac:dyDescent="0.25">
      <c r="A9573">
        <f ca="1">26735.6881352111*((RANDBETWEEN(1620,2416)))</f>
        <v>62935809.870286852</v>
      </c>
      <c r="B9573">
        <v>143511797.85280514</v>
      </c>
    </row>
    <row r="9574" spans="1:2" x14ac:dyDescent="0.25">
      <c r="A9574">
        <f ca="1">26739.90688719*((RANDBETWEEN(1620,2416)))</f>
        <v>47971392.955618821</v>
      </c>
      <c r="B9574">
        <v>174467980.51872334</v>
      </c>
    </row>
    <row r="9575" spans="1:2" x14ac:dyDescent="0.25">
      <c r="A9575">
        <f ca="1">26087.3170563023*((RANDBETWEEN(1620,2416)))</f>
        <v>43487557.532856002</v>
      </c>
      <c r="B9575">
        <v>153224782.74168476</v>
      </c>
    </row>
    <row r="9576" spans="1:2" x14ac:dyDescent="0.25">
      <c r="A9576">
        <f ca="1">26040.2506270748*((RANDBETWEEN(1620,2416)))</f>
        <v>58043718.647749759</v>
      </c>
      <c r="B9576">
        <v>179340669.39499149</v>
      </c>
    </row>
    <row r="9577" spans="1:2" x14ac:dyDescent="0.25">
      <c r="A9577">
        <f ca="1">26174.4503094328*((RANDBETWEEN(1620,2416)))</f>
        <v>49679106.687303469</v>
      </c>
      <c r="B9577">
        <v>159854162.13694459</v>
      </c>
    </row>
    <row r="9578" spans="1:2" x14ac:dyDescent="0.25">
      <c r="A9578">
        <f ca="1">26905.2586062828*((RANDBETWEEN(1620,2416)))</f>
        <v>63953799.707134224</v>
      </c>
      <c r="B9578">
        <v>155081517.80877516</v>
      </c>
    </row>
    <row r="9579" spans="1:2" x14ac:dyDescent="0.25">
      <c r="A9579">
        <f ca="1">25989.0623028999*((RANDBETWEEN(1620,2416)))</f>
        <v>59281051.112914629</v>
      </c>
      <c r="B9579">
        <v>157721157.28457871</v>
      </c>
    </row>
    <row r="9580" spans="1:2" x14ac:dyDescent="0.25">
      <c r="A9580">
        <f ca="1">26707.765664028*((RANDBETWEEN(1620,2416)))</f>
        <v>45082708.440879285</v>
      </c>
      <c r="B9580">
        <v>191564057.59277478</v>
      </c>
    </row>
    <row r="9581" spans="1:2" x14ac:dyDescent="0.25">
      <c r="A9581">
        <f ca="1">27308.9055957051*((RANDBETWEEN(1620,2416)))</f>
        <v>63465896.604418591</v>
      </c>
      <c r="B9581">
        <v>149314014.84326917</v>
      </c>
    </row>
    <row r="9582" spans="1:2" x14ac:dyDescent="0.25">
      <c r="A9582">
        <f ca="1">27448.1030140572*((RANDBETWEEN(1620,2416)))</f>
        <v>46277501.681700423</v>
      </c>
      <c r="B9582">
        <v>156147285.0975821</v>
      </c>
    </row>
    <row r="9583" spans="1:2" x14ac:dyDescent="0.25">
      <c r="A9583">
        <f ca="1">27610.7324117345*((RANDBETWEEN(1620,2416)))</f>
        <v>60080953.727934375</v>
      </c>
      <c r="B9583">
        <v>199705824.40537709</v>
      </c>
    </row>
    <row r="9584" spans="1:2" x14ac:dyDescent="0.25">
      <c r="A9584">
        <f ca="1">28352.6861648025*((RANDBETWEEN(1620,2416)))</f>
        <v>48454740.655647501</v>
      </c>
      <c r="B9584">
        <v>180900621.60975862</v>
      </c>
    </row>
    <row r="9585" spans="1:2" x14ac:dyDescent="0.25">
      <c r="A9585">
        <f ca="1">29855.325633717*((RANDBETWEEN(1620,2416)))</f>
        <v>70070449.26233387</v>
      </c>
      <c r="B9585">
        <v>203631316.93064255</v>
      </c>
    </row>
    <row r="9586" spans="1:2" x14ac:dyDescent="0.25">
      <c r="A9586">
        <f ca="1">26972.9164915392*((RANDBETWEEN(1620,2416)))</f>
        <v>64276459.999337971</v>
      </c>
      <c r="B9586">
        <v>151484049.40391183</v>
      </c>
    </row>
    <row r="9587" spans="1:2" x14ac:dyDescent="0.25">
      <c r="A9587">
        <f ca="1">28361.7632053093*((RANDBETWEEN(1620,2416)))</f>
        <v>51618409.03366299</v>
      </c>
      <c r="B9587">
        <v>149218899.1968455</v>
      </c>
    </row>
    <row r="9588" spans="1:2" x14ac:dyDescent="0.25">
      <c r="A9588">
        <f ca="1">26165.0964805496*((RANDBETWEEN(1620,2416)))</f>
        <v>44428333.823973142</v>
      </c>
      <c r="B9588">
        <v>162791349.77714401</v>
      </c>
    </row>
    <row r="9589" spans="1:2" x14ac:dyDescent="0.25">
      <c r="A9589">
        <f ca="1">28180.0750679979*((RANDBETWEEN(1620,2416)))</f>
        <v>47286165.964100525</v>
      </c>
      <c r="B9589">
        <v>157551923.99210399</v>
      </c>
    </row>
    <row r="9590" spans="1:2" x14ac:dyDescent="0.25">
      <c r="A9590">
        <f ca="1">31534.4364701956*((RANDBETWEEN(1620,2416)))</f>
        <v>71236291.986171827</v>
      </c>
      <c r="B9590">
        <v>200009347.86217022</v>
      </c>
    </row>
    <row r="9591" spans="1:2" x14ac:dyDescent="0.25">
      <c r="A9591">
        <f ca="1">26213.5257542017*((RANDBETWEEN(1620,2416)))</f>
        <v>51614432.210023239</v>
      </c>
      <c r="B9591">
        <v>154283768.73506981</v>
      </c>
    </row>
    <row r="9592" spans="1:2" x14ac:dyDescent="0.25">
      <c r="A9592">
        <f ca="1">30345.195571633*((RANDBETWEEN(1620,2416)))</f>
        <v>70856031.659763038</v>
      </c>
      <c r="B9592">
        <v>162299152.49213591</v>
      </c>
    </row>
    <row r="9593" spans="1:2" x14ac:dyDescent="0.25">
      <c r="A9593">
        <f ca="1">33045.2011692859*((RANDBETWEEN(1620,2416)))</f>
        <v>66685215.959618844</v>
      </c>
      <c r="B9593">
        <v>202353577.49750167</v>
      </c>
    </row>
    <row r="9594" spans="1:2" x14ac:dyDescent="0.25">
      <c r="A9594">
        <f ca="1">25993.3597862464*((RANDBETWEEN(1620,2416)))</f>
        <v>62462043.566349991</v>
      </c>
      <c r="B9594">
        <v>145040970.21177119</v>
      </c>
    </row>
    <row r="9595" spans="1:2" x14ac:dyDescent="0.25">
      <c r="A9595">
        <f ca="1">25723.3503966416*((RANDBETWEEN(1620,2416)))</f>
        <v>45401713.450072497</v>
      </c>
      <c r="B9595">
        <v>151029231.91538784</v>
      </c>
    </row>
    <row r="9596" spans="1:2" x14ac:dyDescent="0.25">
      <c r="A9596">
        <f ca="1">25904.9335430639*((RANDBETWEEN(1620,2416)))</f>
        <v>53934071.636659108</v>
      </c>
      <c r="B9596">
        <v>145648931.23621088</v>
      </c>
    </row>
    <row r="9597" spans="1:2" x14ac:dyDescent="0.25">
      <c r="A9597">
        <f ca="1">26594.3976927676*((RANDBETWEEN(1620,2416)))</f>
        <v>63720176.871871248</v>
      </c>
      <c r="B9597">
        <v>146922544.99546653</v>
      </c>
    </row>
    <row r="9598" spans="1:2" x14ac:dyDescent="0.25">
      <c r="A9598">
        <f ca="1">25076.8881160684*((RANDBETWEEN(1620,2416)))</f>
        <v>53714694.344618581</v>
      </c>
      <c r="B9598">
        <v>145728462.58473063</v>
      </c>
    </row>
    <row r="9599" spans="1:2" x14ac:dyDescent="0.25">
      <c r="A9599">
        <f ca="1">30090.2224738754*((RANDBETWEEN(1620,2416)))</f>
        <v>58074129.374579608</v>
      </c>
      <c r="B9599">
        <v>148591607.37970597</v>
      </c>
    </row>
    <row r="9600" spans="1:2" x14ac:dyDescent="0.25">
      <c r="A9600">
        <f ca="1">27518.4701695858*((RANDBETWEEN(1620,2416)))</f>
        <v>56577974.668668382</v>
      </c>
      <c r="B9600">
        <v>171421743.63316143</v>
      </c>
    </row>
    <row r="9601" spans="1:2" x14ac:dyDescent="0.25">
      <c r="A9601">
        <f ca="1">28613.5098926867*((RANDBETWEEN(1620,2416)))</f>
        <v>48929101.916494213</v>
      </c>
      <c r="B9601">
        <v>191606827.80312875</v>
      </c>
    </row>
    <row r="9602" spans="1:2" x14ac:dyDescent="0.25">
      <c r="A9602">
        <f ca="1">29863.6004455142*((RANDBETWEEN(1620,2416)))</f>
        <v>66565965.393051222</v>
      </c>
      <c r="B9602">
        <v>190161688.4120554</v>
      </c>
    </row>
    <row r="9603" spans="1:2" x14ac:dyDescent="0.25">
      <c r="A9603">
        <f ca="1">29565.8820712725*((RANDBETWEEN(1620,2416)))</f>
        <v>57919562.977622762</v>
      </c>
      <c r="B9603">
        <v>175757035.91452911</v>
      </c>
    </row>
    <row r="9604" spans="1:2" x14ac:dyDescent="0.25">
      <c r="A9604">
        <f ca="1">26543.9299429319*((RANDBETWEEN(1620,2416)))</f>
        <v>62351691.435947068</v>
      </c>
      <c r="B9604">
        <v>173395314.16461262</v>
      </c>
    </row>
    <row r="9605" spans="1:2" x14ac:dyDescent="0.25">
      <c r="A9605">
        <f ca="1">27678.2547608478*((RANDBETWEEN(1620,2416)))</f>
        <v>64296585.809449658</v>
      </c>
      <c r="B9605">
        <v>156040894.69878423</v>
      </c>
    </row>
    <row r="9606" spans="1:2" x14ac:dyDescent="0.25">
      <c r="A9606">
        <f ca="1">26250.9480761077*((RANDBETWEEN(1620,2416)))</f>
        <v>42579037.779446691</v>
      </c>
      <c r="B9606">
        <v>180060016.90550828</v>
      </c>
    </row>
    <row r="9607" spans="1:2" x14ac:dyDescent="0.25">
      <c r="A9607">
        <f ca="1">28192.5856969569*((RANDBETWEEN(1620,2416)))</f>
        <v>53904223.852581635</v>
      </c>
      <c r="B9607">
        <v>165394320.45507175</v>
      </c>
    </row>
    <row r="9608" spans="1:2" x14ac:dyDescent="0.25">
      <c r="A9608">
        <f ca="1">27310.4531641644*((RANDBETWEEN(1620,2416)))</f>
        <v>55576772.189074598</v>
      </c>
      <c r="B9608">
        <v>180383309.33164471</v>
      </c>
    </row>
    <row r="9609" spans="1:2" x14ac:dyDescent="0.25">
      <c r="A9609">
        <f ca="1">31709.2424551424*((RANDBETWEEN(1620,2416)))</f>
        <v>56918090.206980668</v>
      </c>
      <c r="B9609">
        <v>199621823.20552841</v>
      </c>
    </row>
    <row r="9610" spans="1:2" x14ac:dyDescent="0.25">
      <c r="A9610">
        <f ca="1">31721.7139815915*((RANDBETWEEN(1620,2416)))</f>
        <v>58970666.291778602</v>
      </c>
      <c r="B9610">
        <v>167704444.17499691</v>
      </c>
    </row>
    <row r="9611" spans="1:2" x14ac:dyDescent="0.25">
      <c r="A9611">
        <f ca="1">26716.362468259*((RANDBETWEEN(1620,2416)))</f>
        <v>57173015.682074234</v>
      </c>
      <c r="B9611">
        <v>182687501.62423146</v>
      </c>
    </row>
    <row r="9612" spans="1:2" x14ac:dyDescent="0.25">
      <c r="A9612">
        <f ca="1">30102.6187016028*((RANDBETWEEN(1620,2416)))</f>
        <v>51054041.317918286</v>
      </c>
      <c r="B9612">
        <v>175316205.7419219</v>
      </c>
    </row>
    <row r="9613" spans="1:2" x14ac:dyDescent="0.25">
      <c r="A9613">
        <f ca="1">30778.7762330756*((RANDBETWEEN(1620,2416)))</f>
        <v>52108468.162596971</v>
      </c>
      <c r="B9613">
        <v>178970620.76913977</v>
      </c>
    </row>
    <row r="9614" spans="1:2" x14ac:dyDescent="0.25">
      <c r="A9614">
        <f ca="1">29030.0061566882*((RANDBETWEEN(1620,2416)))</f>
        <v>65085273.803294934</v>
      </c>
      <c r="B9614">
        <v>187067267.2900494</v>
      </c>
    </row>
    <row r="9615" spans="1:2" x14ac:dyDescent="0.25">
      <c r="A9615">
        <f ca="1">26920.1042717558*((RANDBETWEEN(1620,2416)))</f>
        <v>61727799.095135972</v>
      </c>
      <c r="B9615">
        <v>160224267.18867964</v>
      </c>
    </row>
    <row r="9616" spans="1:2" x14ac:dyDescent="0.25">
      <c r="A9616">
        <f ca="1">26388.8902441972*((RANDBETWEEN(1620,2416)))</f>
        <v>44016668.927320845</v>
      </c>
      <c r="B9616">
        <v>156033131.41900653</v>
      </c>
    </row>
    <row r="9617" spans="1:2" x14ac:dyDescent="0.25">
      <c r="A9617">
        <f ca="1">29269.0078136451*((RANDBETWEEN(1620,2416)))</f>
        <v>68723630.346438572</v>
      </c>
      <c r="B9617">
        <v>193446290.75327986</v>
      </c>
    </row>
    <row r="9618" spans="1:2" x14ac:dyDescent="0.25">
      <c r="A9618">
        <f ca="1">27506.8221266724*((RANDBETWEEN(1620,2416)))</f>
        <v>49127184.318236865</v>
      </c>
      <c r="B9618">
        <v>159299963.10113323</v>
      </c>
    </row>
    <row r="9619" spans="1:2" x14ac:dyDescent="0.25">
      <c r="A9619">
        <f ca="1">29335.79381214*((RANDBETWEEN(1620,2416)))</f>
        <v>61135794.304499842</v>
      </c>
      <c r="B9619">
        <v>183979345.17492533</v>
      </c>
    </row>
    <row r="9620" spans="1:2" x14ac:dyDescent="0.25">
      <c r="A9620">
        <f ca="1">26885.5645204785*((RANDBETWEEN(1620,2416)))</f>
        <v>55464919.605747238</v>
      </c>
      <c r="B9620">
        <v>160330813.59861875</v>
      </c>
    </row>
    <row r="9621" spans="1:2" x14ac:dyDescent="0.25">
      <c r="A9621">
        <f ca="1">29622.7294016314*((RANDBETWEEN(1620,2416)))</f>
        <v>61911504.449409701</v>
      </c>
      <c r="B9621">
        <v>181202625.84644723</v>
      </c>
    </row>
    <row r="9622" spans="1:2" x14ac:dyDescent="0.25">
      <c r="A9622">
        <f ca="1">31481.4364161546*((RANDBETWEEN(1620,2416)))</f>
        <v>70959157.682012469</v>
      </c>
      <c r="B9622">
        <v>199892046.81889886</v>
      </c>
    </row>
    <row r="9623" spans="1:2" x14ac:dyDescent="0.25">
      <c r="A9623">
        <f ca="1">27357.0595278804*((RANDBETWEEN(1620,2416)))</f>
        <v>63276878.687987328</v>
      </c>
      <c r="B9623">
        <v>192739589.71584848</v>
      </c>
    </row>
    <row r="9624" spans="1:2" x14ac:dyDescent="0.25">
      <c r="A9624">
        <f ca="1">26435.3746123507*((RANDBETWEEN(1620,2416)))</f>
        <v>63101239.199681111</v>
      </c>
      <c r="B9624">
        <v>145552979.96518105</v>
      </c>
    </row>
    <row r="9625" spans="1:2" x14ac:dyDescent="0.25">
      <c r="A9625">
        <f ca="1">26560.3501509371*((RANDBETWEEN(1620,2416)))</f>
        <v>43160568.995272793</v>
      </c>
      <c r="B9625">
        <v>150738829.37775186</v>
      </c>
    </row>
    <row r="9626" spans="1:2" x14ac:dyDescent="0.25">
      <c r="A9626">
        <f ca="1">25814.3183800794*((RANDBETWEEN(1620,2416)))</f>
        <v>60044104.552064672</v>
      </c>
      <c r="B9626">
        <v>149388453.70233405</v>
      </c>
    </row>
    <row r="9627" spans="1:2" x14ac:dyDescent="0.25">
      <c r="A9627">
        <f ca="1">26662.8120830048*((RANDBETWEEN(1620,2416)))</f>
        <v>53618915.098922558</v>
      </c>
      <c r="B9627">
        <v>149519532.52464566</v>
      </c>
    </row>
    <row r="9628" spans="1:2" x14ac:dyDescent="0.25">
      <c r="A9628">
        <f ca="1">32004.105159943*((RANDBETWEEN(1620,2416)))</f>
        <v>60775795.698731676</v>
      </c>
      <c r="B9628">
        <v>203242733.16041768</v>
      </c>
    </row>
    <row r="9629" spans="1:2" x14ac:dyDescent="0.25">
      <c r="A9629">
        <f ca="1">27313.9628637081*((RANDBETWEEN(1620,2416)))</f>
        <v>57687089.568151467</v>
      </c>
      <c r="B9629">
        <v>181001831.12724525</v>
      </c>
    </row>
    <row r="9630" spans="1:2" x14ac:dyDescent="0.25">
      <c r="A9630">
        <f ca="1">29413.5097757418*((RANDBETWEEN(1620,2416)))</f>
        <v>64856789.055510767</v>
      </c>
      <c r="B9630">
        <v>144789937.30016795</v>
      </c>
    </row>
    <row r="9631" spans="1:2" x14ac:dyDescent="0.25">
      <c r="A9631">
        <f ca="1">26119.0047991328*((RANDBETWEEN(1620,2416)))</f>
        <v>43540381.000154316</v>
      </c>
      <c r="B9631">
        <v>157475779.71417624</v>
      </c>
    </row>
    <row r="9632" spans="1:2" x14ac:dyDescent="0.25">
      <c r="A9632">
        <f ca="1">30865.3784867282*((RANDBETWEEN(1620,2416)))</f>
        <v>64724698.686669104</v>
      </c>
      <c r="B9632">
        <v>154561622.87419188</v>
      </c>
    </row>
    <row r="9633" spans="1:2" x14ac:dyDescent="0.25">
      <c r="A9633">
        <f ca="1">31633.4283891974*((RANDBETWEEN(1620,2416)))</f>
        <v>71048680.162137315</v>
      </c>
      <c r="B9633">
        <v>172926406.78138632</v>
      </c>
    </row>
    <row r="9634" spans="1:2" x14ac:dyDescent="0.25">
      <c r="A9634">
        <f ca="1">26892.0172328952*((RANDBETWEEN(1620,2416)))</f>
        <v>61636503.49779588</v>
      </c>
      <c r="B9634">
        <v>153208433.84246558</v>
      </c>
    </row>
    <row r="9635" spans="1:2" x14ac:dyDescent="0.25">
      <c r="A9635">
        <f ca="1">31503.3457242494*((RANDBETWEEN(1620,2416)))</f>
        <v>74473909.292125702</v>
      </c>
      <c r="B9635">
        <v>168450561.22237271</v>
      </c>
    </row>
    <row r="9636" spans="1:2" x14ac:dyDescent="0.25">
      <c r="A9636">
        <f ca="1">26838.6544837421*((RANDBETWEEN(1620,2416)))</f>
        <v>60011231.425647281</v>
      </c>
      <c r="B9636">
        <v>150519839.88559282</v>
      </c>
    </row>
    <row r="9637" spans="1:2" x14ac:dyDescent="0.25">
      <c r="A9637">
        <f ca="1">30807.7396076248*((RANDBETWEEN(1620,2416)))</f>
        <v>53266581.781583197</v>
      </c>
      <c r="B9637">
        <v>169261040.16952857</v>
      </c>
    </row>
    <row r="9638" spans="1:2" x14ac:dyDescent="0.25">
      <c r="A9638">
        <f ca="1">26683.7980538333*((RANDBETWEEN(1620,2416)))</f>
        <v>50352326.927583411</v>
      </c>
      <c r="B9638">
        <v>170507610.38373321</v>
      </c>
    </row>
    <row r="9639" spans="1:2" x14ac:dyDescent="0.25">
      <c r="A9639">
        <f ca="1">27166.5285706921*((RANDBETWEEN(1620,2416)))</f>
        <v>64520505.355393827</v>
      </c>
      <c r="B9639">
        <v>182757381.42720947</v>
      </c>
    </row>
    <row r="9640" spans="1:2" x14ac:dyDescent="0.25">
      <c r="A9640">
        <f ca="1">29576.7364206099*((RANDBETWEEN(1620,2416)))</f>
        <v>61963262.801177688</v>
      </c>
      <c r="B9640">
        <v>194207279.86277363</v>
      </c>
    </row>
    <row r="9641" spans="1:2" x14ac:dyDescent="0.25">
      <c r="A9641">
        <f ca="1">30789.6242010755*((RANDBETWEEN(1620,2416)))</f>
        <v>52588678.135437027</v>
      </c>
      <c r="B9641">
        <v>183325360.81852287</v>
      </c>
    </row>
    <row r="9642" spans="1:2" x14ac:dyDescent="0.25">
      <c r="A9642">
        <f ca="1">30001.6408195293*((RANDBETWEEN(1620,2416)))</f>
        <v>50612768.062545888</v>
      </c>
      <c r="B9642">
        <v>188778320.63162029</v>
      </c>
    </row>
    <row r="9643" spans="1:2" x14ac:dyDescent="0.25">
      <c r="A9643">
        <f ca="1">28929.6702097944*((RANDBETWEEN(1620,2416)))</f>
        <v>57049309.653714463</v>
      </c>
      <c r="B9643">
        <v>188809576.34425867</v>
      </c>
    </row>
    <row r="9644" spans="1:2" x14ac:dyDescent="0.25">
      <c r="A9644">
        <f ca="1">26191.8988885871*((RANDBETWEEN(1620,2416)))</f>
        <v>51414697.518296562</v>
      </c>
      <c r="B9644">
        <v>144364776.08117023</v>
      </c>
    </row>
    <row r="9645" spans="1:2" x14ac:dyDescent="0.25">
      <c r="A9645">
        <f ca="1">27404.0717088598*((RANDBETWEEN(1620,2416)))</f>
        <v>56096134.788036048</v>
      </c>
      <c r="B9645">
        <v>195370580.52533346</v>
      </c>
    </row>
    <row r="9646" spans="1:2" x14ac:dyDescent="0.25">
      <c r="A9646">
        <f ca="1">28164.5078325392*((RANDBETWEEN(1620,2416)))</f>
        <v>64750203.507007778</v>
      </c>
      <c r="B9646">
        <v>197926955.14689842</v>
      </c>
    </row>
    <row r="9647" spans="1:2" x14ac:dyDescent="0.25">
      <c r="A9647">
        <f ca="1">26876.0464720261*((RANDBETWEEN(1620,2416)))</f>
        <v>43861707.842346653</v>
      </c>
      <c r="B9647">
        <v>155525276.76311389</v>
      </c>
    </row>
    <row r="9648" spans="1:2" x14ac:dyDescent="0.25">
      <c r="A9648">
        <f ca="1">26967.6000614253*((RANDBETWEEN(1620,2416)))</f>
        <v>50726055.715540975</v>
      </c>
      <c r="B9648">
        <v>167576166.05121729</v>
      </c>
    </row>
    <row r="9649" spans="1:2" x14ac:dyDescent="0.25">
      <c r="A9649">
        <f ca="1">26087.5123817431*((RANDBETWEEN(1620,2416)))</f>
        <v>42679170.256531745</v>
      </c>
      <c r="B9649">
        <v>148916157.96987033</v>
      </c>
    </row>
    <row r="9650" spans="1:2" x14ac:dyDescent="0.25">
      <c r="A9650">
        <f ca="1">27421.1971719621*((RANDBETWEEN(1620,2416)))</f>
        <v>46807983.572539292</v>
      </c>
      <c r="B9650">
        <v>159206096.31342447</v>
      </c>
    </row>
    <row r="9651" spans="1:2" x14ac:dyDescent="0.25">
      <c r="A9651">
        <f ca="1">27445.1205815485*((RANDBETWEEN(1620,2416)))</f>
        <v>58677667.803350702</v>
      </c>
      <c r="B9651">
        <v>202235718.02053183</v>
      </c>
    </row>
    <row r="9652" spans="1:2" x14ac:dyDescent="0.25">
      <c r="A9652">
        <f ca="1">30811.2328877768*((RANDBETWEEN(1620,2416)))</f>
        <v>57740250.431693785</v>
      </c>
      <c r="B9652">
        <v>146278529.37008455</v>
      </c>
    </row>
    <row r="9653" spans="1:2" x14ac:dyDescent="0.25">
      <c r="A9653">
        <f ca="1">27420.6224188843*((RANDBETWEEN(1620,2416)))</f>
        <v>48123192.345141955</v>
      </c>
      <c r="B9653">
        <v>163894699.04997665</v>
      </c>
    </row>
    <row r="9654" spans="1:2" x14ac:dyDescent="0.25">
      <c r="A9654">
        <f ca="1">27633.6688715762*((RANDBETWEEN(1620,2416)))</f>
        <v>47336474.777010038</v>
      </c>
      <c r="B9654">
        <v>174761854.74353075</v>
      </c>
    </row>
    <row r="9655" spans="1:2" x14ac:dyDescent="0.25">
      <c r="A9655">
        <f ca="1">31141.8586257957*((RANDBETWEEN(1620,2416)))</f>
        <v>70069181.90804027</v>
      </c>
      <c r="B9655">
        <v>171533939.50709969</v>
      </c>
    </row>
    <row r="9656" spans="1:2" x14ac:dyDescent="0.25">
      <c r="A9656">
        <f ca="1">27989.1667405955*((RANDBETWEEN(1620,2416)))</f>
        <v>50576424.300256021</v>
      </c>
      <c r="B9656">
        <v>150578387.73552501</v>
      </c>
    </row>
    <row r="9657" spans="1:2" x14ac:dyDescent="0.25">
      <c r="A9657">
        <f ca="1">29974.7854324913*((RANDBETWEEN(1620,2416)))</f>
        <v>55303479.122946449</v>
      </c>
      <c r="B9657">
        <v>188155664.50357693</v>
      </c>
    </row>
    <row r="9658" spans="1:2" x14ac:dyDescent="0.25">
      <c r="A9658">
        <f ca="1">28028.7037171464*((RANDBETWEEN(1620,2416)))</f>
        <v>51740987.061852284</v>
      </c>
      <c r="B9658">
        <v>183449982.44463643</v>
      </c>
    </row>
    <row r="9659" spans="1:2" x14ac:dyDescent="0.25">
      <c r="A9659">
        <f ca="1">27954.8600497173*((RANDBETWEEN(1620,2416)))</f>
        <v>62562976.791267395</v>
      </c>
      <c r="B9659">
        <v>148473049.06446677</v>
      </c>
    </row>
    <row r="9660" spans="1:2" x14ac:dyDescent="0.25">
      <c r="A9660">
        <f ca="1">31229.8545374393*((RANDBETWEEN(1620,2416)))</f>
        <v>72422032.672321692</v>
      </c>
      <c r="B9660">
        <v>192036530.59937537</v>
      </c>
    </row>
    <row r="9661" spans="1:2" x14ac:dyDescent="0.25">
      <c r="A9661">
        <f ca="1">27506.5894285018*((RANDBETWEEN(1620,2416)))</f>
        <v>51959947.430439904</v>
      </c>
      <c r="B9661">
        <v>194676088.51390588</v>
      </c>
    </row>
    <row r="9662" spans="1:2" x14ac:dyDescent="0.25">
      <c r="A9662">
        <f ca="1">28265.8086636486*((RANDBETWEEN(1620,2416)))</f>
        <v>62354373.912008718</v>
      </c>
      <c r="B9662">
        <v>197625809.34221226</v>
      </c>
    </row>
    <row r="9663" spans="1:2" x14ac:dyDescent="0.25">
      <c r="A9663">
        <f ca="1">27694.9965296944*((RANDBETWEEN(1620,2416)))</f>
        <v>54392973.184319749</v>
      </c>
      <c r="B9663">
        <v>170450701.77938473</v>
      </c>
    </row>
    <row r="9664" spans="1:2" x14ac:dyDescent="0.25">
      <c r="A9664">
        <f ca="1">27272.4220091821*((RANDBETWEEN(1620,2416)))</f>
        <v>57108451.687227264</v>
      </c>
      <c r="B9664">
        <v>183882241.67217001</v>
      </c>
    </row>
    <row r="9665" spans="1:2" x14ac:dyDescent="0.25">
      <c r="A9665">
        <f ca="1">26615.5302150437*((RANDBETWEEN(1620,2416)))</f>
        <v>62147263.052126922</v>
      </c>
      <c r="B9665">
        <v>165194655.53695884</v>
      </c>
    </row>
    <row r="9666" spans="1:2" x14ac:dyDescent="0.25">
      <c r="A9666">
        <f ca="1">26748.2832902941*((RANDBETWEEN(1620,2416)))</f>
        <v>56679612.29213322</v>
      </c>
      <c r="B9666">
        <v>153008191.64414641</v>
      </c>
    </row>
    <row r="9667" spans="1:2" x14ac:dyDescent="0.25">
      <c r="A9667">
        <f ca="1">27733.5281605923*((RANDBETWEEN(1620,2416)))</f>
        <v>49116078.372408904</v>
      </c>
      <c r="B9667">
        <v>175624511.82365882</v>
      </c>
    </row>
    <row r="9668" spans="1:2" x14ac:dyDescent="0.25">
      <c r="A9668">
        <f ca="1">25699.5670685539*((RANDBETWEEN(1620,2416)))</f>
        <v>47107306.436659306</v>
      </c>
      <c r="B9668">
        <v>143221247.31901276</v>
      </c>
    </row>
    <row r="9669" spans="1:2" x14ac:dyDescent="0.25">
      <c r="A9669">
        <f ca="1">26955.3941215429*((RANDBETWEEN(1620,2416)))</f>
        <v>45662437.641893737</v>
      </c>
      <c r="B9669">
        <v>165888324.9580884</v>
      </c>
    </row>
    <row r="9670" spans="1:2" x14ac:dyDescent="0.25">
      <c r="A9670">
        <f ca="1">27602.3027998836*((RANDBETWEEN(1620,2416)))</f>
        <v>61525532.940940633</v>
      </c>
      <c r="B9670">
        <v>178203457.52457988</v>
      </c>
    </row>
    <row r="9671" spans="1:2" x14ac:dyDescent="0.25">
      <c r="A9671">
        <f ca="1">27593.6184727303*((RANDBETWEEN(1620,2416)))</f>
        <v>63851633.145897843</v>
      </c>
      <c r="B9671">
        <v>170706032.56787318</v>
      </c>
    </row>
    <row r="9672" spans="1:2" x14ac:dyDescent="0.25">
      <c r="A9672">
        <f ca="1">28259.7023234844*((RANDBETWEEN(1620,2416)))</f>
        <v>54512965.782001361</v>
      </c>
      <c r="B9672">
        <v>198770359.47586498</v>
      </c>
    </row>
    <row r="9673" spans="1:2" x14ac:dyDescent="0.25">
      <c r="A9673">
        <f ca="1">26642.660233765*((RANDBETWEEN(1620,2416)))</f>
        <v>46358228.806751095</v>
      </c>
      <c r="B9673">
        <v>154066693.18332505</v>
      </c>
    </row>
    <row r="9674" spans="1:2" x14ac:dyDescent="0.25">
      <c r="A9674">
        <f ca="1">25824.3063450568*((RANDBETWEEN(1620,2416)))</f>
        <v>53611259.972337887</v>
      </c>
      <c r="B9674">
        <v>155129360.75341678</v>
      </c>
    </row>
    <row r="9675" spans="1:2" x14ac:dyDescent="0.25">
      <c r="A9675">
        <f ca="1">32111.3572823072*((RANDBETWEEN(1620,2416)))</f>
        <v>63002482.987886682</v>
      </c>
      <c r="B9675">
        <v>183877078.33199769</v>
      </c>
    </row>
    <row r="9676" spans="1:2" x14ac:dyDescent="0.25">
      <c r="A9676">
        <f ca="1">25821.1732934218*((RANDBETWEEN(1620,2416)))</f>
        <v>57710322.310797818</v>
      </c>
      <c r="B9676">
        <v>150750618.25410628</v>
      </c>
    </row>
    <row r="9677" spans="1:2" x14ac:dyDescent="0.25">
      <c r="A9677">
        <f ca="1">25620.6972655001*((RANDBETWEEN(1620,2416)))</f>
        <v>61387190.648138128</v>
      </c>
      <c r="B9677">
        <v>147235618.37156594</v>
      </c>
    </row>
    <row r="9678" spans="1:2" x14ac:dyDescent="0.25">
      <c r="A9678">
        <f ca="1">26347.5637729748*((RANDBETWEEN(1620,2416)))</f>
        <v>61653299.228761129</v>
      </c>
      <c r="B9678">
        <v>160676856.99389583</v>
      </c>
    </row>
    <row r="9679" spans="1:2" x14ac:dyDescent="0.25">
      <c r="A9679">
        <f ca="1">29592.8351764097*((RANDBETWEEN(1620,2416)))</f>
        <v>65488944.245394558</v>
      </c>
      <c r="B9679">
        <v>159783157.08084893</v>
      </c>
    </row>
    <row r="9680" spans="1:2" x14ac:dyDescent="0.25">
      <c r="A9680">
        <f ca="1">29207.2633559151*((RANDBETWEEN(1620,2416)))</f>
        <v>63759455.905962601</v>
      </c>
      <c r="B9680">
        <v>174212066.12289697</v>
      </c>
    </row>
    <row r="9681" spans="1:2" x14ac:dyDescent="0.25">
      <c r="A9681">
        <f ca="1">28895.8903562822*((RANDBETWEEN(1620,2416)))</f>
        <v>51810331.408814013</v>
      </c>
      <c r="B9681">
        <v>200674513.07983264</v>
      </c>
    </row>
    <row r="9682" spans="1:2" x14ac:dyDescent="0.25">
      <c r="A9682">
        <f ca="1">26818.7585325327*((RANDBETWEEN(1620,2416)))</f>
        <v>58143068.49853085</v>
      </c>
      <c r="B9682">
        <v>197107270.17205429</v>
      </c>
    </row>
    <row r="9683" spans="1:2" x14ac:dyDescent="0.25">
      <c r="A9683">
        <f ca="1">30841.231014834*((RANDBETWEEN(1620,2416)))</f>
        <v>59030116.162392259</v>
      </c>
      <c r="B9683">
        <v>183935964.83116364</v>
      </c>
    </row>
    <row r="9684" spans="1:2" x14ac:dyDescent="0.25">
      <c r="A9684">
        <f ca="1">27550.1427429406*((RANDBETWEEN(1620,2416)))</f>
        <v>55210486.056852944</v>
      </c>
      <c r="B9684">
        <v>149198875.41278264</v>
      </c>
    </row>
    <row r="9685" spans="1:2" x14ac:dyDescent="0.25">
      <c r="A9685">
        <f ca="1">28692.2284710674*((RANDBETWEEN(1620,2416)))</f>
        <v>52678931.472879656</v>
      </c>
      <c r="B9685">
        <v>169751718.9187218</v>
      </c>
    </row>
    <row r="9686" spans="1:2" x14ac:dyDescent="0.25">
      <c r="A9686">
        <f ca="1">28371.2206360411*((RANDBETWEEN(1620,2416)))</f>
        <v>66956080.701057091</v>
      </c>
      <c r="B9686">
        <v>189515094.25648692</v>
      </c>
    </row>
    <row r="9687" spans="1:2" x14ac:dyDescent="0.25">
      <c r="A9687">
        <f ca="1">26618.5855459942*((RANDBETWEEN(1620,2416)))</f>
        <v>50601931.12293499</v>
      </c>
      <c r="B9687">
        <v>181559778.02458236</v>
      </c>
    </row>
    <row r="9688" spans="1:2" x14ac:dyDescent="0.25">
      <c r="A9688">
        <f ca="1">28205.904541209*((RANDBETWEEN(1620,2416)))</f>
        <v>63181226.172308207</v>
      </c>
      <c r="B9688">
        <v>167069510.67322093</v>
      </c>
    </row>
    <row r="9689" spans="1:2" x14ac:dyDescent="0.25">
      <c r="A9689">
        <f ca="1">26793.1986952009*((RANDBETWEEN(1620,2416)))</f>
        <v>64223297.27239652</v>
      </c>
      <c r="B9689">
        <v>158438515.83960089</v>
      </c>
    </row>
    <row r="9690" spans="1:2" x14ac:dyDescent="0.25">
      <c r="A9690">
        <f ca="1">27616.8678835163*((RANDBETWEEN(1620,2416)))</f>
        <v>61668465.98389183</v>
      </c>
      <c r="B9690">
        <v>174108307.94522285</v>
      </c>
    </row>
    <row r="9691" spans="1:2" x14ac:dyDescent="0.25">
      <c r="A9691">
        <f ca="1">27345.4299902699*((RANDBETWEEN(1620,2416)))</f>
        <v>50753118.061940856</v>
      </c>
      <c r="B9691">
        <v>162850697.3358494</v>
      </c>
    </row>
    <row r="9692" spans="1:2" x14ac:dyDescent="0.25">
      <c r="A9692">
        <f ca="1">31021.8793876029*((RANDBETWEEN(1620,2416)))</f>
        <v>65145946.713966154</v>
      </c>
      <c r="B9692">
        <v>202733090.19319376</v>
      </c>
    </row>
    <row r="9693" spans="1:2" x14ac:dyDescent="0.25">
      <c r="A9693">
        <f ca="1">26828.724248149*((RANDBETWEEN(1620,2416)))</f>
        <v>56474464.542353727</v>
      </c>
      <c r="B9693">
        <v>149677005.78720957</v>
      </c>
    </row>
    <row r="9694" spans="1:2" x14ac:dyDescent="0.25">
      <c r="A9694">
        <f ca="1">32832.2571609734*((RANDBETWEEN(1620,2416)))</f>
        <v>58244424.20356676</v>
      </c>
      <c r="B9694">
        <v>174458761.43607453</v>
      </c>
    </row>
    <row r="9695" spans="1:2" x14ac:dyDescent="0.25">
      <c r="A9695">
        <f ca="1">26681.111767426*((RANDBETWEEN(1620,2416)))</f>
        <v>45277846.669321962</v>
      </c>
      <c r="B9695">
        <v>166925661.08050242</v>
      </c>
    </row>
    <row r="9696" spans="1:2" x14ac:dyDescent="0.25">
      <c r="A9696">
        <f ca="1">28328.3255927644*((RANDBETWEEN(1620,2416)))</f>
        <v>57053247.743827589</v>
      </c>
      <c r="B9696">
        <v>188249901.13544741</v>
      </c>
    </row>
    <row r="9697" spans="1:2" x14ac:dyDescent="0.25">
      <c r="A9697">
        <f ca="1">25526.1067597465*((RANDBETWEEN(1620,2416)))</f>
        <v>60445820.807079777</v>
      </c>
      <c r="B9697">
        <v>145780564.9689059</v>
      </c>
    </row>
    <row r="9698" spans="1:2" x14ac:dyDescent="0.25">
      <c r="A9698">
        <f ca="1">27452.7141699792*((RANDBETWEEN(1620,2416)))</f>
        <v>47355931.943214111</v>
      </c>
      <c r="B9698">
        <v>146230155.69524348</v>
      </c>
    </row>
    <row r="9699" spans="1:2" x14ac:dyDescent="0.25">
      <c r="A9699">
        <f ca="1">26153.8023438163*((RANDBETWEEN(1620,2416)))</f>
        <v>50267608.104814939</v>
      </c>
      <c r="B9699">
        <v>155746676.4059943</v>
      </c>
    </row>
    <row r="9700" spans="1:2" x14ac:dyDescent="0.25">
      <c r="A9700">
        <f ca="1">28321.0742227595*((RANDBETWEEN(1620,2416)))</f>
        <v>57066964.558860347</v>
      </c>
      <c r="B9700">
        <v>183380803.28217861</v>
      </c>
    </row>
    <row r="9701" spans="1:2" x14ac:dyDescent="0.25">
      <c r="A9701">
        <f ca="1">30056.9717071239*((RANDBETWEEN(1620,2416)))</f>
        <v>61406393.197654039</v>
      </c>
      <c r="B9701">
        <v>164410161.62752646</v>
      </c>
    </row>
    <row r="9702" spans="1:2" x14ac:dyDescent="0.25">
      <c r="A9702">
        <f ca="1">27852.7414465795*((RANDBETWEEN(1620,2416)))</f>
        <v>63782777.912667125</v>
      </c>
      <c r="B9702">
        <v>169310413.26133609</v>
      </c>
    </row>
    <row r="9703" spans="1:2" x14ac:dyDescent="0.25">
      <c r="A9703">
        <f ca="1">26007.0791784596*((RANDBETWEEN(1620,2416)))</f>
        <v>58047800.726321869</v>
      </c>
      <c r="B9703">
        <v>148449858.66095322</v>
      </c>
    </row>
    <row r="9704" spans="1:2" x14ac:dyDescent="0.25">
      <c r="A9704">
        <f ca="1">29287.7520222848*((RANDBETWEEN(1620,2416)))</f>
        <v>69675562.061015636</v>
      </c>
      <c r="B9704">
        <v>192724420.91174674</v>
      </c>
    </row>
    <row r="9705" spans="1:2" x14ac:dyDescent="0.25">
      <c r="A9705">
        <f ca="1">31187.4724327395*((RANDBETWEEN(1620,2416)))</f>
        <v>72417310.988821015</v>
      </c>
      <c r="B9705">
        <v>189955410.58261445</v>
      </c>
    </row>
    <row r="9706" spans="1:2" x14ac:dyDescent="0.25">
      <c r="A9706">
        <f ca="1">29855.1983329731*((RANDBETWEEN(1620,2416)))</f>
        <v>59740251.864279129</v>
      </c>
      <c r="B9706">
        <v>203162840.43192407</v>
      </c>
    </row>
    <row r="9707" spans="1:2" x14ac:dyDescent="0.25">
      <c r="A9707">
        <f ca="1">26912.3347169924*((RANDBETWEEN(1620,2416)))</f>
        <v>43597982.241527654</v>
      </c>
      <c r="B9707">
        <v>168151829.92121816</v>
      </c>
    </row>
    <row r="9708" spans="1:2" x14ac:dyDescent="0.25">
      <c r="A9708">
        <f ca="1">28910.3606029464*((RANDBETWEEN(1620,2416)))</f>
        <v>57965273.008907437</v>
      </c>
      <c r="B9708">
        <v>178569953.15710378</v>
      </c>
    </row>
    <row r="9709" spans="1:2" x14ac:dyDescent="0.25">
      <c r="A9709">
        <f ca="1">27620.9821951422*((RANDBETWEEN(1620,2416)))</f>
        <v>51872204.562477127</v>
      </c>
      <c r="B9709">
        <v>153465525.31558132</v>
      </c>
    </row>
    <row r="9710" spans="1:2" x14ac:dyDescent="0.25">
      <c r="A9710">
        <f ca="1">26983.6672622793*((RANDBETWEEN(1620,2416)))</f>
        <v>57475211.268654808</v>
      </c>
      <c r="B9710">
        <v>150771352.41710371</v>
      </c>
    </row>
    <row r="9711" spans="1:2" x14ac:dyDescent="0.25">
      <c r="A9711">
        <f ca="1">26345.6393181001*((RANDBETWEEN(1620,2416)))</f>
        <v>53929523.68415086</v>
      </c>
      <c r="B9711">
        <v>190592372.54626518</v>
      </c>
    </row>
    <row r="9712" spans="1:2" x14ac:dyDescent="0.25">
      <c r="A9712">
        <f ca="1">27443.0281535336*((RANDBETWEEN(1620,2416)))</f>
        <v>45034009.199948594</v>
      </c>
      <c r="B9712">
        <v>144516639.75675917</v>
      </c>
    </row>
    <row r="9713" spans="1:2" x14ac:dyDescent="0.25">
      <c r="A9713">
        <f ca="1">26359.0549770716*((RANDBETWEEN(1620,2416)))</f>
        <v>60072286.292746291</v>
      </c>
      <c r="B9713">
        <v>153907678.07467741</v>
      </c>
    </row>
    <row r="9714" spans="1:2" x14ac:dyDescent="0.25">
      <c r="A9714">
        <f ca="1">26412.1433479292*((RANDBETWEEN(1620,2416)))</f>
        <v>50077423.787673824</v>
      </c>
      <c r="B9714">
        <v>156024453.27002364</v>
      </c>
    </row>
    <row r="9715" spans="1:2" x14ac:dyDescent="0.25">
      <c r="A9715">
        <f ca="1">27441.3985660349*((RANDBETWEEN(1620,2416)))</f>
        <v>50684263.151466429</v>
      </c>
      <c r="B9715">
        <v>155964070.55870503</v>
      </c>
    </row>
    <row r="9716" spans="1:2" x14ac:dyDescent="0.25">
      <c r="A9716">
        <f ca="1">27235.7734507855*((RANDBETWEEN(1620,2416)))</f>
        <v>64276425.343853861</v>
      </c>
      <c r="B9716">
        <v>161569047.81359136</v>
      </c>
    </row>
    <row r="9717" spans="1:2" x14ac:dyDescent="0.25">
      <c r="A9717">
        <f ca="1">30584.5871573881*((RANDBETWEEN(1620,2416)))</f>
        <v>61994958.16802571</v>
      </c>
      <c r="B9717">
        <v>187968158.85641834</v>
      </c>
    </row>
    <row r="9718" spans="1:2" x14ac:dyDescent="0.25">
      <c r="A9718">
        <f ca="1">27185.1036621861*((RANDBETWEEN(1620,2416)))</f>
        <v>63721882.984164231</v>
      </c>
      <c r="B9718">
        <v>145018704.15357667</v>
      </c>
    </row>
    <row r="9719" spans="1:2" x14ac:dyDescent="0.25">
      <c r="A9719">
        <f ca="1">27448.5895809419*((RANDBETWEEN(1620,2416)))</f>
        <v>52618946.226665683</v>
      </c>
      <c r="B9719">
        <v>181595276.74077508</v>
      </c>
    </row>
    <row r="9720" spans="1:2" x14ac:dyDescent="0.25">
      <c r="A9720">
        <f ca="1">26325.9990610301*((RANDBETWEEN(1620,2416)))</f>
        <v>58338413.91924274</v>
      </c>
      <c r="B9720">
        <v>164969534.80649662</v>
      </c>
    </row>
    <row r="9721" spans="1:2" x14ac:dyDescent="0.25">
      <c r="A9721">
        <f ca="1">27143.6927592338*((RANDBETWEEN(1620,2416)))</f>
        <v>59118962.829611205</v>
      </c>
      <c r="B9721">
        <v>157153289.29903707</v>
      </c>
    </row>
    <row r="9722" spans="1:2" x14ac:dyDescent="0.25">
      <c r="A9722">
        <f ca="1">29545.0349943968*((RANDBETWEEN(1620,2416)))</f>
        <v>64880896.847695328</v>
      </c>
      <c r="B9722">
        <v>180461572.04435554</v>
      </c>
    </row>
    <row r="9723" spans="1:2" x14ac:dyDescent="0.25">
      <c r="A9723">
        <f ca="1">33182.2554376402*((RANDBETWEEN(1620,2416)))</f>
        <v>55713006.879797965</v>
      </c>
      <c r="B9723">
        <v>185391751.99100453</v>
      </c>
    </row>
    <row r="9724" spans="1:2" x14ac:dyDescent="0.25">
      <c r="A9724">
        <f ca="1">26775.0515611633*((RANDBETWEEN(1620,2416)))</f>
        <v>62626845.601561017</v>
      </c>
      <c r="B9724">
        <v>151387297.1156109</v>
      </c>
    </row>
    <row r="9725" spans="1:2" x14ac:dyDescent="0.25">
      <c r="A9725">
        <f ca="1">26941.73829701*((RANDBETWEEN(1620,2416)))</f>
        <v>46258964.655966192</v>
      </c>
      <c r="B9725">
        <v>173493549.07134253</v>
      </c>
    </row>
    <row r="9726" spans="1:2" x14ac:dyDescent="0.25">
      <c r="A9726">
        <f ca="1">25784.211881563*((RANDBETWEEN(1620,2416)))</f>
        <v>45895897.149182186</v>
      </c>
      <c r="B9726">
        <v>152608558.85843796</v>
      </c>
    </row>
    <row r="9727" spans="1:2" x14ac:dyDescent="0.25">
      <c r="A9727">
        <f ca="1">29067.1176731*((RANDBETWEEN(1620,2416)))</f>
        <v>61506020.996279672</v>
      </c>
      <c r="B9727">
        <v>194090544.13264757</v>
      </c>
    </row>
    <row r="9728" spans="1:2" x14ac:dyDescent="0.25">
      <c r="A9728">
        <f ca="1">29472.0239790554*((RANDBETWEEN(1620,2416)))</f>
        <v>68316151.583450451</v>
      </c>
      <c r="B9728">
        <v>165614676.49139547</v>
      </c>
    </row>
    <row r="9729" spans="1:2" x14ac:dyDescent="0.25">
      <c r="A9729">
        <f ca="1">27046.3276878443*((RANDBETWEEN(1620,2416)))</f>
        <v>46438544.640028685</v>
      </c>
      <c r="B9729">
        <v>160962280.63562411</v>
      </c>
    </row>
    <row r="9730" spans="1:2" x14ac:dyDescent="0.25">
      <c r="A9730">
        <f ca="1">28509.4896278612*((RANDBETWEEN(1620,2416)))</f>
        <v>55165862.429911509</v>
      </c>
      <c r="B9730">
        <v>191869788.30710995</v>
      </c>
    </row>
    <row r="9731" spans="1:2" x14ac:dyDescent="0.25">
      <c r="A9731">
        <f ca="1">27956.4325638944*((RANDBETWEEN(1620,2416)))</f>
        <v>60218155.74262847</v>
      </c>
      <c r="B9731">
        <v>156658674.82661229</v>
      </c>
    </row>
    <row r="9732" spans="1:2" x14ac:dyDescent="0.25">
      <c r="A9732">
        <f ca="1">28322.9185656945*((RANDBETWEEN(1620,2416)))</f>
        <v>49026972.037217103</v>
      </c>
      <c r="B9732">
        <v>153103068.78620505</v>
      </c>
    </row>
    <row r="9733" spans="1:2" x14ac:dyDescent="0.25">
      <c r="A9733">
        <f ca="1">26563.6870893121*((RANDBETWEEN(1620,2416)))</f>
        <v>60246442.3185599</v>
      </c>
      <c r="B9733">
        <v>148094751.26325765</v>
      </c>
    </row>
    <row r="9734" spans="1:2" x14ac:dyDescent="0.25">
      <c r="A9734">
        <f ca="1">30659.2163845635*((RANDBETWEEN(1620,2416)))</f>
        <v>59233606.054976687</v>
      </c>
      <c r="B9734">
        <v>201329358.46937764</v>
      </c>
    </row>
    <row r="9735" spans="1:2" x14ac:dyDescent="0.25">
      <c r="A9735">
        <f ca="1">29393.7875150978*((RANDBETWEEN(1620,2416)))</f>
        <v>68781462.78532882</v>
      </c>
      <c r="B9735">
        <v>181973583.85094407</v>
      </c>
    </row>
    <row r="9736" spans="1:2" x14ac:dyDescent="0.25">
      <c r="A9736">
        <f ca="1">27967.5800233959*((RANDBETWEEN(1620,2416)))</f>
        <v>50061968.241878733</v>
      </c>
      <c r="B9736">
        <v>154081691.66168538</v>
      </c>
    </row>
    <row r="9737" spans="1:2" x14ac:dyDescent="0.25">
      <c r="A9737">
        <f ca="1">25680.4246987435*((RANDBETWEEN(1620,2416)))</f>
        <v>44478495.578223757</v>
      </c>
      <c r="B9737">
        <v>146579554.26915669</v>
      </c>
    </row>
    <row r="9738" spans="1:2" x14ac:dyDescent="0.25">
      <c r="A9738">
        <f ca="1">30786.3995032899*((RANDBETWEEN(1620,2416)))</f>
        <v>59263819.043833047</v>
      </c>
      <c r="B9738">
        <v>189617241.08005461</v>
      </c>
    </row>
    <row r="9739" spans="1:2" x14ac:dyDescent="0.25">
      <c r="A9739">
        <f ca="1">30393.6565342113*((RANDBETWEEN(1620,2416)))</f>
        <v>52915356.026061855</v>
      </c>
      <c r="B9739">
        <v>156312621.84511754</v>
      </c>
    </row>
    <row r="9740" spans="1:2" x14ac:dyDescent="0.25">
      <c r="A9740">
        <f ca="1">31025.725175172*((RANDBETWEEN(1620,2416)))</f>
        <v>59910675.313257121</v>
      </c>
      <c r="B9740">
        <v>189008895.07289326</v>
      </c>
    </row>
    <row r="9741" spans="1:2" x14ac:dyDescent="0.25">
      <c r="A9741">
        <f ca="1">26732.8682693546*((RANDBETWEEN(1620,2416)))</f>
        <v>51861764.442547858</v>
      </c>
      <c r="B9741">
        <v>188206467.01027811</v>
      </c>
    </row>
    <row r="9742" spans="1:2" x14ac:dyDescent="0.25">
      <c r="A9742">
        <f ca="1">27979.7541186195*((RANDBETWEEN(1620,2416)))</f>
        <v>54672439.547782592</v>
      </c>
      <c r="B9742">
        <v>161056770.59674454</v>
      </c>
    </row>
    <row r="9743" spans="1:2" x14ac:dyDescent="0.25">
      <c r="A9743">
        <f ca="1">26034.9824886699*((RANDBETWEEN(1620,2416)))</f>
        <v>62015328.288011603</v>
      </c>
      <c r="B9743">
        <v>159468695.15121609</v>
      </c>
    </row>
    <row r="9744" spans="1:2" x14ac:dyDescent="0.25">
      <c r="A9744">
        <f ca="1">31154.7731662244*((RANDBETWEEN(1620,2416)))</f>
        <v>67138536.173213631</v>
      </c>
      <c r="B9744">
        <v>187083654.66177389</v>
      </c>
    </row>
    <row r="9745" spans="1:2" x14ac:dyDescent="0.25">
      <c r="A9745">
        <f ca="1">28469.4426424587*((RANDBETWEEN(1620,2416)))</f>
        <v>53579491.053107277</v>
      </c>
      <c r="B9745">
        <v>192636629.18770972</v>
      </c>
    </row>
    <row r="9746" spans="1:2" x14ac:dyDescent="0.25">
      <c r="A9746">
        <f ca="1">26770.0535326701*((RANDBETWEEN(1620,2416)))</f>
        <v>52522845.031098805</v>
      </c>
      <c r="B9746">
        <v>178206870.43954617</v>
      </c>
    </row>
    <row r="9747" spans="1:2" x14ac:dyDescent="0.25">
      <c r="A9747">
        <f ca="1">27552.2931184547*((RANDBETWEEN(1620,2416)))</f>
        <v>51936072.528287105</v>
      </c>
      <c r="B9747">
        <v>175268045.28040522</v>
      </c>
    </row>
    <row r="9748" spans="1:2" x14ac:dyDescent="0.25">
      <c r="A9748">
        <f ca="1">27442.8275100324*((RANDBETWEEN(1620,2416)))</f>
        <v>47256548.972275838</v>
      </c>
      <c r="B9748">
        <v>154752314.24525207</v>
      </c>
    </row>
    <row r="9749" spans="1:2" x14ac:dyDescent="0.25">
      <c r="A9749">
        <f ca="1">25698.4771508128*((RANDBETWEEN(1620,2416)))</f>
        <v>58464035.518099174</v>
      </c>
      <c r="B9749">
        <v>146751147.71644339</v>
      </c>
    </row>
    <row r="9750" spans="1:2" x14ac:dyDescent="0.25">
      <c r="A9750">
        <f ca="1">26605.5089294337*((RANDBETWEEN(1620,2416)))</f>
        <v>58266064.555459902</v>
      </c>
      <c r="B9750">
        <v>185045654.10349402</v>
      </c>
    </row>
    <row r="9751" spans="1:2" x14ac:dyDescent="0.25">
      <c r="A9751">
        <f ca="1">27046.9895225528*((RANDBETWEEN(1620,2416)))</f>
        <v>57231429.829721749</v>
      </c>
      <c r="B9751">
        <v>160355325.73002282</v>
      </c>
    </row>
    <row r="9752" spans="1:2" x14ac:dyDescent="0.25">
      <c r="A9752">
        <f ca="1">30271.6214193008*((RANDBETWEEN(1620,2416)))</f>
        <v>56426302.325576775</v>
      </c>
      <c r="B9752">
        <v>150507845.18717235</v>
      </c>
    </row>
    <row r="9753" spans="1:2" x14ac:dyDescent="0.25">
      <c r="A9753">
        <f ca="1">26753.6051814851*((RANDBETWEEN(1620,2416)))</f>
        <v>52624341.391981259</v>
      </c>
      <c r="B9753">
        <v>178794654.57312119</v>
      </c>
    </row>
    <row r="9754" spans="1:2" x14ac:dyDescent="0.25">
      <c r="A9754">
        <f ca="1">26094.8644271631*((RANDBETWEEN(1620,2416)))</f>
        <v>50650131.853123479</v>
      </c>
      <c r="B9754">
        <v>155302221.06470022</v>
      </c>
    </row>
    <row r="9755" spans="1:2" x14ac:dyDescent="0.25">
      <c r="A9755">
        <f ca="1">27097.1856767137*((RANDBETWEEN(1620,2416)))</f>
        <v>62486110.170501873</v>
      </c>
      <c r="B9755">
        <v>147202633.51066554</v>
      </c>
    </row>
    <row r="9756" spans="1:2" x14ac:dyDescent="0.25">
      <c r="A9756">
        <f ca="1">27381.2550859168*((RANDBETWEEN(1620,2416)))</f>
        <v>50135078.062313624</v>
      </c>
      <c r="B9756">
        <v>171556833.73098609</v>
      </c>
    </row>
    <row r="9757" spans="1:2" x14ac:dyDescent="0.25">
      <c r="A9757">
        <f ca="1">27124.1864522868*((RANDBETWEEN(1620,2416)))</f>
        <v>56092817.583329134</v>
      </c>
      <c r="B9757">
        <v>187269936.08662188</v>
      </c>
    </row>
    <row r="9758" spans="1:2" x14ac:dyDescent="0.25">
      <c r="A9758">
        <f ca="1">26283.6394477637*((RANDBETWEEN(1620,2416)))</f>
        <v>55773882.908154547</v>
      </c>
      <c r="B9758">
        <v>150319190.75713718</v>
      </c>
    </row>
    <row r="9759" spans="1:2" x14ac:dyDescent="0.25">
      <c r="A9759">
        <f ca="1">27925.8081645265*((RANDBETWEEN(1620,2416)))</f>
        <v>55153471.124939814</v>
      </c>
      <c r="B9759">
        <v>165659947.72972649</v>
      </c>
    </row>
    <row r="9760" spans="1:2" x14ac:dyDescent="0.25">
      <c r="A9760">
        <f ca="1">27675.3145221088*((RANDBETWEEN(1620,2416)))</f>
        <v>62435509.5618774</v>
      </c>
      <c r="B9760">
        <v>194987739.93095043</v>
      </c>
    </row>
    <row r="9761" spans="1:2" x14ac:dyDescent="0.25">
      <c r="A9761">
        <f ca="1">26585.0518867623*((RANDBETWEEN(1620,2416)))</f>
        <v>48437964.537680916</v>
      </c>
      <c r="B9761">
        <v>196374746.7859616</v>
      </c>
    </row>
    <row r="9762" spans="1:2" x14ac:dyDescent="0.25">
      <c r="A9762">
        <f ca="1">27590.141722235*((RANDBETWEEN(1620,2416)))</f>
        <v>47289502.911910728</v>
      </c>
      <c r="B9762">
        <v>184457881.9043698</v>
      </c>
    </row>
    <row r="9763" spans="1:2" x14ac:dyDescent="0.25">
      <c r="A9763">
        <f ca="1">26383.6617065784*((RANDBETWEEN(1620,2416)))</f>
        <v>46171407.986512229</v>
      </c>
      <c r="B9763">
        <v>148103162.65510055</v>
      </c>
    </row>
    <row r="9764" spans="1:2" x14ac:dyDescent="0.25">
      <c r="A9764">
        <f ca="1">29388.8938823129*((RANDBETWEEN(1620,2416)))</f>
        <v>60658676.97309389</v>
      </c>
      <c r="B9764">
        <v>167081395.35580301</v>
      </c>
    </row>
    <row r="9765" spans="1:2" x14ac:dyDescent="0.25">
      <c r="A9765">
        <f ca="1">24891.6114808684*((RANDBETWEEN(1620,2416)))</f>
        <v>50455296.471720241</v>
      </c>
      <c r="B9765">
        <v>172988747.57795972</v>
      </c>
    </row>
    <row r="9766" spans="1:2" x14ac:dyDescent="0.25">
      <c r="A9766">
        <f ca="1">26778.6561713743*((RANDBETWEEN(1620,2416)))</f>
        <v>53637648.311262682</v>
      </c>
      <c r="B9766">
        <v>174159134.57977301</v>
      </c>
    </row>
    <row r="9767" spans="1:2" x14ac:dyDescent="0.25">
      <c r="A9767">
        <f ca="1">25486.0426313902*((RANDBETWEEN(1620,2416)))</f>
        <v>49162576.235951729</v>
      </c>
      <c r="B9767">
        <v>151704538.1594066</v>
      </c>
    </row>
    <row r="9768" spans="1:2" x14ac:dyDescent="0.25">
      <c r="A9768">
        <f ca="1">27659.4294922301*((RANDBETWEEN(1620,2416)))</f>
        <v>56425236.164149337</v>
      </c>
      <c r="B9768">
        <v>201427129.71651807</v>
      </c>
    </row>
    <row r="9769" spans="1:2" x14ac:dyDescent="0.25">
      <c r="A9769">
        <f ca="1">26248.2610217735*((RANDBETWEEN(1620,2416)))</f>
        <v>47798083.320649482</v>
      </c>
      <c r="B9769">
        <v>169901912.66400284</v>
      </c>
    </row>
    <row r="9770" spans="1:2" x14ac:dyDescent="0.25">
      <c r="A9770">
        <f ca="1">27472.8917010054*((RANDBETWEEN(1620,2416)))</f>
        <v>56017226.178350084</v>
      </c>
      <c r="B9770">
        <v>188383903.18244654</v>
      </c>
    </row>
    <row r="9771" spans="1:2" x14ac:dyDescent="0.25">
      <c r="A9771">
        <f ca="1">29000.4367755234*((RANDBETWEEN(1620,2416)))</f>
        <v>49880751.253900275</v>
      </c>
      <c r="B9771">
        <v>145291329.40992671</v>
      </c>
    </row>
    <row r="9772" spans="1:2" x14ac:dyDescent="0.25">
      <c r="A9772">
        <f ca="1">26259.2021205599*((RANDBETWEEN(1620,2416)))</f>
        <v>46321232.540667698</v>
      </c>
      <c r="B9772">
        <v>148172056.56555998</v>
      </c>
    </row>
    <row r="9773" spans="1:2" x14ac:dyDescent="0.25">
      <c r="A9773">
        <f ca="1">26432.1920273957*((RANDBETWEEN(1620,2416)))</f>
        <v>56300569.018352777</v>
      </c>
      <c r="B9773">
        <v>164624379.41035873</v>
      </c>
    </row>
    <row r="9774" spans="1:2" x14ac:dyDescent="0.25">
      <c r="A9774">
        <f ca="1">30936.3136525142*((RANDBETWEEN(1620,2416)))</f>
        <v>63790678.751484379</v>
      </c>
      <c r="B9774">
        <v>142965572.32410392</v>
      </c>
    </row>
    <row r="9775" spans="1:2" x14ac:dyDescent="0.25">
      <c r="A9775">
        <f ca="1">26485.0883458953*((RANDBETWEEN(1620,2416)))</f>
        <v>46534300.223737985</v>
      </c>
      <c r="B9775">
        <v>158924003.77879268</v>
      </c>
    </row>
    <row r="9776" spans="1:2" x14ac:dyDescent="0.25">
      <c r="A9776">
        <f ca="1">30756.1035355093*((RANDBETWEEN(1620,2416)))</f>
        <v>61542963.174554147</v>
      </c>
      <c r="B9776">
        <v>160753531.84044605</v>
      </c>
    </row>
    <row r="9777" spans="1:2" x14ac:dyDescent="0.25">
      <c r="A9777">
        <f ca="1">29583.7229430835*((RANDBETWEEN(1620,2416)))</f>
        <v>48842726.579030894</v>
      </c>
      <c r="B9777">
        <v>151067621.77748504</v>
      </c>
    </row>
    <row r="9778" spans="1:2" x14ac:dyDescent="0.25">
      <c r="A9778">
        <f ca="1">31139.9946136653*((RANDBETWEEN(1620,2416)))</f>
        <v>67698348.290108293</v>
      </c>
      <c r="B9778">
        <v>186958142.20162061</v>
      </c>
    </row>
    <row r="9779" spans="1:2" x14ac:dyDescent="0.25">
      <c r="A9779">
        <f ca="1">29436.5928592411*((RANDBETWEEN(1620,2416)))</f>
        <v>70824442.419333979</v>
      </c>
      <c r="B9779">
        <v>203374186.06741446</v>
      </c>
    </row>
    <row r="9780" spans="1:2" x14ac:dyDescent="0.25">
      <c r="A9780">
        <f ca="1">26679.0988027142*((RANDBETWEEN(1620,2416)))</f>
        <v>54585436.150353238</v>
      </c>
      <c r="B9780">
        <v>197149956.52331564</v>
      </c>
    </row>
    <row r="9781" spans="1:2" x14ac:dyDescent="0.25">
      <c r="A9781">
        <f ca="1">30026.2560424768*((RANDBETWEEN(1620,2416)))</f>
        <v>67799286.143912643</v>
      </c>
      <c r="B9781">
        <v>191123278.28877336</v>
      </c>
    </row>
    <row r="9782" spans="1:2" x14ac:dyDescent="0.25">
      <c r="A9782">
        <f ca="1">27650.8497347885*((RANDBETWEEN(1620,2416)))</f>
        <v>50960516.061215185</v>
      </c>
      <c r="B9782">
        <v>146970592.89338768</v>
      </c>
    </row>
    <row r="9783" spans="1:2" x14ac:dyDescent="0.25">
      <c r="A9783">
        <f ca="1">27703.8990199087*((RANDBETWEEN(1620,2416)))</f>
        <v>51113693.691731572</v>
      </c>
      <c r="B9783">
        <v>197296990.8585836</v>
      </c>
    </row>
    <row r="9784" spans="1:2" x14ac:dyDescent="0.25">
      <c r="A9784">
        <f ca="1">27371.7054546028*((RANDBETWEEN(1620,2416)))</f>
        <v>52307329.123745978</v>
      </c>
      <c r="B9784">
        <v>165169624.71040621</v>
      </c>
    </row>
    <row r="9785" spans="1:2" x14ac:dyDescent="0.25">
      <c r="A9785">
        <f ca="1">25457.9330821755*((RANDBETWEEN(1620,2416)))</f>
        <v>42616579.979561858</v>
      </c>
      <c r="B9785">
        <v>187737669.96634147</v>
      </c>
    </row>
    <row r="9786" spans="1:2" x14ac:dyDescent="0.25">
      <c r="A9786">
        <f ca="1">26031.5169525163*((RANDBETWEEN(1620,2416)))</f>
        <v>62579766.753849089</v>
      </c>
      <c r="B9786">
        <v>156429302.56827584</v>
      </c>
    </row>
    <row r="9787" spans="1:2" x14ac:dyDescent="0.25">
      <c r="A9787">
        <f ca="1">28829.8931465569*((RANDBETWEEN(1620,2416)))</f>
        <v>63339275.242985599</v>
      </c>
      <c r="B9787">
        <v>159576675.82147989</v>
      </c>
    </row>
    <row r="9788" spans="1:2" x14ac:dyDescent="0.25">
      <c r="A9788">
        <f ca="1">30375.5967782395*((RANDBETWEEN(1620,2416)))</f>
        <v>66249176.573340453</v>
      </c>
      <c r="B9788">
        <v>183509629.13758215</v>
      </c>
    </row>
    <row r="9789" spans="1:2" x14ac:dyDescent="0.25">
      <c r="A9789">
        <f ca="1">28975.7457874604*((RANDBETWEEN(1620,2416)))</f>
        <v>59632084.830593556</v>
      </c>
      <c r="B9789">
        <v>187893395.21171433</v>
      </c>
    </row>
    <row r="9790" spans="1:2" x14ac:dyDescent="0.25">
      <c r="A9790">
        <f ca="1">26352.4206112419*((RANDBETWEEN(1620,2416)))</f>
        <v>56499589.790502548</v>
      </c>
      <c r="B9790">
        <v>151764428.8722454</v>
      </c>
    </row>
    <row r="9791" spans="1:2" x14ac:dyDescent="0.25">
      <c r="A9791">
        <f ca="1">27818.4003220188*((RANDBETWEEN(1620,2416)))</f>
        <v>54496246.230835006</v>
      </c>
      <c r="B9791">
        <v>157876561.0252361</v>
      </c>
    </row>
    <row r="9792" spans="1:2" x14ac:dyDescent="0.25">
      <c r="A9792">
        <f ca="1">28392.7611204373*((RANDBETWEEN(1620,2416)))</f>
        <v>68454947.061374351</v>
      </c>
      <c r="B9792">
        <v>169658648.03192887</v>
      </c>
    </row>
    <row r="9793" spans="1:2" x14ac:dyDescent="0.25">
      <c r="A9793">
        <f ca="1">33232.7352678894*((RANDBETWEEN(1620,2416)))</f>
        <v>61646723.921934895</v>
      </c>
      <c r="B9793">
        <v>171697718.3225745</v>
      </c>
    </row>
    <row r="9794" spans="1:2" x14ac:dyDescent="0.25">
      <c r="A9794">
        <f ca="1">27292.2695946188*((RANDBETWEEN(1620,2416)))</f>
        <v>45277875.257472605</v>
      </c>
      <c r="B9794">
        <v>156515576.3443431</v>
      </c>
    </row>
    <row r="9795" spans="1:2" x14ac:dyDescent="0.25">
      <c r="A9795">
        <f ca="1">27184.9712284777*((RANDBETWEEN(1620,2416)))</f>
        <v>59616641.904051505</v>
      </c>
      <c r="B9795">
        <v>179943171.88309678</v>
      </c>
    </row>
    <row r="9796" spans="1:2" x14ac:dyDescent="0.25">
      <c r="A9796">
        <f ca="1">29812.9250894189*((RANDBETWEEN(1620,2416)))</f>
        <v>71819336.540410087</v>
      </c>
      <c r="B9796">
        <v>157863145.43630701</v>
      </c>
    </row>
    <row r="9797" spans="1:2" x14ac:dyDescent="0.25">
      <c r="A9797">
        <f ca="1">26975.2021070297*((RANDBETWEEN(1620,2416)))</f>
        <v>45156488.327167764</v>
      </c>
      <c r="B9797">
        <v>168711163.17324978</v>
      </c>
    </row>
    <row r="9798" spans="1:2" x14ac:dyDescent="0.25">
      <c r="A9798">
        <f ca="1">32165.3529262691*((RANDBETWEEN(1620,2416)))</f>
        <v>75652910.082584992</v>
      </c>
      <c r="B9798">
        <v>194399800.92882961</v>
      </c>
    </row>
    <row r="9799" spans="1:2" x14ac:dyDescent="0.25">
      <c r="A9799">
        <f ca="1">26569.8829409253*((RANDBETWEEN(1620,2416)))</f>
        <v>45035951.584868409</v>
      </c>
      <c r="B9799">
        <v>172143729.50964588</v>
      </c>
    </row>
    <row r="9800" spans="1:2" x14ac:dyDescent="0.25">
      <c r="A9800">
        <f ca="1">27518.8849707813*((RANDBETWEEN(1620,2416)))</f>
        <v>57899733.978523932</v>
      </c>
      <c r="B9800">
        <v>183811671.38720012</v>
      </c>
    </row>
    <row r="9801" spans="1:2" x14ac:dyDescent="0.25">
      <c r="A9801">
        <f ca="1">32033.9522738645*((RANDBETWEEN(1620,2416)))</f>
        <v>67783843.011497334</v>
      </c>
      <c r="B9801">
        <v>174003169.2913036</v>
      </c>
    </row>
    <row r="9802" spans="1:2" x14ac:dyDescent="0.25">
      <c r="A9802">
        <f ca="1">27234.2165746303*((RANDBETWEEN(1620,2416)))</f>
        <v>47904986.954774722</v>
      </c>
      <c r="B9802">
        <v>143095402.71624187</v>
      </c>
    </row>
    <row r="9803" spans="1:2" x14ac:dyDescent="0.25">
      <c r="A9803">
        <f ca="1">28811.3175571416*((RANDBETWEEN(1620,2416)))</f>
        <v>47682730.557069346</v>
      </c>
      <c r="B9803">
        <v>175025828.4564411</v>
      </c>
    </row>
    <row r="9804" spans="1:2" x14ac:dyDescent="0.25">
      <c r="A9804">
        <f ca="1">26260.283894706*((RANDBETWEEN(1620,2416)))</f>
        <v>52573088.357201442</v>
      </c>
      <c r="B9804">
        <v>147659728.99786663</v>
      </c>
    </row>
    <row r="9805" spans="1:2" x14ac:dyDescent="0.25">
      <c r="A9805">
        <f ca="1">31427.7333118957*((RANDBETWEEN(1620,2416)))</f>
        <v>72095220.217488661</v>
      </c>
      <c r="B9805">
        <v>176996568.04855412</v>
      </c>
    </row>
    <row r="9806" spans="1:2" x14ac:dyDescent="0.25">
      <c r="A9806">
        <f ca="1">30467.5607079221*((RANDBETWEEN(1620,2416)))</f>
        <v>52952620.510368608</v>
      </c>
      <c r="B9806">
        <v>163754332.39604279</v>
      </c>
    </row>
    <row r="9807" spans="1:2" x14ac:dyDescent="0.25">
      <c r="A9807">
        <f ca="1">25590.2036688991*((RANDBETWEEN(1620,2416)))</f>
        <v>61237357.379675552</v>
      </c>
      <c r="B9807">
        <v>165144428.78126818</v>
      </c>
    </row>
    <row r="9808" spans="1:2" x14ac:dyDescent="0.25">
      <c r="A9808">
        <f ca="1">26780.8513028819*((RANDBETWEEN(1620,2416)))</f>
        <v>62935000.56177257</v>
      </c>
      <c r="B9808">
        <v>145478907.04103225</v>
      </c>
    </row>
    <row r="9809" spans="1:2" x14ac:dyDescent="0.25">
      <c r="A9809">
        <f ca="1">25973.611910677*((RANDBETWEEN(1620,2416)))</f>
        <v>52882273.850138351</v>
      </c>
      <c r="B9809">
        <v>163869768.59954268</v>
      </c>
    </row>
    <row r="9810" spans="1:2" x14ac:dyDescent="0.25">
      <c r="A9810">
        <f ca="1">28759.6922712552*((RANDBETWEEN(1620,2416)))</f>
        <v>64824346.379409306</v>
      </c>
      <c r="B9810">
        <v>201908647.4408412</v>
      </c>
    </row>
    <row r="9811" spans="1:2" x14ac:dyDescent="0.25">
      <c r="A9811">
        <f ca="1">28474.1146186383*((RANDBETWEEN(1620,2416)))</f>
        <v>60877657.054648697</v>
      </c>
      <c r="B9811">
        <v>161150231.58423644</v>
      </c>
    </row>
    <row r="9812" spans="1:2" x14ac:dyDescent="0.25">
      <c r="A9812">
        <f ca="1">26239.9280172636*((RANDBETWEEN(1620,2416)))</f>
        <v>61086552.424189545</v>
      </c>
      <c r="B9812">
        <v>161689399.3411772</v>
      </c>
    </row>
    <row r="9813" spans="1:2" x14ac:dyDescent="0.25">
      <c r="A9813">
        <f ca="1">28917.2673447263*((RANDBETWEEN(1620,2416)))</f>
        <v>67608571.051970094</v>
      </c>
      <c r="B9813">
        <v>196730173.39362237</v>
      </c>
    </row>
    <row r="9814" spans="1:2" x14ac:dyDescent="0.25">
      <c r="A9814">
        <f ca="1">30443.7418396849*((RANDBETWEEN(1620,2416)))</f>
        <v>56655803.563653573</v>
      </c>
      <c r="B9814">
        <v>155744726.07259542</v>
      </c>
    </row>
    <row r="9815" spans="1:2" x14ac:dyDescent="0.25">
      <c r="A9815">
        <f ca="1">28433.6612266725*((RANDBETWEEN(1620,2416)))</f>
        <v>50668784.305930451</v>
      </c>
      <c r="B9815">
        <v>151539377.89044994</v>
      </c>
    </row>
    <row r="9816" spans="1:2" x14ac:dyDescent="0.25">
      <c r="A9816">
        <f ca="1">28974.5834818543*((RANDBETWEEN(1620,2416)))</f>
        <v>61252269.480640069</v>
      </c>
      <c r="B9816">
        <v>145558994.42996234</v>
      </c>
    </row>
    <row r="9817" spans="1:2" x14ac:dyDescent="0.25">
      <c r="A9817">
        <f ca="1">25220.4802618862*((RANDBETWEEN(1620,2416)))</f>
        <v>52282055.58289019</v>
      </c>
      <c r="B9817">
        <v>145964067.92400849</v>
      </c>
    </row>
    <row r="9818" spans="1:2" x14ac:dyDescent="0.25">
      <c r="A9818">
        <f ca="1">26401.5533287896*((RANDBETWEEN(1620,2416)))</f>
        <v>58321031.303296134</v>
      </c>
      <c r="B9818">
        <v>171232935.14796448</v>
      </c>
    </row>
    <row r="9819" spans="1:2" x14ac:dyDescent="0.25">
      <c r="A9819">
        <f ca="1">26270.9672540348*((RANDBETWEEN(1620,2416)))</f>
        <v>59109676.321578324</v>
      </c>
      <c r="B9819">
        <v>182768780.44199896</v>
      </c>
    </row>
    <row r="9820" spans="1:2" x14ac:dyDescent="0.25">
      <c r="A9820">
        <f ca="1">28088.1431582561*((RANDBETWEEN(1620,2416)))</f>
        <v>54884231.731232457</v>
      </c>
      <c r="B9820">
        <v>176413786.51505283</v>
      </c>
    </row>
    <row r="9821" spans="1:2" x14ac:dyDescent="0.25">
      <c r="A9821">
        <f ca="1">32796.3600902033*((RANDBETWEEN(1620,2416)))</f>
        <v>74578922.845122397</v>
      </c>
      <c r="B9821">
        <v>192770079.04187357</v>
      </c>
    </row>
    <row r="9822" spans="1:2" x14ac:dyDescent="0.25">
      <c r="A9822">
        <f ca="1">27885.7026404795*((RANDBETWEEN(1620,2416)))</f>
        <v>67093000.552993573</v>
      </c>
      <c r="B9822">
        <v>184975965.70996532</v>
      </c>
    </row>
    <row r="9823" spans="1:2" x14ac:dyDescent="0.25">
      <c r="A9823">
        <f ca="1">27147.9943003505*((RANDBETWEEN(1620,2416)))</f>
        <v>59807031.443672128</v>
      </c>
      <c r="B9823">
        <v>193804146.21919066</v>
      </c>
    </row>
    <row r="9824" spans="1:2" x14ac:dyDescent="0.25">
      <c r="A9824">
        <f ca="1">27127.1580584094*((RANDBETWEEN(1620,2416)))</f>
        <v>55692055.493914448</v>
      </c>
      <c r="B9824">
        <v>144852810.2651259</v>
      </c>
    </row>
    <row r="9825" spans="1:2" x14ac:dyDescent="0.25">
      <c r="A9825">
        <f ca="1">26246.2311295653*((RANDBETWEEN(1620,2416)))</f>
        <v>44408623.071224451</v>
      </c>
      <c r="B9825">
        <v>143708072.82812035</v>
      </c>
    </row>
    <row r="9826" spans="1:2" x14ac:dyDescent="0.25">
      <c r="A9826">
        <f ca="1">31055.9904896252*((RANDBETWEEN(1620,2416)))</f>
        <v>70217594.497042581</v>
      </c>
      <c r="B9826">
        <v>198777224.64567816</v>
      </c>
    </row>
    <row r="9827" spans="1:2" x14ac:dyDescent="0.25">
      <c r="A9827">
        <f ca="1">32259.7352844641*((RANDBETWEEN(1620,2416)))</f>
        <v>71842430.478501514</v>
      </c>
      <c r="B9827">
        <v>181669591.40653953</v>
      </c>
    </row>
    <row r="9828" spans="1:2" x14ac:dyDescent="0.25">
      <c r="A9828">
        <f ca="1">26287.5341810079*((RANDBETWEEN(1620,2416)))</f>
        <v>45083121.120428473</v>
      </c>
      <c r="B9828">
        <v>145602290.7220833</v>
      </c>
    </row>
    <row r="9829" spans="1:2" x14ac:dyDescent="0.25">
      <c r="A9829">
        <f ca="1">28497.0301016263*((RANDBETWEEN(1620,2416)))</f>
        <v>56794580.992541157</v>
      </c>
      <c r="B9829">
        <v>177379970.93106097</v>
      </c>
    </row>
    <row r="9830" spans="1:2" x14ac:dyDescent="0.25">
      <c r="A9830">
        <f ca="1">26278.7073733972*((RANDBETWEEN(1620,2416)))</f>
        <v>46224246.269805588</v>
      </c>
      <c r="B9830">
        <v>177396304.3698616</v>
      </c>
    </row>
    <row r="9831" spans="1:2" x14ac:dyDescent="0.25">
      <c r="A9831">
        <f ca="1">27612.9368134108*((RANDBETWEEN(1620,2416)))</f>
        <v>57628199.129588403</v>
      </c>
      <c r="B9831">
        <v>172871644.91433913</v>
      </c>
    </row>
    <row r="9832" spans="1:2" x14ac:dyDescent="0.25">
      <c r="A9832">
        <f ca="1">27384.3652389592*((RANDBETWEEN(1620,2416)))</f>
        <v>61587437.422419168</v>
      </c>
      <c r="B9832">
        <v>144936001.33325547</v>
      </c>
    </row>
    <row r="9833" spans="1:2" x14ac:dyDescent="0.25">
      <c r="A9833">
        <f ca="1">27398.0951541451*((RANDBETWEEN(1620,2416)))</f>
        <v>50960456.986709803</v>
      </c>
      <c r="B9833">
        <v>146372874.13909417</v>
      </c>
    </row>
    <row r="9834" spans="1:2" x14ac:dyDescent="0.25">
      <c r="A9834">
        <f ca="1">26485.7069396509*((RANDBETWEEN(1620,2416)))</f>
        <v>55567013.159387656</v>
      </c>
      <c r="B9834">
        <v>174777524.4051995</v>
      </c>
    </row>
    <row r="9835" spans="1:2" x14ac:dyDescent="0.25">
      <c r="A9835">
        <f ca="1">27898.9139010519*((RANDBETWEEN(1620,2416)))</f>
        <v>56188412.596718602</v>
      </c>
      <c r="B9835">
        <v>174175326.38544846</v>
      </c>
    </row>
    <row r="9836" spans="1:2" x14ac:dyDescent="0.25">
      <c r="A9836">
        <f ca="1">27831.7724189636*((RANDBETWEEN(1620,2416)))</f>
        <v>55218236.479223795</v>
      </c>
      <c r="B9836">
        <v>198216312.99159428</v>
      </c>
    </row>
    <row r="9837" spans="1:2" x14ac:dyDescent="0.25">
      <c r="A9837">
        <f ca="1">25647.6804643222*((RANDBETWEEN(1620,2416)))</f>
        <v>43677999.830740735</v>
      </c>
      <c r="B9837">
        <v>144804558.247177</v>
      </c>
    </row>
    <row r="9838" spans="1:2" x14ac:dyDescent="0.25">
      <c r="A9838">
        <f ca="1">27352.1186748581*((RANDBETWEEN(1620,2416)))</f>
        <v>63675732.27506955</v>
      </c>
      <c r="B9838">
        <v>175789779.4019354</v>
      </c>
    </row>
    <row r="9839" spans="1:2" x14ac:dyDescent="0.25">
      <c r="A9839">
        <f ca="1">26617.4302729156*((RANDBETWEEN(1620,2416)))</f>
        <v>46740207.559239872</v>
      </c>
      <c r="B9839">
        <v>169094469.40064076</v>
      </c>
    </row>
    <row r="9840" spans="1:2" x14ac:dyDescent="0.25">
      <c r="A9840">
        <f ca="1">26365.3156063108*((RANDBETWEEN(1620,2416)))</f>
        <v>43133656.331924401</v>
      </c>
      <c r="B9840">
        <v>158102095.73500103</v>
      </c>
    </row>
    <row r="9841" spans="1:2" x14ac:dyDescent="0.25">
      <c r="A9841">
        <f ca="1">29817.1749960236*((RANDBETWEEN(1620,2416)))</f>
        <v>72008477.615397036</v>
      </c>
      <c r="B9841">
        <v>149633517.07587871</v>
      </c>
    </row>
    <row r="9842" spans="1:2" x14ac:dyDescent="0.25">
      <c r="A9842">
        <f ca="1">27191.6782772107*((RANDBETWEEN(1620,2416)))</f>
        <v>56477115.781766668</v>
      </c>
      <c r="B9842">
        <v>168855968.34972346</v>
      </c>
    </row>
    <row r="9843" spans="1:2" x14ac:dyDescent="0.25">
      <c r="A9843">
        <f ca="1">26598.6945727188*((RANDBETWEEN(1620,2416)))</f>
        <v>45935945.527085304</v>
      </c>
      <c r="B9843">
        <v>180089009.87326357</v>
      </c>
    </row>
    <row r="9844" spans="1:2" x14ac:dyDescent="0.25">
      <c r="A9844">
        <f ca="1">25466.5201800735*((RANDBETWEEN(1620,2416)))</f>
        <v>48641053.543940373</v>
      </c>
      <c r="B9844">
        <v>166490365.97768465</v>
      </c>
    </row>
    <row r="9845" spans="1:2" x14ac:dyDescent="0.25">
      <c r="A9845">
        <f ca="1">27598.6029482039*((RANDBETWEEN(1620,2416)))</f>
        <v>65408688.987243325</v>
      </c>
      <c r="B9845">
        <v>161384510.71177575</v>
      </c>
    </row>
    <row r="9846" spans="1:2" x14ac:dyDescent="0.25">
      <c r="A9846">
        <f ca="1">26414.9292757124*((RANDBETWEEN(1620,2416)))</f>
        <v>58456238.487151444</v>
      </c>
      <c r="B9846">
        <v>174141278.21266803</v>
      </c>
    </row>
    <row r="9847" spans="1:2" x14ac:dyDescent="0.25">
      <c r="A9847">
        <f ca="1">30087.2801430293*((RANDBETWEEN(1620,2416)))</f>
        <v>53164224.012732722</v>
      </c>
      <c r="B9847">
        <v>144724477.88200569</v>
      </c>
    </row>
    <row r="9848" spans="1:2" x14ac:dyDescent="0.25">
      <c r="A9848">
        <f ca="1">26357.0632536101*((RANDBETWEEN(1620,2416)))</f>
        <v>48444282.26013536</v>
      </c>
      <c r="B9848">
        <v>165353410.55930287</v>
      </c>
    </row>
    <row r="9849" spans="1:2" x14ac:dyDescent="0.25">
      <c r="A9849">
        <f ca="1">27253.3778152106*((RANDBETWEEN(1620,2416)))</f>
        <v>46875809.842162184</v>
      </c>
      <c r="B9849">
        <v>154724218.45474616</v>
      </c>
    </row>
    <row r="9850" spans="1:2" x14ac:dyDescent="0.25">
      <c r="A9850">
        <f ca="1">28269.5953580869*((RANDBETWEEN(1620,2416)))</f>
        <v>48482356.039118998</v>
      </c>
      <c r="B9850">
        <v>197861281.81885988</v>
      </c>
    </row>
    <row r="9851" spans="1:2" x14ac:dyDescent="0.25">
      <c r="A9851">
        <f ca="1">26641.67131609*((RANDBETWEEN(1620,2416)))</f>
        <v>61568902.41148407</v>
      </c>
      <c r="B9851">
        <v>191068779.04548988</v>
      </c>
    </row>
    <row r="9852" spans="1:2" x14ac:dyDescent="0.25">
      <c r="A9852">
        <f ca="1">31357.6419368314*((RANDBETWEEN(1620,2416)))</f>
        <v>68861381.69328168</v>
      </c>
      <c r="B9852">
        <v>164171069.63692117</v>
      </c>
    </row>
    <row r="9853" spans="1:2" x14ac:dyDescent="0.25">
      <c r="A9853">
        <f ca="1">31695.2566981657*((RANDBETWEEN(1620,2416)))</f>
        <v>73786557.593329653</v>
      </c>
      <c r="B9853">
        <v>149258805.79773894</v>
      </c>
    </row>
    <row r="9854" spans="1:2" x14ac:dyDescent="0.25">
      <c r="A9854">
        <f ca="1">27811.7043287989*((RANDBETWEEN(1620,2416)))</f>
        <v>60657327.141110376</v>
      </c>
      <c r="B9854">
        <v>147467317.22120416</v>
      </c>
    </row>
    <row r="9855" spans="1:2" x14ac:dyDescent="0.25">
      <c r="A9855">
        <f ca="1">28305.8423219*((RANDBETWEEN(1620,2416)))</f>
        <v>66490423.614143126</v>
      </c>
      <c r="B9855">
        <v>146774517.49235761</v>
      </c>
    </row>
    <row r="9856" spans="1:2" x14ac:dyDescent="0.25">
      <c r="A9856">
        <f ca="1">25602.4654718456*((RANDBETWEEN(1620,2416)))</f>
        <v>56914280.743912771</v>
      </c>
      <c r="B9856">
        <v>156557029.68553457</v>
      </c>
    </row>
    <row r="9857" spans="1:2" x14ac:dyDescent="0.25">
      <c r="A9857">
        <f ca="1">27337.9989663162*((RANDBETWEEN(1620,2416)))</f>
        <v>47896174.188986041</v>
      </c>
      <c r="B9857">
        <v>151589781.19813758</v>
      </c>
    </row>
    <row r="9858" spans="1:2" x14ac:dyDescent="0.25">
      <c r="A9858">
        <f ca="1">25106.6067012539*((RANDBETWEEN(1620,2416)))</f>
        <v>58397967.187116504</v>
      </c>
      <c r="B9858">
        <v>143144781.79675889</v>
      </c>
    </row>
    <row r="9859" spans="1:2" x14ac:dyDescent="0.25">
      <c r="A9859">
        <f ca="1">29063.573566777*((RANDBETWEEN(1620,2416)))</f>
        <v>62602937.462837607</v>
      </c>
      <c r="B9859">
        <v>184784944.14898604</v>
      </c>
    </row>
    <row r="9860" spans="1:2" x14ac:dyDescent="0.25">
      <c r="A9860">
        <f ca="1">29882.4353357701*((RANDBETWEEN(1620,2416)))</f>
        <v>49515195.351371124</v>
      </c>
      <c r="B9860">
        <v>183835522.47932205</v>
      </c>
    </row>
    <row r="9861" spans="1:2" x14ac:dyDescent="0.25">
      <c r="A9861">
        <f ca="1">27457.1657709576*((RANDBETWEEN(1620,2416)))</f>
        <v>59719335.55183281</v>
      </c>
      <c r="B9861">
        <v>166618054.34282678</v>
      </c>
    </row>
    <row r="9862" spans="1:2" x14ac:dyDescent="0.25">
      <c r="A9862">
        <f ca="1">26827.9238935086*((RANDBETWEEN(1620,2416)))</f>
        <v>56928854.502025172</v>
      </c>
      <c r="B9862">
        <v>146134489.84424609</v>
      </c>
    </row>
    <row r="9863" spans="1:2" x14ac:dyDescent="0.25">
      <c r="A9863">
        <f ca="1">26875.3542599134*((RANDBETWEEN(1620,2416)))</f>
        <v>60818926.69018402</v>
      </c>
      <c r="B9863">
        <v>152684694.75630075</v>
      </c>
    </row>
    <row r="9864" spans="1:2" x14ac:dyDescent="0.25">
      <c r="A9864">
        <f ca="1">28477.308763688*((RANDBETWEEN(1620,2416)))</f>
        <v>58150664.495450839</v>
      </c>
      <c r="B9864">
        <v>156417232.90436304</v>
      </c>
    </row>
    <row r="9865" spans="1:2" x14ac:dyDescent="0.25">
      <c r="A9865">
        <f ca="1">27543.1236846404*((RANDBETWEEN(1620,2416)))</f>
        <v>51340382.548169769</v>
      </c>
      <c r="B9865">
        <v>159260068.42613649</v>
      </c>
    </row>
    <row r="9866" spans="1:2" x14ac:dyDescent="0.25">
      <c r="A9866">
        <f ca="1">31143.1686880762*((RANDBETWEEN(1620,2416)))</f>
        <v>71753860.657327473</v>
      </c>
      <c r="B9866">
        <v>157443120.07042539</v>
      </c>
    </row>
    <row r="9867" spans="1:2" x14ac:dyDescent="0.25">
      <c r="A9867">
        <f ca="1">30762.1280244228*((RANDBETWEEN(1620,2416)))</f>
        <v>51341991.672761723</v>
      </c>
      <c r="B9867">
        <v>186761252.32434008</v>
      </c>
    </row>
    <row r="9868" spans="1:2" x14ac:dyDescent="0.25">
      <c r="A9868">
        <f ca="1">26677.2700165335*((RANDBETWEEN(1620,2416)))</f>
        <v>55755494.334554955</v>
      </c>
      <c r="B9868">
        <v>176553753.34078056</v>
      </c>
    </row>
    <row r="9869" spans="1:2" x14ac:dyDescent="0.25">
      <c r="A9869">
        <f ca="1">27914.3877328424*((RANDBETWEEN(1620,2416)))</f>
        <v>63951862.295941912</v>
      </c>
      <c r="B9869">
        <v>158340259.67366424</v>
      </c>
    </row>
    <row r="9870" spans="1:2" x14ac:dyDescent="0.25">
      <c r="A9870">
        <f ca="1">30963.3435511549*((RANDBETWEEN(1620,2416)))</f>
        <v>68552842.62225686</v>
      </c>
      <c r="B9870">
        <v>149810991.59577981</v>
      </c>
    </row>
    <row r="9871" spans="1:2" x14ac:dyDescent="0.25">
      <c r="A9871">
        <f ca="1">27530.1270099155*((RANDBETWEEN(1620,2416)))</f>
        <v>53518566.907275781</v>
      </c>
      <c r="B9871">
        <v>146153140.95314899</v>
      </c>
    </row>
    <row r="9872" spans="1:2" x14ac:dyDescent="0.25">
      <c r="A9872">
        <f ca="1">27153.035362726*((RANDBETWEEN(1620,2416)))</f>
        <v>65140131.835179709</v>
      </c>
      <c r="B9872">
        <v>171329010.20511633</v>
      </c>
    </row>
    <row r="9873" spans="1:2" x14ac:dyDescent="0.25">
      <c r="A9873">
        <f ca="1">28761.3455347984*((RANDBETWEEN(1620,2416)))</f>
        <v>46794709.185117029</v>
      </c>
      <c r="B9873">
        <v>160992243.36266735</v>
      </c>
    </row>
    <row r="9874" spans="1:2" x14ac:dyDescent="0.25">
      <c r="A9874">
        <f ca="1">27491.4063292976*((RANDBETWEEN(1620,2416)))</f>
        <v>63972502.528275736</v>
      </c>
      <c r="B9874">
        <v>154811547.5872809</v>
      </c>
    </row>
    <row r="9875" spans="1:2" x14ac:dyDescent="0.25">
      <c r="A9875">
        <f ca="1">26909.3528698438*((RANDBETWEEN(1620,2416)))</f>
        <v>59092938.902176894</v>
      </c>
      <c r="B9875">
        <v>191229418.4698444</v>
      </c>
    </row>
    <row r="9876" spans="1:2" x14ac:dyDescent="0.25">
      <c r="A9876">
        <f ca="1">26531.5140944781*((RANDBETWEEN(1620,2416)))</f>
        <v>62110274.495173305</v>
      </c>
      <c r="B9876">
        <v>151504236.90858853</v>
      </c>
    </row>
    <row r="9877" spans="1:2" x14ac:dyDescent="0.25">
      <c r="A9877">
        <f ca="1">30786.3532276527*((RANDBETWEEN(1620,2416)))</f>
        <v>67853122.513746545</v>
      </c>
      <c r="B9877">
        <v>184481018.34956574</v>
      </c>
    </row>
    <row r="9878" spans="1:2" x14ac:dyDescent="0.25">
      <c r="A9878">
        <f ca="1">25959.7709144297*((RANDBETWEEN(1620,2416)))</f>
        <v>58357565.015638188</v>
      </c>
      <c r="B9878">
        <v>146098357.31592554</v>
      </c>
    </row>
    <row r="9879" spans="1:2" x14ac:dyDescent="0.25">
      <c r="A9879">
        <f ca="1">29278.7241750039*((RANDBETWEEN(1620,2416)))</f>
        <v>52760260.963357069</v>
      </c>
      <c r="B9879">
        <v>192794455.43628779</v>
      </c>
    </row>
    <row r="9880" spans="1:2" x14ac:dyDescent="0.25">
      <c r="A9880">
        <f ca="1">29662.658739177*((RANDBETWEEN(1620,2416)))</f>
        <v>62380571.328489147</v>
      </c>
      <c r="B9880">
        <v>191692704.56676096</v>
      </c>
    </row>
    <row r="9881" spans="1:2" x14ac:dyDescent="0.25">
      <c r="A9881">
        <f ca="1">27055.325633252*((RANDBETWEEN(1620,2416)))</f>
        <v>63228296.004909918</v>
      </c>
      <c r="B9881">
        <v>157532601.21516246</v>
      </c>
    </row>
    <row r="9882" spans="1:2" x14ac:dyDescent="0.25">
      <c r="A9882">
        <f ca="1">26822.616284568*((RANDBETWEEN(1620,2416)))</f>
        <v>64562037.396955274</v>
      </c>
      <c r="B9882">
        <v>194364687.36825693</v>
      </c>
    </row>
    <row r="9883" spans="1:2" x14ac:dyDescent="0.25">
      <c r="A9883">
        <f ca="1">27366.4427761178*((RANDBETWEEN(1620,2416)))</f>
        <v>61574496.246264994</v>
      </c>
      <c r="B9883">
        <v>166817292.99261281</v>
      </c>
    </row>
    <row r="9884" spans="1:2" x14ac:dyDescent="0.25">
      <c r="A9884">
        <f ca="1">25430.7611281977*((RANDBETWEEN(1620,2416)))</f>
        <v>52794260.102138393</v>
      </c>
      <c r="B9884">
        <v>149869906.02952638</v>
      </c>
    </row>
    <row r="9885" spans="1:2" x14ac:dyDescent="0.25">
      <c r="A9885">
        <f ca="1">27485.0728619123*((RANDBETWEEN(1620,2416)))</f>
        <v>59697578.256073616</v>
      </c>
      <c r="B9885">
        <v>166405457.64113116</v>
      </c>
    </row>
    <row r="9886" spans="1:2" x14ac:dyDescent="0.25">
      <c r="A9886">
        <f ca="1">24506.1684032488*((RANDBETWEEN(1620,2416)))</f>
        <v>54918323.391680479</v>
      </c>
      <c r="B9886">
        <v>153342104.73608047</v>
      </c>
    </row>
    <row r="9887" spans="1:2" x14ac:dyDescent="0.25">
      <c r="A9887">
        <f ca="1">29502.8335185644*((RANDBETWEEN(1620,2416)))</f>
        <v>60244786.044908568</v>
      </c>
      <c r="B9887">
        <v>202040760.23144442</v>
      </c>
    </row>
    <row r="9888" spans="1:2" x14ac:dyDescent="0.25">
      <c r="A9888">
        <f ca="1">29314.7540070002*((RANDBETWEEN(1620,2416)))</f>
        <v>61971389.970798485</v>
      </c>
      <c r="B9888">
        <v>179500103.52633119</v>
      </c>
    </row>
    <row r="9889" spans="1:2" x14ac:dyDescent="0.25">
      <c r="A9889">
        <f ca="1">32987.8614826584*((RANDBETWEEN(1620,2416)))</f>
        <v>73496955.383362859</v>
      </c>
      <c r="B9889">
        <v>160739677.33345956</v>
      </c>
    </row>
    <row r="9890" spans="1:2" x14ac:dyDescent="0.25">
      <c r="A9890">
        <f ca="1">33405.837884505*((RANDBETWEEN(1620,2416)))</f>
        <v>78904589.083200783</v>
      </c>
      <c r="B9890">
        <v>151490096.89408118</v>
      </c>
    </row>
    <row r="9891" spans="1:2" x14ac:dyDescent="0.25">
      <c r="A9891">
        <f ca="1">27952.233434486*((RANDBETWEEN(1620,2416)))</f>
        <v>61718531.423345163</v>
      </c>
      <c r="B9891">
        <v>142928404.36745441</v>
      </c>
    </row>
    <row r="9892" spans="1:2" x14ac:dyDescent="0.25">
      <c r="A9892">
        <f ca="1">26879.5177749783*((RANDBETWEEN(1620,2416)))</f>
        <v>50022782.579234615</v>
      </c>
      <c r="B9892">
        <v>171911788.54234022</v>
      </c>
    </row>
    <row r="9893" spans="1:2" x14ac:dyDescent="0.25">
      <c r="A9893">
        <f ca="1">27320.6058190213*((RANDBETWEEN(1620,2416)))</f>
        <v>56881501.315202303</v>
      </c>
      <c r="B9893">
        <v>186238736.27124476</v>
      </c>
    </row>
    <row r="9894" spans="1:2" x14ac:dyDescent="0.25">
      <c r="A9894">
        <f ca="1">27148.6232286248*((RANDBETWEEN(1620,2416)))</f>
        <v>63066251.760095343</v>
      </c>
      <c r="B9894">
        <v>197976981.86692882</v>
      </c>
    </row>
    <row r="9895" spans="1:2" x14ac:dyDescent="0.25">
      <c r="A9895">
        <f ca="1">29416.0505735224*((RANDBETWEEN(1620,2416)))</f>
        <v>47712834.030253261</v>
      </c>
      <c r="B9895">
        <v>162743591.00765219</v>
      </c>
    </row>
    <row r="9896" spans="1:2" x14ac:dyDescent="0.25">
      <c r="A9896">
        <f ca="1">28662.2686467097*((RANDBETWEEN(1620,2416)))</f>
        <v>59359558.367335841</v>
      </c>
      <c r="B9896">
        <v>165210540.91246209</v>
      </c>
    </row>
    <row r="9897" spans="1:2" x14ac:dyDescent="0.25">
      <c r="A9897">
        <f ca="1">30040.6403723975*((RANDBETWEEN(1620,2416)))</f>
        <v>63175466.703151889</v>
      </c>
      <c r="B9897">
        <v>184099620.82922125</v>
      </c>
    </row>
    <row r="9898" spans="1:2" x14ac:dyDescent="0.25">
      <c r="A9898">
        <f ca="1">31136.4459802593*((RANDBETWEEN(1620,2416)))</f>
        <v>74384969.446839467</v>
      </c>
      <c r="B9898">
        <v>202958305.23313487</v>
      </c>
    </row>
    <row r="9899" spans="1:2" x14ac:dyDescent="0.25">
      <c r="A9899">
        <f ca="1">24788.4175561678*((RANDBETWEEN(1620,2416)))</f>
        <v>48882759.420762986</v>
      </c>
      <c r="B9899">
        <v>180014289.09862983</v>
      </c>
    </row>
    <row r="9900" spans="1:2" x14ac:dyDescent="0.25">
      <c r="A9900">
        <f ca="1">31846.5485490626*((RANDBETWEEN(1620,2416)))</f>
        <v>70922263.618762344</v>
      </c>
      <c r="B9900">
        <v>202497287.20740318</v>
      </c>
    </row>
    <row r="9901" spans="1:2" x14ac:dyDescent="0.25">
      <c r="A9901">
        <f ca="1">26215.3535285332*((RANDBETWEEN(1620,2416)))</f>
        <v>61475004.024410352</v>
      </c>
      <c r="B9901">
        <v>161719579.04081619</v>
      </c>
    </row>
    <row r="9902" spans="1:2" x14ac:dyDescent="0.25">
      <c r="A9902">
        <f ca="1">25804.960837933*((RANDBETWEEN(1620,2416)))</f>
        <v>62035125.854390949</v>
      </c>
      <c r="B9902">
        <v>144960582.75791287</v>
      </c>
    </row>
    <row r="9903" spans="1:2" x14ac:dyDescent="0.25">
      <c r="A9903">
        <f ca="1">28551.3502182569*((RANDBETWEEN(1620,2416)))</f>
        <v>46253187.353576124</v>
      </c>
      <c r="B9903">
        <v>183929425.75962335</v>
      </c>
    </row>
    <row r="9904" spans="1:2" x14ac:dyDescent="0.25">
      <c r="A9904">
        <f ca="1">27870.2335156714*((RANDBETWEEN(1620,2416)))</f>
        <v>47964671.880470455</v>
      </c>
      <c r="B9904">
        <v>152528708.19353431</v>
      </c>
    </row>
    <row r="9905" spans="1:2" x14ac:dyDescent="0.25">
      <c r="A9905">
        <f ca="1">28317.074768736*((RANDBETWEEN(1620,2416)))</f>
        <v>65554028.089623809</v>
      </c>
      <c r="B9905">
        <v>147327726.38121304</v>
      </c>
    </row>
    <row r="9906" spans="1:2" x14ac:dyDescent="0.25">
      <c r="A9906">
        <f ca="1">27655.4700500671*((RANDBETWEEN(1620,2416)))</f>
        <v>47512097.546015218</v>
      </c>
      <c r="B9906">
        <v>160437868.57150847</v>
      </c>
    </row>
    <row r="9907" spans="1:2" x14ac:dyDescent="0.25">
      <c r="A9907">
        <f ca="1">26677.7861781055*((RANDBETWEEN(1620,2416)))</f>
        <v>48793670.919754885</v>
      </c>
      <c r="B9907">
        <v>151495038.29506546</v>
      </c>
    </row>
    <row r="9908" spans="1:2" x14ac:dyDescent="0.25">
      <c r="A9908">
        <f ca="1">26592.9434417306*((RANDBETWEEN(1620,2416)))</f>
        <v>43559241.357554652</v>
      </c>
      <c r="B9908">
        <v>155093819.9141081</v>
      </c>
    </row>
    <row r="9909" spans="1:2" x14ac:dyDescent="0.25">
      <c r="A9909">
        <f ca="1">27686.6254901871*((RANDBETWEEN(1620,2416)))</f>
        <v>58557212.91174566</v>
      </c>
      <c r="B9909">
        <v>157300534.02222171</v>
      </c>
    </row>
    <row r="9910" spans="1:2" x14ac:dyDescent="0.25">
      <c r="A9910">
        <f ca="1">26541.3316260336*((RANDBETWEEN(1620,2416)))</f>
        <v>49181087.503040247</v>
      </c>
      <c r="B9910">
        <v>172188651.28420946</v>
      </c>
    </row>
    <row r="9911" spans="1:2" x14ac:dyDescent="0.25">
      <c r="A9911">
        <f ca="1">26226.723122237*((RANDBETWEEN(1620,2416)))</f>
        <v>45896765.463914774</v>
      </c>
      <c r="B9911">
        <v>148245838.32782149</v>
      </c>
    </row>
    <row r="9912" spans="1:2" x14ac:dyDescent="0.25">
      <c r="A9912">
        <f ca="1">27178.0625344794*((RANDBETWEEN(1620,2416)))</f>
        <v>57726204.823234282</v>
      </c>
      <c r="B9912">
        <v>153890446.03222793</v>
      </c>
    </row>
    <row r="9913" spans="1:2" x14ac:dyDescent="0.25">
      <c r="A9913">
        <f ca="1">28113.0676890095*((RANDBETWEEN(1620,2416)))</f>
        <v>64856847.158544831</v>
      </c>
      <c r="B9913">
        <v>183347281.94621488</v>
      </c>
    </row>
    <row r="9914" spans="1:2" x14ac:dyDescent="0.25">
      <c r="A9914">
        <f ca="1">26629.6364341112*((RANDBETWEEN(1620,2416)))</f>
        <v>48599086.492252931</v>
      </c>
      <c r="B9914">
        <v>159665757.5386357</v>
      </c>
    </row>
    <row r="9915" spans="1:2" x14ac:dyDescent="0.25">
      <c r="A9915">
        <f ca="1">32006.4518928289*((RANDBETWEEN(1620,2416)))</f>
        <v>57899671.474127449</v>
      </c>
      <c r="B9915">
        <v>199960126.1768536</v>
      </c>
    </row>
    <row r="9916" spans="1:2" x14ac:dyDescent="0.25">
      <c r="A9916">
        <f ca="1">27333.3246366107*((RANDBETWEEN(1620,2416)))</f>
        <v>51851316.835650422</v>
      </c>
      <c r="B9916">
        <v>184003234.58275038</v>
      </c>
    </row>
    <row r="9917" spans="1:2" x14ac:dyDescent="0.25">
      <c r="A9917">
        <f ca="1">26875.7395536737*((RANDBETWEEN(1620,2416)))</f>
        <v>48833218.769025102</v>
      </c>
      <c r="B9917">
        <v>148839571.59543318</v>
      </c>
    </row>
    <row r="9918" spans="1:2" x14ac:dyDescent="0.25">
      <c r="A9918">
        <f ca="1">27065.269886647*((RANDBETWEEN(1620,2416)))</f>
        <v>55510868.537513092</v>
      </c>
      <c r="B9918">
        <v>165046537.17136431</v>
      </c>
    </row>
    <row r="9919" spans="1:2" x14ac:dyDescent="0.25">
      <c r="A9919">
        <f ca="1">27968.8491505378*((RANDBETWEEN(1620,2416)))</f>
        <v>60384745.316011161</v>
      </c>
      <c r="B9919">
        <v>166672437.23324463</v>
      </c>
    </row>
    <row r="9920" spans="1:2" x14ac:dyDescent="0.25">
      <c r="A9920">
        <f ca="1">28344.3283672118*((RANDBETWEEN(1620,2416)))</f>
        <v>46683108.820797831</v>
      </c>
      <c r="B9920">
        <v>190442722.12013531</v>
      </c>
    </row>
    <row r="9921" spans="1:2" x14ac:dyDescent="0.25">
      <c r="A9921">
        <f ca="1">25677.4657435439*((RANDBETWEEN(1620,2416)))</f>
        <v>58852751.484202564</v>
      </c>
      <c r="B9921">
        <v>157729659.8281537</v>
      </c>
    </row>
    <row r="9922" spans="1:2" x14ac:dyDescent="0.25">
      <c r="A9922">
        <f ca="1">29049.0138703536*((RANDBETWEEN(1620,2416)))</f>
        <v>50951970.328600287</v>
      </c>
      <c r="B9922">
        <v>185233105.78507981</v>
      </c>
    </row>
    <row r="9923" spans="1:2" x14ac:dyDescent="0.25">
      <c r="A9923">
        <f ca="1">25147.1307917973*((RANDBETWEEN(1620,2416)))</f>
        <v>45390571.079194099</v>
      </c>
      <c r="B9923">
        <v>146040498.08408529</v>
      </c>
    </row>
    <row r="9924" spans="1:2" x14ac:dyDescent="0.25">
      <c r="A9924">
        <f ca="1">29595.85194033*((RANDBETWEEN(1620,2416)))</f>
        <v>55433030.684238151</v>
      </c>
      <c r="B9924">
        <v>199889395.7134468</v>
      </c>
    </row>
    <row r="9925" spans="1:2" x14ac:dyDescent="0.25">
      <c r="A9925">
        <f ca="1">26847.1983409075*((RANDBETWEEN(1620,2416)))</f>
        <v>64191651.233109832</v>
      </c>
      <c r="B9925">
        <v>191010071.5319888</v>
      </c>
    </row>
    <row r="9926" spans="1:2" x14ac:dyDescent="0.25">
      <c r="A9926">
        <f ca="1">26440.0770367202*((RANDBETWEEN(1620,2416)))</f>
        <v>44128488.574286051</v>
      </c>
      <c r="B9926">
        <v>150527179.06782597</v>
      </c>
    </row>
    <row r="9927" spans="1:2" x14ac:dyDescent="0.25">
      <c r="A9927">
        <f ca="1">26983.8156031986*((RANDBETWEEN(1620,2416)))</f>
        <v>61900872.993737593</v>
      </c>
      <c r="B9927">
        <v>161761909.29195106</v>
      </c>
    </row>
    <row r="9928" spans="1:2" x14ac:dyDescent="0.25">
      <c r="A9928">
        <f ca="1">27219.1905017195*((RANDBETWEEN(1620,2416)))</f>
        <v>64727235.013089001</v>
      </c>
      <c r="B9928">
        <v>189678481.87774751</v>
      </c>
    </row>
    <row r="9929" spans="1:2" x14ac:dyDescent="0.25">
      <c r="A9929">
        <f ca="1">28220.5877506273*((RANDBETWEEN(1620,2416)))</f>
        <v>49809337.37985716</v>
      </c>
      <c r="B9929">
        <v>194360761.7010693</v>
      </c>
    </row>
    <row r="9930" spans="1:2" x14ac:dyDescent="0.25">
      <c r="A9930">
        <f ca="1">26757.087327221*((RANDBETWEEN(1620,2416)))</f>
        <v>44068922.827932909</v>
      </c>
      <c r="B9930">
        <v>155705955.61682194</v>
      </c>
    </row>
    <row r="9931" spans="1:2" x14ac:dyDescent="0.25">
      <c r="A9931">
        <f ca="1">25372.1395630869*((RANDBETWEEN(1620,2416)))</f>
        <v>49095090.054573104</v>
      </c>
      <c r="B9931">
        <v>156844792.63894945</v>
      </c>
    </row>
    <row r="9932" spans="1:2" x14ac:dyDescent="0.25">
      <c r="A9932">
        <f ca="1">29602.6992574004*((RANDBETWEEN(1620,2416)))</f>
        <v>48696440.278423697</v>
      </c>
      <c r="B9932">
        <v>181487922.53901124</v>
      </c>
    </row>
    <row r="9933" spans="1:2" x14ac:dyDescent="0.25">
      <c r="A9933">
        <f ca="1">31898.2496339273*((RANDBETWEEN(1620,2416)))</f>
        <v>59713523.314711846</v>
      </c>
      <c r="B9933">
        <v>157508748.95314938</v>
      </c>
    </row>
    <row r="9934" spans="1:2" x14ac:dyDescent="0.25">
      <c r="A9934">
        <f ca="1">26182.142319247*((RANDBETWEEN(1620,2416)))</f>
        <v>60297473.761225931</v>
      </c>
      <c r="B9934">
        <v>144897075.58876094</v>
      </c>
    </row>
    <row r="9935" spans="1:2" x14ac:dyDescent="0.25">
      <c r="A9935">
        <f ca="1">30294.879707853*((RANDBETWEEN(1620,2416)))</f>
        <v>67678761.267343551</v>
      </c>
      <c r="B9935">
        <v>161307817.34534514</v>
      </c>
    </row>
    <row r="9936" spans="1:2" x14ac:dyDescent="0.25">
      <c r="A9936">
        <f ca="1">28727.1296211454*((RANDBETWEEN(1620,2416)))</f>
        <v>66158579.517497778</v>
      </c>
      <c r="B9936">
        <v>150171968.96336555</v>
      </c>
    </row>
    <row r="9937" spans="1:2" x14ac:dyDescent="0.25">
      <c r="A9937">
        <f ca="1">25955.4892399438*((RANDBETWEEN(1620,2416)))</f>
        <v>57076120.83863648</v>
      </c>
      <c r="B9937">
        <v>186237662.94019806</v>
      </c>
    </row>
    <row r="9938" spans="1:2" x14ac:dyDescent="0.25">
      <c r="A9938">
        <f ca="1">27821.7312340889*((RANDBETWEEN(1620,2416)))</f>
        <v>51915350.482809953</v>
      </c>
      <c r="B9938">
        <v>168957362.32326415</v>
      </c>
    </row>
    <row r="9939" spans="1:2" x14ac:dyDescent="0.25">
      <c r="A9939">
        <f ca="1">31595.7389734151*((RANDBETWEEN(1620,2416)))</f>
        <v>61864456.909946755</v>
      </c>
      <c r="B9939">
        <v>143685283.18158832</v>
      </c>
    </row>
    <row r="9940" spans="1:2" x14ac:dyDescent="0.25">
      <c r="A9940">
        <f ca="1">25382.9606168545*((RANDBETWEEN(1620,2416)))</f>
        <v>48836816.226828098</v>
      </c>
      <c r="B9940">
        <v>155254570.26781997</v>
      </c>
    </row>
    <row r="9941" spans="1:2" x14ac:dyDescent="0.25">
      <c r="A9941">
        <f ca="1">31669.0339418292*((RANDBETWEEN(1620,2416)))</f>
        <v>75562314.985204473</v>
      </c>
      <c r="B9941">
        <v>164801281.68746102</v>
      </c>
    </row>
    <row r="9942" spans="1:2" x14ac:dyDescent="0.25">
      <c r="A9942">
        <f ca="1">25899.1576875401*((RANDBETWEEN(1620,2416)))</f>
        <v>60966617.196469359</v>
      </c>
      <c r="B9942">
        <v>146223872.5499303</v>
      </c>
    </row>
    <row r="9943" spans="1:2" x14ac:dyDescent="0.25">
      <c r="A9943">
        <f ca="1">27954.4759460953*((RANDBETWEEN(1620,2416)))</f>
        <v>54483273.61893981</v>
      </c>
      <c r="B9943">
        <v>157997516.2922501</v>
      </c>
    </row>
    <row r="9944" spans="1:2" x14ac:dyDescent="0.25">
      <c r="A9944">
        <f ca="1">26718.7561853855*((RANDBETWEEN(1620,2416)))</f>
        <v>46757823.324424595</v>
      </c>
      <c r="B9944">
        <v>155278096.84059018</v>
      </c>
    </row>
    <row r="9945" spans="1:2" x14ac:dyDescent="0.25">
      <c r="A9945">
        <f ca="1">33880.6378657303*((RANDBETWEEN(1620,2416)))</f>
        <v>56479023.322172351</v>
      </c>
      <c r="B9945">
        <v>198412323.70050824</v>
      </c>
    </row>
    <row r="9946" spans="1:2" x14ac:dyDescent="0.25">
      <c r="A9946">
        <f ca="1">27010.5469428693*((RANDBETWEEN(1620,2416)))</f>
        <v>64096027.895428881</v>
      </c>
      <c r="B9946">
        <v>183738942.85937935</v>
      </c>
    </row>
    <row r="9947" spans="1:2" x14ac:dyDescent="0.25">
      <c r="A9947">
        <f ca="1">29848.0139649394*((RANDBETWEEN(1620,2416)))</f>
        <v>48622414.748886347</v>
      </c>
      <c r="B9947">
        <v>162062416.43001616</v>
      </c>
    </row>
    <row r="9948" spans="1:2" x14ac:dyDescent="0.25">
      <c r="A9948">
        <f ca="1">32537.2951104863*((RANDBETWEEN(1620,2416)))</f>
        <v>71256676.291965082</v>
      </c>
      <c r="B9948">
        <v>192745802.20548931</v>
      </c>
    </row>
    <row r="9949" spans="1:2" x14ac:dyDescent="0.25">
      <c r="A9949">
        <f ca="1">27575.4442250989*((RANDBETWEEN(1620,2416)))</f>
        <v>50435487.487705976</v>
      </c>
      <c r="B9949">
        <v>145846788.60107586</v>
      </c>
    </row>
    <row r="9950" spans="1:2" x14ac:dyDescent="0.25">
      <c r="A9950">
        <f ca="1">27082.3533594266*((RANDBETWEEN(1620,2416)))</f>
        <v>44712965.396413282</v>
      </c>
      <c r="B9950">
        <v>170011043.14649442</v>
      </c>
    </row>
    <row r="9951" spans="1:2" x14ac:dyDescent="0.25">
      <c r="A9951">
        <f ca="1">29520.4399662708*((RANDBETWEEN(1620,2416)))</f>
        <v>52221658.300333083</v>
      </c>
      <c r="B9951">
        <v>201513861.61913952</v>
      </c>
    </row>
    <row r="9952" spans="1:2" x14ac:dyDescent="0.25">
      <c r="A9952">
        <f ca="1">26569.3795486072*((RANDBETWEEN(1620,2416)))</f>
        <v>60206214.057143807</v>
      </c>
      <c r="B9952">
        <v>171057715.26612923</v>
      </c>
    </row>
    <row r="9953" spans="1:2" x14ac:dyDescent="0.25">
      <c r="A9953">
        <f ca="1">27479.573280368*((RANDBETWEEN(1620,2416)))</f>
        <v>62131315.186911948</v>
      </c>
      <c r="B9953">
        <v>147353657.7845557</v>
      </c>
    </row>
    <row r="9954" spans="1:2" x14ac:dyDescent="0.25">
      <c r="A9954">
        <f ca="1">26602.0189610165*((RANDBETWEEN(1620,2416)))</f>
        <v>58817063.922807463</v>
      </c>
      <c r="B9954">
        <v>165670146.27781194</v>
      </c>
    </row>
    <row r="9955" spans="1:2" x14ac:dyDescent="0.25">
      <c r="A9955">
        <f ca="1">26832.5907963116*((RANDBETWEEN(1620,2416)))</f>
        <v>48298663.433360845</v>
      </c>
      <c r="B9955">
        <v>180871394.82609892</v>
      </c>
    </row>
    <row r="9956" spans="1:2" x14ac:dyDescent="0.25">
      <c r="A9956">
        <f ca="1">26696.2388158586*((RANDBETWEEN(1620,2416)))</f>
        <v>56062101.513303049</v>
      </c>
      <c r="B9956">
        <v>143700974.6015256</v>
      </c>
    </row>
    <row r="9957" spans="1:2" x14ac:dyDescent="0.25">
      <c r="A9957">
        <f ca="1">28378.7305335979*((RANDBETWEEN(1620,2416)))</f>
        <v>54600677.546642311</v>
      </c>
      <c r="B9957">
        <v>164890523.54209742</v>
      </c>
    </row>
    <row r="9958" spans="1:2" x14ac:dyDescent="0.25">
      <c r="A9958">
        <f ca="1">26915.3751518814*((RANDBETWEEN(1620,2416)))</f>
        <v>56306964.817736059</v>
      </c>
      <c r="B9958">
        <v>194678505.91809544</v>
      </c>
    </row>
    <row r="9959" spans="1:2" x14ac:dyDescent="0.25">
      <c r="A9959">
        <f ca="1">28151.1475118686*((RANDBETWEEN(1620,2416)))</f>
        <v>48842240.933091946</v>
      </c>
      <c r="B9959">
        <v>164843492.25034893</v>
      </c>
    </row>
    <row r="9960" spans="1:2" x14ac:dyDescent="0.25">
      <c r="A9960">
        <f ca="1">27063.8028204846*((RANDBETWEEN(1620,2416)))</f>
        <v>53072117.330970362</v>
      </c>
      <c r="B9960">
        <v>161284522.44057924</v>
      </c>
    </row>
    <row r="9961" spans="1:2" x14ac:dyDescent="0.25">
      <c r="A9961">
        <f ca="1">27056.4001584842*((RANDBETWEEN(1620,2416)))</f>
        <v>44399552.660072543</v>
      </c>
      <c r="B9961">
        <v>192672489.72181249</v>
      </c>
    </row>
    <row r="9962" spans="1:2" x14ac:dyDescent="0.25">
      <c r="A9962">
        <f ca="1">31948.4966725012*((RANDBETWEEN(1620,2416)))</f>
        <v>55845972.183532014</v>
      </c>
      <c r="B9962">
        <v>183603780.54601222</v>
      </c>
    </row>
    <row r="9963" spans="1:2" x14ac:dyDescent="0.25">
      <c r="A9963">
        <f ca="1">27945.9417204083*((RANDBETWEEN(1620,2416)))</f>
        <v>58239342.545330949</v>
      </c>
      <c r="B9963">
        <v>169240926.03691164</v>
      </c>
    </row>
    <row r="9964" spans="1:2" x14ac:dyDescent="0.25">
      <c r="A9964">
        <f ca="1">26308.7108163689*((RANDBETWEEN(1620,2416)))</f>
        <v>54906279.473761909</v>
      </c>
      <c r="B9964">
        <v>168451084.66243628</v>
      </c>
    </row>
    <row r="9965" spans="1:2" x14ac:dyDescent="0.25">
      <c r="A9965">
        <f ca="1">33578.74112135*((RANDBETWEEN(1620,2416)))</f>
        <v>73235234.385664329</v>
      </c>
      <c r="B9965">
        <v>155563849.20219928</v>
      </c>
    </row>
    <row r="9966" spans="1:2" x14ac:dyDescent="0.25">
      <c r="A9966">
        <f ca="1">27716.526859079*((RANDBETWEEN(1620,2416)))</f>
        <v>49279984.75544247</v>
      </c>
      <c r="B9966">
        <v>150345077.51657683</v>
      </c>
    </row>
    <row r="9967" spans="1:2" x14ac:dyDescent="0.25">
      <c r="A9967">
        <f ca="1">26277.9317764608*((RANDBETWEEN(1620,2416)))</f>
        <v>61017357.584941991</v>
      </c>
      <c r="B9967">
        <v>151334411.42662251</v>
      </c>
    </row>
    <row r="9968" spans="1:2" x14ac:dyDescent="0.25">
      <c r="A9968">
        <f ca="1">25750.6367789145*((RANDBETWEEN(1620,2416)))</f>
        <v>52119288.840522908</v>
      </c>
      <c r="B9968">
        <v>171585483.64949864</v>
      </c>
    </row>
    <row r="9969" spans="1:2" x14ac:dyDescent="0.25">
      <c r="A9969">
        <f ca="1">26252.0100784293*((RANDBETWEEN(1620,2416)))</f>
        <v>55234229.205015332</v>
      </c>
      <c r="B9969">
        <v>184855926.80698669</v>
      </c>
    </row>
    <row r="9970" spans="1:2" x14ac:dyDescent="0.25">
      <c r="A9970">
        <f ca="1">30356.2423233077*((RANDBETWEEN(1620,2416)))</f>
        <v>50300293.529720895</v>
      </c>
      <c r="B9970">
        <v>197674493.2610445</v>
      </c>
    </row>
    <row r="9971" spans="1:2" x14ac:dyDescent="0.25">
      <c r="A9971">
        <f ca="1">30950.9459592772*((RANDBETWEEN(1620,2416)))</f>
        <v>73477545.707324043</v>
      </c>
      <c r="B9971">
        <v>194098619.15556705</v>
      </c>
    </row>
    <row r="9972" spans="1:2" x14ac:dyDescent="0.25">
      <c r="A9972">
        <f ca="1">31215.0897890595*((RANDBETWEEN(1620,2416)))</f>
        <v>69235069.152134046</v>
      </c>
      <c r="B9972">
        <v>192224858.63636467</v>
      </c>
    </row>
    <row r="9973" spans="1:2" x14ac:dyDescent="0.25">
      <c r="A9973">
        <f ca="1">28169.5184899574*((RANDBETWEEN(1620,2416)))</f>
        <v>45831806.583160728</v>
      </c>
      <c r="B9973">
        <v>156525196.16835779</v>
      </c>
    </row>
    <row r="9974" spans="1:2" x14ac:dyDescent="0.25">
      <c r="A9974">
        <f ca="1">25659.7455252416*((RANDBETWEEN(1620,2416)))</f>
        <v>57991024.887045927</v>
      </c>
      <c r="B9974">
        <v>158331621.99134314</v>
      </c>
    </row>
    <row r="9975" spans="1:2" x14ac:dyDescent="0.25">
      <c r="A9975">
        <f ca="1">26524.8119687035*((RANDBETWEEN(1620,2416)))</f>
        <v>63420825.417170078</v>
      </c>
      <c r="B9975">
        <v>154971570.43939084</v>
      </c>
    </row>
    <row r="9976" spans="1:2" x14ac:dyDescent="0.25">
      <c r="A9976">
        <f ca="1">25583.2429247754*((RANDBETWEEN(1620,2416)))</f>
        <v>55873802.547709547</v>
      </c>
      <c r="B9976">
        <v>150943478.88922024</v>
      </c>
    </row>
    <row r="9977" spans="1:2" x14ac:dyDescent="0.25">
      <c r="A9977">
        <f ca="1">25704.0866854679*((RANDBETWEEN(1620,2416)))</f>
        <v>50714163.030428156</v>
      </c>
      <c r="B9977">
        <v>157461985.39003563</v>
      </c>
    </row>
    <row r="9978" spans="1:2" x14ac:dyDescent="0.25">
      <c r="A9978">
        <f ca="1">28275.8632320246*((RANDBETWEEN(1620,2416)))</f>
        <v>52819312.517421901</v>
      </c>
      <c r="B9978">
        <v>157323265.30147505</v>
      </c>
    </row>
    <row r="9979" spans="1:2" x14ac:dyDescent="0.25">
      <c r="A9979">
        <f ca="1">26516.5069701575*((RANDBETWEEN(1620,2416)))</f>
        <v>57328688.069480486</v>
      </c>
      <c r="B9979">
        <v>144351559.99748081</v>
      </c>
    </row>
    <row r="9980" spans="1:2" x14ac:dyDescent="0.25">
      <c r="A9980">
        <f ca="1">28700.2119964897*((RANDBETWEEN(1620,2416)))</f>
        <v>49766167.601913102</v>
      </c>
      <c r="B9980">
        <v>191509851.6417627</v>
      </c>
    </row>
    <row r="9981" spans="1:2" x14ac:dyDescent="0.25">
      <c r="A9981">
        <f ca="1">26103.4402255115*((RANDBETWEEN(1620,2416)))</f>
        <v>55522017.359662957</v>
      </c>
      <c r="B9981">
        <v>163181916.73036274</v>
      </c>
    </row>
    <row r="9982" spans="1:2" x14ac:dyDescent="0.25">
      <c r="A9982">
        <f ca="1">27279.72005077*((RANDBETWEEN(1620,2416)))</f>
        <v>45966328.285547405</v>
      </c>
      <c r="B9982">
        <v>146447399.38392085</v>
      </c>
    </row>
    <row r="9983" spans="1:2" x14ac:dyDescent="0.25">
      <c r="A9983">
        <f ca="1">30684.5328816785*((RANDBETWEEN(1620,2416)))</f>
        <v>66554751.820360757</v>
      </c>
      <c r="B9983">
        <v>199958921.08138871</v>
      </c>
    </row>
    <row r="9984" spans="1:2" x14ac:dyDescent="0.25">
      <c r="A9984">
        <f ca="1">25127.8466347128*((RANDBETWEEN(1620,2416)))</f>
        <v>51863875.454047121</v>
      </c>
      <c r="B9984">
        <v>147372946.4607403</v>
      </c>
    </row>
    <row r="9985" spans="1:2" x14ac:dyDescent="0.25">
      <c r="A9985">
        <f ca="1">26591.2423163562*((RANDBETWEEN(1620,2416)))</f>
        <v>57516857.130278558</v>
      </c>
      <c r="B9985">
        <v>143720527.49768493</v>
      </c>
    </row>
    <row r="9986" spans="1:2" x14ac:dyDescent="0.25">
      <c r="A9986">
        <f ca="1">26629.437304248*((RANDBETWEEN(1620,2416)))</f>
        <v>60981411.426727846</v>
      </c>
      <c r="B9986">
        <v>154160306.11384416</v>
      </c>
    </row>
    <row r="9987" spans="1:2" x14ac:dyDescent="0.25">
      <c r="A9987">
        <f ca="1">28043.5672715604*((RANDBETWEEN(1620,2416)))</f>
        <v>48711676.350700431</v>
      </c>
      <c r="B9987">
        <v>192527086.71201941</v>
      </c>
    </row>
    <row r="9988" spans="1:2" x14ac:dyDescent="0.25">
      <c r="A9988">
        <f ca="1">28134.5437075997*((RANDBETWEEN(1620,2416)))</f>
        <v>46928418.904276282</v>
      </c>
      <c r="B9988">
        <v>168668471.72650701</v>
      </c>
    </row>
    <row r="9989" spans="1:2" x14ac:dyDescent="0.25">
      <c r="A9989">
        <f ca="1">25456.1074891029*((RANDBETWEEN(1620,2416)))</f>
        <v>60050957.566793852</v>
      </c>
      <c r="B9989">
        <v>146584808.80562234</v>
      </c>
    </row>
    <row r="9990" spans="1:2" x14ac:dyDescent="0.25">
      <c r="A9990">
        <f ca="1">28160.6073727105*((RANDBETWEEN(1620,2416)))</f>
        <v>58207975.439392552</v>
      </c>
      <c r="B9990">
        <v>175108923.38940445</v>
      </c>
    </row>
    <row r="9991" spans="1:2" x14ac:dyDescent="0.25">
      <c r="A9991">
        <f ca="1">28312.8349966587*((RANDBETWEEN(1620,2416)))</f>
        <v>65827341.367231362</v>
      </c>
      <c r="B9991">
        <v>192423892.75412422</v>
      </c>
    </row>
    <row r="9992" spans="1:2" x14ac:dyDescent="0.25">
      <c r="A9992">
        <f ca="1">26766.9621421637*((RANDBETWEEN(1620,2416)))</f>
        <v>55862649.99069573</v>
      </c>
      <c r="B9992">
        <v>173554110.71054676</v>
      </c>
    </row>
    <row r="9993" spans="1:2" x14ac:dyDescent="0.25">
      <c r="A9993">
        <f ca="1">27954.7021882296*((RANDBETWEEN(1620,2416)))</f>
        <v>47299356.102484517</v>
      </c>
      <c r="B9993">
        <v>190589146.82693082</v>
      </c>
    </row>
    <row r="9994" spans="1:2" x14ac:dyDescent="0.25">
      <c r="A9994">
        <f ca="1">26815.4888927644*((RANDBETWEEN(1620,2416)))</f>
        <v>50627643.029539138</v>
      </c>
      <c r="B9994">
        <v>152113322.03847873</v>
      </c>
    </row>
    <row r="9995" spans="1:2" x14ac:dyDescent="0.25">
      <c r="A9995">
        <f ca="1">26713.9060403472*((RANDBETWEEN(1620,2416)))</f>
        <v>46722621.664567277</v>
      </c>
      <c r="B9995">
        <v>170899737.45259452</v>
      </c>
    </row>
    <row r="9996" spans="1:2" x14ac:dyDescent="0.25">
      <c r="A9996">
        <f ca="1">28326.9271049232*((RANDBETWEEN(1620,2416)))</f>
        <v>47164333.629697047</v>
      </c>
      <c r="B9996">
        <v>146927047.32379907</v>
      </c>
    </row>
    <row r="9997" spans="1:2" x14ac:dyDescent="0.25">
      <c r="A9997">
        <f ca="1">31262.6402404805*((RANDBETWEEN(1620,2416)))</f>
        <v>70403465.821562111</v>
      </c>
      <c r="B9997">
        <v>203551980.25697345</v>
      </c>
    </row>
    <row r="9998" spans="1:2" x14ac:dyDescent="0.25">
      <c r="A9998">
        <f ca="1">27765.9826382959*((RANDBETWEEN(1620,2416)))</f>
        <v>60724204.029953294</v>
      </c>
      <c r="B9998">
        <v>200728358.66176796</v>
      </c>
    </row>
    <row r="9999" spans="1:2" x14ac:dyDescent="0.25">
      <c r="A9999">
        <f ca="1">28666.4286218599*((RANDBETWEEN(1620,2416)))</f>
        <v>62693479.396007702</v>
      </c>
      <c r="B9999">
        <v>180053348.69231585</v>
      </c>
    </row>
    <row r="10000" spans="1:2" x14ac:dyDescent="0.25">
      <c r="A10000">
        <f ca="1">27666.9666246407*((RANDBETWEEN(1620,2416)))</f>
        <v>62555011.538312592</v>
      </c>
      <c r="B10000">
        <v>147729064.3136099</v>
      </c>
    </row>
    <row r="10001" spans="1:2" x14ac:dyDescent="0.25">
      <c r="A10001">
        <f ca="1">27559.6211267633*((RANDBETWEEN(1620,2416)))</f>
        <v>58812231.48451294</v>
      </c>
      <c r="B10001">
        <v>155048709.00227219</v>
      </c>
    </row>
    <row r="10002" spans="1:2" x14ac:dyDescent="0.25">
      <c r="A10002">
        <f ca="1">32171.9153028808*((RANDBETWEEN(1620,2416)))</f>
        <v>71485995.80300124</v>
      </c>
      <c r="B10002">
        <v>148456445.81436583</v>
      </c>
    </row>
    <row r="10003" spans="1:2" x14ac:dyDescent="0.25">
      <c r="A10003">
        <f ca="1">26034.501352098*((RANDBETWEEN(1620,2416)))</f>
        <v>42618478.713384427</v>
      </c>
      <c r="B10003">
        <v>148635316.81573775</v>
      </c>
    </row>
    <row r="10004" spans="1:2" x14ac:dyDescent="0.25">
      <c r="A10004">
        <f ca="1">28108.0479364609*((RANDBETWEEN(1620,2416)))</f>
        <v>51381511.627850547</v>
      </c>
      <c r="B10004">
        <v>194332622.86874899</v>
      </c>
    </row>
    <row r="10005" spans="1:2" x14ac:dyDescent="0.25">
      <c r="A10005">
        <f ca="1">26911.3330440779*((RANDBETWEEN(1620,2416)))</f>
        <v>59931538.689161517</v>
      </c>
      <c r="B10005">
        <v>185149035.39989412</v>
      </c>
    </row>
    <row r="10006" spans="1:2" x14ac:dyDescent="0.25">
      <c r="A10006">
        <f ca="1">27129.4421293961*((RANDBETWEEN(1620,2416)))</f>
        <v>51030480.645394154</v>
      </c>
      <c r="B10006">
        <v>150879670.06261352</v>
      </c>
    </row>
    <row r="10007" spans="1:2" x14ac:dyDescent="0.25">
      <c r="A10007">
        <f ca="1">30584.8283465604*((RANDBETWEEN(1620,2416)))</f>
        <v>54869182.053729415</v>
      </c>
      <c r="B10007">
        <v>153337119.64708126</v>
      </c>
    </row>
    <row r="10008" spans="1:2" x14ac:dyDescent="0.25">
      <c r="A10008">
        <f ca="1">25293.1628455251*((RANDBETWEEN(1620,2416)))</f>
        <v>49928703.457066618</v>
      </c>
      <c r="B10008">
        <v>192065582.93963343</v>
      </c>
    </row>
    <row r="10009" spans="1:2" x14ac:dyDescent="0.25">
      <c r="A10009">
        <f ca="1">25501.5963536479*((RANDBETWEEN(1620,2416)))</f>
        <v>50697173.551052108</v>
      </c>
      <c r="B10009">
        <v>144689334.18309656</v>
      </c>
    </row>
    <row r="10010" spans="1:2" x14ac:dyDescent="0.25">
      <c r="A10010">
        <f ca="1">27951.3617008216*((RANDBETWEEN(1620,2416)))</f>
        <v>52632414.082647033</v>
      </c>
      <c r="B10010">
        <v>199576801.36745325</v>
      </c>
    </row>
    <row r="10011" spans="1:2" x14ac:dyDescent="0.25">
      <c r="A10011">
        <f ca="1">26482.8348183388*((RANDBETWEEN(1620,2416)))</f>
        <v>60831071.577724151</v>
      </c>
      <c r="B10011">
        <v>161918710.14667016</v>
      </c>
    </row>
    <row r="10012" spans="1:2" x14ac:dyDescent="0.25">
      <c r="A10012">
        <f ca="1">25928.0419940163*((RANDBETWEEN(1620,2416)))</f>
        <v>58856655.32641691</v>
      </c>
      <c r="B10012">
        <v>151736096.11106235</v>
      </c>
    </row>
    <row r="10013" spans="1:2" x14ac:dyDescent="0.25">
      <c r="A10013">
        <f ca="1">27043.2789575824*((RANDBETWEEN(1620,2416)))</f>
        <v>65066129.171943136</v>
      </c>
      <c r="B10013">
        <v>155519515.43852529</v>
      </c>
    </row>
    <row r="10014" spans="1:2" x14ac:dyDescent="0.25">
      <c r="A10014">
        <f ca="1">26257.2082314686*((RANDBETWEEN(1620,2416)))</f>
        <v>54851307.995537892</v>
      </c>
      <c r="B10014">
        <v>146201781.11538318</v>
      </c>
    </row>
    <row r="10015" spans="1:2" x14ac:dyDescent="0.25">
      <c r="A10015">
        <f ca="1">25255.3049351382*((RANDBETWEEN(1620,2416)))</f>
        <v>56167798.175747283</v>
      </c>
      <c r="B10015">
        <v>143496372.78281006</v>
      </c>
    </row>
    <row r="10016" spans="1:2" x14ac:dyDescent="0.25">
      <c r="A10016">
        <f ca="1">28427.4605661383*((RANDBETWEEN(1620,2416)))</f>
        <v>50970436.795085922</v>
      </c>
      <c r="B10016">
        <v>143276735.73783907</v>
      </c>
    </row>
    <row r="10017" spans="1:2" x14ac:dyDescent="0.25">
      <c r="A10017">
        <f ca="1">28061.7450638949*((RANDBETWEEN(1620,2416)))</f>
        <v>55057143.815361716</v>
      </c>
      <c r="B10017">
        <v>165291283.41399646</v>
      </c>
    </row>
    <row r="10018" spans="1:2" x14ac:dyDescent="0.25">
      <c r="A10018">
        <f ca="1">27143.9273925466*((RANDBETWEEN(1620,2416)))</f>
        <v>62892479.768530473</v>
      </c>
      <c r="B10018">
        <v>150515887.88699976</v>
      </c>
    </row>
    <row r="10019" spans="1:2" x14ac:dyDescent="0.25">
      <c r="A10019">
        <f ca="1">27650.5789674541*((RANDBETWEEN(1620,2416)))</f>
        <v>54222785.355177581</v>
      </c>
      <c r="B10019">
        <v>168632839.07024312</v>
      </c>
    </row>
    <row r="10020" spans="1:2" x14ac:dyDescent="0.25">
      <c r="A10020">
        <f ca="1">26337.9371615007*((RANDBETWEEN(1620,2416)))</f>
        <v>50042080.606851362</v>
      </c>
      <c r="B10020">
        <v>194401533.94799504</v>
      </c>
    </row>
    <row r="10021" spans="1:2" x14ac:dyDescent="0.25">
      <c r="A10021">
        <f ca="1">31513.2647349057*((RANDBETWEEN(1620,2416)))</f>
        <v>64287060.059207723</v>
      </c>
      <c r="B10021">
        <v>156115804.22570616</v>
      </c>
    </row>
    <row r="10022" spans="1:2" x14ac:dyDescent="0.25">
      <c r="A10022">
        <f ca="1">27402.4994391057*((RANDBETWEEN(1620,2416)))</f>
        <v>57353431.326048277</v>
      </c>
      <c r="B10022">
        <v>149575455.34870493</v>
      </c>
    </row>
    <row r="10023" spans="1:2" x14ac:dyDescent="0.25">
      <c r="A10023">
        <f ca="1">32027.6802784445*((RANDBETWEEN(1620,2416)))</f>
        <v>69756287.646452144</v>
      </c>
      <c r="B10023">
        <v>179559468.19665515</v>
      </c>
    </row>
    <row r="10024" spans="1:2" x14ac:dyDescent="0.25">
      <c r="A10024">
        <f ca="1">26147.3244637023*((RANDBETWEEN(1620,2416)))</f>
        <v>47666572.497329362</v>
      </c>
      <c r="B10024">
        <v>168959459.05507109</v>
      </c>
    </row>
    <row r="10025" spans="1:2" x14ac:dyDescent="0.25">
      <c r="A10025">
        <f ca="1">32723.0153434393*((RANDBETWEEN(1620,2416)))</f>
        <v>60570301.400706172</v>
      </c>
      <c r="B10025">
        <v>174561493.24139071</v>
      </c>
    </row>
    <row r="10026" spans="1:2" x14ac:dyDescent="0.25">
      <c r="A10026">
        <f ca="1">30326.1306120422*((RANDBETWEEN(1620,2416)))</f>
        <v>54738665.754736133</v>
      </c>
      <c r="B10026">
        <v>168884189.06398642</v>
      </c>
    </row>
    <row r="10027" spans="1:2" x14ac:dyDescent="0.25">
      <c r="A10027">
        <f ca="1">27884.0801364317*((RANDBETWEEN(1620,2416)))</f>
        <v>64189152.474065728</v>
      </c>
      <c r="B10027">
        <v>198021260.71544763</v>
      </c>
    </row>
    <row r="10028" spans="1:2" x14ac:dyDescent="0.25">
      <c r="A10028">
        <f ca="1">26495.5470784928*((RANDBETWEEN(1620,2416)))</f>
        <v>57654310.44280038</v>
      </c>
      <c r="B10028">
        <v>149545244.30470958</v>
      </c>
    </row>
    <row r="10029" spans="1:2" x14ac:dyDescent="0.25">
      <c r="A10029">
        <f ca="1">27036.7080688505*((RANDBETWEEN(1620,2416)))</f>
        <v>52613433.901983164</v>
      </c>
      <c r="B10029">
        <v>167843335.82936862</v>
      </c>
    </row>
    <row r="10030" spans="1:2" x14ac:dyDescent="0.25">
      <c r="A10030">
        <f ca="1">27649.9972922592*((RANDBETWEEN(1620,2416)))</f>
        <v>49908245.112527855</v>
      </c>
      <c r="B10030">
        <v>191204062.04617041</v>
      </c>
    </row>
    <row r="10031" spans="1:2" x14ac:dyDescent="0.25">
      <c r="A10031">
        <f ca="1">24983.7671068019*((RANDBETWEEN(1620,2416)))</f>
        <v>55389011.675779909</v>
      </c>
      <c r="B10031">
        <v>173851051.22364116</v>
      </c>
    </row>
    <row r="10032" spans="1:2" x14ac:dyDescent="0.25">
      <c r="A10032">
        <f ca="1">27091.4725934466*((RANDBETWEEN(1620,2416)))</f>
        <v>48168638.27114813</v>
      </c>
      <c r="B10032">
        <v>164288871.32753903</v>
      </c>
    </row>
    <row r="10033" spans="1:2" x14ac:dyDescent="0.25">
      <c r="A10033">
        <f ca="1">26910.3612172198*((RANDBETWEEN(1620,2416)))</f>
        <v>43971530.228937201</v>
      </c>
      <c r="B10033">
        <v>155623459.5581601</v>
      </c>
    </row>
    <row r="10034" spans="1:2" x14ac:dyDescent="0.25">
      <c r="A10034">
        <f ca="1">26304.2081731723*((RANDBETWEEN(1620,2416)))</f>
        <v>44506720.229007564</v>
      </c>
      <c r="B10034">
        <v>151451203.06368706</v>
      </c>
    </row>
    <row r="10035" spans="1:2" x14ac:dyDescent="0.25">
      <c r="A10035">
        <f ca="1">27540.1711197072*((RANDBETWEEN(1620,2416)))</f>
        <v>48553321.684043832</v>
      </c>
      <c r="B10035">
        <v>182363581.99985003</v>
      </c>
    </row>
    <row r="10036" spans="1:2" x14ac:dyDescent="0.25">
      <c r="A10036">
        <f ca="1">28231.4350077921*((RANDBETWEEN(1620,2416)))</f>
        <v>49122696.913558319</v>
      </c>
      <c r="B10036">
        <v>170587426.83495301</v>
      </c>
    </row>
    <row r="10037" spans="1:2" x14ac:dyDescent="0.25">
      <c r="A10037">
        <f ca="1">27721.498423945*((RANDBETWEEN(1620,2416)))</f>
        <v>45075156.437334619</v>
      </c>
      <c r="B10037">
        <v>153536666.9098292</v>
      </c>
    </row>
    <row r="10038" spans="1:2" x14ac:dyDescent="0.25">
      <c r="A10038">
        <f ca="1">27016.9789813229*((RANDBETWEEN(1620,2416)))</f>
        <v>61004338.539827079</v>
      </c>
      <c r="B10038">
        <v>152731770.11548838</v>
      </c>
    </row>
    <row r="10039" spans="1:2" x14ac:dyDescent="0.25">
      <c r="A10039">
        <f ca="1">30445.4733799108*((RANDBETWEEN(1620,2416)))</f>
        <v>62930793.476275653</v>
      </c>
      <c r="B10039">
        <v>192620990.23361927</v>
      </c>
    </row>
    <row r="10040" spans="1:2" x14ac:dyDescent="0.25">
      <c r="A10040">
        <f ca="1">26683.407016486*((RANDBETWEEN(1620,2416)))</f>
        <v>49737870.678729989</v>
      </c>
      <c r="B10040">
        <v>168221247.00006008</v>
      </c>
    </row>
    <row r="10041" spans="1:2" x14ac:dyDescent="0.25">
      <c r="A10041">
        <f ca="1">26745.5229776816*((RANDBETWEEN(1620,2416)))</f>
        <v>48917561.526179731</v>
      </c>
      <c r="B10041">
        <v>152365623.0109601</v>
      </c>
    </row>
    <row r="10042" spans="1:2" x14ac:dyDescent="0.25">
      <c r="A10042">
        <f ca="1">27540.477145287*((RANDBETWEEN(1620,2416)))</f>
        <v>47204377.827021994</v>
      </c>
      <c r="B10042">
        <v>164380914.00048834</v>
      </c>
    </row>
    <row r="10043" spans="1:2" x14ac:dyDescent="0.25">
      <c r="A10043">
        <f ca="1">25780.9700915533*((RANDBETWEEN(1620,2416)))</f>
        <v>57723592.03498777</v>
      </c>
      <c r="B10043">
        <v>151713753.01029605</v>
      </c>
    </row>
    <row r="10044" spans="1:2" x14ac:dyDescent="0.25">
      <c r="A10044">
        <f ca="1">29218.4490969148*((RANDBETWEEN(1620,2416)))</f>
        <v>59167359.421252526</v>
      </c>
      <c r="B10044">
        <v>164525454.28162035</v>
      </c>
    </row>
    <row r="10045" spans="1:2" x14ac:dyDescent="0.25">
      <c r="A10045">
        <f ca="1">29986.486705268*((RANDBETWEEN(1620,2416)))</f>
        <v>64440959.929621041</v>
      </c>
      <c r="B10045">
        <v>157944598.93433407</v>
      </c>
    </row>
    <row r="10046" spans="1:2" x14ac:dyDescent="0.25">
      <c r="A10046">
        <f ca="1">29663.2446423614*((RANDBETWEEN(1620,2416)))</f>
        <v>49656271.531312943</v>
      </c>
      <c r="B10046">
        <v>203114158.07933187</v>
      </c>
    </row>
    <row r="10047" spans="1:2" x14ac:dyDescent="0.25">
      <c r="A10047">
        <f ca="1">26459.4574560273*((RANDBETWEEN(1620,2416)))</f>
        <v>60909671.063774951</v>
      </c>
      <c r="B10047">
        <v>178436066.81794703</v>
      </c>
    </row>
    <row r="10048" spans="1:2" x14ac:dyDescent="0.25">
      <c r="A10048">
        <f ca="1">28599.004523209*((RANDBETWEEN(1620,2416)))</f>
        <v>54252311.580527551</v>
      </c>
      <c r="B10048">
        <v>169006901.07215822</v>
      </c>
    </row>
    <row r="10049" spans="1:2" x14ac:dyDescent="0.25">
      <c r="A10049">
        <f ca="1">28619.7040466526*((RANDBETWEEN(1620,2416)))</f>
        <v>59986899.681783877</v>
      </c>
      <c r="B10049">
        <v>152206967.82382116</v>
      </c>
    </row>
    <row r="10050" spans="1:2" x14ac:dyDescent="0.25">
      <c r="A10050">
        <f ca="1">29784.2043379883*((RANDBETWEEN(1620,2416)))</f>
        <v>60044955.945384495</v>
      </c>
      <c r="B10050">
        <v>169798343.71232423</v>
      </c>
    </row>
    <row r="10051" spans="1:2" x14ac:dyDescent="0.25">
      <c r="A10051">
        <f ca="1">26113.6064300357*((RANDBETWEEN(1620,2416)))</f>
        <v>57058230.049628012</v>
      </c>
      <c r="B10051">
        <v>144204528.9781653</v>
      </c>
    </row>
    <row r="10052" spans="1:2" x14ac:dyDescent="0.25">
      <c r="A10052">
        <f ca="1">29241.4345174536*((RANDBETWEEN(1620,2416)))</f>
        <v>60061906.498849735</v>
      </c>
      <c r="B10052">
        <v>186737083.78294736</v>
      </c>
    </row>
    <row r="10053" spans="1:2" x14ac:dyDescent="0.25">
      <c r="A10053">
        <f ca="1">29871.723999409*((RANDBETWEEN(1620,2416)))</f>
        <v>57323838.354865864</v>
      </c>
      <c r="B10053">
        <v>160522872.8955794</v>
      </c>
    </row>
    <row r="10054" spans="1:2" x14ac:dyDescent="0.25">
      <c r="A10054">
        <f ca="1">30858.7817760307*((RANDBETWEEN(1620,2416)))</f>
        <v>57891074.611833602</v>
      </c>
      <c r="B10054">
        <v>200073345.68453705</v>
      </c>
    </row>
    <row r="10055" spans="1:2" x14ac:dyDescent="0.25">
      <c r="A10055">
        <f ca="1">33618.3046586377*((RANDBETWEEN(1620,2416)))</f>
        <v>66026350.349564478</v>
      </c>
      <c r="B10055">
        <v>170564258.92803371</v>
      </c>
    </row>
    <row r="10056" spans="1:2" x14ac:dyDescent="0.25">
      <c r="A10056">
        <f ca="1">31886.3491360276*((RANDBETWEEN(1620,2416)))</f>
        <v>70628263.336301044</v>
      </c>
      <c r="B10056">
        <v>186546241.39693809</v>
      </c>
    </row>
    <row r="10057" spans="1:2" x14ac:dyDescent="0.25">
      <c r="A10057">
        <f ca="1">27081.4336149352*((RANDBETWEEN(1620,2416)))</f>
        <v>54433681.566019833</v>
      </c>
      <c r="B10057">
        <v>193754369.72630107</v>
      </c>
    </row>
    <row r="10058" spans="1:2" x14ac:dyDescent="0.25">
      <c r="A10058">
        <f ca="1">28719.9655170762*((RANDBETWEEN(1620,2416)))</f>
        <v>57382491.103118204</v>
      </c>
      <c r="B10058">
        <v>168930254.97127929</v>
      </c>
    </row>
    <row r="10059" spans="1:2" x14ac:dyDescent="0.25">
      <c r="A10059">
        <f ca="1">30467.6884893478*((RANDBETWEEN(1620,2416)))</f>
        <v>64957111.859289601</v>
      </c>
      <c r="B10059">
        <v>177361111.9011732</v>
      </c>
    </row>
    <row r="10060" spans="1:2" x14ac:dyDescent="0.25">
      <c r="A10060">
        <f ca="1">26493.1716460525*((RANDBETWEEN(1620,2416)))</f>
        <v>57993552.733208977</v>
      </c>
      <c r="B10060">
        <v>149024428.77187341</v>
      </c>
    </row>
    <row r="10061" spans="1:2" x14ac:dyDescent="0.25">
      <c r="A10061">
        <f ca="1">27726.652874537*((RANDBETWEEN(1620,2416)))</f>
        <v>65573534.048279971</v>
      </c>
      <c r="B10061">
        <v>195994003.45154226</v>
      </c>
    </row>
    <row r="10062" spans="1:2" x14ac:dyDescent="0.25">
      <c r="A10062">
        <f ca="1">26993.4623852736*((RANDBETWEEN(1620,2416)))</f>
        <v>44134310.999922365</v>
      </c>
      <c r="B10062">
        <v>146064383.2431218</v>
      </c>
    </row>
    <row r="10063" spans="1:2" x14ac:dyDescent="0.25">
      <c r="A10063">
        <f ca="1">26014.2507868937*((RANDBETWEEN(1620,2416)))</f>
        <v>62304130.634610415</v>
      </c>
      <c r="B10063">
        <v>172556091.89506698</v>
      </c>
    </row>
    <row r="10064" spans="1:2" x14ac:dyDescent="0.25">
      <c r="A10064">
        <f ca="1">29553.3364144754*((RANDBETWEEN(1620,2416)))</f>
        <v>55708039.141286112</v>
      </c>
      <c r="B10064">
        <v>156185134.84103891</v>
      </c>
    </row>
    <row r="10065" spans="1:2" x14ac:dyDescent="0.25">
      <c r="A10065">
        <f ca="1">30157.7288068766*((RANDBETWEEN(1620,2416)))</f>
        <v>61612239.952448837</v>
      </c>
      <c r="B10065">
        <v>144334557.1029712</v>
      </c>
    </row>
    <row r="10066" spans="1:2" x14ac:dyDescent="0.25">
      <c r="A10066">
        <f ca="1">26907.1318451669*((RANDBETWEEN(1620,2416)))</f>
        <v>60810117.970077127</v>
      </c>
      <c r="B10066">
        <v>163005452.87117371</v>
      </c>
    </row>
    <row r="10067" spans="1:2" x14ac:dyDescent="0.25">
      <c r="A10067">
        <f ca="1">28607.5358795619*((RANDBETWEEN(1620,2416)))</f>
        <v>59589497.23712749</v>
      </c>
      <c r="B10067">
        <v>195064552.4864831</v>
      </c>
    </row>
    <row r="10068" spans="1:2" x14ac:dyDescent="0.25">
      <c r="A10068">
        <f ca="1">26382.8387830299*((RANDBETWEEN(1620,2416)))</f>
        <v>62949453.336309329</v>
      </c>
      <c r="B10068">
        <v>149568694.3000378</v>
      </c>
    </row>
    <row r="10069" spans="1:2" x14ac:dyDescent="0.25">
      <c r="A10069">
        <f ca="1">27584.6759743129*((RANDBETWEEN(1620,2416)))</f>
        <v>65348097.383147314</v>
      </c>
      <c r="B10069">
        <v>178848823.5782342</v>
      </c>
    </row>
    <row r="10070" spans="1:2" x14ac:dyDescent="0.25">
      <c r="A10070">
        <f ca="1">30804.2661267963*((RANDBETWEEN(1620,2416)))</f>
        <v>69648445.712686464</v>
      </c>
      <c r="B10070">
        <v>179406221.82327062</v>
      </c>
    </row>
    <row r="10071" spans="1:2" x14ac:dyDescent="0.25">
      <c r="A10071">
        <f ca="1">32045.6472962821*((RANDBETWEEN(1620,2416)))</f>
        <v>60406045.15349181</v>
      </c>
      <c r="B10071">
        <v>201540768.0573692</v>
      </c>
    </row>
    <row r="10072" spans="1:2" x14ac:dyDescent="0.25">
      <c r="A10072">
        <f ca="1">27205.8345330622*((RANDBETWEEN(1620,2416)))</f>
        <v>64396210.339758165</v>
      </c>
      <c r="B10072">
        <v>176147040.72582743</v>
      </c>
    </row>
    <row r="10073" spans="1:2" x14ac:dyDescent="0.25">
      <c r="A10073">
        <f ca="1">29200.4780352094*((RANDBETWEEN(1620,2416)))</f>
        <v>50984034.649475537</v>
      </c>
      <c r="B10073">
        <v>151493439.5526115</v>
      </c>
    </row>
    <row r="10074" spans="1:2" x14ac:dyDescent="0.25">
      <c r="A10074">
        <f ca="1">25710.9315764172*((RANDBETWEEN(1620,2416)))</f>
        <v>42320193.374782659</v>
      </c>
      <c r="B10074">
        <v>161049105.73536983</v>
      </c>
    </row>
    <row r="10075" spans="1:2" x14ac:dyDescent="0.25">
      <c r="A10075">
        <f ca="1">31776.4326839773*((RANDBETWEEN(1620,2416)))</f>
        <v>69367952.549122483</v>
      </c>
      <c r="B10075">
        <v>191796399.6982553</v>
      </c>
    </row>
    <row r="10076" spans="1:2" x14ac:dyDescent="0.25">
      <c r="A10076">
        <f ca="1">26474.4648074782*((RANDBETWEEN(1620,2416)))</f>
        <v>55649325.025319114</v>
      </c>
      <c r="B10076">
        <v>192172654.41168404</v>
      </c>
    </row>
    <row r="10077" spans="1:2" x14ac:dyDescent="0.25">
      <c r="A10077">
        <f ca="1">31454.1145628154*((RANDBETWEEN(1620,2416)))</f>
        <v>54950338.141238473</v>
      </c>
      <c r="B10077">
        <v>143457058.36140487</v>
      </c>
    </row>
    <row r="10078" spans="1:2" x14ac:dyDescent="0.25">
      <c r="A10078">
        <f ca="1">29501.9124968116*((RANDBETWEEN(1620,2416)))</f>
        <v>69063977.155036017</v>
      </c>
      <c r="B10078">
        <v>191354513.18704864</v>
      </c>
    </row>
    <row r="10079" spans="1:2" x14ac:dyDescent="0.25">
      <c r="A10079">
        <f ca="1">27904.0776988101*((RANDBETWEEN(1620,2416)))</f>
        <v>60384424.140224978</v>
      </c>
      <c r="B10079">
        <v>146052673.65208429</v>
      </c>
    </row>
    <row r="10080" spans="1:2" x14ac:dyDescent="0.25">
      <c r="A10080">
        <f ca="1">26969.2283505536*((RANDBETWEEN(1620,2416)))</f>
        <v>51511226.149557494</v>
      </c>
      <c r="B10080">
        <v>178819342.13417131</v>
      </c>
    </row>
    <row r="10081" spans="1:2" x14ac:dyDescent="0.25">
      <c r="A10081">
        <f ca="1">27968.6789600412*((RANDBETWEEN(1620,2416)))</f>
        <v>54343143.219360121</v>
      </c>
      <c r="B10081">
        <v>146454524.84902081</v>
      </c>
    </row>
    <row r="10082" spans="1:2" x14ac:dyDescent="0.25">
      <c r="A10082">
        <f ca="1">25092.7495354874*((RANDBETWEEN(1620,2416)))</f>
        <v>43460642.195464164</v>
      </c>
      <c r="B10082">
        <v>181379939.37446475</v>
      </c>
    </row>
    <row r="10083" spans="1:2" x14ac:dyDescent="0.25">
      <c r="A10083">
        <f ca="1">26379.4409550092*((RANDBETWEEN(1620,2416)))</f>
        <v>53444747.374848731</v>
      </c>
      <c r="B10083">
        <v>166497246.03426865</v>
      </c>
    </row>
    <row r="10084" spans="1:2" x14ac:dyDescent="0.25">
      <c r="A10084">
        <f ca="1">26767.7299891989*((RANDBETWEEN(1620,2416)))</f>
        <v>63038004.124563389</v>
      </c>
      <c r="B10084">
        <v>161401670.56780887</v>
      </c>
    </row>
    <row r="10085" spans="1:2" x14ac:dyDescent="0.25">
      <c r="A10085">
        <f ca="1">27153.6672769387*((RANDBETWEEN(1620,2416)))</f>
        <v>62779278.744282164</v>
      </c>
      <c r="B10085">
        <v>170344632.37100425</v>
      </c>
    </row>
    <row r="10086" spans="1:2" x14ac:dyDescent="0.25">
      <c r="A10086">
        <f ca="1">25579.5414612817*((RANDBETWEEN(1620,2416)))</f>
        <v>56863320.668429233</v>
      </c>
      <c r="B10086">
        <v>156045825.22913498</v>
      </c>
    </row>
    <row r="10087" spans="1:2" x14ac:dyDescent="0.25">
      <c r="A10087">
        <f ca="1">29986.2278738586*((RANDBETWEEN(1620,2416)))</f>
        <v>53735320.349954538</v>
      </c>
      <c r="B10087">
        <v>150884366.54049283</v>
      </c>
    </row>
    <row r="10088" spans="1:2" x14ac:dyDescent="0.25">
      <c r="A10088">
        <f ca="1">27217.6888695623*((RANDBETWEEN(1620,2416)))</f>
        <v>47930350.099299185</v>
      </c>
      <c r="B10088">
        <v>163252866.90681571</v>
      </c>
    </row>
    <row r="10089" spans="1:2" x14ac:dyDescent="0.25">
      <c r="A10089">
        <f ca="1">28100.5324825982*((RANDBETWEEN(1620,2416)))</f>
        <v>55105144.198375016</v>
      </c>
      <c r="B10089">
        <v>143160205.46048021</v>
      </c>
    </row>
    <row r="10090" spans="1:2" x14ac:dyDescent="0.25">
      <c r="A10090">
        <f ca="1">27091.2925784205*((RANDBETWEEN(1620,2416)))</f>
        <v>56295705.977957837</v>
      </c>
      <c r="B10090">
        <v>154366736.057107</v>
      </c>
    </row>
    <row r="10091" spans="1:2" x14ac:dyDescent="0.25">
      <c r="A10091">
        <f ca="1">26821.8559138165*((RANDBETWEEN(1620,2416)))</f>
        <v>49861830.143784918</v>
      </c>
      <c r="B10091">
        <v>151415261.0056563</v>
      </c>
    </row>
    <row r="10092" spans="1:2" x14ac:dyDescent="0.25">
      <c r="A10092">
        <f ca="1">25960.1286352072*((RANDBETWEEN(1620,2416)))</f>
        <v>56852681.71110373</v>
      </c>
      <c r="B10092">
        <v>177223845.29518074</v>
      </c>
    </row>
    <row r="10093" spans="1:2" x14ac:dyDescent="0.25">
      <c r="A10093">
        <f ca="1">27470.5030335255*((RANDBETWEEN(1620,2416)))</f>
        <v>47606381.757099673</v>
      </c>
      <c r="B10093">
        <v>178766834.79415196</v>
      </c>
    </row>
    <row r="10094" spans="1:2" x14ac:dyDescent="0.25">
      <c r="A10094">
        <f ca="1">25801.1376053623*((RANDBETWEEN(1620,2416)))</f>
        <v>60735877.923022956</v>
      </c>
      <c r="B10094">
        <v>144078122.7194761</v>
      </c>
    </row>
    <row r="10095" spans="1:2" x14ac:dyDescent="0.25">
      <c r="A10095">
        <f ca="1">25582.7694105326*((RANDBETWEEN(1620,2416)))</f>
        <v>60273004.731214866</v>
      </c>
      <c r="B10095">
        <v>163889230.93876517</v>
      </c>
    </row>
    <row r="10096" spans="1:2" x14ac:dyDescent="0.25">
      <c r="A10096">
        <f ca="1">26880.1211403522*((RANDBETWEEN(1620,2416)))</f>
        <v>63168284.679827742</v>
      </c>
      <c r="B10096">
        <v>176071097.22904888</v>
      </c>
    </row>
    <row r="10097" spans="1:2" x14ac:dyDescent="0.25">
      <c r="A10097">
        <f ca="1">31897.5169526437*((RANDBETWEEN(1620,2416)))</f>
        <v>54002496.200825796</v>
      </c>
      <c r="B10097">
        <v>182744751.43528143</v>
      </c>
    </row>
    <row r="10098" spans="1:2" x14ac:dyDescent="0.25">
      <c r="A10098">
        <f ca="1">32230.2647491918*((RANDBETWEEN(1620,2416)))</f>
        <v>73194931.245414525</v>
      </c>
      <c r="B10098">
        <v>175470559.82039082</v>
      </c>
    </row>
    <row r="10099" spans="1:2" x14ac:dyDescent="0.25">
      <c r="A10099">
        <f ca="1">26685.7534952603*((RANDBETWEEN(1620,2416)))</f>
        <v>43471092.443778999</v>
      </c>
      <c r="B10099">
        <v>146590059.86050656</v>
      </c>
    </row>
    <row r="10100" spans="1:2" x14ac:dyDescent="0.25">
      <c r="A10100">
        <f ca="1">30638.6373673205*((RANDBETWEEN(1620,2416)))</f>
        <v>73042511.483691975</v>
      </c>
      <c r="B10100">
        <v>195722460.90276247</v>
      </c>
    </row>
    <row r="10101" spans="1:2" x14ac:dyDescent="0.25">
      <c r="A10101">
        <f ca="1">31856.3427513325*((RANDBETWEEN(1620,2416)))</f>
        <v>75244681.57864733</v>
      </c>
      <c r="B10101">
        <v>193403280.19222766</v>
      </c>
    </row>
    <row r="10102" spans="1:2" x14ac:dyDescent="0.25">
      <c r="A10102">
        <f ca="1">28851.2491312573*((RANDBETWEEN(1620,2416)))</f>
        <v>57298580.774677068</v>
      </c>
      <c r="B10102">
        <v>163688722.13635623</v>
      </c>
    </row>
    <row r="10103" spans="1:2" x14ac:dyDescent="0.25">
      <c r="A10103">
        <f ca="1">27063.8320093483*((RANDBETWEEN(1620,2416)))</f>
        <v>55129025.803042568</v>
      </c>
      <c r="B10103">
        <v>167860737.91299221</v>
      </c>
    </row>
    <row r="10104" spans="1:2" x14ac:dyDescent="0.25">
      <c r="A10104">
        <f ca="1">26620.5889993478*((RANDBETWEEN(1620,2416)))</f>
        <v>50898566.166753083</v>
      </c>
      <c r="B10104">
        <v>153735415.77683061</v>
      </c>
    </row>
    <row r="10105" spans="1:2" x14ac:dyDescent="0.25">
      <c r="A10105">
        <f ca="1">26015.1119406982*((RANDBETWEEN(1620,2416)))</f>
        <v>59392500.560614064</v>
      </c>
      <c r="B10105">
        <v>155686472.38849542</v>
      </c>
    </row>
    <row r="10106" spans="1:2" x14ac:dyDescent="0.25">
      <c r="A10106">
        <f ca="1">26723.8855224649*((RANDBETWEEN(1620,2416)))</f>
        <v>56013264.055086337</v>
      </c>
      <c r="B10106">
        <v>143035477.5675917</v>
      </c>
    </row>
    <row r="10107" spans="1:2" x14ac:dyDescent="0.25">
      <c r="A10107">
        <f ca="1">26906.0120459604*((RANDBETWEEN(1620,2416)))</f>
        <v>54673016.477391571</v>
      </c>
      <c r="B10107">
        <v>154055705.81538445</v>
      </c>
    </row>
    <row r="10108" spans="1:2" x14ac:dyDescent="0.25">
      <c r="A10108">
        <f ca="1">27508.0369051965*((RANDBETWEEN(1620,2416)))</f>
        <v>62993404.512899928</v>
      </c>
      <c r="B10108">
        <v>143887398.66812801</v>
      </c>
    </row>
    <row r="10109" spans="1:2" x14ac:dyDescent="0.25">
      <c r="A10109">
        <f ca="1">25568.8851851905*((RANDBETWEEN(1620,2416)))</f>
        <v>55254360.885196716</v>
      </c>
      <c r="B10109">
        <v>144626965.03471571</v>
      </c>
    </row>
    <row r="10110" spans="1:2" x14ac:dyDescent="0.25">
      <c r="A10110">
        <f ca="1">25821.9793486157*((RANDBETWEEN(1620,2416)))</f>
        <v>47409154.084058441</v>
      </c>
      <c r="B10110">
        <v>174374738.99324664</v>
      </c>
    </row>
    <row r="10111" spans="1:2" x14ac:dyDescent="0.25">
      <c r="A10111">
        <f ca="1">26916.1929005791*((RANDBETWEEN(1620,2416)))</f>
        <v>61772662.706828967</v>
      </c>
      <c r="B10111">
        <v>159257493.543946</v>
      </c>
    </row>
    <row r="10112" spans="1:2" x14ac:dyDescent="0.25">
      <c r="A10112">
        <f ca="1">29646.3411087729*((RANDBETWEEN(1620,2416)))</f>
        <v>66170633.354781196</v>
      </c>
      <c r="B10112">
        <v>170181989.16208407</v>
      </c>
    </row>
    <row r="10113" spans="1:2" x14ac:dyDescent="0.25">
      <c r="A10113">
        <f ca="1">31136.0249582202*((RANDBETWEEN(1620,2416)))</f>
        <v>72484666.102736592</v>
      </c>
      <c r="B10113">
        <v>203062461.60914558</v>
      </c>
    </row>
    <row r="10114" spans="1:2" x14ac:dyDescent="0.25">
      <c r="A10114">
        <f ca="1">27842.7691096962*((RANDBETWEEN(1620,2416)))</f>
        <v>66599903.710393205</v>
      </c>
      <c r="B10114">
        <v>162263241.30942929</v>
      </c>
    </row>
    <row r="10115" spans="1:2" x14ac:dyDescent="0.25">
      <c r="A10115">
        <f ca="1">26777.1959449153*((RANDBETWEEN(1620,2416)))</f>
        <v>64292047.463741697</v>
      </c>
      <c r="B10115">
        <v>156654998.64463478</v>
      </c>
    </row>
    <row r="10116" spans="1:2" x14ac:dyDescent="0.25">
      <c r="A10116">
        <f ca="1">27491.4218022167*((RANDBETWEEN(1620,2416)))</f>
        <v>51793838.675376274</v>
      </c>
      <c r="B10116">
        <v>188503872.55411869</v>
      </c>
    </row>
    <row r="10117" spans="1:2" x14ac:dyDescent="0.25">
      <c r="A10117">
        <f ca="1">28722.2299995085*((RANDBETWEEN(1620,2416)))</f>
        <v>51556402.849117763</v>
      </c>
      <c r="B10117">
        <v>199087434.68191499</v>
      </c>
    </row>
    <row r="10118" spans="1:2" x14ac:dyDescent="0.25">
      <c r="A10118">
        <f ca="1">25937.2774253481*((RANDBETWEEN(1620,2416)))</f>
        <v>53249230.554239623</v>
      </c>
      <c r="B10118">
        <v>145451562.26878417</v>
      </c>
    </row>
    <row r="10119" spans="1:2" x14ac:dyDescent="0.25">
      <c r="A10119">
        <f ca="1">28785.8820115694*((RANDBETWEEN(1620,2416)))</f>
        <v>59500418.11791385</v>
      </c>
      <c r="B10119">
        <v>184867961.37692383</v>
      </c>
    </row>
    <row r="10120" spans="1:2" x14ac:dyDescent="0.25">
      <c r="A10120">
        <f ca="1">27619.8946745435*((RANDBETWEEN(1620,2416)))</f>
        <v>53002577.880448908</v>
      </c>
      <c r="B10120">
        <v>146351956.5303002</v>
      </c>
    </row>
    <row r="10121" spans="1:2" x14ac:dyDescent="0.25">
      <c r="A10121">
        <f ca="1">26585.0746056163*((RANDBETWEEN(1620,2416)))</f>
        <v>61039331.294495046</v>
      </c>
      <c r="B10121">
        <v>162981167.30596215</v>
      </c>
    </row>
    <row r="10122" spans="1:2" x14ac:dyDescent="0.25">
      <c r="A10122">
        <f ca="1">28583.3075713775*((RANDBETWEEN(1620,2416)))</f>
        <v>60968195.049748152</v>
      </c>
      <c r="B10122">
        <v>177532979.67289099</v>
      </c>
    </row>
    <row r="10123" spans="1:2" x14ac:dyDescent="0.25">
      <c r="A10123">
        <f ca="1">31124.6914583468*((RANDBETWEEN(1620,2416)))</f>
        <v>60008405.131692566</v>
      </c>
      <c r="B10123">
        <v>193179581.55896825</v>
      </c>
    </row>
    <row r="10124" spans="1:2" x14ac:dyDescent="0.25">
      <c r="A10124">
        <f ca="1">28752.7141088426*((RANDBETWEEN(1620,2416)))</f>
        <v>49109635.697903112</v>
      </c>
      <c r="B10124">
        <v>184373994.19067645</v>
      </c>
    </row>
    <row r="10125" spans="1:2" x14ac:dyDescent="0.25">
      <c r="A10125">
        <f ca="1">26644.7919485297*((RANDBETWEEN(1620,2416)))</f>
        <v>50385301.574669689</v>
      </c>
      <c r="B10125">
        <v>190232272.88891944</v>
      </c>
    </row>
    <row r="10126" spans="1:2" x14ac:dyDescent="0.25">
      <c r="A10126">
        <f ca="1">28359.6630174814*((RANDBETWEEN(1620,2416)))</f>
        <v>50735437.138274133</v>
      </c>
      <c r="B10126">
        <v>157440524.36423311</v>
      </c>
    </row>
    <row r="10127" spans="1:2" x14ac:dyDescent="0.25">
      <c r="A10127">
        <f ca="1">30506.4115655073*((RANDBETWEEN(1620,2416)))</f>
        <v>71995131.294597328</v>
      </c>
      <c r="B10127">
        <v>187653669.58943343</v>
      </c>
    </row>
    <row r="10128" spans="1:2" x14ac:dyDescent="0.25">
      <c r="A10128">
        <f ca="1">27212.0101858533*((RANDBETWEEN(1620,2416)))</f>
        <v>62587623.427462533</v>
      </c>
      <c r="B10128">
        <v>168429532.47974005</v>
      </c>
    </row>
    <row r="10129" spans="1:2" x14ac:dyDescent="0.25">
      <c r="A10129">
        <f ca="1">27798.6178439906*((RANDBETWEEN(1620,2416)))</f>
        <v>58877472.593572259</v>
      </c>
      <c r="B10129">
        <v>147727718.55887139</v>
      </c>
    </row>
    <row r="10130" spans="1:2" x14ac:dyDescent="0.25">
      <c r="A10130">
        <f ca="1">30516.2076401469*((RANDBETWEEN(1620,2416)))</f>
        <v>50809485.720844559</v>
      </c>
      <c r="B10130">
        <v>171542476.44173077</v>
      </c>
    </row>
    <row r="10131" spans="1:2" x14ac:dyDescent="0.25">
      <c r="A10131">
        <f ca="1">27797.4390424899*((RANDBETWEEN(1620,2416)))</f>
        <v>50646933.935416609</v>
      </c>
      <c r="B10131">
        <v>175770305.97237709</v>
      </c>
    </row>
    <row r="10132" spans="1:2" x14ac:dyDescent="0.25">
      <c r="A10132">
        <f ca="1">27218.9024277412*((RANDBETWEEN(1620,2416)))</f>
        <v>59255550.585192628</v>
      </c>
      <c r="B10132">
        <v>173807024.84416488</v>
      </c>
    </row>
    <row r="10133" spans="1:2" x14ac:dyDescent="0.25">
      <c r="A10133">
        <f ca="1">26295.4497437548*((RANDBETWEEN(1620,2416)))</f>
        <v>45832968.903364666</v>
      </c>
      <c r="B10133">
        <v>200099106.43692276</v>
      </c>
    </row>
    <row r="10134" spans="1:2" x14ac:dyDescent="0.25">
      <c r="A10134">
        <f ca="1">27639.4371641157*((RANDBETWEEN(1620,2416)))</f>
        <v>46517172.747206658</v>
      </c>
      <c r="B10134">
        <v>159204581.20246881</v>
      </c>
    </row>
    <row r="10135" spans="1:2" x14ac:dyDescent="0.25">
      <c r="A10135">
        <f ca="1">28951.7292905842*((RANDBETWEEN(1620,2416)))</f>
        <v>52373678.286666758</v>
      </c>
      <c r="B10135">
        <v>162474917.25367868</v>
      </c>
    </row>
    <row r="10136" spans="1:2" x14ac:dyDescent="0.25">
      <c r="A10136">
        <f ca="1">30042.0339298213*((RANDBETWEEN(1620,2416)))</f>
        <v>54315997.345116906</v>
      </c>
      <c r="B10136">
        <v>155579208.83627272</v>
      </c>
    </row>
    <row r="10137" spans="1:2" x14ac:dyDescent="0.25">
      <c r="A10137">
        <f ca="1">28723.1324821609*((RANDBETWEEN(1620,2416)))</f>
        <v>59600499.900483906</v>
      </c>
      <c r="B10137">
        <v>170830277.34872547</v>
      </c>
    </row>
    <row r="10138" spans="1:2" x14ac:dyDescent="0.25">
      <c r="A10138">
        <f ca="1">25874.1715622966*((RANDBETWEEN(1620,2416)))</f>
        <v>54879117.883631185</v>
      </c>
      <c r="B10138">
        <v>175891113.23518258</v>
      </c>
    </row>
    <row r="10139" spans="1:2" x14ac:dyDescent="0.25">
      <c r="A10139">
        <f ca="1">31223.5165410247*((RANDBETWEEN(1620,2416)))</f>
        <v>58825105.163290538</v>
      </c>
      <c r="B10139">
        <v>198102826.52963561</v>
      </c>
    </row>
    <row r="10140" spans="1:2" x14ac:dyDescent="0.25">
      <c r="A10140">
        <f ca="1">29538.9980377973*((RANDBETWEEN(1620,2416)))</f>
        <v>51368317.587729521</v>
      </c>
      <c r="B10140">
        <v>152357146.36557043</v>
      </c>
    </row>
    <row r="10141" spans="1:2" x14ac:dyDescent="0.25">
      <c r="A10141">
        <f ca="1">27510.6247186791*((RANDBETWEEN(1620,2416)))</f>
        <v>51692463.846397951</v>
      </c>
      <c r="B10141">
        <v>189793196.15161002</v>
      </c>
    </row>
    <row r="10142" spans="1:2" x14ac:dyDescent="0.25">
      <c r="A10142">
        <f ca="1">28885.924713995*((RANDBETWEEN(1620,2416)))</f>
        <v>65166646.154772624</v>
      </c>
      <c r="B10142">
        <v>157049538.64243919</v>
      </c>
    </row>
    <row r="10143" spans="1:2" x14ac:dyDescent="0.25">
      <c r="A10143">
        <f ca="1">26823.4392906557*((RANDBETWEEN(1620,2416)))</f>
        <v>56463339.706830338</v>
      </c>
      <c r="B10143">
        <v>144279578.97609687</v>
      </c>
    </row>
    <row r="10144" spans="1:2" x14ac:dyDescent="0.25">
      <c r="A10144">
        <f ca="1">25183.7527403688*((RANDBETWEEN(1620,2416)))</f>
        <v>49460890.382084303</v>
      </c>
      <c r="B10144">
        <v>148801885.1480754</v>
      </c>
    </row>
    <row r="10145" spans="1:2" x14ac:dyDescent="0.25">
      <c r="A10145">
        <f ca="1">28822.669835304*((RANDBETWEEN(1620,2416)))</f>
        <v>66465076.640210912</v>
      </c>
      <c r="B10145">
        <v>190586825.56093028</v>
      </c>
    </row>
    <row r="10146" spans="1:2" x14ac:dyDescent="0.25">
      <c r="A10146">
        <f ca="1">27844.8932111888*((RANDBETWEEN(1620,2416)))</f>
        <v>62929458.657286711</v>
      </c>
      <c r="B10146">
        <v>180399744.17745093</v>
      </c>
    </row>
    <row r="10147" spans="1:2" x14ac:dyDescent="0.25">
      <c r="A10147">
        <f ca="1">29748.4089631013*((RANDBETWEEN(1620,2416)))</f>
        <v>62739394.503180653</v>
      </c>
      <c r="B10147">
        <v>152091349.19418916</v>
      </c>
    </row>
    <row r="10148" spans="1:2" x14ac:dyDescent="0.25">
      <c r="A10148">
        <f ca="1">27507.873927154*((RANDBETWEEN(1620,2416)))</f>
        <v>62552905.31034825</v>
      </c>
      <c r="B10148">
        <v>156598417.03072068</v>
      </c>
    </row>
    <row r="10149" spans="1:2" x14ac:dyDescent="0.25">
      <c r="A10149">
        <f ca="1">26273.1580918026*((RANDBETWEEN(1620,2416)))</f>
        <v>44401637.175146416</v>
      </c>
      <c r="B10149">
        <v>151985533.07633814</v>
      </c>
    </row>
    <row r="10150" spans="1:2" x14ac:dyDescent="0.25">
      <c r="A10150">
        <f ca="1">26437.999007808*((RANDBETWEEN(1620,2416)))</f>
        <v>63001751.635606468</v>
      </c>
      <c r="B10150">
        <v>193777053.76717153</v>
      </c>
    </row>
    <row r="10151" spans="1:2" x14ac:dyDescent="0.25">
      <c r="A10151">
        <f ca="1">25821.5727392174*((RANDBETWEEN(1620,2416)))</f>
        <v>57737036.644890152</v>
      </c>
      <c r="B10151">
        <v>165356216.95119041</v>
      </c>
    </row>
    <row r="10152" spans="1:2" x14ac:dyDescent="0.25">
      <c r="A10152">
        <f ca="1">25972.7418892376*((RANDBETWEEN(1620,2416)))</f>
        <v>60126897.47358501</v>
      </c>
      <c r="B10152">
        <v>179961413.88907284</v>
      </c>
    </row>
    <row r="10153" spans="1:2" x14ac:dyDescent="0.25">
      <c r="A10153">
        <f ca="1">26813.9665671547*((RANDBETWEEN(1620,2416)))</f>
        <v>59419749.912814908</v>
      </c>
      <c r="B10153">
        <v>173768557.99560192</v>
      </c>
    </row>
    <row r="10154" spans="1:2" x14ac:dyDescent="0.25">
      <c r="A10154">
        <f ca="1">28116.7369866183*((RANDBETWEEN(1620,2416)))</f>
        <v>61856821.370560236</v>
      </c>
      <c r="B10154">
        <v>146478548.80193064</v>
      </c>
    </row>
    <row r="10155" spans="1:2" x14ac:dyDescent="0.25">
      <c r="A10155">
        <f ca="1">29973.3856954189*((RANDBETWEEN(1620,2416)))</f>
        <v>67050463.80065202</v>
      </c>
      <c r="B10155">
        <v>145943976.08350068</v>
      </c>
    </row>
    <row r="10156" spans="1:2" x14ac:dyDescent="0.25">
      <c r="A10156">
        <f ca="1">28165.4730064496*((RANDBETWEEN(1620,2416)))</f>
        <v>49627563.437364236</v>
      </c>
      <c r="B10156">
        <v>171926496.94228718</v>
      </c>
    </row>
    <row r="10157" spans="1:2" x14ac:dyDescent="0.25">
      <c r="A10157">
        <f ca="1">26984.7117167177*((RANDBETWEEN(1620,2416)))</f>
        <v>54347209.397469476</v>
      </c>
      <c r="B10157">
        <v>157860085.25941259</v>
      </c>
    </row>
    <row r="10158" spans="1:2" x14ac:dyDescent="0.25">
      <c r="A10158">
        <f ca="1">26429.6773111895*((RANDBETWEEN(1620,2416)))</f>
        <v>46674810.131560601</v>
      </c>
      <c r="B10158">
        <v>150701384.49322531</v>
      </c>
    </row>
    <row r="10159" spans="1:2" x14ac:dyDescent="0.25">
      <c r="A10159">
        <f ca="1">25733.9224230411*((RANDBETWEEN(1620,2416)))</f>
        <v>44725557.171245463</v>
      </c>
      <c r="B10159">
        <v>171026377.11878905</v>
      </c>
    </row>
    <row r="10160" spans="1:2" x14ac:dyDescent="0.25">
      <c r="A10160">
        <f ca="1">26464.9193848499*((RANDBETWEEN(1620,2416)))</f>
        <v>47319275.860111654</v>
      </c>
      <c r="B10160">
        <v>155697350.58162615</v>
      </c>
    </row>
    <row r="10161" spans="1:2" x14ac:dyDescent="0.25">
      <c r="A10161">
        <f ca="1">27303.8557522088*((RANDBETWEEN(1620,2416)))</f>
        <v>48573559.383179374</v>
      </c>
      <c r="B10161">
        <v>148528159.2534042</v>
      </c>
    </row>
    <row r="10162" spans="1:2" x14ac:dyDescent="0.25">
      <c r="A10162">
        <f ca="1">26386.3919309344*((RANDBETWEEN(1620,2416)))</f>
        <v>50978509.210565358</v>
      </c>
      <c r="B10162">
        <v>203124209.19698259</v>
      </c>
    </row>
    <row r="10163" spans="1:2" x14ac:dyDescent="0.25">
      <c r="A10163">
        <f ca="1">25995.9249792191*((RANDBETWEEN(1620,2416)))</f>
        <v>50718049.634456374</v>
      </c>
      <c r="B10163">
        <v>145748252.64175391</v>
      </c>
    </row>
    <row r="10164" spans="1:2" x14ac:dyDescent="0.25">
      <c r="A10164">
        <f ca="1">26438.3566652995*((RANDBETWEEN(1620,2416)))</f>
        <v>61257672.393498875</v>
      </c>
      <c r="B10164">
        <v>183549512.0535323</v>
      </c>
    </row>
    <row r="10165" spans="1:2" x14ac:dyDescent="0.25">
      <c r="A10165">
        <f ca="1">30996.6722816978*((RANDBETWEEN(1620,2416)))</f>
        <v>50648562.508294158</v>
      </c>
      <c r="B10165">
        <v>176144690.50196195</v>
      </c>
    </row>
    <row r="10166" spans="1:2" x14ac:dyDescent="0.25">
      <c r="A10166">
        <f ca="1">28025.6553149122*((RANDBETWEEN(1620,2416)))</f>
        <v>48680563.282002531</v>
      </c>
      <c r="B10166">
        <v>148528066.21461302</v>
      </c>
    </row>
    <row r="10167" spans="1:2" x14ac:dyDescent="0.25">
      <c r="A10167">
        <f ca="1">25774.2591964173*((RANDBETWEEN(1620,2416)))</f>
        <v>52631037.279084139</v>
      </c>
      <c r="B10167">
        <v>148504897.78237492</v>
      </c>
    </row>
    <row r="10168" spans="1:2" x14ac:dyDescent="0.25">
      <c r="A10168">
        <f ca="1">26725.5974203906*((RANDBETWEEN(1620,2416)))</f>
        <v>60132594.195878923</v>
      </c>
      <c r="B10168">
        <v>157990454.41613626</v>
      </c>
    </row>
    <row r="10169" spans="1:2" x14ac:dyDescent="0.25">
      <c r="A10169">
        <f ca="1">27778.3298897187*((RANDBETWEEN(1620,2416)))</f>
        <v>54556639.903407581</v>
      </c>
      <c r="B10169">
        <v>166680311.50263879</v>
      </c>
    </row>
    <row r="10170" spans="1:2" x14ac:dyDescent="0.25">
      <c r="A10170">
        <f ca="1">31870.6447912849*((RANDBETWEEN(1620,2416)))</f>
        <v>55773628.384748623</v>
      </c>
      <c r="B10170">
        <v>183953434.95581889</v>
      </c>
    </row>
    <row r="10171" spans="1:2" x14ac:dyDescent="0.25">
      <c r="A10171">
        <f ca="1">27724.5354137137*((RANDBETWEEN(1620,2416)))</f>
        <v>55060927.331635445</v>
      </c>
      <c r="B10171">
        <v>166158772.89795178</v>
      </c>
    </row>
    <row r="10172" spans="1:2" x14ac:dyDescent="0.25">
      <c r="A10172">
        <f ca="1">26766.1944262118*((RANDBETWEEN(1620,2416)))</f>
        <v>64452996.178318053</v>
      </c>
      <c r="B10172">
        <v>150913080.81682825</v>
      </c>
    </row>
    <row r="10173" spans="1:2" x14ac:dyDescent="0.25">
      <c r="A10173">
        <f ca="1">28878.9405378259*((RANDBETWEEN(1620,2416)))</f>
        <v>50364872.297968395</v>
      </c>
      <c r="B10173">
        <v>172647389.66428584</v>
      </c>
    </row>
    <row r="10174" spans="1:2" x14ac:dyDescent="0.25">
      <c r="A10174">
        <f ca="1">25962.557239265*((RANDBETWEEN(1620,2416)))</f>
        <v>61972624.130125582</v>
      </c>
      <c r="B10174">
        <v>144559498.88034838</v>
      </c>
    </row>
    <row r="10175" spans="1:2" x14ac:dyDescent="0.25">
      <c r="A10175">
        <f ca="1">31180.212414445*((RANDBETWEEN(1620,2416)))</f>
        <v>57621032.541894414</v>
      </c>
      <c r="B10175">
        <v>173535720.27161571</v>
      </c>
    </row>
    <row r="10176" spans="1:2" x14ac:dyDescent="0.25">
      <c r="A10176">
        <f ca="1">28412.6015803927*((RANDBETWEEN(1620,2416)))</f>
        <v>59836938.928307116</v>
      </c>
      <c r="B10176">
        <v>162976644.67751098</v>
      </c>
    </row>
    <row r="10177" spans="1:2" x14ac:dyDescent="0.25">
      <c r="A10177">
        <f ca="1">29861.0284474012*((RANDBETWEEN(1620,2416)))</f>
        <v>56586648.907825217</v>
      </c>
      <c r="B10177">
        <v>181168146.20361689</v>
      </c>
    </row>
    <row r="10178" spans="1:2" x14ac:dyDescent="0.25">
      <c r="A10178">
        <f ca="1">28626.5271348222*((RANDBETWEEN(1620,2416)))</f>
        <v>54648040.300375484</v>
      </c>
      <c r="B10178">
        <v>179430806.29119778</v>
      </c>
    </row>
    <row r="10179" spans="1:2" x14ac:dyDescent="0.25">
      <c r="A10179">
        <f ca="1">28108.365809024*((RANDBETWEEN(1620,2416)))</f>
        <v>60067577.73388423</v>
      </c>
      <c r="B10179">
        <v>147621639.70570081</v>
      </c>
    </row>
    <row r="10180" spans="1:2" x14ac:dyDescent="0.25">
      <c r="A10180">
        <f ca="1">25983.3260589002*((RANDBETWEEN(1620,2416)))</f>
        <v>59475833.348822661</v>
      </c>
      <c r="B10180">
        <v>159980150.38149619</v>
      </c>
    </row>
    <row r="10181" spans="1:2" x14ac:dyDescent="0.25">
      <c r="A10181">
        <f ca="1">28286.0842159693*((RANDBETWEEN(1620,2416)))</f>
        <v>49444075.209514342</v>
      </c>
      <c r="B10181">
        <v>192507212.38842642</v>
      </c>
    </row>
    <row r="10182" spans="1:2" x14ac:dyDescent="0.25">
      <c r="A10182">
        <f ca="1">26274.7010617264*((RANDBETWEEN(1620,2416)))</f>
        <v>60931031.762143411</v>
      </c>
      <c r="B10182">
        <v>144917714.3369073</v>
      </c>
    </row>
    <row r="10183" spans="1:2" x14ac:dyDescent="0.25">
      <c r="A10183">
        <f ca="1">31797.3495200136*((RANDBETWEEN(1620,2416)))</f>
        <v>64612214.224667668</v>
      </c>
      <c r="B10183">
        <v>146886826.20944309</v>
      </c>
    </row>
    <row r="10184" spans="1:2" x14ac:dyDescent="0.25">
      <c r="A10184">
        <f ca="1">26873.9624665793*((RANDBETWEEN(1620,2416)))</f>
        <v>55064749.094021074</v>
      </c>
      <c r="B10184">
        <v>165150914.61629015</v>
      </c>
    </row>
    <row r="10185" spans="1:2" x14ac:dyDescent="0.25">
      <c r="A10185">
        <f ca="1">29512.483420507*((RANDBETWEEN(1620,2416)))</f>
        <v>58405204.689183451</v>
      </c>
      <c r="B10185">
        <v>160675429.34526348</v>
      </c>
    </row>
    <row r="10186" spans="1:2" x14ac:dyDescent="0.25">
      <c r="A10186">
        <f ca="1">26418.0790634171*((RANDBETWEEN(1620,2416)))</f>
        <v>61923977.324649587</v>
      </c>
      <c r="B10186">
        <v>174180692.42962843</v>
      </c>
    </row>
    <row r="10187" spans="1:2" x14ac:dyDescent="0.25">
      <c r="A10187">
        <f ca="1">30121.5919511191*((RANDBETWEEN(1620,2416)))</f>
        <v>60484156.6378472</v>
      </c>
      <c r="B10187">
        <v>186781597.3634671</v>
      </c>
    </row>
    <row r="10188" spans="1:2" x14ac:dyDescent="0.25">
      <c r="A10188">
        <f ca="1">31549.3913604184*((RANDBETWEEN(1620,2416)))</f>
        <v>68714574.382991284</v>
      </c>
      <c r="B10188">
        <v>167088629.52353331</v>
      </c>
    </row>
    <row r="10189" spans="1:2" x14ac:dyDescent="0.25">
      <c r="A10189">
        <f ca="1">34667.4568115152*((RANDBETWEEN(1620,2416)))</f>
        <v>82681884.495463684</v>
      </c>
      <c r="B10189">
        <v>168972525.73435283</v>
      </c>
    </row>
    <row r="10190" spans="1:2" x14ac:dyDescent="0.25">
      <c r="A10190">
        <f ca="1">26029.3176369707*((RANDBETWEEN(1620,2416)))</f>
        <v>43338813.865556188</v>
      </c>
      <c r="B10190">
        <v>189061210.91403049</v>
      </c>
    </row>
    <row r="10191" spans="1:2" x14ac:dyDescent="0.25">
      <c r="A10191">
        <f ca="1">33342.2320472766*((RANDBETWEEN(1620,2416)))</f>
        <v>60649520.093996204</v>
      </c>
      <c r="B10191">
        <v>195112728.3283847</v>
      </c>
    </row>
    <row r="10192" spans="1:2" x14ac:dyDescent="0.25">
      <c r="A10192">
        <f ca="1">28112.5005770804*((RANDBETWEEN(1620,2416)))</f>
        <v>59176813.714754254</v>
      </c>
      <c r="B10192">
        <v>197214812.63562375</v>
      </c>
    </row>
    <row r="10193" spans="1:2" x14ac:dyDescent="0.25">
      <c r="A10193">
        <f ca="1">28770.1201570543*((RANDBETWEEN(1620,2416)))</f>
        <v>46607594.654427901</v>
      </c>
      <c r="B10193">
        <v>196175781.50520122</v>
      </c>
    </row>
    <row r="10194" spans="1:2" x14ac:dyDescent="0.25">
      <c r="A10194">
        <f ca="1">27876.5482907987*((RANDBETWEEN(1620,2416)))</f>
        <v>50484428.95463644</v>
      </c>
      <c r="B10194">
        <v>182120815.25073284</v>
      </c>
    </row>
    <row r="10195" spans="1:2" x14ac:dyDescent="0.25">
      <c r="A10195">
        <f ca="1">25173.8096881314*((RANDBETWEEN(1620,2416)))</f>
        <v>40957788.362589784</v>
      </c>
      <c r="B10195">
        <v>149624990.12240154</v>
      </c>
    </row>
    <row r="10196" spans="1:2" x14ac:dyDescent="0.25">
      <c r="A10196">
        <f ca="1">27188.554230726*((RANDBETWEEN(1620,2416)))</f>
        <v>46410862.071849257</v>
      </c>
      <c r="B10196">
        <v>144077661.55206171</v>
      </c>
    </row>
    <row r="10197" spans="1:2" x14ac:dyDescent="0.25">
      <c r="A10197">
        <f ca="1">27503.1968248161*((RANDBETWEEN(1620,2416)))</f>
        <v>51678506.83382953</v>
      </c>
      <c r="B10197">
        <v>199110030.89349997</v>
      </c>
    </row>
    <row r="10198" spans="1:2" x14ac:dyDescent="0.25">
      <c r="A10198">
        <f ca="1">29677.4485972785*((RANDBETWEEN(1620,2416)))</f>
        <v>55556183.774105363</v>
      </c>
      <c r="B10198">
        <v>164335132.75236997</v>
      </c>
    </row>
    <row r="10199" spans="1:2" x14ac:dyDescent="0.25">
      <c r="A10199">
        <f ca="1">28996.9827028148*((RANDBETWEEN(1620,2416)))</f>
        <v>59414817.558067441</v>
      </c>
      <c r="B10199">
        <v>166354828.94497222</v>
      </c>
    </row>
    <row r="10200" spans="1:2" x14ac:dyDescent="0.25">
      <c r="A10200">
        <f ca="1">29052.2962414558*((RANDBETWEEN(1620,2416)))</f>
        <v>68766785.203525767</v>
      </c>
      <c r="B10200">
        <v>183486451.52957234</v>
      </c>
    </row>
    <row r="10201" spans="1:2" x14ac:dyDescent="0.25">
      <c r="A10201">
        <f ca="1">27990.1692992622*((RANDBETWEEN(1620,2416)))</f>
        <v>46687602.391169287</v>
      </c>
      <c r="B10201">
        <v>148031512.89311856</v>
      </c>
    </row>
    <row r="10202" spans="1:2" x14ac:dyDescent="0.25">
      <c r="A10202">
        <f ca="1">30653.6820580914*((RANDBETWEEN(1620,2416)))</f>
        <v>54808783.519867428</v>
      </c>
      <c r="B10202">
        <v>183803475.75934523</v>
      </c>
    </row>
    <row r="10203" spans="1:2" x14ac:dyDescent="0.25">
      <c r="A10203">
        <f ca="1">27077.770240759*((RANDBETWEEN(1620,2416)))</f>
        <v>60410505.407133341</v>
      </c>
      <c r="B10203">
        <v>157048215.10113513</v>
      </c>
    </row>
    <row r="10204" spans="1:2" x14ac:dyDescent="0.25">
      <c r="A10204">
        <f ca="1">26246.7904109501*((RANDBETWEEN(1620,2416)))</f>
        <v>61128774.867102832</v>
      </c>
      <c r="B10204">
        <v>153294452.80665812</v>
      </c>
    </row>
    <row r="10205" spans="1:2" x14ac:dyDescent="0.25">
      <c r="A10205">
        <f ca="1">26993.6664736384*((RANDBETWEEN(1620,2416)))</f>
        <v>55687933.935116038</v>
      </c>
      <c r="B10205">
        <v>175512338.32017624</v>
      </c>
    </row>
    <row r="10206" spans="1:2" x14ac:dyDescent="0.25">
      <c r="A10206">
        <f ca="1">31667.5324924817*((RANDBETWEEN(1620,2416)))</f>
        <v>60864997.450549826</v>
      </c>
      <c r="B10206">
        <v>156711331.91130871</v>
      </c>
    </row>
    <row r="10207" spans="1:2" x14ac:dyDescent="0.25">
      <c r="A10207">
        <f ca="1">26992.9169401853*((RANDBETWEEN(1620,2416)))</f>
        <v>51583464.272694133</v>
      </c>
      <c r="B10207">
        <v>149814319.87194124</v>
      </c>
    </row>
    <row r="10208" spans="1:2" x14ac:dyDescent="0.25">
      <c r="A10208">
        <f ca="1">26952.9823562425*((RANDBETWEEN(1620,2416)))</f>
        <v>62719589.942976326</v>
      </c>
      <c r="B10208">
        <v>148606072.1394507</v>
      </c>
    </row>
    <row r="10209" spans="1:2" x14ac:dyDescent="0.25">
      <c r="A10209">
        <f ca="1">29664.9967256685*((RANDBETWEEN(1620,2416)))</f>
        <v>62088838.146824107</v>
      </c>
      <c r="B10209">
        <v>179503686.09359372</v>
      </c>
    </row>
    <row r="10210" spans="1:2" x14ac:dyDescent="0.25">
      <c r="A10210">
        <f ca="1">31659.8075223045*((RANDBETWEEN(1620,2416)))</f>
        <v>56101178.929523528</v>
      </c>
      <c r="B10210">
        <v>143103794.96152556</v>
      </c>
    </row>
    <row r="10211" spans="1:2" x14ac:dyDescent="0.25">
      <c r="A10211">
        <f ca="1">27895.9997280464*((RANDBETWEEN(1620,2416)))</f>
        <v>51021783.502596885</v>
      </c>
      <c r="B10211">
        <v>193161379.34132633</v>
      </c>
    </row>
    <row r="10212" spans="1:2" x14ac:dyDescent="0.25">
      <c r="A10212">
        <f ca="1">27262.3988670972*((RANDBETWEEN(1620,2416)))</f>
        <v>44737596.540906578</v>
      </c>
      <c r="B10212">
        <v>183352824.4955782</v>
      </c>
    </row>
    <row r="10213" spans="1:2" x14ac:dyDescent="0.25">
      <c r="A10213">
        <f ca="1">27278.2155156064*((RANDBETWEEN(1620,2416)))</f>
        <v>64240197.539253138</v>
      </c>
      <c r="B10213">
        <v>164488788.48338184</v>
      </c>
    </row>
    <row r="10214" spans="1:2" x14ac:dyDescent="0.25">
      <c r="A10214">
        <f ca="1">27343.9864691698*((RANDBETWEEN(1620,2416)))</f>
        <v>64504464.080771543</v>
      </c>
      <c r="B10214">
        <v>161056587.24101067</v>
      </c>
    </row>
    <row r="10215" spans="1:2" x14ac:dyDescent="0.25">
      <c r="A10215">
        <f ca="1">26384.4039959444*((RANDBETWEEN(1620,2416)))</f>
        <v>57966535.579089865</v>
      </c>
      <c r="B10215">
        <v>144202353.30606776</v>
      </c>
    </row>
    <row r="10216" spans="1:2" x14ac:dyDescent="0.25">
      <c r="A10216">
        <f ca="1">27434.0436054212*((RANDBETWEEN(1620,2416)))</f>
        <v>56157487.260297291</v>
      </c>
      <c r="B10216">
        <v>168558119.10777873</v>
      </c>
    </row>
    <row r="10217" spans="1:2" x14ac:dyDescent="0.25">
      <c r="A10217">
        <f ca="1">27397.7000298686*((RANDBETWEEN(1620,2416)))</f>
        <v>57480374.662664339</v>
      </c>
      <c r="B10217">
        <v>161048957.22575346</v>
      </c>
    </row>
    <row r="10218" spans="1:2" x14ac:dyDescent="0.25">
      <c r="A10218">
        <f ca="1">27912.1084230004*((RANDBETWEEN(1620,2416)))</f>
        <v>50967509.980398819</v>
      </c>
      <c r="B10218">
        <v>194150109.06601134</v>
      </c>
    </row>
    <row r="10219" spans="1:2" x14ac:dyDescent="0.25">
      <c r="A10219">
        <f ca="1">29612.0951103047*((RANDBETWEEN(1620,2416)))</f>
        <v>68492775.990134791</v>
      </c>
      <c r="B10219">
        <v>200268641.32606563</v>
      </c>
    </row>
    <row r="10220" spans="1:2" x14ac:dyDescent="0.25">
      <c r="A10220">
        <f ca="1">26455.3894865174*((RANDBETWEEN(1620,2416)))</f>
        <v>43757214.210699789</v>
      </c>
      <c r="B10220">
        <v>150744062.71069127</v>
      </c>
    </row>
    <row r="10221" spans="1:2" x14ac:dyDescent="0.25">
      <c r="A10221">
        <f ca="1">26486.5465190706*((RANDBETWEEN(1620,2416)))</f>
        <v>52628767.933393337</v>
      </c>
      <c r="B10221">
        <v>164271397.76650047</v>
      </c>
    </row>
    <row r="10222" spans="1:2" x14ac:dyDescent="0.25">
      <c r="A10222">
        <f ca="1">27264.800183907*((RANDBETWEEN(1620,2416)))</f>
        <v>52702858.755492151</v>
      </c>
      <c r="B10222">
        <v>155884415.36460355</v>
      </c>
    </row>
    <row r="10223" spans="1:2" x14ac:dyDescent="0.25">
      <c r="A10223">
        <f ca="1">28353.8081501617*((RANDBETWEEN(1620,2416)))</f>
        <v>46982260.104817867</v>
      </c>
      <c r="B10223">
        <v>143719040.49518651</v>
      </c>
    </row>
    <row r="10224" spans="1:2" x14ac:dyDescent="0.25">
      <c r="A10224">
        <f ca="1">26654.7982039798*((RANDBETWEEN(1620,2416)))</f>
        <v>60799594.703277878</v>
      </c>
      <c r="B10224">
        <v>156323035.51556244</v>
      </c>
    </row>
    <row r="10225" spans="1:2" x14ac:dyDescent="0.25">
      <c r="A10225">
        <f ca="1">27797.6978867968*((RANDBETWEEN(1620,2416)))</f>
        <v>46477750.866724208</v>
      </c>
      <c r="B10225">
        <v>143537611.38567996</v>
      </c>
    </row>
    <row r="10226" spans="1:2" x14ac:dyDescent="0.25">
      <c r="A10226">
        <f ca="1">30589.9061425813*((RANDBETWEEN(1620,2416)))</f>
        <v>66838944.921540231</v>
      </c>
      <c r="B10226">
        <v>165081358.48296723</v>
      </c>
    </row>
    <row r="10227" spans="1:2" x14ac:dyDescent="0.25">
      <c r="A10227">
        <f ca="1">29843.6519274508*((RANDBETWEEN(1620,2416)))</f>
        <v>63417760.345832996</v>
      </c>
      <c r="B10227">
        <v>193198685.36288986</v>
      </c>
    </row>
    <row r="10228" spans="1:2" x14ac:dyDescent="0.25">
      <c r="A10228">
        <f ca="1">27579.4600024398*((RANDBETWEEN(1620,2416)))</f>
        <v>57172220.585057788</v>
      </c>
      <c r="B10228">
        <v>156726521.55040151</v>
      </c>
    </row>
    <row r="10229" spans="1:2" x14ac:dyDescent="0.25">
      <c r="A10229">
        <f ca="1">27480.0594972459*((RANDBETWEEN(1620,2416)))</f>
        <v>60895811.845896952</v>
      </c>
      <c r="B10229">
        <v>194721522.53746301</v>
      </c>
    </row>
    <row r="10230" spans="1:2" x14ac:dyDescent="0.25">
      <c r="A10230">
        <f ca="1">27843.5947660743*((RANDBETWEEN(1620,2416)))</f>
        <v>62703775.413199253</v>
      </c>
      <c r="B10230">
        <v>172054775.15401211</v>
      </c>
    </row>
    <row r="10231" spans="1:2" x14ac:dyDescent="0.25">
      <c r="A10231">
        <f ca="1">30652.5146390216*((RANDBETWEEN(1620,2416)))</f>
        <v>55879534.186936297</v>
      </c>
      <c r="B10231">
        <v>192141390.20752728</v>
      </c>
    </row>
    <row r="10232" spans="1:2" x14ac:dyDescent="0.25">
      <c r="A10232">
        <f ca="1">28724.2791485018*((RANDBETWEEN(1620,2416)))</f>
        <v>54260163.311519876</v>
      </c>
      <c r="B10232">
        <v>180475959.13359445</v>
      </c>
    </row>
    <row r="10233" spans="1:2" x14ac:dyDescent="0.25">
      <c r="A10233">
        <f ca="1">26363.3758213121*((RANDBETWEEN(1620,2416)))</f>
        <v>51039495.590060256</v>
      </c>
      <c r="B10233">
        <v>153603845.48860472</v>
      </c>
    </row>
    <row r="10234" spans="1:2" x14ac:dyDescent="0.25">
      <c r="A10234">
        <f ca="1">27101.9925328463*((RANDBETWEEN(1620,2416)))</f>
        <v>61196299.139166951</v>
      </c>
      <c r="B10234">
        <v>157148828.41876552</v>
      </c>
    </row>
    <row r="10235" spans="1:2" x14ac:dyDescent="0.25">
      <c r="A10235">
        <f ca="1">30753.9517738444*((RANDBETWEEN(1620,2416)))</f>
        <v>57632905.624184497</v>
      </c>
      <c r="B10235">
        <v>198737371.45959798</v>
      </c>
    </row>
    <row r="10236" spans="1:2" x14ac:dyDescent="0.25">
      <c r="A10236">
        <f ca="1">25477.2086180918*((RANDBETWEEN(1620,2416)))</f>
        <v>50648690.732766449</v>
      </c>
      <c r="B10236">
        <v>143326988.53092688</v>
      </c>
    </row>
    <row r="10237" spans="1:2" x14ac:dyDescent="0.25">
      <c r="A10237">
        <f ca="1">31079.5203661294*((RANDBETWEEN(1620,2416)))</f>
        <v>59082168.216011979</v>
      </c>
      <c r="B10237">
        <v>202911260.02849376</v>
      </c>
    </row>
    <row r="10238" spans="1:2" x14ac:dyDescent="0.25">
      <c r="A10238">
        <f ca="1">26020.5734285365*((RANDBETWEEN(1620,2416)))</f>
        <v>50792159.332503274</v>
      </c>
      <c r="B10238">
        <v>146363380.8891809</v>
      </c>
    </row>
    <row r="10239" spans="1:2" x14ac:dyDescent="0.25">
      <c r="A10239">
        <f ca="1">27592.8848317951*((RANDBETWEEN(1620,2416)))</f>
        <v>55820406.014721468</v>
      </c>
      <c r="B10239">
        <v>148947967.7422635</v>
      </c>
    </row>
    <row r="10240" spans="1:2" x14ac:dyDescent="0.25">
      <c r="A10240">
        <f ca="1">32506.1949886508*((RANDBETWEEN(1620,2416)))</f>
        <v>67482860.796438962</v>
      </c>
      <c r="B10240">
        <v>160868075.24339727</v>
      </c>
    </row>
    <row r="10241" spans="1:2" x14ac:dyDescent="0.25">
      <c r="A10241">
        <f ca="1">27831.783208181*((RANDBETWEEN(1620,2416)))</f>
        <v>54828612.920116648</v>
      </c>
      <c r="B10241">
        <v>159719764.34813696</v>
      </c>
    </row>
    <row r="10242" spans="1:2" x14ac:dyDescent="0.25">
      <c r="A10242">
        <f ca="1">31233.5449544118*((RANDBETWEEN(1620,2416)))</f>
        <v>69276002.708885267</v>
      </c>
      <c r="B10242">
        <v>190822164.25057459</v>
      </c>
    </row>
    <row r="10243" spans="1:2" x14ac:dyDescent="0.25">
      <c r="A10243">
        <f ca="1">27527.2711908816*((RANDBETWEEN(1620,2416)))</f>
        <v>54063560.618891411</v>
      </c>
      <c r="B10243">
        <v>174561976.14591333</v>
      </c>
    </row>
    <row r="10244" spans="1:2" x14ac:dyDescent="0.25">
      <c r="A10244">
        <f ca="1">27506.1220643724*((RANDBETWEEN(1620,2416)))</f>
        <v>65602101.123528063</v>
      </c>
      <c r="B10244">
        <v>146327350.98128289</v>
      </c>
    </row>
    <row r="10245" spans="1:2" x14ac:dyDescent="0.25">
      <c r="A10245">
        <f ca="1">27205.8109275977*((RANDBETWEEN(1620,2416)))</f>
        <v>63579980.137795903</v>
      </c>
      <c r="B10245">
        <v>146721574.28504363</v>
      </c>
    </row>
    <row r="10246" spans="1:2" x14ac:dyDescent="0.25">
      <c r="A10246">
        <f ca="1">26150.5648728612*((RANDBETWEEN(1620,2416)))</f>
        <v>59727890.169615038</v>
      </c>
      <c r="B10246">
        <v>151792523.57845622</v>
      </c>
    </row>
    <row r="10247" spans="1:2" x14ac:dyDescent="0.25">
      <c r="A10247">
        <f ca="1">31221.1375462584*((RANDBETWEEN(1620,2416)))</f>
        <v>73525778.921438634</v>
      </c>
      <c r="B10247">
        <v>180609087.61357635</v>
      </c>
    </row>
    <row r="10248" spans="1:2" x14ac:dyDescent="0.25">
      <c r="A10248">
        <f ca="1">29666.3600329947*((RANDBETWEEN(1620,2416)))</f>
        <v>59659050.02635242</v>
      </c>
      <c r="B10248">
        <v>168635213.89646938</v>
      </c>
    </row>
    <row r="10249" spans="1:2" x14ac:dyDescent="0.25">
      <c r="A10249">
        <f ca="1">26730.999133225*((RANDBETWEEN(1620,2416)))</f>
        <v>48596956.424203001</v>
      </c>
      <c r="B10249">
        <v>176045273.66747782</v>
      </c>
    </row>
    <row r="10250" spans="1:2" x14ac:dyDescent="0.25">
      <c r="A10250">
        <f ca="1">27191.2491908582*((RANDBETWEEN(1620,2416)))</f>
        <v>46197932.375268131</v>
      </c>
      <c r="B10250">
        <v>143864623.66519248</v>
      </c>
    </row>
    <row r="10251" spans="1:2" x14ac:dyDescent="0.25">
      <c r="A10251">
        <f ca="1">27012.0395160659*((RANDBETWEEN(1620,2416)))</f>
        <v>50701598.171655722</v>
      </c>
      <c r="B10251">
        <v>190022851.35814875</v>
      </c>
    </row>
    <row r="10252" spans="1:2" x14ac:dyDescent="0.25">
      <c r="A10252">
        <f ca="1">29233.0968286802*((RANDBETWEEN(1620,2416)))</f>
        <v>51245618.740676388</v>
      </c>
      <c r="B10252">
        <v>189554169.80146873</v>
      </c>
    </row>
    <row r="10253" spans="1:2" x14ac:dyDescent="0.25">
      <c r="A10253">
        <f ca="1">24957.7976457376*((RANDBETWEEN(1620,2416)))</f>
        <v>57902090.538111232</v>
      </c>
      <c r="B10253">
        <v>148401179.29905197</v>
      </c>
    </row>
    <row r="10254" spans="1:2" x14ac:dyDescent="0.25">
      <c r="A10254">
        <f ca="1">26931.6576295142*((RANDBETWEEN(1620,2416)))</f>
        <v>51250944.468965456</v>
      </c>
      <c r="B10254">
        <v>175405338.99763045</v>
      </c>
    </row>
    <row r="10255" spans="1:2" x14ac:dyDescent="0.25">
      <c r="A10255">
        <f ca="1">33895.5065835741*((RANDBETWEEN(1620,2416)))</f>
        <v>81078051.747909233</v>
      </c>
      <c r="B10255">
        <v>150983921.18783751</v>
      </c>
    </row>
    <row r="10256" spans="1:2" x14ac:dyDescent="0.25">
      <c r="A10256">
        <f ca="1">28855.6339046076*((RANDBETWEEN(1620,2416)))</f>
        <v>59038626.968827054</v>
      </c>
      <c r="B10256">
        <v>152598349.64008602</v>
      </c>
    </row>
    <row r="10257" spans="1:2" x14ac:dyDescent="0.25">
      <c r="A10257">
        <f ca="1">31633.3820474095*((RANDBETWEEN(1620,2416)))</f>
        <v>69878140.942727685</v>
      </c>
      <c r="B10257">
        <v>151659979.31085214</v>
      </c>
    </row>
    <row r="10258" spans="1:2" x14ac:dyDescent="0.25">
      <c r="A10258">
        <f ca="1">29249.3044786509*((RANDBETWEEN(1620,2416)))</f>
        <v>58235365.216993965</v>
      </c>
      <c r="B10258">
        <v>181571309.61404258</v>
      </c>
    </row>
    <row r="10259" spans="1:2" x14ac:dyDescent="0.25">
      <c r="A10259">
        <f ca="1">31173.8562028212*((RANDBETWEEN(1620,2416)))</f>
        <v>59355022.210171536</v>
      </c>
      <c r="B10259">
        <v>177311070.29071921</v>
      </c>
    </row>
    <row r="10260" spans="1:2" x14ac:dyDescent="0.25">
      <c r="A10260">
        <f ca="1">25451.556604205*((RANDBETWEEN(1620,2416)))</f>
        <v>58894901.98213046</v>
      </c>
      <c r="B10260">
        <v>156418890.00094277</v>
      </c>
    </row>
    <row r="10261" spans="1:2" x14ac:dyDescent="0.25">
      <c r="A10261">
        <f ca="1">31499.3705900812*((RANDBETWEEN(1620,2416)))</f>
        <v>64794205.303796947</v>
      </c>
      <c r="B10261">
        <v>185145794.997033</v>
      </c>
    </row>
    <row r="10262" spans="1:2" x14ac:dyDescent="0.25">
      <c r="A10262">
        <f ca="1">27683.2106705676*((RANDBETWEEN(1620,2416)))</f>
        <v>58799139.464285553</v>
      </c>
      <c r="B10262">
        <v>190754179.61121824</v>
      </c>
    </row>
    <row r="10263" spans="1:2" x14ac:dyDescent="0.25">
      <c r="A10263">
        <f ca="1">32025.2985514056*((RANDBETWEEN(1620,2416)))</f>
        <v>65523760.836175866</v>
      </c>
      <c r="B10263">
        <v>197549313.48866081</v>
      </c>
    </row>
    <row r="10264" spans="1:2" x14ac:dyDescent="0.25">
      <c r="A10264">
        <f ca="1">27509.3709999217*((RANDBETWEEN(1620,2416)))</f>
        <v>56916888.598838016</v>
      </c>
      <c r="B10264">
        <v>186412489.74173558</v>
      </c>
    </row>
    <row r="10265" spans="1:2" x14ac:dyDescent="0.25">
      <c r="A10265">
        <f ca="1">25060.7345938083*((RANDBETWEEN(1620,2416)))</f>
        <v>44056771.41591499</v>
      </c>
      <c r="B10265">
        <v>184170352.3903878</v>
      </c>
    </row>
    <row r="10266" spans="1:2" x14ac:dyDescent="0.25">
      <c r="A10266">
        <f ca="1">25892.9078333013*((RANDBETWEEN(1620,2416)))</f>
        <v>54142070.279433034</v>
      </c>
      <c r="B10266">
        <v>159821611.66149744</v>
      </c>
    </row>
    <row r="10267" spans="1:2" x14ac:dyDescent="0.25">
      <c r="A10267">
        <f ca="1">28673.3275564965*((RANDBETWEEN(1620,2416)))</f>
        <v>49633530.000295438</v>
      </c>
      <c r="B10267">
        <v>156933438.05755559</v>
      </c>
    </row>
    <row r="10268" spans="1:2" x14ac:dyDescent="0.25">
      <c r="A10268">
        <f ca="1">31423.129601089*((RANDBETWEEN(1620,2416)))</f>
        <v>57661442.817998387</v>
      </c>
      <c r="B10268">
        <v>147308953.02546203</v>
      </c>
    </row>
    <row r="10269" spans="1:2" x14ac:dyDescent="0.25">
      <c r="A10269">
        <f ca="1">26251.2464300826*((RANDBETWEEN(1620,2416)))</f>
        <v>59774088.121298179</v>
      </c>
      <c r="B10269">
        <v>151723101.09145799</v>
      </c>
    </row>
    <row r="10270" spans="1:2" x14ac:dyDescent="0.25">
      <c r="A10270">
        <f ca="1">31490.9304667551*((RANDBETWEEN(1620,2416)))</f>
        <v>74255614.0406086</v>
      </c>
      <c r="B10270">
        <v>193694487.82228228</v>
      </c>
    </row>
    <row r="10271" spans="1:2" x14ac:dyDescent="0.25">
      <c r="A10271">
        <f ca="1">27260.2411641337*((RANDBETWEEN(1620,2416)))</f>
        <v>52503224.48212155</v>
      </c>
      <c r="B10271">
        <v>152617939.53172931</v>
      </c>
    </row>
    <row r="10272" spans="1:2" x14ac:dyDescent="0.25">
      <c r="A10272">
        <f ca="1">30717.4121693621*((RANDBETWEEN(1620,2416)))</f>
        <v>56120712.033424564</v>
      </c>
      <c r="B10272">
        <v>202718690.74267042</v>
      </c>
    </row>
    <row r="10273" spans="1:2" x14ac:dyDescent="0.25">
      <c r="A10273">
        <f ca="1">31164.2188635105*((RANDBETWEEN(1620,2416)))</f>
        <v>62546587.259065628</v>
      </c>
      <c r="B10273">
        <v>154562188.53879398</v>
      </c>
    </row>
    <row r="10274" spans="1:2" x14ac:dyDescent="0.25">
      <c r="A10274">
        <f ca="1">27529.5658420285*((RANDBETWEEN(1620,2416)))</f>
        <v>46442377.575502127</v>
      </c>
      <c r="B10274">
        <v>144363743.8214145</v>
      </c>
    </row>
    <row r="10275" spans="1:2" x14ac:dyDescent="0.25">
      <c r="A10275">
        <f ca="1">31729.8796614781*((RANDBETWEEN(1620,2416)))</f>
        <v>65680850.899259664</v>
      </c>
      <c r="B10275">
        <v>188841241.9811855</v>
      </c>
    </row>
    <row r="10276" spans="1:2" x14ac:dyDescent="0.25">
      <c r="A10276">
        <f ca="1">26679.2035021881*((RANDBETWEEN(1620,2416)))</f>
        <v>64190163.626264505</v>
      </c>
      <c r="B10276">
        <v>192476470.31917155</v>
      </c>
    </row>
    <row r="10277" spans="1:2" x14ac:dyDescent="0.25">
      <c r="A10277">
        <f ca="1">27974.7079610737*((RANDBETWEEN(1620,2416)))</f>
        <v>46074344.011888444</v>
      </c>
      <c r="B10277">
        <v>201439559.08138591</v>
      </c>
    </row>
    <row r="10278" spans="1:2" x14ac:dyDescent="0.25">
      <c r="A10278">
        <f ca="1">28201.8818766775*((RANDBETWEEN(1620,2416)))</f>
        <v>56178148.698341615</v>
      </c>
      <c r="B10278">
        <v>161380106.15398532</v>
      </c>
    </row>
    <row r="10279" spans="1:2" x14ac:dyDescent="0.25">
      <c r="A10279">
        <f ca="1">27572.1251522385*((RANDBETWEEN(1620,2416)))</f>
        <v>64656633.481999189</v>
      </c>
      <c r="B10279">
        <v>182768202.83043122</v>
      </c>
    </row>
    <row r="10280" spans="1:2" x14ac:dyDescent="0.25">
      <c r="A10280">
        <f ca="1">30206.8106797569*((RANDBETWEEN(1620,2416)))</f>
        <v>52046334.801221095</v>
      </c>
      <c r="B10280">
        <v>146779840.12705839</v>
      </c>
    </row>
    <row r="10281" spans="1:2" x14ac:dyDescent="0.25">
      <c r="A10281">
        <f ca="1">27965.1010170894*((RANDBETWEEN(1620,2416)))</f>
        <v>65382406.177955128</v>
      </c>
      <c r="B10281">
        <v>197995161.3825089</v>
      </c>
    </row>
    <row r="10282" spans="1:2" x14ac:dyDescent="0.25">
      <c r="A10282">
        <f ca="1">28095.9669674844*((RANDBETWEEN(1620,2416)))</f>
        <v>63777845.01618962</v>
      </c>
      <c r="B10282">
        <v>153719493.19218624</v>
      </c>
    </row>
    <row r="10283" spans="1:2" x14ac:dyDescent="0.25">
      <c r="A10283">
        <f ca="1">29830.8660229117*((RANDBETWEEN(1620,2416)))</f>
        <v>57364755.362059109</v>
      </c>
      <c r="B10283">
        <v>192302657.15501797</v>
      </c>
    </row>
    <row r="10284" spans="1:2" x14ac:dyDescent="0.25">
      <c r="A10284">
        <f ca="1">26951.8361334287*((RANDBETWEEN(1620,2416)))</f>
        <v>59860028.052345164</v>
      </c>
      <c r="B10284">
        <v>150531930.53045392</v>
      </c>
    </row>
    <row r="10285" spans="1:2" x14ac:dyDescent="0.25">
      <c r="A10285">
        <f ca="1">27061.7086401599*((RANDBETWEEN(1620,2416)))</f>
        <v>43894091.414339393</v>
      </c>
      <c r="B10285">
        <v>190919087.13193399</v>
      </c>
    </row>
    <row r="10286" spans="1:2" x14ac:dyDescent="0.25">
      <c r="A10286">
        <f ca="1">26771.9547470311*((RANDBETWEEN(1620,2416)))</f>
        <v>53972260.77001477</v>
      </c>
      <c r="B10286">
        <v>190298047.60481882</v>
      </c>
    </row>
    <row r="10287" spans="1:2" x14ac:dyDescent="0.25">
      <c r="A10287">
        <f ca="1">26365.6355384194*((RANDBETWEEN(1620,2416)))</f>
        <v>53021293.067761339</v>
      </c>
      <c r="B10287">
        <v>143298794.94324788</v>
      </c>
    </row>
    <row r="10288" spans="1:2" x14ac:dyDescent="0.25">
      <c r="A10288">
        <f ca="1">27864.7054599923*((RANDBETWEEN(1620,2416)))</f>
        <v>48345263.973086566</v>
      </c>
      <c r="B10288">
        <v>168765861.63521546</v>
      </c>
    </row>
    <row r="10289" spans="1:2" x14ac:dyDescent="0.25">
      <c r="A10289">
        <f ca="1">27018.5583020355*((RANDBETWEEN(1620,2416)))</f>
        <v>57252325.042013206</v>
      </c>
      <c r="B10289">
        <v>156078105.18799913</v>
      </c>
    </row>
    <row r="10290" spans="1:2" x14ac:dyDescent="0.25">
      <c r="A10290">
        <f ca="1">29376.4249405538*((RANDBETWEEN(1620,2416)))</f>
        <v>56931511.53479334</v>
      </c>
      <c r="B10290">
        <v>196413530.10680676</v>
      </c>
    </row>
    <row r="10291" spans="1:2" x14ac:dyDescent="0.25">
      <c r="A10291">
        <f ca="1">32084.8584984569*((RANDBETWEEN(1620,2416)))</f>
        <v>58458612.184188411</v>
      </c>
      <c r="B10291">
        <v>147638609.72845182</v>
      </c>
    </row>
    <row r="10292" spans="1:2" x14ac:dyDescent="0.25">
      <c r="A10292">
        <f ca="1">25755.0018565272*((RANDBETWEEN(1620,2416)))</f>
        <v>43783503.156096317</v>
      </c>
      <c r="B10292">
        <v>144549475.91584486</v>
      </c>
    </row>
    <row r="10293" spans="1:2" x14ac:dyDescent="0.25">
      <c r="A10293">
        <f ca="1">27545.3417462323*((RANDBETWEEN(1620,2416)))</f>
        <v>64263282.293959975</v>
      </c>
      <c r="B10293">
        <v>143179474.94692034</v>
      </c>
    </row>
    <row r="10294" spans="1:2" x14ac:dyDescent="0.25">
      <c r="A10294">
        <f ca="1">26879.7752175458*((RANDBETWEEN(1620,2416)))</f>
        <v>54404665.040312774</v>
      </c>
      <c r="B10294">
        <v>174778212.27006572</v>
      </c>
    </row>
    <row r="10295" spans="1:2" x14ac:dyDescent="0.25">
      <c r="A10295">
        <f ca="1">29893.5245122399*((RANDBETWEEN(1620,2416)))</f>
        <v>71056907.765594169</v>
      </c>
      <c r="B10295">
        <v>179547725.46323749</v>
      </c>
    </row>
    <row r="10296" spans="1:2" x14ac:dyDescent="0.25">
      <c r="A10296">
        <f ca="1">27403.6588806247*((RANDBETWEEN(1620,2416)))</f>
        <v>52286181.14423202</v>
      </c>
      <c r="B10296">
        <v>197937663.44701847</v>
      </c>
    </row>
    <row r="10297" spans="1:2" x14ac:dyDescent="0.25">
      <c r="A10297">
        <f ca="1">27343.2820423389*((RANDBETWEEN(1620,2416)))</f>
        <v>57065429.62236134</v>
      </c>
      <c r="B10297">
        <v>179532737.24810582</v>
      </c>
    </row>
    <row r="10298" spans="1:2" x14ac:dyDescent="0.25">
      <c r="A10298">
        <f ca="1">32202.7037704674*((RANDBETWEEN(1620,2416)))</f>
        <v>66047745.433228582</v>
      </c>
      <c r="B10298">
        <v>183709458.47433856</v>
      </c>
    </row>
    <row r="10299" spans="1:2" x14ac:dyDescent="0.25">
      <c r="A10299">
        <f ca="1">31574.4188800427*((RANDBETWEEN(1620,2416)))</f>
        <v>65674791.270488843</v>
      </c>
      <c r="B10299">
        <v>182264438.92521289</v>
      </c>
    </row>
    <row r="10300" spans="1:2" x14ac:dyDescent="0.25">
      <c r="A10300">
        <f ca="1">26611.6881273235*((RANDBETWEEN(1620,2416)))</f>
        <v>49737245.10996756</v>
      </c>
      <c r="B10300">
        <v>171921907.78664479</v>
      </c>
    </row>
    <row r="10301" spans="1:2" x14ac:dyDescent="0.25">
      <c r="A10301">
        <f ca="1">28013.8495934176*((RANDBETWEEN(1620,2416)))</f>
        <v>64768020.259981528</v>
      </c>
      <c r="B10301">
        <v>157329184.06973183</v>
      </c>
    </row>
    <row r="10302" spans="1:2" x14ac:dyDescent="0.25">
      <c r="A10302">
        <f ca="1">25829.1022065257*((RANDBETWEEN(1620,2416)))</f>
        <v>42592189.5385608</v>
      </c>
      <c r="B10302">
        <v>152695007.66134596</v>
      </c>
    </row>
    <row r="10303" spans="1:2" x14ac:dyDescent="0.25">
      <c r="A10303">
        <f ca="1">26163.4526302761*((RANDBETWEEN(1620,2416)))</f>
        <v>59260220.20757547</v>
      </c>
      <c r="B10303">
        <v>146966856.70215836</v>
      </c>
    </row>
    <row r="10304" spans="1:2" x14ac:dyDescent="0.25">
      <c r="A10304">
        <f ca="1">27706.2237028396*((RANDBETWEEN(1620,2416)))</f>
        <v>62394415.778794684</v>
      </c>
      <c r="B10304">
        <v>156323673.7808103</v>
      </c>
    </row>
    <row r="10305" spans="1:2" x14ac:dyDescent="0.25">
      <c r="A10305">
        <f ca="1">28047.8298036463*((RANDBETWEEN(1620,2416)))</f>
        <v>46363062.665427305</v>
      </c>
      <c r="B10305">
        <v>192926503.82470229</v>
      </c>
    </row>
    <row r="10306" spans="1:2" x14ac:dyDescent="0.25">
      <c r="A10306">
        <f ca="1">25653.3970262571*((RANDBETWEEN(1620,2416)))</f>
        <v>54744349.254032634</v>
      </c>
      <c r="B10306">
        <v>151625362.80705351</v>
      </c>
    </row>
    <row r="10307" spans="1:2" x14ac:dyDescent="0.25">
      <c r="A10307">
        <f ca="1">25509.3092921861*((RANDBETWEEN(1620,2416)))</f>
        <v>60023404.764513999</v>
      </c>
      <c r="B10307">
        <v>143053873.70547804</v>
      </c>
    </row>
    <row r="10308" spans="1:2" x14ac:dyDescent="0.25">
      <c r="A10308">
        <f ca="1">26540.467020796*((RANDBETWEEN(1620,2416)))</f>
        <v>46976626.626808971</v>
      </c>
      <c r="B10308">
        <v>170784600.27788201</v>
      </c>
    </row>
    <row r="10309" spans="1:2" x14ac:dyDescent="0.25">
      <c r="A10309">
        <f ca="1">31423.2720945082*((RANDBETWEEN(1620,2416)))</f>
        <v>67560035.003192678</v>
      </c>
      <c r="B10309">
        <v>200532302.09967205</v>
      </c>
    </row>
    <row r="10310" spans="1:2" x14ac:dyDescent="0.25">
      <c r="A10310">
        <f ca="1">28110.7815744768*((RANDBETWEEN(1620,2416)))</f>
        <v>52960712.486314222</v>
      </c>
      <c r="B10310">
        <v>155159680.87262231</v>
      </c>
    </row>
    <row r="10311" spans="1:2" x14ac:dyDescent="0.25">
      <c r="A10311">
        <f ca="1">28076.8095643852*((RANDBETWEEN(1620,2416)))</f>
        <v>46214428.542977989</v>
      </c>
      <c r="B10311">
        <v>155279819.50816202</v>
      </c>
    </row>
    <row r="10312" spans="1:2" x14ac:dyDescent="0.25">
      <c r="A10312">
        <f ca="1">30783.3235701704*((RANDBETWEEN(1620,2416)))</f>
        <v>55563899.044157602</v>
      </c>
      <c r="B10312">
        <v>172071730.64024994</v>
      </c>
    </row>
    <row r="10313" spans="1:2" x14ac:dyDescent="0.25">
      <c r="A10313">
        <f ca="1">26531.6352066486*((RANDBETWEEN(1620,2416)))</f>
        <v>52691827.520404108</v>
      </c>
      <c r="B10313">
        <v>187478903.82973081</v>
      </c>
    </row>
    <row r="10314" spans="1:2" x14ac:dyDescent="0.25">
      <c r="A10314">
        <f ca="1">27567.2840778671*((RANDBETWEEN(1620,2416)))</f>
        <v>52184868.759402364</v>
      </c>
      <c r="B10314">
        <v>145715835.56812048</v>
      </c>
    </row>
    <row r="10315" spans="1:2" x14ac:dyDescent="0.25">
      <c r="A10315">
        <f ca="1">28667.8472544121*((RANDBETWEEN(1620,2416)))</f>
        <v>63126599.6542155</v>
      </c>
      <c r="B10315">
        <v>153212551.57631904</v>
      </c>
    </row>
    <row r="10316" spans="1:2" x14ac:dyDescent="0.25">
      <c r="A10316">
        <f ca="1">29623.3117300536*((RANDBETWEEN(1620,2416)))</f>
        <v>50152266.758980662</v>
      </c>
      <c r="B10316">
        <v>186896627.95477691</v>
      </c>
    </row>
    <row r="10317" spans="1:2" x14ac:dyDescent="0.25">
      <c r="A10317">
        <f ca="1">26001.3396180125*((RANDBETWEEN(1620,2416)))</f>
        <v>59023040.932888374</v>
      </c>
      <c r="B10317">
        <v>181987126.40165463</v>
      </c>
    </row>
    <row r="10318" spans="1:2" x14ac:dyDescent="0.25">
      <c r="A10318">
        <f ca="1">33956.453041375*((RANDBETWEEN(1620,2416)))</f>
        <v>80069316.271562278</v>
      </c>
      <c r="B10318">
        <v>182957722.45178282</v>
      </c>
    </row>
    <row r="10319" spans="1:2" x14ac:dyDescent="0.25">
      <c r="A10319">
        <f ca="1">26214.4785554178*((RANDBETWEEN(1620,2416)))</f>
        <v>53110533.55327639</v>
      </c>
      <c r="B10319">
        <v>156168757.79695681</v>
      </c>
    </row>
    <row r="10320" spans="1:2" x14ac:dyDescent="0.25">
      <c r="A10320">
        <f ca="1">26347.0655014172*((RANDBETWEEN(1620,2416)))</f>
        <v>42761287.308800086</v>
      </c>
      <c r="B10320">
        <v>143089644.36128888</v>
      </c>
    </row>
    <row r="10321" spans="1:2" x14ac:dyDescent="0.25">
      <c r="A10321">
        <f ca="1">26959.8573444037*((RANDBETWEEN(1620,2416)))</f>
        <v>51277648.669055834</v>
      </c>
      <c r="B10321">
        <v>152132543.96571684</v>
      </c>
    </row>
    <row r="10322" spans="1:2" x14ac:dyDescent="0.25">
      <c r="A10322">
        <f ca="1">26143.3429365051*((RANDBETWEEN(1620,2416)))</f>
        <v>58796378.264200039</v>
      </c>
      <c r="B10322">
        <v>145872259.27615261</v>
      </c>
    </row>
    <row r="10323" spans="1:2" x14ac:dyDescent="0.25">
      <c r="A10323">
        <f ca="1">33442.5582201206*((RANDBETWEEN(1620,2416)))</f>
        <v>61166438.984600574</v>
      </c>
      <c r="B10323">
        <v>181236937.62652788</v>
      </c>
    </row>
    <row r="10324" spans="1:2" x14ac:dyDescent="0.25">
      <c r="A10324">
        <f ca="1">28154.4502086014*((RANDBETWEEN(1620,2416)))</f>
        <v>58223403.031387761</v>
      </c>
      <c r="B10324">
        <v>178060781.66746393</v>
      </c>
    </row>
    <row r="10325" spans="1:2" x14ac:dyDescent="0.25">
      <c r="A10325">
        <f ca="1">26236.9874272206*((RANDBETWEEN(1620,2416)))</f>
        <v>50086408.998564146</v>
      </c>
      <c r="B10325">
        <v>143808214.85098395</v>
      </c>
    </row>
    <row r="10326" spans="1:2" x14ac:dyDescent="0.25">
      <c r="A10326">
        <f ca="1">30440.4430658943*((RANDBETWEEN(1620,2416)))</f>
        <v>67882188.036944345</v>
      </c>
      <c r="B10326">
        <v>147889361.83885223</v>
      </c>
    </row>
    <row r="10327" spans="1:2" x14ac:dyDescent="0.25">
      <c r="A10327">
        <f ca="1">29405.011442026*((RANDBETWEEN(1620,2416)))</f>
        <v>63661849.771986194</v>
      </c>
      <c r="B10327">
        <v>151319325.20884708</v>
      </c>
    </row>
    <row r="10328" spans="1:2" x14ac:dyDescent="0.25">
      <c r="A10328">
        <f ca="1">30124.9441543534*((RANDBETWEEN(1620,2416)))</f>
        <v>58261641.994519502</v>
      </c>
      <c r="B10328">
        <v>185743985.00424623</v>
      </c>
    </row>
    <row r="10329" spans="1:2" x14ac:dyDescent="0.25">
      <c r="A10329">
        <f ca="1">28338.4899843532*((RANDBETWEEN(1620,2416)))</f>
        <v>64328372.264481656</v>
      </c>
      <c r="B10329">
        <v>195262068.51435149</v>
      </c>
    </row>
    <row r="10330" spans="1:2" x14ac:dyDescent="0.25">
      <c r="A10330">
        <f ca="1">31222.5899354146*((RANDBETWEEN(1620,2416)))</f>
        <v>53015957.710334018</v>
      </c>
      <c r="B10330">
        <v>199470083.75914595</v>
      </c>
    </row>
    <row r="10331" spans="1:2" x14ac:dyDescent="0.25">
      <c r="A10331">
        <f ca="1">26485.4107914417*((RANDBETWEEN(1620,2416)))</f>
        <v>51964375.972808689</v>
      </c>
      <c r="B10331">
        <v>171918973.17050028</v>
      </c>
    </row>
    <row r="10332" spans="1:2" x14ac:dyDescent="0.25">
      <c r="A10332">
        <f ca="1">30688.5463879736*((RANDBETWEEN(1620,2416)))</f>
        <v>67790998.971033737</v>
      </c>
      <c r="B10332">
        <v>170207650.92467362</v>
      </c>
    </row>
    <row r="10333" spans="1:2" x14ac:dyDescent="0.25">
      <c r="A10333">
        <f ca="1">27605.4615721197*((RANDBETWEEN(1620,2416)))</f>
        <v>48640823.290074863</v>
      </c>
      <c r="B10333">
        <v>169660048.79773569</v>
      </c>
    </row>
    <row r="10334" spans="1:2" x14ac:dyDescent="0.25">
      <c r="A10334">
        <f ca="1">26587.6584968043*((RANDBETWEEN(1620,2416)))</f>
        <v>50941953.679877102</v>
      </c>
      <c r="B10334">
        <v>150709700.22339839</v>
      </c>
    </row>
    <row r="10335" spans="1:2" x14ac:dyDescent="0.25">
      <c r="A10335">
        <f ca="1">25731.9670041636*((RANDBETWEEN(1620,2416)))</f>
        <v>49945747.955081493</v>
      </c>
      <c r="B10335">
        <v>162265985.85668376</v>
      </c>
    </row>
    <row r="10336" spans="1:2" x14ac:dyDescent="0.25">
      <c r="A10336">
        <f ca="1">31219.7701888972*((RANDBETWEEN(1620,2416)))</f>
        <v>73772316.956364095</v>
      </c>
      <c r="B10336">
        <v>184674587.15434837</v>
      </c>
    </row>
    <row r="10337" spans="1:2" x14ac:dyDescent="0.25">
      <c r="A10337">
        <f ca="1">33453.9182691136*((RANDBETWEEN(1620,2416)))</f>
        <v>78181806.994918495</v>
      </c>
      <c r="B10337">
        <v>197621995.55001813</v>
      </c>
    </row>
    <row r="10338" spans="1:2" x14ac:dyDescent="0.25">
      <c r="A10338">
        <f ca="1">28034.8577640765*((RANDBETWEEN(1620,2416)))</f>
        <v>63807336.27103807</v>
      </c>
      <c r="B10338">
        <v>172396608.08925498</v>
      </c>
    </row>
    <row r="10339" spans="1:2" x14ac:dyDescent="0.25">
      <c r="A10339">
        <f ca="1">26136.9148710383*((RANDBETWEEN(1620,2416)))</f>
        <v>51803365.274397992</v>
      </c>
      <c r="B10339">
        <v>177624675.85254195</v>
      </c>
    </row>
    <row r="10340" spans="1:2" x14ac:dyDescent="0.25">
      <c r="A10340">
        <f ca="1">26152.7115680746*((RANDBETWEEN(1620,2416)))</f>
        <v>62871118.609651424</v>
      </c>
      <c r="B10340">
        <v>180973318.51280272</v>
      </c>
    </row>
    <row r="10341" spans="1:2" x14ac:dyDescent="0.25">
      <c r="A10341">
        <f ca="1">27380.9893844165*((RANDBETWEEN(1620,2416)))</f>
        <v>57801268.590503171</v>
      </c>
      <c r="B10341">
        <v>146644031.98305741</v>
      </c>
    </row>
    <row r="10342" spans="1:2" x14ac:dyDescent="0.25">
      <c r="A10342">
        <f ca="1">26076.3090916541*((RANDBETWEEN(1620,2416)))</f>
        <v>62609218.129061416</v>
      </c>
      <c r="B10342">
        <v>166548387.44738787</v>
      </c>
    </row>
    <row r="10343" spans="1:2" x14ac:dyDescent="0.25">
      <c r="A10343">
        <f ca="1">29247.586261963*((RANDBETWEEN(1620,2416)))</f>
        <v>70252702.201235041</v>
      </c>
      <c r="B10343">
        <v>191238977.61968923</v>
      </c>
    </row>
    <row r="10344" spans="1:2" x14ac:dyDescent="0.25">
      <c r="A10344">
        <f ca="1">29945.3481009642*((RANDBETWEEN(1620,2416)))</f>
        <v>49260097.626086049</v>
      </c>
      <c r="B10344">
        <v>178476700.07456303</v>
      </c>
    </row>
    <row r="10345" spans="1:2" x14ac:dyDescent="0.25">
      <c r="A10345">
        <f ca="1">28596.5168617603*((RANDBETWEEN(1620,2416)))</f>
        <v>59595141.13990856</v>
      </c>
      <c r="B10345">
        <v>199637547.52413747</v>
      </c>
    </row>
    <row r="10346" spans="1:2" x14ac:dyDescent="0.25">
      <c r="A10346">
        <f ca="1">27215.7060511999*((RANDBETWEEN(1620,2416)))</f>
        <v>62759418.154066868</v>
      </c>
      <c r="B10346">
        <v>197307967.85455528</v>
      </c>
    </row>
    <row r="10347" spans="1:2" x14ac:dyDescent="0.25">
      <c r="A10347">
        <f ca="1">32387.4960956862*((RANDBETWEEN(1620,2416)))</f>
        <v>63965304.788980342</v>
      </c>
      <c r="B10347">
        <v>151017895.09551734</v>
      </c>
    </row>
    <row r="10348" spans="1:2" x14ac:dyDescent="0.25">
      <c r="A10348">
        <f ca="1">28619.9300990847*((RANDBETWEEN(1620,2416)))</f>
        <v>58298797.611835569</v>
      </c>
      <c r="B10348">
        <v>188561257.61386505</v>
      </c>
    </row>
    <row r="10349" spans="1:2" x14ac:dyDescent="0.25">
      <c r="A10349">
        <f ca="1">28006.7813375222*((RANDBETWEEN(1620,2416)))</f>
        <v>45763080.705511302</v>
      </c>
      <c r="B10349">
        <v>196361671.92448592</v>
      </c>
    </row>
    <row r="10350" spans="1:2" x14ac:dyDescent="0.25">
      <c r="A10350">
        <f ca="1">27167.4332782559*((RANDBETWEEN(1620,2416)))</f>
        <v>52541815.960146934</v>
      </c>
      <c r="B10350">
        <v>165008730.61539319</v>
      </c>
    </row>
    <row r="10351" spans="1:2" x14ac:dyDescent="0.25">
      <c r="A10351">
        <f ca="1">28417.1109309041*((RANDBETWEEN(1620,2416)))</f>
        <v>48593259.69184605</v>
      </c>
      <c r="B10351">
        <v>150390229.85314551</v>
      </c>
    </row>
    <row r="10352" spans="1:2" x14ac:dyDescent="0.25">
      <c r="A10352">
        <f ca="1">26071.8829145982*((RANDBETWEEN(1620,2416)))</f>
        <v>59287461.747796379</v>
      </c>
      <c r="B10352">
        <v>145249327.54636621</v>
      </c>
    </row>
    <row r="10353" spans="1:2" x14ac:dyDescent="0.25">
      <c r="A10353">
        <f ca="1">25378.4426742604*((RANDBETWEEN(1620,2416)))</f>
        <v>52939431.418507159</v>
      </c>
      <c r="B10353">
        <v>186627407.68860316</v>
      </c>
    </row>
    <row r="10354" spans="1:2" x14ac:dyDescent="0.25">
      <c r="A10354">
        <f ca="1">29041.9517037278*((RANDBETWEEN(1620,2416)))</f>
        <v>48674311.055447765</v>
      </c>
      <c r="B10354">
        <v>196048884.96287513</v>
      </c>
    </row>
    <row r="10355" spans="1:2" x14ac:dyDescent="0.25">
      <c r="A10355">
        <f ca="1">31850.6308578367*((RANDBETWEEN(1620,2416)))</f>
        <v>58127401.315552048</v>
      </c>
      <c r="B10355">
        <v>196915814.29257911</v>
      </c>
    </row>
    <row r="10356" spans="1:2" x14ac:dyDescent="0.25">
      <c r="A10356">
        <f ca="1">28958.7863810877*((RANDBETWEEN(1620,2416)))</f>
        <v>53950219.027966417</v>
      </c>
      <c r="B10356">
        <v>170094474.46233839</v>
      </c>
    </row>
    <row r="10357" spans="1:2" x14ac:dyDescent="0.25">
      <c r="A10357">
        <f ca="1">25931.4658255901*((RANDBETWEEN(1620,2416)))</f>
        <v>53704065.724797167</v>
      </c>
      <c r="B10357">
        <v>146318702.41268653</v>
      </c>
    </row>
    <row r="10358" spans="1:2" x14ac:dyDescent="0.25">
      <c r="A10358">
        <f ca="1">26238.799357204*((RANDBETWEEN(1620,2416)))</f>
        <v>54655419.061055973</v>
      </c>
      <c r="B10358">
        <v>174966068.23992807</v>
      </c>
    </row>
    <row r="10359" spans="1:2" x14ac:dyDescent="0.25">
      <c r="A10359">
        <f ca="1">32395.9978094885*((RANDBETWEEN(1620,2416)))</f>
        <v>63528551.704406962</v>
      </c>
      <c r="B10359">
        <v>170806880.98092371</v>
      </c>
    </row>
    <row r="10360" spans="1:2" x14ac:dyDescent="0.25">
      <c r="A10360">
        <f ca="1">34205.5106830933*((RANDBETWEEN(1620,2416)))</f>
        <v>57636285.501012139</v>
      </c>
      <c r="B10360">
        <v>157289335.67360798</v>
      </c>
    </row>
    <row r="10361" spans="1:2" x14ac:dyDescent="0.25">
      <c r="A10361">
        <f ca="1">31785.5835513596*((RANDBETWEEN(1620,2416)))</f>
        <v>72312202.57934317</v>
      </c>
      <c r="B10361">
        <v>190744965.55710846</v>
      </c>
    </row>
    <row r="10362" spans="1:2" x14ac:dyDescent="0.25">
      <c r="A10362">
        <f ca="1">27939.7345727468*((RANDBETWEEN(1620,2416)))</f>
        <v>64149630.579026625</v>
      </c>
      <c r="B10362">
        <v>186787644.83165002</v>
      </c>
    </row>
    <row r="10363" spans="1:2" x14ac:dyDescent="0.25">
      <c r="A10363">
        <f ca="1">25721.4609637162*((RANDBETWEEN(1620,2416)))</f>
        <v>50542670.793702364</v>
      </c>
      <c r="B10363">
        <v>185288813.0739904</v>
      </c>
    </row>
    <row r="10364" spans="1:2" x14ac:dyDescent="0.25">
      <c r="A10364">
        <f ca="1">26161.7903345188*((RANDBETWEEN(1620,2416)))</f>
        <v>44579690.730020054</v>
      </c>
      <c r="B10364">
        <v>145292971.46059123</v>
      </c>
    </row>
    <row r="10365" spans="1:2" x14ac:dyDescent="0.25">
      <c r="A10365">
        <f ca="1">30310.0108540487*((RANDBETWEEN(1620,2416)))</f>
        <v>69046204.725522861</v>
      </c>
      <c r="B10365">
        <v>169412058.92739093</v>
      </c>
    </row>
    <row r="10366" spans="1:2" x14ac:dyDescent="0.25">
      <c r="A10366">
        <f ca="1">26919.5350583963*((RANDBETWEEN(1620,2416)))</f>
        <v>61376539.933143675</v>
      </c>
      <c r="B10366">
        <v>158072913.948486</v>
      </c>
    </row>
    <row r="10367" spans="1:2" x14ac:dyDescent="0.25">
      <c r="A10367">
        <f ca="1">26290.0364803158*((RANDBETWEEN(1620,2416)))</f>
        <v>47637546.102332279</v>
      </c>
      <c r="B10367">
        <v>157833705.78660864</v>
      </c>
    </row>
    <row r="10368" spans="1:2" x14ac:dyDescent="0.25">
      <c r="A10368">
        <f ca="1">30627.0708087101*((RANDBETWEEN(1620,2416)))</f>
        <v>72402395.391790733</v>
      </c>
      <c r="B10368">
        <v>155282954.25658989</v>
      </c>
    </row>
    <row r="10369" spans="1:2" x14ac:dyDescent="0.25">
      <c r="A10369">
        <f ca="1">32254.9269536547*((RANDBETWEEN(1620,2416)))</f>
        <v>68896523.973006502</v>
      </c>
      <c r="B10369">
        <v>172586400.49135998</v>
      </c>
    </row>
    <row r="10370" spans="1:2" x14ac:dyDescent="0.25">
      <c r="A10370">
        <f ca="1">27825.9909025292*((RANDBETWEEN(1620,2416)))</f>
        <v>67227594.020510554</v>
      </c>
      <c r="B10370">
        <v>189291354.13563988</v>
      </c>
    </row>
    <row r="10371" spans="1:2" x14ac:dyDescent="0.25">
      <c r="A10371">
        <f ca="1">29505.211069329*((RANDBETWEEN(1620,2416)))</f>
        <v>49893311.918235287</v>
      </c>
      <c r="B10371">
        <v>196135041.88436407</v>
      </c>
    </row>
    <row r="10372" spans="1:2" x14ac:dyDescent="0.25">
      <c r="A10372">
        <f ca="1">32883.1576470287*((RANDBETWEEN(1620,2416)))</f>
        <v>57348226.93641822</v>
      </c>
      <c r="B10372">
        <v>190912451.30916312</v>
      </c>
    </row>
    <row r="10373" spans="1:2" x14ac:dyDescent="0.25">
      <c r="A10373">
        <f ca="1">26230.2967122755*((RANDBETWEEN(1620,2416)))</f>
        <v>45903019.246482171</v>
      </c>
      <c r="B10373">
        <v>149060472.8514176</v>
      </c>
    </row>
    <row r="10374" spans="1:2" x14ac:dyDescent="0.25">
      <c r="A10374">
        <f ca="1">26918.2084995227*((RANDBETWEEN(1620,2416)))</f>
        <v>54643963.254031017</v>
      </c>
      <c r="B10374">
        <v>174194704.70603424</v>
      </c>
    </row>
    <row r="10375" spans="1:2" x14ac:dyDescent="0.25">
      <c r="A10375">
        <f ca="1">27117.8547038977*((RANDBETWEEN(1620,2416)))</f>
        <v>51388334.663886189</v>
      </c>
      <c r="B10375">
        <v>154480659.46808067</v>
      </c>
    </row>
    <row r="10376" spans="1:2" x14ac:dyDescent="0.25">
      <c r="A10376">
        <f ca="1">27386.9938805022*((RANDBETWEEN(1620,2416)))</f>
        <v>54582278.803840905</v>
      </c>
      <c r="B10376">
        <v>194523674.94656903</v>
      </c>
    </row>
    <row r="10377" spans="1:2" x14ac:dyDescent="0.25">
      <c r="A10377">
        <f ca="1">26812.1570553891*((RANDBETWEEN(1620,2416)))</f>
        <v>53195319.597891882</v>
      </c>
      <c r="B10377">
        <v>179122043.25339764</v>
      </c>
    </row>
    <row r="10378" spans="1:2" x14ac:dyDescent="0.25">
      <c r="A10378">
        <f ca="1">30020.4771624837*((RANDBETWEEN(1620,2416)))</f>
        <v>65594742.600026906</v>
      </c>
      <c r="B10378">
        <v>171583277.44028986</v>
      </c>
    </row>
    <row r="10379" spans="1:2" x14ac:dyDescent="0.25">
      <c r="A10379">
        <f ca="1">26619.2568064692*((RANDBETWEEN(1620,2416)))</f>
        <v>50363633.877839692</v>
      </c>
      <c r="B10379">
        <v>148502188.83531559</v>
      </c>
    </row>
    <row r="10380" spans="1:2" x14ac:dyDescent="0.25">
      <c r="A10380">
        <f ca="1">28312.9035178894*((RANDBETWEEN(1620,2416)))</f>
        <v>56682432.842814609</v>
      </c>
      <c r="B10380">
        <v>183039422.5756487</v>
      </c>
    </row>
    <row r="10381" spans="1:2" x14ac:dyDescent="0.25">
      <c r="A10381">
        <f ca="1">26222.8810316028*((RANDBETWEEN(1620,2416)))</f>
        <v>48407438.384338833</v>
      </c>
      <c r="B10381">
        <v>194912372.11456135</v>
      </c>
    </row>
    <row r="10382" spans="1:2" x14ac:dyDescent="0.25">
      <c r="A10382">
        <f ca="1">27713.6111232818*((RANDBETWEEN(1620,2416)))</f>
        <v>66235530.584643386</v>
      </c>
      <c r="B10382">
        <v>172865105.20908976</v>
      </c>
    </row>
    <row r="10383" spans="1:2" x14ac:dyDescent="0.25">
      <c r="A10383">
        <f ca="1">25745.4217140251*((RANDBETWEEN(1620,2416)))</f>
        <v>50718480.776629545</v>
      </c>
      <c r="B10383">
        <v>148395766.14218068</v>
      </c>
    </row>
    <row r="10384" spans="1:2" x14ac:dyDescent="0.25">
      <c r="A10384">
        <f ca="1">30385.9798104489*((RANDBETWEEN(1620,2416)))</f>
        <v>57490273.801369257</v>
      </c>
      <c r="B10384">
        <v>198897697.38767636</v>
      </c>
    </row>
    <row r="10385" spans="1:2" x14ac:dyDescent="0.25">
      <c r="A10385">
        <f ca="1">26859.0427489368*((RANDBETWEEN(1620,2416)))</f>
        <v>55114755.720818274</v>
      </c>
      <c r="B10385">
        <v>147273313.41786581</v>
      </c>
    </row>
    <row r="10386" spans="1:2" x14ac:dyDescent="0.25">
      <c r="A10386">
        <f ca="1">27908.2558021576*((RANDBETWEEN(1620,2416)))</f>
        <v>57407282.185038134</v>
      </c>
      <c r="B10386">
        <v>198564248.61008012</v>
      </c>
    </row>
    <row r="10387" spans="1:2" x14ac:dyDescent="0.25">
      <c r="A10387">
        <f ca="1">30246.5997569903*((RANDBETWEEN(1620,2416)))</f>
        <v>56470401.746300876</v>
      </c>
      <c r="B10387">
        <v>202649569.40883642</v>
      </c>
    </row>
    <row r="10388" spans="1:2" x14ac:dyDescent="0.25">
      <c r="A10388">
        <f ca="1">31238.6692191679*((RANDBETWEEN(1620,2416)))</f>
        <v>60603018.285185695</v>
      </c>
      <c r="B10388">
        <v>174238581.05411619</v>
      </c>
    </row>
    <row r="10389" spans="1:2" x14ac:dyDescent="0.25">
      <c r="A10389">
        <f ca="1">26432.0299722724*((RANDBETWEEN(1620,2416)))</f>
        <v>62088838.404867902</v>
      </c>
      <c r="B10389">
        <v>143868676.78895846</v>
      </c>
    </row>
    <row r="10390" spans="1:2" x14ac:dyDescent="0.25">
      <c r="A10390">
        <f ca="1">32977.0685223451*((RANDBETWEEN(1620,2416)))</f>
        <v>58633227.832729533</v>
      </c>
      <c r="B10390">
        <v>172859183.31199884</v>
      </c>
    </row>
    <row r="10391" spans="1:2" x14ac:dyDescent="0.25">
      <c r="A10391">
        <f ca="1">27128.0507013015*((RANDBETWEEN(1620,2416)))</f>
        <v>44055954.338913694</v>
      </c>
      <c r="B10391">
        <v>150352585.38623267</v>
      </c>
    </row>
    <row r="10392" spans="1:2" x14ac:dyDescent="0.25">
      <c r="A10392">
        <f ca="1">28363.0643813447*((RANDBETWEEN(1620,2416)))</f>
        <v>46061616.555303812</v>
      </c>
      <c r="B10392">
        <v>152565034.21764082</v>
      </c>
    </row>
    <row r="10393" spans="1:2" x14ac:dyDescent="0.25">
      <c r="A10393">
        <f ca="1">25253.7309599609*((RANDBETWEEN(1620,2416)))</f>
        <v>54724834.990235172</v>
      </c>
      <c r="B10393">
        <v>164048822.27998728</v>
      </c>
    </row>
    <row r="10394" spans="1:2" x14ac:dyDescent="0.25">
      <c r="A10394">
        <f ca="1">27459.0184218215*((RANDBETWEEN(1620,2416)))</f>
        <v>51128692.301431581</v>
      </c>
      <c r="B10394">
        <v>157682587.87767285</v>
      </c>
    </row>
    <row r="10395" spans="1:2" x14ac:dyDescent="0.25">
      <c r="A10395">
        <f ca="1">27128.1235778291*((RANDBETWEEN(1620,2416)))</f>
        <v>64537805.991655394</v>
      </c>
      <c r="B10395">
        <v>187810378.04470342</v>
      </c>
    </row>
    <row r="10396" spans="1:2" x14ac:dyDescent="0.25">
      <c r="A10396">
        <f ca="1">27269.3329263922*((RANDBETWEEN(1620,2416)))</f>
        <v>65173705.694077291</v>
      </c>
      <c r="B10396">
        <v>202376568.21040574</v>
      </c>
    </row>
    <row r="10397" spans="1:2" x14ac:dyDescent="0.25">
      <c r="A10397">
        <f ca="1">34352.7387584796*((RANDBETWEEN(1620,2416)))</f>
        <v>63724330.39697966</v>
      </c>
      <c r="B10397">
        <v>199259433.74102485</v>
      </c>
    </row>
    <row r="10398" spans="1:2" x14ac:dyDescent="0.25">
      <c r="A10398">
        <f ca="1">27849.2716978997*((RANDBETWEEN(1620,2416)))</f>
        <v>46926022.810960919</v>
      </c>
      <c r="B10398">
        <v>148833940.22644952</v>
      </c>
    </row>
    <row r="10399" spans="1:2" x14ac:dyDescent="0.25">
      <c r="A10399">
        <f ca="1">29779.1453680566*((RANDBETWEEN(1620,2416)))</f>
        <v>65782132.118037</v>
      </c>
      <c r="B10399">
        <v>176638669.36765623</v>
      </c>
    </row>
    <row r="10400" spans="1:2" x14ac:dyDescent="0.25">
      <c r="A10400">
        <f ca="1">28170.3405117286*((RANDBETWEEN(1620,2416)))</f>
        <v>62397304.233478919</v>
      </c>
      <c r="B10400">
        <v>154152004.44272402</v>
      </c>
    </row>
    <row r="10401" spans="1:2" x14ac:dyDescent="0.25">
      <c r="A10401">
        <f ca="1">26583.9612977354*((RANDBETWEEN(1620,2416)))</f>
        <v>44368631.405920312</v>
      </c>
      <c r="B10401">
        <v>143472981.69983917</v>
      </c>
    </row>
    <row r="10402" spans="1:2" x14ac:dyDescent="0.25">
      <c r="A10402">
        <f ca="1">30908.317244096*((RANDBETWEEN(1620,2416)))</f>
        <v>70780046.488979757</v>
      </c>
      <c r="B10402">
        <v>155584205.81120613</v>
      </c>
    </row>
    <row r="10403" spans="1:2" x14ac:dyDescent="0.25">
      <c r="A10403">
        <f ca="1">28975.2430733708*((RANDBETWEEN(1620,2416)))</f>
        <v>50561799.163032085</v>
      </c>
      <c r="B10403">
        <v>145098364.2754871</v>
      </c>
    </row>
    <row r="10404" spans="1:2" x14ac:dyDescent="0.25">
      <c r="A10404">
        <f ca="1">25468.6770681442*((RANDBETWEEN(1620,2416)))</f>
        <v>52643755.49985414</v>
      </c>
      <c r="B10404">
        <v>146974684.46176371</v>
      </c>
    </row>
    <row r="10405" spans="1:2" x14ac:dyDescent="0.25">
      <c r="A10405">
        <f ca="1">27469.8968973992*((RANDBETWEEN(1620,2416)))</f>
        <v>56230878.94897607</v>
      </c>
      <c r="B10405">
        <v>151445420.28093687</v>
      </c>
    </row>
    <row r="10406" spans="1:2" x14ac:dyDescent="0.25">
      <c r="A10406">
        <f ca="1">27043.1448032048*((RANDBETWEEN(1620,2416)))</f>
        <v>50949284.809237845</v>
      </c>
      <c r="B10406">
        <v>176026888.08488607</v>
      </c>
    </row>
    <row r="10407" spans="1:2" x14ac:dyDescent="0.25">
      <c r="A10407">
        <f ca="1">26679.3701131144*((RANDBETWEEN(1620,2416)))</f>
        <v>49970460.221863344</v>
      </c>
      <c r="B10407">
        <v>155803604.68301484</v>
      </c>
    </row>
    <row r="10408" spans="1:2" x14ac:dyDescent="0.25">
      <c r="A10408">
        <f ca="1">27158.2677407467*((RANDBETWEEN(1620,2416)))</f>
        <v>53583262.25249318</v>
      </c>
      <c r="B10408">
        <v>192509779.35397923</v>
      </c>
    </row>
    <row r="10409" spans="1:2" x14ac:dyDescent="0.25">
      <c r="A10409">
        <f ca="1">27484.4307810442*((RANDBETWEEN(1620,2416)))</f>
        <v>51808152.022268273</v>
      </c>
      <c r="B10409">
        <v>186124580.57582343</v>
      </c>
    </row>
    <row r="10410" spans="1:2" x14ac:dyDescent="0.25">
      <c r="A10410">
        <f ca="1">31743.4383834559*((RANDBETWEEN(1620,2416)))</f>
        <v>65074048.686084569</v>
      </c>
      <c r="B10410">
        <v>168255728.12709704</v>
      </c>
    </row>
    <row r="10411" spans="1:2" x14ac:dyDescent="0.25">
      <c r="A10411">
        <f ca="1">27207.4728947461*((RANDBETWEEN(1620,2416)))</f>
        <v>46742438.433173724</v>
      </c>
      <c r="B10411">
        <v>187237013.01690742</v>
      </c>
    </row>
    <row r="10412" spans="1:2" x14ac:dyDescent="0.25">
      <c r="A10412">
        <f ca="1">27348.0974401737*((RANDBETWEEN(1620,2416)))</f>
        <v>54559454.393146478</v>
      </c>
      <c r="B10412">
        <v>163968844.90740567</v>
      </c>
    </row>
    <row r="10413" spans="1:2" x14ac:dyDescent="0.25">
      <c r="A10413">
        <f ca="1">26269.056135991*((RANDBETWEEN(1620,2416)))</f>
        <v>47258031.988647737</v>
      </c>
      <c r="B10413">
        <v>173411182.49366456</v>
      </c>
    </row>
    <row r="10414" spans="1:2" x14ac:dyDescent="0.25">
      <c r="A10414">
        <f ca="1">28352.351823156*((RANDBETWEEN(1620,2416)))</f>
        <v>64274781.583094761</v>
      </c>
      <c r="B10414">
        <v>155026293.72615474</v>
      </c>
    </row>
    <row r="10415" spans="1:2" x14ac:dyDescent="0.25">
      <c r="A10415">
        <f ca="1">26564.4651662333*((RANDBETWEEN(1620,2416)))</f>
        <v>50711564.002339318</v>
      </c>
      <c r="B10415">
        <v>162396689.80623811</v>
      </c>
    </row>
    <row r="10416" spans="1:2" x14ac:dyDescent="0.25">
      <c r="A10416">
        <f ca="1">25309.5828479276*((RANDBETWEEN(1620,2416)))</f>
        <v>43836197.492610559</v>
      </c>
      <c r="B10416">
        <v>187241297.48732308</v>
      </c>
    </row>
    <row r="10417" spans="1:2" x14ac:dyDescent="0.25">
      <c r="A10417">
        <f ca="1">26782.4707414109*((RANDBETWEEN(1620,2416)))</f>
        <v>47833492.744159855</v>
      </c>
      <c r="B10417">
        <v>144592333.32955611</v>
      </c>
    </row>
    <row r="10418" spans="1:2" x14ac:dyDescent="0.25">
      <c r="A10418">
        <f ca="1">27115.7525508389*((RANDBETWEEN(1620,2416)))</f>
        <v>54312852.359330222</v>
      </c>
      <c r="B10418">
        <v>200496939.2784487</v>
      </c>
    </row>
    <row r="10419" spans="1:2" x14ac:dyDescent="0.25">
      <c r="A10419">
        <f ca="1">29961.4788521968*((RANDBETWEEN(1620,2416)))</f>
        <v>68222287.346452191</v>
      </c>
      <c r="B10419">
        <v>178231352.77645543</v>
      </c>
    </row>
    <row r="10420" spans="1:2" x14ac:dyDescent="0.25">
      <c r="A10420">
        <f ca="1">29768.4060978507*((RANDBETWEEN(1620,2416)))</f>
        <v>67931502.71529521</v>
      </c>
      <c r="B10420">
        <v>179066862.76235348</v>
      </c>
    </row>
    <row r="10421" spans="1:2" x14ac:dyDescent="0.25">
      <c r="A10421">
        <f ca="1">27560.249320072*((RANDBETWEEN(1620,2416)))</f>
        <v>50380135.757091574</v>
      </c>
      <c r="B10421">
        <v>169715557.31966192</v>
      </c>
    </row>
    <row r="10422" spans="1:2" x14ac:dyDescent="0.25">
      <c r="A10422">
        <f ca="1">26401.9059495253*((RANDBETWEEN(1620,2416)))</f>
        <v>48817124.100672372</v>
      </c>
      <c r="B10422">
        <v>170854505.40999103</v>
      </c>
    </row>
    <row r="10423" spans="1:2" x14ac:dyDescent="0.25">
      <c r="A10423">
        <f ca="1">26973.384920749*((RANDBETWEEN(1620,2416)))</f>
        <v>48363279.162903041</v>
      </c>
      <c r="B10423">
        <v>182514393.32956111</v>
      </c>
    </row>
    <row r="10424" spans="1:2" x14ac:dyDescent="0.25">
      <c r="A10424">
        <f ca="1">27804.1547619967*((RANDBETWEEN(1620,2416)))</f>
        <v>53161543.904937781</v>
      </c>
      <c r="B10424">
        <v>189749031.55549669</v>
      </c>
    </row>
    <row r="10425" spans="1:2" x14ac:dyDescent="0.25">
      <c r="A10425">
        <f ca="1">28444.7601232275*((RANDBETWEEN(1620,2416)))</f>
        <v>60502004.782104857</v>
      </c>
      <c r="B10425">
        <v>145132823.85999373</v>
      </c>
    </row>
    <row r="10426" spans="1:2" x14ac:dyDescent="0.25">
      <c r="A10426">
        <f ca="1">30513.3474630101*((RANDBETWEEN(1620,2416)))</f>
        <v>54344271.831620969</v>
      </c>
      <c r="B10426">
        <v>183173971.83659121</v>
      </c>
    </row>
    <row r="10427" spans="1:2" x14ac:dyDescent="0.25">
      <c r="A10427">
        <f ca="1">26699.8910027749*((RANDBETWEEN(1620,2416)))</f>
        <v>51984687.782402672</v>
      </c>
      <c r="B10427">
        <v>156690215.57373586</v>
      </c>
    </row>
    <row r="10428" spans="1:2" x14ac:dyDescent="0.25">
      <c r="A10428">
        <f ca="1">26546.0738219813*((RANDBETWEEN(1620,2416)))</f>
        <v>63684031.098933153</v>
      </c>
      <c r="B10428">
        <v>155020631.38464132</v>
      </c>
    </row>
    <row r="10429" spans="1:2" x14ac:dyDescent="0.25">
      <c r="A10429">
        <f ca="1">29543.1011495915*((RANDBETWEEN(1620,2416)))</f>
        <v>69189942.892343268</v>
      </c>
      <c r="B10429">
        <v>156017479.68366137</v>
      </c>
    </row>
    <row r="10430" spans="1:2" x14ac:dyDescent="0.25">
      <c r="A10430">
        <f ca="1">26783.7997548731*((RANDBETWEEN(1620,2416)))</f>
        <v>43818296.3989724</v>
      </c>
      <c r="B10430">
        <v>181422014.96681195</v>
      </c>
    </row>
    <row r="10431" spans="1:2" x14ac:dyDescent="0.25">
      <c r="A10431">
        <f ca="1">28433.3426265046*((RANDBETWEEN(1620,2416)))</f>
        <v>50980983.329322733</v>
      </c>
      <c r="B10431">
        <v>168591616.81628734</v>
      </c>
    </row>
    <row r="10432" spans="1:2" x14ac:dyDescent="0.25">
      <c r="A10432">
        <f ca="1">30878.8304286065*((RANDBETWEEN(1620,2416)))</f>
        <v>70372854.546794161</v>
      </c>
      <c r="B10432">
        <v>167247090.68606901</v>
      </c>
    </row>
    <row r="10433" spans="1:2" x14ac:dyDescent="0.25">
      <c r="A10433">
        <f ca="1">32444.8470486082*((RANDBETWEEN(1620,2416)))</f>
        <v>74525813.670652956</v>
      </c>
      <c r="B10433">
        <v>184122794.39193165</v>
      </c>
    </row>
    <row r="10434" spans="1:2" x14ac:dyDescent="0.25">
      <c r="A10434">
        <f ca="1">26731.0676455305*((RANDBETWEEN(1620,2416)))</f>
        <v>58006416.790801272</v>
      </c>
      <c r="B10434">
        <v>143160450.38257092</v>
      </c>
    </row>
    <row r="10435" spans="1:2" x14ac:dyDescent="0.25">
      <c r="A10435">
        <f ca="1">26508.5048449374*((RANDBETWEEN(1620,2416)))</f>
        <v>51028871.826504566</v>
      </c>
      <c r="B10435">
        <v>143284285.1701124</v>
      </c>
    </row>
    <row r="10436" spans="1:2" x14ac:dyDescent="0.25">
      <c r="A10436">
        <f ca="1">27813.9738837395*((RANDBETWEEN(1620,2416)))</f>
        <v>67142932.955347195</v>
      </c>
      <c r="B10436">
        <v>160127789.76983353</v>
      </c>
    </row>
    <row r="10437" spans="1:2" x14ac:dyDescent="0.25">
      <c r="A10437">
        <f ca="1">28060.6225103027*((RANDBETWEEN(1620,2416)))</f>
        <v>63922098.07846956</v>
      </c>
      <c r="B10437">
        <v>172534734.45909983</v>
      </c>
    </row>
    <row r="10438" spans="1:2" x14ac:dyDescent="0.25">
      <c r="A10438">
        <f ca="1">27401.4681088735*((RANDBETWEEN(1620,2416)))</f>
        <v>63544004.544477656</v>
      </c>
      <c r="B10438">
        <v>173170641.07153985</v>
      </c>
    </row>
    <row r="10439" spans="1:2" x14ac:dyDescent="0.25">
      <c r="A10439">
        <f ca="1">28450.918377516*((RANDBETWEEN(1620,2416)))</f>
        <v>59064106.551723242</v>
      </c>
      <c r="B10439">
        <v>176260543.66386181</v>
      </c>
    </row>
    <row r="10440" spans="1:2" x14ac:dyDescent="0.25">
      <c r="A10440">
        <f ca="1">26723.4297179522*((RANDBETWEEN(1620,2416)))</f>
        <v>56894181.86952024</v>
      </c>
      <c r="B10440">
        <v>192640107.24952763</v>
      </c>
    </row>
    <row r="10441" spans="1:2" x14ac:dyDescent="0.25">
      <c r="A10441">
        <f ca="1">28442.0721402291*((RANDBETWEEN(1620,2416)))</f>
        <v>68630720.074372917</v>
      </c>
      <c r="B10441">
        <v>178599075.56273025</v>
      </c>
    </row>
    <row r="10442" spans="1:2" x14ac:dyDescent="0.25">
      <c r="A10442">
        <f ca="1">31065.5652690228*((RANDBETWEEN(1620,2416)))</f>
        <v>56446132.0938145</v>
      </c>
      <c r="B10442">
        <v>176134773.1275776</v>
      </c>
    </row>
    <row r="10443" spans="1:2" x14ac:dyDescent="0.25">
      <c r="A10443">
        <f ca="1">29401.3198612171*((RANDBETWEEN(1620,2416)))</f>
        <v>49159006.80795496</v>
      </c>
      <c r="B10443">
        <v>159708032.42114553</v>
      </c>
    </row>
    <row r="10444" spans="1:2" x14ac:dyDescent="0.25">
      <c r="A10444">
        <f ca="1">30882.3856561682*((RANDBETWEEN(1620,2416)))</f>
        <v>58583885.589750998</v>
      </c>
      <c r="B10444">
        <v>179001888.3769587</v>
      </c>
    </row>
    <row r="10445" spans="1:2" x14ac:dyDescent="0.25">
      <c r="A10445">
        <f ca="1">26602.5906202965*((RANDBETWEEN(1620,2416)))</f>
        <v>55812235.121382058</v>
      </c>
      <c r="B10445">
        <v>161738079.65332532</v>
      </c>
    </row>
    <row r="10446" spans="1:2" x14ac:dyDescent="0.25">
      <c r="A10446">
        <f ca="1">26350.9704227707*((RANDBETWEEN(1620,2416)))</f>
        <v>56443778.645574942</v>
      </c>
      <c r="B10446">
        <v>149727045.47595137</v>
      </c>
    </row>
    <row r="10447" spans="1:2" x14ac:dyDescent="0.25">
      <c r="A10447">
        <f ca="1">28266.630889896*((RANDBETWEEN(1620,2416)))</f>
        <v>48166339.036382787</v>
      </c>
      <c r="B10447">
        <v>193557968.90256619</v>
      </c>
    </row>
    <row r="10448" spans="1:2" x14ac:dyDescent="0.25">
      <c r="A10448">
        <f ca="1">27254.8879461343*((RANDBETWEEN(1620,2416)))</f>
        <v>48186641.888765499</v>
      </c>
      <c r="B10448">
        <v>192280348.44961929</v>
      </c>
    </row>
    <row r="10449" spans="1:2" x14ac:dyDescent="0.25">
      <c r="A10449">
        <f ca="1">26677.8571583465*((RANDBETWEEN(1620,2416)))</f>
        <v>43644974.311054811</v>
      </c>
      <c r="B10449">
        <v>195226613.80113593</v>
      </c>
    </row>
    <row r="10450" spans="1:2" x14ac:dyDescent="0.25">
      <c r="A10450">
        <f ca="1">25789.1327510205*((RANDBETWEEN(1620,2416)))</f>
        <v>44434675.730008245</v>
      </c>
      <c r="B10450">
        <v>144111494.4904443</v>
      </c>
    </row>
    <row r="10451" spans="1:2" x14ac:dyDescent="0.25">
      <c r="A10451">
        <f ca="1">26251.4014674775*((RANDBETWEEN(1620,2416)))</f>
        <v>61507033.638299666</v>
      </c>
      <c r="B10451">
        <v>157232295.4885107</v>
      </c>
    </row>
    <row r="10452" spans="1:2" x14ac:dyDescent="0.25">
      <c r="A10452">
        <f ca="1">26904.5634574056*((RANDBETWEEN(1620,2416)))</f>
        <v>49800346.959657721</v>
      </c>
      <c r="B10452">
        <v>156772817.34962282</v>
      </c>
    </row>
    <row r="10453" spans="1:2" x14ac:dyDescent="0.25">
      <c r="A10453">
        <f ca="1">25695.7125458552*((RANDBETWEEN(1620,2416)))</f>
        <v>54269344.896846138</v>
      </c>
      <c r="B10453">
        <v>180489494.14138606</v>
      </c>
    </row>
    <row r="10454" spans="1:2" x14ac:dyDescent="0.25">
      <c r="A10454">
        <f ca="1">27084.4480582902*((RANDBETWEEN(1620,2416)))</f>
        <v>58041972.188915834</v>
      </c>
      <c r="B10454">
        <v>157063813.09400389</v>
      </c>
    </row>
    <row r="10455" spans="1:2" x14ac:dyDescent="0.25">
      <c r="A10455">
        <f ca="1">26438.9897150888*((RANDBETWEEN(1620,2416)))</f>
        <v>62819039.563050874</v>
      </c>
      <c r="B10455">
        <v>146599081.65434936</v>
      </c>
    </row>
    <row r="10456" spans="1:2" x14ac:dyDescent="0.25">
      <c r="A10456">
        <f ca="1">27322.316153713*((RANDBETWEEN(1620,2416)))</f>
        <v>49699293.083604001</v>
      </c>
      <c r="B10456">
        <v>200152338.92699885</v>
      </c>
    </row>
    <row r="10457" spans="1:2" x14ac:dyDescent="0.25">
      <c r="A10457">
        <f ca="1">28174.6415920825*((RANDBETWEEN(1620,2416)))</f>
        <v>50291735.241867214</v>
      </c>
      <c r="B10457">
        <v>196267257.84999818</v>
      </c>
    </row>
    <row r="10458" spans="1:2" x14ac:dyDescent="0.25">
      <c r="A10458">
        <f ca="1">30237.2506449024*((RANDBETWEEN(1620,2416)))</f>
        <v>69848048.989724457</v>
      </c>
      <c r="B10458">
        <v>150679060.00218356</v>
      </c>
    </row>
    <row r="10459" spans="1:2" x14ac:dyDescent="0.25">
      <c r="A10459">
        <f ca="1">27152.525750588*((RANDBETWEEN(1620,2416)))</f>
        <v>46322208.930503123</v>
      </c>
      <c r="B10459">
        <v>145595286.14098608</v>
      </c>
    </row>
    <row r="10460" spans="1:2" x14ac:dyDescent="0.25">
      <c r="A10460">
        <f ca="1">29218.7079871897*((RANDBETWEEN(1620,2416)))</f>
        <v>65099281.395458698</v>
      </c>
      <c r="B10460">
        <v>196557160.86786324</v>
      </c>
    </row>
    <row r="10461" spans="1:2" x14ac:dyDescent="0.25">
      <c r="A10461">
        <f ca="1">25907.3253266718*((RANDBETWEEN(1620,2416)))</f>
        <v>52203260.533243589</v>
      </c>
      <c r="B10461">
        <v>151466314.32184619</v>
      </c>
    </row>
    <row r="10462" spans="1:2" x14ac:dyDescent="0.25">
      <c r="A10462">
        <f ca="1">28031.6164441623*((RANDBETWEEN(1620,2416)))</f>
        <v>47990127.352405876</v>
      </c>
      <c r="B10462">
        <v>195560204.21482971</v>
      </c>
    </row>
    <row r="10463" spans="1:2" x14ac:dyDescent="0.25">
      <c r="A10463">
        <f ca="1">29507.9643239844*((RANDBETWEEN(1620,2416)))</f>
        <v>52406144.639396258</v>
      </c>
      <c r="B10463">
        <v>152839903.03211451</v>
      </c>
    </row>
    <row r="10464" spans="1:2" x14ac:dyDescent="0.25">
      <c r="A10464">
        <f ca="1">26274.1731328108*((RANDBETWEEN(1620,2416)))</f>
        <v>54991844.366973057</v>
      </c>
      <c r="B10464">
        <v>156337013.07602134</v>
      </c>
    </row>
    <row r="10465" spans="1:2" x14ac:dyDescent="0.25">
      <c r="A10465">
        <f ca="1">28428.04928281*((RANDBETWEEN(1620,2416)))</f>
        <v>54354430.228732735</v>
      </c>
      <c r="B10465">
        <v>163937877.57435906</v>
      </c>
    </row>
    <row r="10466" spans="1:2" x14ac:dyDescent="0.25">
      <c r="A10466">
        <f ca="1">31800.8305014831*((RANDBETWEEN(1620,2416)))</f>
        <v>60834988.749337241</v>
      </c>
      <c r="B10466">
        <v>193647403.21752515</v>
      </c>
    </row>
    <row r="10467" spans="1:2" x14ac:dyDescent="0.25">
      <c r="A10467">
        <f ca="1">30169.798821153*((RANDBETWEEN(1620,2416)))</f>
        <v>69541386.28275758</v>
      </c>
      <c r="B10467">
        <v>152521637.3569319</v>
      </c>
    </row>
    <row r="10468" spans="1:2" x14ac:dyDescent="0.25">
      <c r="A10468">
        <f ca="1">26832.2560245176*((RANDBETWEEN(1620,2416)))</f>
        <v>45829493.289875984</v>
      </c>
      <c r="B10468">
        <v>195830183.67080638</v>
      </c>
    </row>
    <row r="10469" spans="1:2" x14ac:dyDescent="0.25">
      <c r="A10469">
        <f ca="1">29803.0438079922*((RANDBETWEEN(1620,2416)))</f>
        <v>69441092.072621852</v>
      </c>
      <c r="B10469">
        <v>162867322.52688915</v>
      </c>
    </row>
    <row r="10470" spans="1:2" x14ac:dyDescent="0.25">
      <c r="A10470">
        <f ca="1">24955.6342272258*((RANDBETWEEN(1620,2416)))</f>
        <v>53454968.514717735</v>
      </c>
      <c r="B10470">
        <v>145587013.91892576</v>
      </c>
    </row>
    <row r="10471" spans="1:2" x14ac:dyDescent="0.25">
      <c r="A10471">
        <f ca="1">28067.5820019526*((RANDBETWEEN(1620,2416)))</f>
        <v>64078289.710457794</v>
      </c>
      <c r="B10471">
        <v>177627021.29833013</v>
      </c>
    </row>
    <row r="10472" spans="1:2" x14ac:dyDescent="0.25">
      <c r="A10472">
        <f ca="1">27101.3042113504*((RANDBETWEEN(1620,2416)))</f>
        <v>64555306.631436594</v>
      </c>
      <c r="B10472">
        <v>148874346.172833</v>
      </c>
    </row>
    <row r="10473" spans="1:2" x14ac:dyDescent="0.25">
      <c r="A10473">
        <f ca="1">28406.3174238693*((RANDBETWEEN(1620,2416)))</f>
        <v>48830459.651631266</v>
      </c>
      <c r="B10473">
        <v>181288491.79799193</v>
      </c>
    </row>
    <row r="10474" spans="1:2" x14ac:dyDescent="0.25">
      <c r="A10474">
        <f ca="1">26987.233535004*((RANDBETWEEN(1620,2416)))</f>
        <v>50412152.243387558</v>
      </c>
      <c r="B10474">
        <v>170840184.44716126</v>
      </c>
    </row>
    <row r="10475" spans="1:2" x14ac:dyDescent="0.25">
      <c r="A10475">
        <f ca="1">27305.3299725919*((RANDBETWEEN(1620,2416)))</f>
        <v>47429358.162392125</v>
      </c>
      <c r="B10475">
        <v>184165909.91823339</v>
      </c>
    </row>
    <row r="10476" spans="1:2" x14ac:dyDescent="0.25">
      <c r="A10476">
        <f ca="1">27353.0717748778*((RANDBETWEEN(1620,2416)))</f>
        <v>54323200.544907376</v>
      </c>
      <c r="B10476">
        <v>143397651.32592773</v>
      </c>
    </row>
    <row r="10477" spans="1:2" x14ac:dyDescent="0.25">
      <c r="A10477">
        <f ca="1">27253.2480073951*((RANDBETWEEN(1620,2416)))</f>
        <v>46357774.860579118</v>
      </c>
      <c r="B10477">
        <v>144424043.90329236</v>
      </c>
    </row>
    <row r="10478" spans="1:2" x14ac:dyDescent="0.25">
      <c r="A10478">
        <f ca="1">27680.5875537459*((RANDBETWEEN(1620,2416)))</f>
        <v>56634482.134964183</v>
      </c>
      <c r="B10478">
        <v>149205430.5693087</v>
      </c>
    </row>
    <row r="10479" spans="1:2" x14ac:dyDescent="0.25">
      <c r="A10479">
        <f ca="1">27149.4367891673*((RANDBETWEEN(1620,2416)))</f>
        <v>56226483.590365499</v>
      </c>
      <c r="B10479">
        <v>145365817.50016657</v>
      </c>
    </row>
    <row r="10480" spans="1:2" x14ac:dyDescent="0.25">
      <c r="A10480">
        <f ca="1">26227.3886450516*((RANDBETWEEN(1620,2416)))</f>
        <v>56992115.525697164</v>
      </c>
      <c r="B10480">
        <v>152520324.26431131</v>
      </c>
    </row>
    <row r="10481" spans="1:2" x14ac:dyDescent="0.25">
      <c r="A10481">
        <f ca="1">28910.9891227483*((RANDBETWEEN(1620,2416)))</f>
        <v>65107547.504429229</v>
      </c>
      <c r="B10481">
        <v>200012322.14983827</v>
      </c>
    </row>
    <row r="10482" spans="1:2" x14ac:dyDescent="0.25">
      <c r="A10482">
        <f ca="1">29443.0890362018*((RANDBETWEEN(1620,2416)))</f>
        <v>65775860.906874791</v>
      </c>
      <c r="B10482">
        <v>147632453.37687004</v>
      </c>
    </row>
    <row r="10483" spans="1:2" x14ac:dyDescent="0.25">
      <c r="A10483">
        <f ca="1">26896.1446501052*((RANDBETWEEN(1620,2416)))</f>
        <v>60435637.028786376</v>
      </c>
      <c r="B10483">
        <v>151715247.63490728</v>
      </c>
    </row>
    <row r="10484" spans="1:2" x14ac:dyDescent="0.25">
      <c r="A10484">
        <f ca="1">29149.8105247529*((RANDBETWEEN(1620,2416)))</f>
        <v>64654279.743901826</v>
      </c>
      <c r="B10484">
        <v>167169246.11343837</v>
      </c>
    </row>
    <row r="10485" spans="1:2" x14ac:dyDescent="0.25">
      <c r="A10485">
        <f ca="1">30108.6793953424*((RANDBETWEEN(1620,2416)))</f>
        <v>55369861.4080346</v>
      </c>
      <c r="B10485">
        <v>166114635.02882025</v>
      </c>
    </row>
    <row r="10486" spans="1:2" x14ac:dyDescent="0.25">
      <c r="A10486">
        <f ca="1">29776.9010012774*((RANDBETWEEN(1620,2416)))</f>
        <v>68635756.807944402</v>
      </c>
      <c r="B10486">
        <v>176171465.64920044</v>
      </c>
    </row>
    <row r="10487" spans="1:2" x14ac:dyDescent="0.25">
      <c r="A10487">
        <f ca="1">28122.0974274655*((RANDBETWEEN(1620,2416)))</f>
        <v>49860478.738896407</v>
      </c>
      <c r="B10487">
        <v>156558267.52294526</v>
      </c>
    </row>
    <row r="10488" spans="1:2" x14ac:dyDescent="0.25">
      <c r="A10488">
        <f ca="1">26182.1273800099*((RANDBETWEEN(1620,2416)))</f>
        <v>49300945.856558599</v>
      </c>
      <c r="B10488">
        <v>145040254.51662332</v>
      </c>
    </row>
    <row r="10489" spans="1:2" x14ac:dyDescent="0.25">
      <c r="A10489">
        <f ca="1">30893.4079315781*((RANDBETWEEN(1620,2416)))</f>
        <v>71271092.098150656</v>
      </c>
      <c r="B10489">
        <v>193172155.11527032</v>
      </c>
    </row>
    <row r="10490" spans="1:2" x14ac:dyDescent="0.25">
      <c r="A10490">
        <f ca="1">25787.8728338677*((RANDBETWEEN(1620,2416)))</f>
        <v>49925321.806367874</v>
      </c>
      <c r="B10490">
        <v>171498134.37719172</v>
      </c>
    </row>
    <row r="10491" spans="1:2" x14ac:dyDescent="0.25">
      <c r="A10491">
        <f ca="1">27674.2678423027*((RANDBETWEEN(1620,2416)))</f>
        <v>60385252.431904398</v>
      </c>
      <c r="B10491">
        <v>155530962.24008253</v>
      </c>
    </row>
    <row r="10492" spans="1:2" x14ac:dyDescent="0.25">
      <c r="A10492">
        <f ca="1">28371.0549879806*((RANDBETWEEN(1620,2416)))</f>
        <v>50840930.538461328</v>
      </c>
      <c r="B10492">
        <v>156880275.88174754</v>
      </c>
    </row>
    <row r="10493" spans="1:2" x14ac:dyDescent="0.25">
      <c r="A10493">
        <f ca="1">25861.7256403158*((RANDBETWEEN(1620,2416)))</f>
        <v>61318151.493188731</v>
      </c>
      <c r="B10493">
        <v>143111114.02175623</v>
      </c>
    </row>
    <row r="10494" spans="1:2" x14ac:dyDescent="0.25">
      <c r="A10494">
        <f ca="1">27267.6151279808*((RANDBETWEEN(1620,2416)))</f>
        <v>55080582.558521233</v>
      </c>
      <c r="B10494">
        <v>143503078.35501948</v>
      </c>
    </row>
    <row r="10495" spans="1:2" x14ac:dyDescent="0.25">
      <c r="A10495">
        <f ca="1">26658.4958913696*((RANDBETWEEN(1620,2416)))</f>
        <v>48891681.464771837</v>
      </c>
      <c r="B10495">
        <v>145844739.3085885</v>
      </c>
    </row>
    <row r="10496" spans="1:2" x14ac:dyDescent="0.25">
      <c r="A10496">
        <f ca="1">29497.7113860317*((RANDBETWEEN(1620,2416)))</f>
        <v>55308208.848809421</v>
      </c>
      <c r="B10496">
        <v>149113997.52519459</v>
      </c>
    </row>
    <row r="10497" spans="1:2" x14ac:dyDescent="0.25">
      <c r="A10497">
        <f ca="1">25925.7301021158*((RANDBETWEEN(1620,2416)))</f>
        <v>52318123.346069723</v>
      </c>
      <c r="B10497">
        <v>146555411.53061837</v>
      </c>
    </row>
    <row r="10498" spans="1:2" x14ac:dyDescent="0.25">
      <c r="A10498">
        <f ca="1">30066.6120798168*((RANDBETWEEN(1620,2416)))</f>
        <v>72189935.603640229</v>
      </c>
      <c r="B10498">
        <v>169193070.2135874</v>
      </c>
    </row>
    <row r="10499" spans="1:2" x14ac:dyDescent="0.25">
      <c r="A10499">
        <f ca="1">29627.936079918*((RANDBETWEEN(1620,2416)))</f>
        <v>67285042.837493822</v>
      </c>
      <c r="B10499">
        <v>159934625.44636849</v>
      </c>
    </row>
    <row r="10500" spans="1:2" x14ac:dyDescent="0.25">
      <c r="A10500">
        <f ca="1">27562.8694214844*((RANDBETWEEN(1620,2416)))</f>
        <v>64166360.013215758</v>
      </c>
      <c r="B10500">
        <v>153022585.54969433</v>
      </c>
    </row>
    <row r="10501" spans="1:2" x14ac:dyDescent="0.25">
      <c r="A10501">
        <f ca="1">27035.0475912422*((RANDBETWEEN(1620,2416)))</f>
        <v>62937590.792411745</v>
      </c>
      <c r="B10501">
        <v>161642591.36893392</v>
      </c>
    </row>
    <row r="10502" spans="1:2" x14ac:dyDescent="0.25">
      <c r="A10502">
        <f ca="1">27833.7975093014*((RANDBETWEEN(1620,2416)))</f>
        <v>65103252.374256045</v>
      </c>
      <c r="B10502">
        <v>161546548.60884839</v>
      </c>
    </row>
    <row r="10503" spans="1:2" x14ac:dyDescent="0.25">
      <c r="A10503">
        <f ca="1">26999.7854057418*((RANDBETWEEN(1620,2416)))</f>
        <v>46277632.185441449</v>
      </c>
      <c r="B10503">
        <v>200494767.40489435</v>
      </c>
    </row>
    <row r="10504" spans="1:2" x14ac:dyDescent="0.25">
      <c r="A10504">
        <f ca="1">25801.8100175752*((RANDBETWEEN(1620,2416)))</f>
        <v>59756992.000704117</v>
      </c>
      <c r="B10504">
        <v>191939408.9138813</v>
      </c>
    </row>
    <row r="10505" spans="1:2" x14ac:dyDescent="0.25">
      <c r="A10505">
        <f ca="1">29879.9033264825*((RANDBETWEEN(1620,2416)))</f>
        <v>59879326.266270943</v>
      </c>
      <c r="B10505">
        <v>151991558.79806477</v>
      </c>
    </row>
    <row r="10506" spans="1:2" x14ac:dyDescent="0.25">
      <c r="A10506">
        <f ca="1">29318.3762601544*((RANDBETWEEN(1620,2416)))</f>
        <v>55470367.884212092</v>
      </c>
      <c r="B10506">
        <v>153677912.27810717</v>
      </c>
    </row>
    <row r="10507" spans="1:2" x14ac:dyDescent="0.25">
      <c r="A10507">
        <f ca="1">26766.2270150835*((RANDBETWEEN(1620,2416)))</f>
        <v>45261689.882506199</v>
      </c>
      <c r="B10507">
        <v>160050395.65321827</v>
      </c>
    </row>
    <row r="10508" spans="1:2" x14ac:dyDescent="0.25">
      <c r="A10508">
        <f ca="1">30731.9568644275*((RANDBETWEEN(1620,2416)))</f>
        <v>70898624.486234277</v>
      </c>
      <c r="B10508">
        <v>194287240.61832911</v>
      </c>
    </row>
    <row r="10509" spans="1:2" x14ac:dyDescent="0.25">
      <c r="A10509">
        <f ca="1">30040.9345704296*((RANDBETWEEN(1620,2416)))</f>
        <v>72038161.099890158</v>
      </c>
      <c r="B10509">
        <v>160578772.49761569</v>
      </c>
    </row>
    <row r="10510" spans="1:2" x14ac:dyDescent="0.25">
      <c r="A10510">
        <f ca="1">28929.8865930528*((RANDBETWEEN(1620,2416)))</f>
        <v>68853130.091465682</v>
      </c>
      <c r="B10510">
        <v>187960307.46612883</v>
      </c>
    </row>
    <row r="10511" spans="1:2" x14ac:dyDescent="0.25">
      <c r="A10511">
        <f ca="1">27565.0245928263*((RANDBETWEEN(1620,2416)))</f>
        <v>44710469.889564261</v>
      </c>
      <c r="B10511">
        <v>145591982.36929154</v>
      </c>
    </row>
    <row r="10512" spans="1:2" x14ac:dyDescent="0.25">
      <c r="A10512">
        <f ca="1">27898.5023198858*((RANDBETWEEN(1620,2416)))</f>
        <v>53983601.988978989</v>
      </c>
      <c r="B10512">
        <v>176682569.48580053</v>
      </c>
    </row>
    <row r="10513" spans="1:2" x14ac:dyDescent="0.25">
      <c r="A10513">
        <f ca="1">26867.7060756482*((RANDBETWEEN(1620,2416)))</f>
        <v>46749808.571627811</v>
      </c>
      <c r="B10513">
        <v>168118511.77019355</v>
      </c>
    </row>
    <row r="10514" spans="1:2" x14ac:dyDescent="0.25">
      <c r="A10514">
        <f ca="1">26853.5089438205*((RANDBETWEEN(1620,2416)))</f>
        <v>63857644.268405102</v>
      </c>
      <c r="B10514">
        <v>163726470.89550355</v>
      </c>
    </row>
    <row r="10515" spans="1:2" x14ac:dyDescent="0.25">
      <c r="A10515">
        <f ca="1">27040.2190823486*((RANDBETWEEN(1620,2416)))</f>
        <v>53161070.715897299</v>
      </c>
      <c r="B10515">
        <v>149648886.22350007</v>
      </c>
    </row>
    <row r="10516" spans="1:2" x14ac:dyDescent="0.25">
      <c r="A10516">
        <f ca="1">27492.3255289495*((RANDBETWEEN(1620,2416)))</f>
        <v>52042972.226301365</v>
      </c>
      <c r="B10516">
        <v>186881378.68701118</v>
      </c>
    </row>
    <row r="10517" spans="1:2" x14ac:dyDescent="0.25">
      <c r="A10517">
        <f ca="1">28621.1279429338*((RANDBETWEEN(1620,2416)))</f>
        <v>46881407.570525639</v>
      </c>
      <c r="B10517">
        <v>178599056.51259384</v>
      </c>
    </row>
    <row r="10518" spans="1:2" x14ac:dyDescent="0.25">
      <c r="A10518">
        <f ca="1">26125.7536072082*((RANDBETWEEN(1620,2416)))</f>
        <v>47444368.550690137</v>
      </c>
      <c r="B10518">
        <v>160306406.94573784</v>
      </c>
    </row>
    <row r="10519" spans="1:2" x14ac:dyDescent="0.25">
      <c r="A10519">
        <f ca="1">30417.3965667082*((RANDBETWEEN(1620,2416)))</f>
        <v>73275508.329199985</v>
      </c>
      <c r="B10519">
        <v>157909266.6489149</v>
      </c>
    </row>
    <row r="10520" spans="1:2" x14ac:dyDescent="0.25">
      <c r="A10520">
        <f ca="1">29240.7258061398*((RANDBETWEEN(1620,2416)))</f>
        <v>57136378.225197174</v>
      </c>
      <c r="B10520">
        <v>150767713.76962429</v>
      </c>
    </row>
    <row r="10521" spans="1:2" x14ac:dyDescent="0.25">
      <c r="A10521">
        <f ca="1">27447.3863888968*((RANDBETWEEN(1620,2416)))</f>
        <v>65352226.991963387</v>
      </c>
      <c r="B10521">
        <v>166274856.89813194</v>
      </c>
    </row>
    <row r="10522" spans="1:2" x14ac:dyDescent="0.25">
      <c r="A10522">
        <f ca="1">27943.1041802322*((RANDBETWEEN(1620,2416)))</f>
        <v>65498636.198464267</v>
      </c>
      <c r="B10522">
        <v>143423453.76435399</v>
      </c>
    </row>
    <row r="10523" spans="1:2" x14ac:dyDescent="0.25">
      <c r="A10523">
        <f ca="1">28712.1117859858*((RANDBETWEEN(1620,2416)))</f>
        <v>64774524.189183898</v>
      </c>
      <c r="B10523">
        <v>169356927.79367447</v>
      </c>
    </row>
    <row r="10524" spans="1:2" x14ac:dyDescent="0.25">
      <c r="A10524">
        <f ca="1">27192.7959041362*((RANDBETWEEN(1620,2416)))</f>
        <v>52373324.911366299</v>
      </c>
      <c r="B10524">
        <v>166446681.36693448</v>
      </c>
    </row>
    <row r="10525" spans="1:2" x14ac:dyDescent="0.25">
      <c r="A10525">
        <f ca="1">26477.9032756924*((RANDBETWEEN(1620,2416)))</f>
        <v>60925655.437368311</v>
      </c>
      <c r="B10525">
        <v>148470847.7922805</v>
      </c>
    </row>
    <row r="10526" spans="1:2" x14ac:dyDescent="0.25">
      <c r="A10526">
        <f ca="1">27863.9029199797*((RANDBETWEEN(1620,2416)))</f>
        <v>64365615.745153122</v>
      </c>
      <c r="B10526">
        <v>161094073.35657996</v>
      </c>
    </row>
    <row r="10527" spans="1:2" x14ac:dyDescent="0.25">
      <c r="A10527">
        <f ca="1">26216.290930198*((RANDBETWEEN(1620,2416)))</f>
        <v>60271252.848525181</v>
      </c>
      <c r="B10527">
        <v>146093235.50650704</v>
      </c>
    </row>
    <row r="10528" spans="1:2" x14ac:dyDescent="0.25">
      <c r="A10528">
        <f ca="1">26969.3329168533*((RANDBETWEEN(1620,2416)))</f>
        <v>57633464.443315409</v>
      </c>
      <c r="B10528">
        <v>149190728.2991904</v>
      </c>
    </row>
    <row r="10529" spans="1:2" x14ac:dyDescent="0.25">
      <c r="A10529">
        <f ca="1">32641.2200621929*((RANDBETWEEN(1620,2416)))</f>
        <v>72104455.11738421</v>
      </c>
      <c r="B10529">
        <v>192198886.30966753</v>
      </c>
    </row>
    <row r="10530" spans="1:2" x14ac:dyDescent="0.25">
      <c r="A10530">
        <f ca="1">26703.7593127669*((RANDBETWEEN(1620,2416)))</f>
        <v>44435055.496444166</v>
      </c>
      <c r="B10530">
        <v>161495293.13744098</v>
      </c>
    </row>
    <row r="10531" spans="1:2" x14ac:dyDescent="0.25">
      <c r="A10531">
        <f ca="1">29017.8883464696*((RANDBETWEEN(1620,2416)))</f>
        <v>50607197.276242979</v>
      </c>
      <c r="B10531">
        <v>166713310.27888018</v>
      </c>
    </row>
    <row r="10532" spans="1:2" x14ac:dyDescent="0.25">
      <c r="A10532">
        <f ca="1">29464.4860998069*((RANDBETWEEN(1620,2416)))</f>
        <v>68976361.959648073</v>
      </c>
      <c r="B10532">
        <v>159172751.52163118</v>
      </c>
    </row>
    <row r="10533" spans="1:2" x14ac:dyDescent="0.25">
      <c r="A10533">
        <f ca="1">26450.1907104332*((RANDBETWEEN(1620,2416)))</f>
        <v>58692973.186451294</v>
      </c>
      <c r="B10533">
        <v>165491553.54555237</v>
      </c>
    </row>
    <row r="10534" spans="1:2" x14ac:dyDescent="0.25">
      <c r="A10534">
        <f ca="1">26882.7217249586*((RANDBETWEEN(1620,2416)))</f>
        <v>57932265.317285828</v>
      </c>
      <c r="B10534">
        <v>150163157.58479249</v>
      </c>
    </row>
    <row r="10535" spans="1:2" x14ac:dyDescent="0.25">
      <c r="A10535">
        <f ca="1">31438.9557244608*((RANDBETWEEN(1620,2416)))</f>
        <v>62626399.803125873</v>
      </c>
      <c r="B10535">
        <v>182299900.33014297</v>
      </c>
    </row>
    <row r="10536" spans="1:2" x14ac:dyDescent="0.25">
      <c r="A10536">
        <f ca="1">29510.6096990362*((RANDBETWEEN(1620,2416)))</f>
        <v>65070894.386374757</v>
      </c>
      <c r="B10536">
        <v>183714681.2613349</v>
      </c>
    </row>
    <row r="10537" spans="1:2" x14ac:dyDescent="0.25">
      <c r="A10537">
        <f ca="1">25664.9717705715*((RANDBETWEEN(1620,2416)))</f>
        <v>61801252.023536049</v>
      </c>
      <c r="B10537">
        <v>184847661.92630541</v>
      </c>
    </row>
    <row r="10538" spans="1:2" x14ac:dyDescent="0.25">
      <c r="A10538">
        <f ca="1">28419.9877472758*((RANDBETWEEN(1620,2416)))</f>
        <v>51070717.981854588</v>
      </c>
      <c r="B10538">
        <v>173582283.88043463</v>
      </c>
    </row>
    <row r="10539" spans="1:2" x14ac:dyDescent="0.25">
      <c r="A10539">
        <f ca="1">27508.0616240066*((RANDBETWEEN(1620,2416)))</f>
        <v>48414188.458251618</v>
      </c>
      <c r="B10539">
        <v>171543675.93354842</v>
      </c>
    </row>
    <row r="10540" spans="1:2" x14ac:dyDescent="0.25">
      <c r="A10540">
        <f ca="1">28937.3096012995*((RANDBETWEEN(1620,2416)))</f>
        <v>61925842.54678084</v>
      </c>
      <c r="B10540">
        <v>184119537.69397327</v>
      </c>
    </row>
    <row r="10541" spans="1:2" x14ac:dyDescent="0.25">
      <c r="A10541">
        <f ca="1">29790.6621919152*((RANDBETWEEN(1620,2416)))</f>
        <v>71855077.206899419</v>
      </c>
      <c r="B10541">
        <v>149770811.03827071</v>
      </c>
    </row>
    <row r="10542" spans="1:2" x14ac:dyDescent="0.25">
      <c r="A10542">
        <f ca="1">27397.3820200116*((RANDBETWEEN(1620,2416)))</f>
        <v>59835882.331705399</v>
      </c>
      <c r="B10542">
        <v>155875337.96340105</v>
      </c>
    </row>
    <row r="10543" spans="1:2" x14ac:dyDescent="0.25">
      <c r="A10543">
        <f ca="1">27010.6536875621*((RANDBETWEEN(1620,2416)))</f>
        <v>55614935.942690343</v>
      </c>
      <c r="B10543">
        <v>182156933.32863227</v>
      </c>
    </row>
    <row r="10544" spans="1:2" x14ac:dyDescent="0.25">
      <c r="A10544">
        <f ca="1">27493.0622321419*((RANDBETWEEN(1620,2416)))</f>
        <v>53281554.605891064</v>
      </c>
      <c r="B10544">
        <v>154087242.61274526</v>
      </c>
    </row>
    <row r="10545" spans="1:2" x14ac:dyDescent="0.25">
      <c r="A10545">
        <f ca="1">31694.9660174555*((RANDBETWEEN(1620,2416)))</f>
        <v>55180935.836390078</v>
      </c>
      <c r="B10545">
        <v>202637234.04015216</v>
      </c>
    </row>
    <row r="10546" spans="1:2" x14ac:dyDescent="0.25">
      <c r="A10546">
        <f ca="1">33221.4795729447*((RANDBETWEEN(1620,2416)))</f>
        <v>64250341.494074963</v>
      </c>
      <c r="B10546">
        <v>166166596.03566521</v>
      </c>
    </row>
    <row r="10547" spans="1:2" x14ac:dyDescent="0.25">
      <c r="A10547">
        <f ca="1">27690.3263379357*((RANDBETWEEN(1620,2416)))</f>
        <v>55159130.065167829</v>
      </c>
      <c r="B10547">
        <v>161917326.83711389</v>
      </c>
    </row>
    <row r="10548" spans="1:2" x14ac:dyDescent="0.25">
      <c r="A10548">
        <f ca="1">25961.9181274145*((RANDBETWEEN(1620,2416)))</f>
        <v>59764335.529308103</v>
      </c>
      <c r="B10548">
        <v>156805411.19807407</v>
      </c>
    </row>
    <row r="10549" spans="1:2" x14ac:dyDescent="0.25">
      <c r="A10549">
        <f ca="1">30030.6814510109*((RANDBETWEEN(1620,2416)))</f>
        <v>60962283.345552191</v>
      </c>
      <c r="B10549">
        <v>162379726.52856207</v>
      </c>
    </row>
    <row r="10550" spans="1:2" x14ac:dyDescent="0.25">
      <c r="A10550">
        <f ca="1">27317.3449262505*((RANDBETWEEN(1620,2416)))</f>
        <v>44800445.679050885</v>
      </c>
      <c r="B10550">
        <v>170118710.76213726</v>
      </c>
    </row>
    <row r="10551" spans="1:2" x14ac:dyDescent="0.25">
      <c r="A10551">
        <f ca="1">26357.0607908942*((RANDBETWEEN(1620,2416)))</f>
        <v>58407246.71262157</v>
      </c>
      <c r="B10551">
        <v>179040235.64193469</v>
      </c>
    </row>
    <row r="10552" spans="1:2" x14ac:dyDescent="0.25">
      <c r="A10552">
        <f ca="1">29755.1694061866*((RANDBETWEEN(1620,2416)))</f>
        <v>55850452.975412242</v>
      </c>
      <c r="B10552">
        <v>174256020.90500182</v>
      </c>
    </row>
    <row r="10553" spans="1:2" x14ac:dyDescent="0.25">
      <c r="A10553">
        <f ca="1">26181.0780671275*((RANDBETWEEN(1620,2416)))</f>
        <v>55058807.175169215</v>
      </c>
      <c r="B10553">
        <v>157429150.90142199</v>
      </c>
    </row>
    <row r="10554" spans="1:2" x14ac:dyDescent="0.25">
      <c r="A10554">
        <f ca="1">28306.0821271659*((RANDBETWEEN(1620,2416)))</f>
        <v>67793066.694562316</v>
      </c>
      <c r="B10554">
        <v>184867769.41399848</v>
      </c>
    </row>
    <row r="10555" spans="1:2" x14ac:dyDescent="0.25">
      <c r="A10555">
        <f ca="1">27999.1159279014*((RANDBETWEEN(1620,2416)))</f>
        <v>64733956.025307976</v>
      </c>
      <c r="B10555">
        <v>146455822.31053662</v>
      </c>
    </row>
    <row r="10556" spans="1:2" x14ac:dyDescent="0.25">
      <c r="A10556">
        <f ca="1">30255.6117538402*((RANDBETWEEN(1620,2416)))</f>
        <v>64595731.094448812</v>
      </c>
      <c r="B10556">
        <v>155316922.96265885</v>
      </c>
    </row>
    <row r="10557" spans="1:2" x14ac:dyDescent="0.25">
      <c r="A10557">
        <f ca="1">26545.8249632678*((RANDBETWEEN(1620,2416)))</f>
        <v>51206896.354143627</v>
      </c>
      <c r="B10557">
        <v>164226129.07664478</v>
      </c>
    </row>
    <row r="10558" spans="1:2" x14ac:dyDescent="0.25">
      <c r="A10558">
        <f ca="1">26067.7689154943*((RANDBETWEEN(1620,2416)))</f>
        <v>60790037.110932656</v>
      </c>
      <c r="B10558">
        <v>171827336.08374697</v>
      </c>
    </row>
    <row r="10559" spans="1:2" x14ac:dyDescent="0.25">
      <c r="A10559">
        <f ca="1">26437.0032168683*((RANDBETWEEN(1620,2416)))</f>
        <v>50230306.112049721</v>
      </c>
      <c r="B10559">
        <v>154726394.56119496</v>
      </c>
    </row>
    <row r="10560" spans="1:2" x14ac:dyDescent="0.25">
      <c r="A10560">
        <f ca="1">27330.4113573007*((RANDBETWEEN(1620,2416)))</f>
        <v>59826270.461131185</v>
      </c>
      <c r="B10560">
        <v>156069575.74905875</v>
      </c>
    </row>
    <row r="10561" spans="1:2" x14ac:dyDescent="0.25">
      <c r="A10561">
        <f ca="1">29287.3667085332*((RANDBETWEEN(1620,2416)))</f>
        <v>61210596.420834444</v>
      </c>
      <c r="B10561">
        <v>179060308.06612509</v>
      </c>
    </row>
    <row r="10562" spans="1:2" x14ac:dyDescent="0.25">
      <c r="A10562">
        <f ca="1">25202.6325958644*((RANDBETWEEN(1620,2416)))</f>
        <v>58394499.724617735</v>
      </c>
      <c r="B10562">
        <v>144766911.26250046</v>
      </c>
    </row>
    <row r="10563" spans="1:2" x14ac:dyDescent="0.25">
      <c r="A10563">
        <f ca="1">34472.1542646001*((RANDBETWEEN(1620,2416)))</f>
        <v>57016943.15364863</v>
      </c>
      <c r="B10563">
        <v>143944580.99623635</v>
      </c>
    </row>
    <row r="10564" spans="1:2" x14ac:dyDescent="0.25">
      <c r="A10564">
        <f ca="1">25499.2545082255*((RANDBETWEEN(1620,2416)))</f>
        <v>59081772.695558518</v>
      </c>
      <c r="B10564">
        <v>144057221.67294332</v>
      </c>
    </row>
    <row r="10565" spans="1:2" x14ac:dyDescent="0.25">
      <c r="A10565">
        <f ca="1">28756.5942502264*((RANDBETWEEN(1620,2416)))</f>
        <v>57455675.31195233</v>
      </c>
      <c r="B10565">
        <v>187805575.32477868</v>
      </c>
    </row>
    <row r="10566" spans="1:2" x14ac:dyDescent="0.25">
      <c r="A10566">
        <f ca="1">34486.1732146335*((RANDBETWEEN(1620,2416)))</f>
        <v>64696060.950652473</v>
      </c>
      <c r="B10566">
        <v>188057114.4589192</v>
      </c>
    </row>
    <row r="10567" spans="1:2" x14ac:dyDescent="0.25">
      <c r="A10567">
        <f ca="1">30024.6079259188*((RANDBETWEEN(1620,2416)))</f>
        <v>57407050.354356907</v>
      </c>
      <c r="B10567">
        <v>144809708.78938425</v>
      </c>
    </row>
    <row r="10568" spans="1:2" x14ac:dyDescent="0.25">
      <c r="A10568">
        <f ca="1">26736.7989127201*((RANDBETWEEN(1620,2416)))</f>
        <v>49944340.368961133</v>
      </c>
      <c r="B10568">
        <v>159386921.8950949</v>
      </c>
    </row>
    <row r="10569" spans="1:2" x14ac:dyDescent="0.25">
      <c r="A10569">
        <f ca="1">26857.833637641*((RANDBETWEEN(1620,2416)))</f>
        <v>63115909.048456244</v>
      </c>
      <c r="B10569">
        <v>156781684.46280646</v>
      </c>
    </row>
    <row r="10570" spans="1:2" x14ac:dyDescent="0.25">
      <c r="A10570">
        <f ca="1">27953.3207209983*((RANDBETWEEN(1620,2416)))</f>
        <v>61748885.472685173</v>
      </c>
      <c r="B10570">
        <v>167209917.09192878</v>
      </c>
    </row>
    <row r="10571" spans="1:2" x14ac:dyDescent="0.25">
      <c r="A10571">
        <f ca="1">30191.3101480631*((RANDBETWEEN(1620,2416)))</f>
        <v>66118969.224258088</v>
      </c>
      <c r="B10571">
        <v>169763038.65741032</v>
      </c>
    </row>
    <row r="10572" spans="1:2" x14ac:dyDescent="0.25">
      <c r="A10572">
        <f ca="1">30677.2916681864*((RANDBETWEEN(1620,2416)))</f>
        <v>66416336.46162352</v>
      </c>
      <c r="B10572">
        <v>184174966.04564488</v>
      </c>
    </row>
    <row r="10573" spans="1:2" x14ac:dyDescent="0.25">
      <c r="A10573">
        <f ca="1">28340.8395648535*((RANDBETWEEN(1620,2416)))</f>
        <v>55548045.54711289</v>
      </c>
      <c r="B10573">
        <v>161032153.52225482</v>
      </c>
    </row>
    <row r="10574" spans="1:2" x14ac:dyDescent="0.25">
      <c r="A10574">
        <f ca="1">29198.3228471377*((RANDBETWEEN(1620,2416)))</f>
        <v>49491157.225898355</v>
      </c>
      <c r="B10574">
        <v>156556680.94782689</v>
      </c>
    </row>
    <row r="10575" spans="1:2" x14ac:dyDescent="0.25">
      <c r="A10575">
        <f ca="1">29719.7534966933*((RANDBETWEEN(1620,2416)))</f>
        <v>48829554.995067134</v>
      </c>
      <c r="B10575">
        <v>178337930.750981</v>
      </c>
    </row>
    <row r="10576" spans="1:2" x14ac:dyDescent="0.25">
      <c r="A10576">
        <f ca="1">26838.6766237994*((RANDBETWEEN(1620,2416)))</f>
        <v>63983405.071137697</v>
      </c>
      <c r="B10576">
        <v>178745321.85655674</v>
      </c>
    </row>
    <row r="10577" spans="1:2" x14ac:dyDescent="0.25">
      <c r="A10577">
        <f ca="1">27680.2375952097*((RANDBETWEEN(1620,2416)))</f>
        <v>63609185.99379193</v>
      </c>
      <c r="B10577">
        <v>159974249.05206752</v>
      </c>
    </row>
    <row r="10578" spans="1:2" x14ac:dyDescent="0.25">
      <c r="A10578">
        <f ca="1">27565.5580540832*((RANDBETWEEN(1620,2416)))</f>
        <v>46889014.249995604</v>
      </c>
      <c r="B10578">
        <v>161576156.49440974</v>
      </c>
    </row>
    <row r="10579" spans="1:2" x14ac:dyDescent="0.25">
      <c r="A10579">
        <f ca="1">27200.6116265301*((RANDBETWEEN(1620,2416)))</f>
        <v>47274663.006909311</v>
      </c>
      <c r="B10579">
        <v>181493816.79340631</v>
      </c>
    </row>
    <row r="10580" spans="1:2" x14ac:dyDescent="0.25">
      <c r="A10580">
        <f ca="1">25996.9762654951*((RANDBETWEEN(1620,2416)))</f>
        <v>50148167.216140091</v>
      </c>
      <c r="B10580">
        <v>159858617.51199263</v>
      </c>
    </row>
    <row r="10581" spans="1:2" x14ac:dyDescent="0.25">
      <c r="A10581">
        <f ca="1">29162.3597982025*((RANDBETWEEN(1620,2416)))</f>
        <v>52025649.879993238</v>
      </c>
      <c r="B10581">
        <v>196578169.87280858</v>
      </c>
    </row>
    <row r="10582" spans="1:2" x14ac:dyDescent="0.25">
      <c r="A10582">
        <f ca="1">28531.0006533583*((RANDBETWEEN(1620,2416)))</f>
        <v>47760895.09372174</v>
      </c>
      <c r="B10582">
        <v>180741275.17162937</v>
      </c>
    </row>
    <row r="10583" spans="1:2" x14ac:dyDescent="0.25">
      <c r="A10583">
        <f ca="1">27608.5066698009*((RANDBETWEEN(1620,2416)))</f>
        <v>65156075.74073007</v>
      </c>
      <c r="B10583">
        <v>149915802.2056815</v>
      </c>
    </row>
    <row r="10584" spans="1:2" x14ac:dyDescent="0.25">
      <c r="A10584">
        <f ca="1">27706.6983690212*((RANDBETWEEN(1620,2416)))</f>
        <v>45716052.308884986</v>
      </c>
      <c r="B10584">
        <v>168576099.64326608</v>
      </c>
    </row>
    <row r="10585" spans="1:2" x14ac:dyDescent="0.25">
      <c r="A10585">
        <f ca="1">30821.2598375145*((RANDBETWEEN(1620,2416)))</f>
        <v>51625610.227836706</v>
      </c>
      <c r="B10585">
        <v>160115674.2049728</v>
      </c>
    </row>
    <row r="10586" spans="1:2" x14ac:dyDescent="0.25">
      <c r="A10586">
        <f ca="1">32564.3039850019*((RANDBETWEEN(1620,2416)))</f>
        <v>75744571.069114462</v>
      </c>
      <c r="B10586">
        <v>164289903.97960952</v>
      </c>
    </row>
    <row r="10587" spans="1:2" x14ac:dyDescent="0.25">
      <c r="A10587">
        <f ca="1">26049.823878339*((RANDBETWEEN(1620,2416)))</f>
        <v>58690253.197897784</v>
      </c>
      <c r="B10587">
        <v>143786241.04322574</v>
      </c>
    </row>
    <row r="10588" spans="1:2" x14ac:dyDescent="0.25">
      <c r="A10588">
        <f ca="1">27788.1659652679*((RANDBETWEEN(1620,2416)))</f>
        <v>66719386.482608303</v>
      </c>
      <c r="B10588">
        <v>185614375.8793605</v>
      </c>
    </row>
    <row r="10589" spans="1:2" x14ac:dyDescent="0.25">
      <c r="A10589">
        <f ca="1">26820.4654081069*((RANDBETWEEN(1620,2416)))</f>
        <v>61445686.249972798</v>
      </c>
      <c r="B10589">
        <v>147559193.08862716</v>
      </c>
    </row>
    <row r="10590" spans="1:2" x14ac:dyDescent="0.25">
      <c r="A10590">
        <f ca="1">29049.4445065955*((RANDBETWEEN(1620,2416)))</f>
        <v>70096309.594415024</v>
      </c>
      <c r="B10590">
        <v>147360323.01676217</v>
      </c>
    </row>
    <row r="10591" spans="1:2" x14ac:dyDescent="0.25">
      <c r="A10591">
        <f ca="1">27179.9586207381*((RANDBETWEEN(1620,2416)))</f>
        <v>53707598.234578431</v>
      </c>
      <c r="B10591">
        <v>147945679.25928888</v>
      </c>
    </row>
    <row r="10592" spans="1:2" x14ac:dyDescent="0.25">
      <c r="A10592">
        <f ca="1">27347.0014859157*((RANDBETWEEN(1620,2416)))</f>
        <v>64402188.499331549</v>
      </c>
      <c r="B10592">
        <v>164067592.42207035</v>
      </c>
    </row>
    <row r="10593" spans="1:2" x14ac:dyDescent="0.25">
      <c r="A10593">
        <f ca="1">29467.1900368147*((RANDBETWEEN(1620,2416)))</f>
        <v>60348805.19539649</v>
      </c>
      <c r="B10593">
        <v>180544682.38932618</v>
      </c>
    </row>
    <row r="10594" spans="1:2" x14ac:dyDescent="0.25">
      <c r="A10594">
        <f ca="1">25759.4677147608*((RANDBETWEEN(1620,2416)))</f>
        <v>52909946.686118662</v>
      </c>
      <c r="B10594">
        <v>173919724.79303008</v>
      </c>
    </row>
    <row r="10595" spans="1:2" x14ac:dyDescent="0.25">
      <c r="A10595">
        <f ca="1">28025.6279373454*((RANDBETWEEN(1620,2416)))</f>
        <v>60619433.228478126</v>
      </c>
      <c r="B10595">
        <v>149278055.03304225</v>
      </c>
    </row>
    <row r="10596" spans="1:2" x14ac:dyDescent="0.25">
      <c r="A10596">
        <f ca="1">26742.880490999*((RANDBETWEEN(1620,2416)))</f>
        <v>46265183.249428235</v>
      </c>
      <c r="B10596">
        <v>176813284.34180301</v>
      </c>
    </row>
    <row r="10597" spans="1:2" x14ac:dyDescent="0.25">
      <c r="A10597">
        <f ca="1">26892.964920374*((RANDBETWEEN(1620,2416)))</f>
        <v>50585667.015223578</v>
      </c>
      <c r="B10597">
        <v>162259158.06576166</v>
      </c>
    </row>
    <row r="10598" spans="1:2" x14ac:dyDescent="0.25">
      <c r="A10598">
        <f ca="1">27892.9436210066*((RANDBETWEEN(1620,2416)))</f>
        <v>61336583.022593506</v>
      </c>
      <c r="B10598">
        <v>173974156.1230197</v>
      </c>
    </row>
    <row r="10599" spans="1:2" x14ac:dyDescent="0.25">
      <c r="A10599">
        <f ca="1">27645.1439668261*((RANDBETWEEN(1620,2416)))</f>
        <v>55953771.388856106</v>
      </c>
      <c r="B10599">
        <v>143591041.82786608</v>
      </c>
    </row>
    <row r="10600" spans="1:2" x14ac:dyDescent="0.25">
      <c r="A10600">
        <f ca="1">31739.0083570276*((RANDBETWEEN(1620,2416)))</f>
        <v>54083270.240374953</v>
      </c>
      <c r="B10600">
        <v>171869411.39694208</v>
      </c>
    </row>
    <row r="10601" spans="1:2" x14ac:dyDescent="0.25">
      <c r="A10601">
        <f ca="1">30465.3444937292*((RANDBETWEEN(1620,2416)))</f>
        <v>65256767.905568011</v>
      </c>
      <c r="B10601">
        <v>159890754.36191851</v>
      </c>
    </row>
    <row r="10602" spans="1:2" x14ac:dyDescent="0.25">
      <c r="A10602">
        <f ca="1">27342.9642449332*((RANDBETWEEN(1620,2416)))</f>
        <v>65978572.723023757</v>
      </c>
      <c r="B10602">
        <v>166041083.76179579</v>
      </c>
    </row>
    <row r="10603" spans="1:2" x14ac:dyDescent="0.25">
      <c r="A10603">
        <f ca="1">26390.9477842656*((RANDBETWEEN(1620,2416)))</f>
        <v>57400311.43077758</v>
      </c>
      <c r="B10603">
        <v>156689015.41482624</v>
      </c>
    </row>
    <row r="10604" spans="1:2" x14ac:dyDescent="0.25">
      <c r="A10604">
        <f ca="1">28844.6149875654*((RANDBETWEEN(1620,2416)))</f>
        <v>57343094.595280007</v>
      </c>
      <c r="B10604">
        <v>174343487.3562797</v>
      </c>
    </row>
    <row r="10605" spans="1:2" x14ac:dyDescent="0.25">
      <c r="A10605">
        <f ca="1">30375.1061070007*((RANDBETWEEN(1620,2416)))</f>
        <v>72444628.065196618</v>
      </c>
      <c r="B10605">
        <v>186240645.67181775</v>
      </c>
    </row>
    <row r="10606" spans="1:2" x14ac:dyDescent="0.25">
      <c r="A10606">
        <f ca="1">28187.1467253373*((RANDBETWEEN(1620,2416)))</f>
        <v>54908561.820957147</v>
      </c>
      <c r="B10606">
        <v>172602910.68084076</v>
      </c>
    </row>
    <row r="10607" spans="1:2" x14ac:dyDescent="0.25">
      <c r="A10607">
        <f ca="1">27918.5463000489*((RANDBETWEEN(1620,2416)))</f>
        <v>56953834.452099741</v>
      </c>
      <c r="B10607">
        <v>178393355.30528834</v>
      </c>
    </row>
    <row r="10608" spans="1:2" x14ac:dyDescent="0.25">
      <c r="A10608">
        <f ca="1">26036.5443707993*((RANDBETWEEN(1620,2416)))</f>
        <v>49938092.103193104</v>
      </c>
      <c r="B10608">
        <v>167825343.60651568</v>
      </c>
    </row>
    <row r="10609" spans="1:2" x14ac:dyDescent="0.25">
      <c r="A10609">
        <f ca="1">26310.7752382953*((RANDBETWEEN(1620,2416)))</f>
        <v>47832989.383220769</v>
      </c>
      <c r="B10609">
        <v>174535236.59717217</v>
      </c>
    </row>
    <row r="10610" spans="1:2" x14ac:dyDescent="0.25">
      <c r="A10610">
        <f ca="1">32899.2863774443*((RANDBETWEEN(1620,2416)))</f>
        <v>68660810.669726267</v>
      </c>
      <c r="B10610">
        <v>198741300.39146298</v>
      </c>
    </row>
    <row r="10611" spans="1:2" x14ac:dyDescent="0.25">
      <c r="A10611">
        <f ca="1">30920.6218279579*((RANDBETWEEN(1620,2416)))</f>
        <v>57883404.061937109</v>
      </c>
      <c r="B10611">
        <v>167490227.95273882</v>
      </c>
    </row>
    <row r="10612" spans="1:2" x14ac:dyDescent="0.25">
      <c r="A10612">
        <f ca="1">27363.9184191252*((RANDBETWEEN(1620,2416)))</f>
        <v>63238015.46659831</v>
      </c>
      <c r="B10612">
        <v>173754978.77670532</v>
      </c>
    </row>
    <row r="10613" spans="1:2" x14ac:dyDescent="0.25">
      <c r="A10613">
        <f ca="1">31167.3912985864*((RANDBETWEEN(1620,2416)))</f>
        <v>67570904.335335299</v>
      </c>
      <c r="B10613">
        <v>188543638.10143781</v>
      </c>
    </row>
    <row r="10614" spans="1:2" x14ac:dyDescent="0.25">
      <c r="A10614">
        <f ca="1">26626.5052180071*((RANDBETWEEN(1620,2416)))</f>
        <v>62146263.178828463</v>
      </c>
      <c r="B10614">
        <v>150637540.03089604</v>
      </c>
    </row>
    <row r="10615" spans="1:2" x14ac:dyDescent="0.25">
      <c r="A10615">
        <f ca="1">26946.6921582252*((RANDBETWEEN(1620,2416)))</f>
        <v>45674643.208191633</v>
      </c>
      <c r="B10615">
        <v>142943093.88350764</v>
      </c>
    </row>
    <row r="10616" spans="1:2" x14ac:dyDescent="0.25">
      <c r="A10616">
        <f ca="1">30519.0305300055*((RANDBETWEEN(1620,2416)))</f>
        <v>71994393.020283028</v>
      </c>
      <c r="B10616">
        <v>192019045.98742935</v>
      </c>
    </row>
    <row r="10617" spans="1:2" x14ac:dyDescent="0.25">
      <c r="A10617">
        <f ca="1">30338.8156378155*((RANDBETWEEN(1620,2416)))</f>
        <v>51818697.109388925</v>
      </c>
      <c r="B10617">
        <v>147614834.5908694</v>
      </c>
    </row>
    <row r="10618" spans="1:2" x14ac:dyDescent="0.25">
      <c r="A10618">
        <f ca="1">29199.0405930612*((RANDBETWEEN(1620,2416)))</f>
        <v>64442282.588886037</v>
      </c>
      <c r="B10618">
        <v>146951081.948614</v>
      </c>
    </row>
    <row r="10619" spans="1:2" x14ac:dyDescent="0.25">
      <c r="A10619">
        <f ca="1">26733.0812212656*((RANDBETWEEN(1620,2416)))</f>
        <v>43975918.608981885</v>
      </c>
      <c r="B10619">
        <v>157731463.54769489</v>
      </c>
    </row>
    <row r="10620" spans="1:2" x14ac:dyDescent="0.25">
      <c r="A10620">
        <f ca="1">26309.9824895349*((RANDBETWEEN(1620,2416)))</f>
        <v>43095751.317858234</v>
      </c>
      <c r="B10620">
        <v>169850594.01327363</v>
      </c>
    </row>
    <row r="10621" spans="1:2" x14ac:dyDescent="0.25">
      <c r="A10621">
        <f ca="1">27494.1085834743*((RANDBETWEEN(1620,2416)))</f>
        <v>64996072.691333182</v>
      </c>
      <c r="B10621">
        <v>143453333.77541327</v>
      </c>
    </row>
    <row r="10622" spans="1:2" x14ac:dyDescent="0.25">
      <c r="A10622">
        <f ca="1">26963.7117432602*((RANDBETWEEN(1620,2416)))</f>
        <v>58106798.806725644</v>
      </c>
      <c r="B10622">
        <v>175761037.80650333</v>
      </c>
    </row>
    <row r="10623" spans="1:2" x14ac:dyDescent="0.25">
      <c r="A10623">
        <f ca="1">25970.374788885*((RANDBETWEEN(1620,2416)))</f>
        <v>55316898.300324969</v>
      </c>
      <c r="B10623">
        <v>149225734.84765869</v>
      </c>
    </row>
    <row r="10624" spans="1:2" x14ac:dyDescent="0.25">
      <c r="A10624">
        <f ca="1">28975.5430693078*((RANDBETWEEN(1620,2416)))</f>
        <v>56792064.415843256</v>
      </c>
      <c r="B10624">
        <v>165490894.8996653</v>
      </c>
    </row>
    <row r="10625" spans="1:2" x14ac:dyDescent="0.25">
      <c r="A10625">
        <f ca="1">26265.9576752593*((RANDBETWEEN(1620,2416)))</f>
        <v>55762628.144575551</v>
      </c>
      <c r="B10625">
        <v>152235827.10781932</v>
      </c>
    </row>
    <row r="10626" spans="1:2" x14ac:dyDescent="0.25">
      <c r="A10626">
        <f ca="1">26384.3216267983*((RANDBETWEEN(1620,2416)))</f>
        <v>49285912.798859291</v>
      </c>
      <c r="B10626">
        <v>168952589.36112505</v>
      </c>
    </row>
    <row r="10627" spans="1:2" x14ac:dyDescent="0.25">
      <c r="A10627">
        <f ca="1">27789.7799200042*((RANDBETWEEN(1620,2416)))</f>
        <v>49771495.836727589</v>
      </c>
      <c r="B10627">
        <v>183445532.41190863</v>
      </c>
    </row>
    <row r="10628" spans="1:2" x14ac:dyDescent="0.25">
      <c r="A10628">
        <f ca="1">28408.1039057647*((RANDBETWEEN(1620,2416)))</f>
        <v>56446902.460754365</v>
      </c>
      <c r="B10628">
        <v>160332452.98906305</v>
      </c>
    </row>
    <row r="10629" spans="1:2" x14ac:dyDescent="0.25">
      <c r="A10629">
        <f ca="1">31793.9981035677*((RANDBETWEEN(1620,2416)))</f>
        <v>75796891.47890541</v>
      </c>
      <c r="B10629">
        <v>151812713.9441039</v>
      </c>
    </row>
    <row r="10630" spans="1:2" x14ac:dyDescent="0.25">
      <c r="A10630">
        <f ca="1">33653.3761503634*((RANDBETWEEN(1620,2416)))</f>
        <v>78378713.054196239</v>
      </c>
      <c r="B10630">
        <v>164202923.61331585</v>
      </c>
    </row>
    <row r="10631" spans="1:2" x14ac:dyDescent="0.25">
      <c r="A10631">
        <f ca="1">29977.7572861547*((RANDBETWEEN(1620,2416)))</f>
        <v>70807462.709897414</v>
      </c>
      <c r="B10631">
        <v>169361251.1194489</v>
      </c>
    </row>
    <row r="10632" spans="1:2" x14ac:dyDescent="0.25">
      <c r="A10632">
        <f ca="1">26696.7781910463*((RANDBETWEEN(1620,2416)))</f>
        <v>43675929.120551758</v>
      </c>
      <c r="B10632">
        <v>180221553.4609932</v>
      </c>
    </row>
    <row r="10633" spans="1:2" x14ac:dyDescent="0.25">
      <c r="A10633">
        <f ca="1">27024.7004791382*((RANDBETWEEN(1620,2416)))</f>
        <v>50292967.591676243</v>
      </c>
      <c r="B10633">
        <v>199192638.85373947</v>
      </c>
    </row>
    <row r="10634" spans="1:2" x14ac:dyDescent="0.25">
      <c r="A10634">
        <f ca="1">27047.3878603019*((RANDBETWEEN(1620,2416)))</f>
        <v>52742406.327588789</v>
      </c>
      <c r="B10634">
        <v>144870052.48059097</v>
      </c>
    </row>
    <row r="10635" spans="1:2" x14ac:dyDescent="0.25">
      <c r="A10635">
        <f ca="1">27464.553085124*((RANDBETWEEN(1620,2416)))</f>
        <v>49243943.681627274</v>
      </c>
      <c r="B10635">
        <v>148237369.92071715</v>
      </c>
    </row>
    <row r="10636" spans="1:2" x14ac:dyDescent="0.25">
      <c r="A10636">
        <f ca="1">30333.451008229*((RANDBETWEEN(1620,2416)))</f>
        <v>56177551.267240018</v>
      </c>
      <c r="B10636">
        <v>170949489.39369974</v>
      </c>
    </row>
    <row r="10637" spans="1:2" x14ac:dyDescent="0.25">
      <c r="A10637">
        <f ca="1">30072.6015105801*((RANDBETWEEN(1620,2416)))</f>
        <v>65678561.69910688</v>
      </c>
      <c r="B10637">
        <v>192877773.30084896</v>
      </c>
    </row>
    <row r="10638" spans="1:2" x14ac:dyDescent="0.25">
      <c r="A10638">
        <f ca="1">27700.1968269623*((RANDBETWEEN(1620,2416)))</f>
        <v>50580559.406033114</v>
      </c>
      <c r="B10638">
        <v>180015834.23655117</v>
      </c>
    </row>
    <row r="10639" spans="1:2" x14ac:dyDescent="0.25">
      <c r="A10639">
        <f ca="1">28093.2056308099*((RANDBETWEEN(1620,2416)))</f>
        <v>66159499.260557301</v>
      </c>
      <c r="B10639">
        <v>188542312.1584852</v>
      </c>
    </row>
    <row r="10640" spans="1:2" x14ac:dyDescent="0.25">
      <c r="A10640">
        <f ca="1">30071.8884650899*((RANDBETWEEN(1620,2416)))</f>
        <v>64744775.865338579</v>
      </c>
      <c r="B10640">
        <v>197377477.70318863</v>
      </c>
    </row>
    <row r="10641" spans="1:2" x14ac:dyDescent="0.25">
      <c r="A10641">
        <f ca="1">26001.0097841666*((RANDBETWEEN(1620,2416)))</f>
        <v>44877742.887471505</v>
      </c>
      <c r="B10641">
        <v>192808725.16150337</v>
      </c>
    </row>
    <row r="10642" spans="1:2" x14ac:dyDescent="0.25">
      <c r="A10642">
        <f ca="1">28077.9349429076*((RANDBETWEEN(1620,2416)))</f>
        <v>49838334.523660988</v>
      </c>
      <c r="B10642">
        <v>177703004.49475774</v>
      </c>
    </row>
    <row r="10643" spans="1:2" x14ac:dyDescent="0.25">
      <c r="A10643">
        <f ca="1">34093.3033817857*((RANDBETWEEN(1620,2416)))</f>
        <v>72141429.955858484</v>
      </c>
      <c r="B10643">
        <v>181373350.95171833</v>
      </c>
    </row>
    <row r="10644" spans="1:2" x14ac:dyDescent="0.25">
      <c r="A10644">
        <f ca="1">25519.7874391698*((RANDBETWEEN(1620,2416)))</f>
        <v>53285316.172986537</v>
      </c>
      <c r="B10644">
        <v>177286346.86485738</v>
      </c>
    </row>
    <row r="10645" spans="1:2" x14ac:dyDescent="0.25">
      <c r="A10645">
        <f ca="1">32428.2380068036*((RANDBETWEEN(1620,2416)))</f>
        <v>70466561.188784122</v>
      </c>
      <c r="B10645">
        <v>182747438.59337962</v>
      </c>
    </row>
    <row r="10646" spans="1:2" x14ac:dyDescent="0.25">
      <c r="A10646">
        <f ca="1">26803.9954388762*((RANDBETWEEN(1620,2416)))</f>
        <v>46531736.081889041</v>
      </c>
      <c r="B10646">
        <v>193022807.67897335</v>
      </c>
    </row>
    <row r="10647" spans="1:2" x14ac:dyDescent="0.25">
      <c r="A10647">
        <f ca="1">27236.1610277433*((RANDBETWEEN(1620,2416)))</f>
        <v>56596742.615650639</v>
      </c>
      <c r="B10647">
        <v>161248598.49088532</v>
      </c>
    </row>
    <row r="10648" spans="1:2" x14ac:dyDescent="0.25">
      <c r="A10648">
        <f ca="1">27126.833695633*((RANDBETWEEN(1620,2416)))</f>
        <v>58838102.285827979</v>
      </c>
      <c r="B10648">
        <v>182380303.89729559</v>
      </c>
    </row>
    <row r="10649" spans="1:2" x14ac:dyDescent="0.25">
      <c r="A10649">
        <f ca="1">26658.0416453675*((RANDBETWEEN(1620,2416)))</f>
        <v>64139248.198754273</v>
      </c>
      <c r="B10649">
        <v>193895715.40067929</v>
      </c>
    </row>
    <row r="10650" spans="1:2" x14ac:dyDescent="0.25">
      <c r="A10650">
        <f ca="1">31074.5541437637*((RANDBETWEEN(1620,2416)))</f>
        <v>55561302.809049428</v>
      </c>
      <c r="B10650">
        <v>173028846.11855149</v>
      </c>
    </row>
    <row r="10651" spans="1:2" x14ac:dyDescent="0.25">
      <c r="A10651">
        <f ca="1">29792.0185320211*((RANDBETWEEN(1620,2416)))</f>
        <v>49156830.5778348</v>
      </c>
      <c r="B10651">
        <v>167319046.02521586</v>
      </c>
    </row>
    <row r="10652" spans="1:2" x14ac:dyDescent="0.25">
      <c r="A10652">
        <f ca="1">30785.204516358*((RANDBETWEEN(1620,2416)))</f>
        <v>67696664.731471196</v>
      </c>
      <c r="B10652">
        <v>200631768.83410051</v>
      </c>
    </row>
    <row r="10653" spans="1:2" x14ac:dyDescent="0.25">
      <c r="A10653">
        <f ca="1">29894.4192934712*((RANDBETWEEN(1620,2416)))</f>
        <v>59071372.523899168</v>
      </c>
      <c r="B10653">
        <v>151360761.48089039</v>
      </c>
    </row>
    <row r="10654" spans="1:2" x14ac:dyDescent="0.25">
      <c r="A10654">
        <f ca="1">28562.6551581022*((RANDBETWEEN(1620,2416)))</f>
        <v>53097975.938911915</v>
      </c>
      <c r="B10654">
        <v>190546558.96653461</v>
      </c>
    </row>
    <row r="10655" spans="1:2" x14ac:dyDescent="0.25">
      <c r="A10655">
        <f ca="1">27012.0550686523*((RANDBETWEEN(1620,2416)))</f>
        <v>51998206.007155761</v>
      </c>
      <c r="B10655">
        <v>161319624.63864771</v>
      </c>
    </row>
    <row r="10656" spans="1:2" x14ac:dyDescent="0.25">
      <c r="A10656">
        <f ca="1">26580.4505608576*((RANDBETWEEN(1620,2416)))</f>
        <v>51193947.780211769</v>
      </c>
      <c r="B10656">
        <v>148426826.00709698</v>
      </c>
    </row>
    <row r="10657" spans="1:2" x14ac:dyDescent="0.25">
      <c r="A10657">
        <f ca="1">30848.8511623005*((RANDBETWEEN(1620,2416)))</f>
        <v>61790248.87808793</v>
      </c>
      <c r="B10657">
        <v>199873851.69073528</v>
      </c>
    </row>
    <row r="10658" spans="1:2" x14ac:dyDescent="0.25">
      <c r="A10658">
        <f ca="1">30653.6249062743*((RANDBETWEEN(1620,2416)))</f>
        <v>63115813.682018839</v>
      </c>
      <c r="B10658">
        <v>181442576.93198144</v>
      </c>
    </row>
    <row r="10659" spans="1:2" x14ac:dyDescent="0.25">
      <c r="A10659">
        <f ca="1">26874.3476098716*((RANDBETWEEN(1620,2416)))</f>
        <v>57296109.104246207</v>
      </c>
      <c r="B10659">
        <v>187205124.97866914</v>
      </c>
    </row>
    <row r="10660" spans="1:2" x14ac:dyDescent="0.25">
      <c r="A10660">
        <f ca="1">27350.8965171486*((RANDBETWEEN(1620,2416)))</f>
        <v>63973746.953610636</v>
      </c>
      <c r="B10660">
        <v>183063379.72402528</v>
      </c>
    </row>
    <row r="10661" spans="1:2" x14ac:dyDescent="0.25">
      <c r="A10661">
        <f ca="1">27021.8152086588*((RANDBETWEEN(1620,2416)))</f>
        <v>53043823.254597321</v>
      </c>
      <c r="B10661">
        <v>147891689.25183868</v>
      </c>
    </row>
    <row r="10662" spans="1:2" x14ac:dyDescent="0.25">
      <c r="A10662">
        <f ca="1">28467.8974811101*((RANDBETWEEN(1620,2416)))</f>
        <v>49904224.284386046</v>
      </c>
      <c r="B10662">
        <v>154339154.52527618</v>
      </c>
    </row>
    <row r="10663" spans="1:2" x14ac:dyDescent="0.25">
      <c r="A10663">
        <f ca="1">28624.5647436722*((RANDBETWEEN(1620,2416)))</f>
        <v>65206758.486085169</v>
      </c>
      <c r="B10663">
        <v>190140431.85286289</v>
      </c>
    </row>
    <row r="10664" spans="1:2" x14ac:dyDescent="0.25">
      <c r="A10664">
        <f ca="1">28333.6979132267*((RANDBETWEEN(1620,2416)))</f>
        <v>63750820.304760128</v>
      </c>
      <c r="B10664">
        <v>153511787.64871714</v>
      </c>
    </row>
    <row r="10665" spans="1:2" x14ac:dyDescent="0.25">
      <c r="A10665">
        <f ca="1">28465.7470740635*((RANDBETWEEN(1620,2416)))</f>
        <v>47224674.395871334</v>
      </c>
      <c r="B10665">
        <v>188108521.15221709</v>
      </c>
    </row>
    <row r="10666" spans="1:2" x14ac:dyDescent="0.25">
      <c r="A10666">
        <f ca="1">26861.4049668915*((RANDBETWEEN(1620,2416)))</f>
        <v>59900933.076167971</v>
      </c>
      <c r="B10666">
        <v>164123863.61483049</v>
      </c>
    </row>
    <row r="10667" spans="1:2" x14ac:dyDescent="0.25">
      <c r="A10667">
        <f ca="1">26246.5351731491*((RANDBETWEEN(1620,2416)))</f>
        <v>43569248.387427554</v>
      </c>
      <c r="B10667">
        <v>162528665.4158195</v>
      </c>
    </row>
    <row r="10668" spans="1:2" x14ac:dyDescent="0.25">
      <c r="A10668">
        <f ca="1">28092.3308215186*((RANDBETWEEN(1620,2416)))</f>
        <v>47447946.757544972</v>
      </c>
      <c r="B10668">
        <v>193930802.00195384</v>
      </c>
    </row>
    <row r="10669" spans="1:2" x14ac:dyDescent="0.25">
      <c r="A10669">
        <f ca="1">27133.3871401704*((RANDBETWEEN(1620,2416)))</f>
        <v>56166111.380152658</v>
      </c>
      <c r="B10669">
        <v>198647920.60332453</v>
      </c>
    </row>
    <row r="10670" spans="1:2" x14ac:dyDescent="0.25">
      <c r="A10670">
        <f ca="1">25752.399767276*((RANDBETWEEN(1620,2416)))</f>
        <v>49264340.754798971</v>
      </c>
      <c r="B10670">
        <v>154733716.59946239</v>
      </c>
    </row>
    <row r="10671" spans="1:2" x14ac:dyDescent="0.25">
      <c r="A10671">
        <f ca="1">26878.5843340917*((RANDBETWEEN(1620,2416)))</f>
        <v>50504859.963758349</v>
      </c>
      <c r="B10671">
        <v>145724033.31694388</v>
      </c>
    </row>
    <row r="10672" spans="1:2" x14ac:dyDescent="0.25">
      <c r="A10672">
        <f ca="1">26956.1456578593*((RANDBETWEEN(1620,2416)))</f>
        <v>47631509.377437346</v>
      </c>
      <c r="B10672">
        <v>149540263.10582665</v>
      </c>
    </row>
    <row r="10673" spans="1:2" x14ac:dyDescent="0.25">
      <c r="A10673">
        <f ca="1">26563.2057675033*((RANDBETWEEN(1620,2416)))</f>
        <v>51320113.542816393</v>
      </c>
      <c r="B10673">
        <v>153388272.19329685</v>
      </c>
    </row>
    <row r="10674" spans="1:2" x14ac:dyDescent="0.25">
      <c r="A10674">
        <f ca="1">27220.2068433144*((RANDBETWEEN(1620,2416)))</f>
        <v>64784092.287088327</v>
      </c>
      <c r="B10674">
        <v>186468026.06483692</v>
      </c>
    </row>
    <row r="10675" spans="1:2" x14ac:dyDescent="0.25">
      <c r="A10675">
        <f ca="1">25911.3511314455*((RANDBETWEEN(1620,2416)))</f>
        <v>46640432.036601909</v>
      </c>
      <c r="B10675">
        <v>192763247.5135867</v>
      </c>
    </row>
    <row r="10676" spans="1:2" x14ac:dyDescent="0.25">
      <c r="A10676">
        <f ca="1">29061.4665692709*((RANDBETWEEN(1620,2416)))</f>
        <v>65242992.448013157</v>
      </c>
      <c r="B10676">
        <v>196378547.15078679</v>
      </c>
    </row>
    <row r="10677" spans="1:2" x14ac:dyDescent="0.25">
      <c r="A10677">
        <f ca="1">27028.5122844535*((RANDBETWEEN(1620,2416)))</f>
        <v>48867550.210291885</v>
      </c>
      <c r="B10677">
        <v>181681075.86272666</v>
      </c>
    </row>
    <row r="10678" spans="1:2" x14ac:dyDescent="0.25">
      <c r="A10678">
        <f ca="1">27533.8306544401*((RANDBETWEEN(1620,2416)))</f>
        <v>54186578.727938168</v>
      </c>
      <c r="B10678">
        <v>146856415.28045982</v>
      </c>
    </row>
    <row r="10679" spans="1:2" x14ac:dyDescent="0.25">
      <c r="A10679">
        <f ca="1">24892.2284452689*((RANDBETWEEN(1620,2416)))</f>
        <v>42267003.900066644</v>
      </c>
      <c r="B10679">
        <v>155154857.46512568</v>
      </c>
    </row>
    <row r="10680" spans="1:2" x14ac:dyDescent="0.25">
      <c r="A10680">
        <f ca="1">25739.5138230737*((RANDBETWEEN(1620,2416)))</f>
        <v>59715672.069531053</v>
      </c>
      <c r="B10680">
        <v>154720116.22585607</v>
      </c>
    </row>
    <row r="10681" spans="1:2" x14ac:dyDescent="0.25">
      <c r="A10681">
        <f ca="1">33522.2968105694*((RANDBETWEEN(1620,2416)))</f>
        <v>57825961.998232171</v>
      </c>
      <c r="B10681">
        <v>201768101.97037399</v>
      </c>
    </row>
    <row r="10682" spans="1:2" x14ac:dyDescent="0.25">
      <c r="A10682">
        <f ca="1">25902.665606845*((RANDBETWEEN(1620,2416)))</f>
        <v>43827310.206781775</v>
      </c>
      <c r="B10682">
        <v>154331775.82259786</v>
      </c>
    </row>
    <row r="10683" spans="1:2" x14ac:dyDescent="0.25">
      <c r="A10683">
        <f ca="1">26607.9199233666*((RANDBETWEEN(1620,2416)))</f>
        <v>52497426.00880228</v>
      </c>
      <c r="B10683">
        <v>147423658.52085388</v>
      </c>
    </row>
    <row r="10684" spans="1:2" x14ac:dyDescent="0.25">
      <c r="A10684">
        <f ca="1">30867.513718487*((RANDBETWEEN(1620,2416)))</f>
        <v>74328973.03411667</v>
      </c>
      <c r="B10684">
        <v>203465590.89874497</v>
      </c>
    </row>
    <row r="10685" spans="1:2" x14ac:dyDescent="0.25">
      <c r="A10685">
        <f ca="1">26809.5684121523*((RANDBETWEEN(1620,2416)))</f>
        <v>51608419.193393208</v>
      </c>
      <c r="B10685">
        <v>150574990.84705821</v>
      </c>
    </row>
    <row r="10686" spans="1:2" x14ac:dyDescent="0.25">
      <c r="A10686">
        <f ca="1">29226.3034278966*((RANDBETWEEN(1620,2416)))</f>
        <v>57692722.966667913</v>
      </c>
      <c r="B10686">
        <v>203146345.75284272</v>
      </c>
    </row>
    <row r="10687" spans="1:2" x14ac:dyDescent="0.25">
      <c r="A10687">
        <f ca="1">28902.2615974263*((RANDBETWEEN(1620,2416)))</f>
        <v>53180161.339264341</v>
      </c>
      <c r="B10687">
        <v>161860605.1815632</v>
      </c>
    </row>
    <row r="10688" spans="1:2" x14ac:dyDescent="0.25">
      <c r="A10688">
        <f ca="1">27764.8451503106*((RANDBETWEEN(1620,2416)))</f>
        <v>63914673.536014959</v>
      </c>
      <c r="B10688">
        <v>159292068.21951926</v>
      </c>
    </row>
    <row r="10689" spans="1:2" x14ac:dyDescent="0.25">
      <c r="A10689">
        <f ca="1">27634.778767002*((RANDBETWEEN(1620,2416)))</f>
        <v>56292044.348383099</v>
      </c>
      <c r="B10689">
        <v>176822883.1383965</v>
      </c>
    </row>
    <row r="10690" spans="1:2" x14ac:dyDescent="0.25">
      <c r="A10690">
        <f ca="1">28942.8596452841*((RANDBETWEEN(1620,2416)))</f>
        <v>57306862.097662561</v>
      </c>
      <c r="B10690">
        <v>165015971.42702848</v>
      </c>
    </row>
    <row r="10691" spans="1:2" x14ac:dyDescent="0.25">
      <c r="A10691">
        <f ca="1">25407.419550753*((RANDBETWEEN(1620,2416)))</f>
        <v>49519060.704417512</v>
      </c>
      <c r="B10691">
        <v>149971519.1699</v>
      </c>
    </row>
    <row r="10692" spans="1:2" x14ac:dyDescent="0.25">
      <c r="A10692">
        <f ca="1">27297.9982962569*((RANDBETWEEN(1620,2416)))</f>
        <v>65023831.941683844</v>
      </c>
      <c r="B10692">
        <v>197184669.4288094</v>
      </c>
    </row>
    <row r="10693" spans="1:2" x14ac:dyDescent="0.25">
      <c r="A10693">
        <f ca="1">25535.3296301693*((RANDBETWEEN(1620,2416)))</f>
        <v>49819428.1084603</v>
      </c>
      <c r="B10693">
        <v>145846803.40979362</v>
      </c>
    </row>
    <row r="10694" spans="1:2" x14ac:dyDescent="0.25">
      <c r="A10694">
        <f ca="1">28132.7616874317*((RANDBETWEEN(1620,2416)))</f>
        <v>54605690.43530494</v>
      </c>
      <c r="B10694">
        <v>160393858.34457454</v>
      </c>
    </row>
    <row r="10695" spans="1:2" x14ac:dyDescent="0.25">
      <c r="A10695">
        <f ca="1">26734.5712896022*((RANDBETWEEN(1620,2416)))</f>
        <v>48175697.463863194</v>
      </c>
      <c r="B10695">
        <v>160547741.132514</v>
      </c>
    </row>
    <row r="10696" spans="1:2" x14ac:dyDescent="0.25">
      <c r="A10696">
        <f ca="1">27671.4062502976*((RANDBETWEEN(1620,2416)))</f>
        <v>48148246.875517868</v>
      </c>
      <c r="B10696">
        <v>160700329.4819887</v>
      </c>
    </row>
    <row r="10697" spans="1:2" x14ac:dyDescent="0.25">
      <c r="A10697">
        <f ca="1">26458.1688885595*((RANDBETWEEN(1620,2416)))</f>
        <v>53022170.452673227</v>
      </c>
      <c r="B10697">
        <v>166555062.51846871</v>
      </c>
    </row>
    <row r="10698" spans="1:2" x14ac:dyDescent="0.25">
      <c r="A10698">
        <f ca="1">28981.5681004173*((RANDBETWEEN(1620,2416)))</f>
        <v>52253767.285052359</v>
      </c>
      <c r="B10698">
        <v>181325911.23730716</v>
      </c>
    </row>
    <row r="10699" spans="1:2" x14ac:dyDescent="0.25">
      <c r="A10699">
        <f ca="1">30357.8920102288*((RANDBETWEEN(1620,2416)))</f>
        <v>62324752.29699979</v>
      </c>
      <c r="B10699">
        <v>183139183.49951774</v>
      </c>
    </row>
    <row r="10700" spans="1:2" x14ac:dyDescent="0.25">
      <c r="A10700">
        <f ca="1">26319.6313648088*((RANDBETWEEN(1620,2416)))</f>
        <v>43953784.379230723</v>
      </c>
      <c r="B10700">
        <v>143527987.67625159</v>
      </c>
    </row>
    <row r="10701" spans="1:2" x14ac:dyDescent="0.25">
      <c r="A10701">
        <f ca="1">27469.1104660847*((RANDBETWEEN(1620,2416)))</f>
        <v>61091301.676572472</v>
      </c>
      <c r="B10701">
        <v>190794251.09356928</v>
      </c>
    </row>
    <row r="10702" spans="1:2" x14ac:dyDescent="0.25">
      <c r="A10702">
        <f ca="1">27480.9869171062*((RANDBETWEEN(1620,2416)))</f>
        <v>50537534.940558285</v>
      </c>
      <c r="B10702">
        <v>153582176.01684248</v>
      </c>
    </row>
    <row r="10703" spans="1:2" x14ac:dyDescent="0.25">
      <c r="A10703">
        <f ca="1">27048.6597314719*((RANDBETWEEN(1620,2416)))</f>
        <v>57234963.991794482</v>
      </c>
      <c r="B10703">
        <v>149761845.41423678</v>
      </c>
    </row>
    <row r="10704" spans="1:2" x14ac:dyDescent="0.25">
      <c r="A10704">
        <f ca="1">28334.0348385046*((RANDBETWEEN(1620,2416)))</f>
        <v>51624611.475755379</v>
      </c>
      <c r="B10704">
        <v>165411742.75320578</v>
      </c>
    </row>
    <row r="10705" spans="1:2" x14ac:dyDescent="0.25">
      <c r="A10705">
        <f ca="1">24875.2396257488*((RANDBETWEEN(1620,2416)))</f>
        <v>52984260.402844891</v>
      </c>
      <c r="B10705">
        <v>146599452.95209616</v>
      </c>
    </row>
    <row r="10706" spans="1:2" x14ac:dyDescent="0.25">
      <c r="A10706">
        <f ca="1">27353.2271649111*((RANDBETWEEN(1620,2416)))</f>
        <v>44804586.096124418</v>
      </c>
      <c r="B10706">
        <v>156745464.26373342</v>
      </c>
    </row>
    <row r="10707" spans="1:2" x14ac:dyDescent="0.25">
      <c r="A10707">
        <f ca="1">27520.9288628556*((RANDBETWEEN(1620,2416)))</f>
        <v>64591620.041122057</v>
      </c>
      <c r="B10707">
        <v>147823657.15531686</v>
      </c>
    </row>
    <row r="10708" spans="1:2" x14ac:dyDescent="0.25">
      <c r="A10708">
        <f ca="1">26337.2455696048*((RANDBETWEEN(1620,2416)))</f>
        <v>43219419.97972142</v>
      </c>
      <c r="B10708">
        <v>185126998.74068129</v>
      </c>
    </row>
    <row r="10709" spans="1:2" x14ac:dyDescent="0.25">
      <c r="A10709">
        <f ca="1">32306.2003346145*((RANDBETWEEN(1620,2416)))</f>
        <v>63804745.660863698</v>
      </c>
      <c r="B10709">
        <v>151517110.7873365</v>
      </c>
    </row>
    <row r="10710" spans="1:2" x14ac:dyDescent="0.25">
      <c r="A10710">
        <f ca="1">25668.9665115048*((RANDBETWEEN(1620,2416)))</f>
        <v>54187188.305786602</v>
      </c>
      <c r="B10710">
        <v>151276671.90148127</v>
      </c>
    </row>
    <row r="10711" spans="1:2" x14ac:dyDescent="0.25">
      <c r="A10711">
        <f ca="1">27730.2826415384*((RANDBETWEEN(1620,2416)))</f>
        <v>60008331.636289157</v>
      </c>
      <c r="B10711">
        <v>153595267.21715534</v>
      </c>
    </row>
    <row r="10712" spans="1:2" x14ac:dyDescent="0.25">
      <c r="A10712">
        <f ca="1">30979.8184246947*((RANDBETWEEN(1620,2416)))</f>
        <v>74289604.58241798</v>
      </c>
      <c r="B10712">
        <v>181325869.52401406</v>
      </c>
    </row>
    <row r="10713" spans="1:2" x14ac:dyDescent="0.25">
      <c r="A10713">
        <f ca="1">30085.5238931994*((RANDBETWEEN(1620,2416)))</f>
        <v>52378897.098060161</v>
      </c>
      <c r="B10713">
        <v>185111371.72816816</v>
      </c>
    </row>
    <row r="10714" spans="1:2" x14ac:dyDescent="0.25">
      <c r="A10714">
        <f ca="1">25522.863426617*((RANDBETWEEN(1620,2416)))</f>
        <v>47523571.700360872</v>
      </c>
      <c r="B10714">
        <v>148463912.94996694</v>
      </c>
    </row>
    <row r="10715" spans="1:2" x14ac:dyDescent="0.25">
      <c r="A10715">
        <f ca="1">29966.8520978679*((RANDBETWEEN(1620,2416)))</f>
        <v>63499759.595382161</v>
      </c>
      <c r="B10715">
        <v>176353761.69199973</v>
      </c>
    </row>
    <row r="10716" spans="1:2" x14ac:dyDescent="0.25">
      <c r="A10716">
        <f ca="1">30089.4025815392*((RANDBETWEEN(1620,2416)))</f>
        <v>63669175.862537012</v>
      </c>
      <c r="B10716">
        <v>175088886.18708807</v>
      </c>
    </row>
    <row r="10717" spans="1:2" x14ac:dyDescent="0.25">
      <c r="A10717">
        <f ca="1">26789.633210626*((RANDBETWEEN(1620,2416)))</f>
        <v>46346065.454382986</v>
      </c>
      <c r="B10717">
        <v>187802052.80832151</v>
      </c>
    </row>
    <row r="10718" spans="1:2" x14ac:dyDescent="0.25">
      <c r="A10718">
        <f ca="1">27245.1996617297*((RANDBETWEEN(1620,2416)))</f>
        <v>46534801.022234388</v>
      </c>
      <c r="B10718">
        <v>174387073.07246733</v>
      </c>
    </row>
    <row r="10719" spans="1:2" x14ac:dyDescent="0.25">
      <c r="A10719">
        <f ca="1">28469.5933851656*((RANDBETWEEN(1620,2416)))</f>
        <v>67188240.388990819</v>
      </c>
      <c r="B10719">
        <v>195314402.81060001</v>
      </c>
    </row>
    <row r="10720" spans="1:2" x14ac:dyDescent="0.25">
      <c r="A10720">
        <f ca="1">25629.7592403185*((RANDBETWEEN(1620,2416)))</f>
        <v>57923255.883119933</v>
      </c>
      <c r="B10720">
        <v>150364598.89082623</v>
      </c>
    </row>
    <row r="10721" spans="1:2" x14ac:dyDescent="0.25">
      <c r="A10721">
        <f ca="1">28728.6585379674*((RANDBETWEEN(1620,2416)))</f>
        <v>59295951.222364776</v>
      </c>
      <c r="B10721">
        <v>149133853.32127592</v>
      </c>
    </row>
    <row r="10722" spans="1:2" x14ac:dyDescent="0.25">
      <c r="A10722">
        <f ca="1">27687.4542934846*((RANDBETWEEN(1620,2416)))</f>
        <v>66865202.118765377</v>
      </c>
      <c r="B10722">
        <v>199060416.23828712</v>
      </c>
    </row>
    <row r="10723" spans="1:2" x14ac:dyDescent="0.25">
      <c r="A10723">
        <f ca="1">27744.3803369978*((RANDBETWEEN(1620,2416)))</f>
        <v>64866361.227900952</v>
      </c>
      <c r="B10723">
        <v>168550397.31210786</v>
      </c>
    </row>
    <row r="10724" spans="1:2" x14ac:dyDescent="0.25">
      <c r="A10724">
        <f ca="1">27769.2643946*((RANDBETWEEN(1620,2416)))</f>
        <v>57204684.652876101</v>
      </c>
      <c r="B10724">
        <v>167422606.41773167</v>
      </c>
    </row>
    <row r="10725" spans="1:2" x14ac:dyDescent="0.25">
      <c r="A10725">
        <f ca="1">27181.2990045983*((RANDBETWEEN(1620,2416)))</f>
        <v>58711605.849932224</v>
      </c>
      <c r="B10725">
        <v>188629898.34819573</v>
      </c>
    </row>
    <row r="10726" spans="1:2" x14ac:dyDescent="0.25">
      <c r="A10726">
        <f ca="1">26371.2891265667*((RANDBETWEEN(1620,2416)))</f>
        <v>49762622.581831388</v>
      </c>
      <c r="B10726">
        <v>168419551.58034021</v>
      </c>
    </row>
    <row r="10727" spans="1:2" x14ac:dyDescent="0.25">
      <c r="A10727">
        <f ca="1">26394.7082675157*((RANDBETWEEN(1620,2416)))</f>
        <v>45742029.427604742</v>
      </c>
      <c r="B10727">
        <v>171735081.28484595</v>
      </c>
    </row>
    <row r="10728" spans="1:2" x14ac:dyDescent="0.25">
      <c r="A10728">
        <f ca="1">27162.4084920805*((RANDBETWEEN(1620,2416)))</f>
        <v>44301888.250583246</v>
      </c>
      <c r="B10728">
        <v>145477069.38102776</v>
      </c>
    </row>
    <row r="10729" spans="1:2" x14ac:dyDescent="0.25">
      <c r="A10729">
        <f ca="1">26614.7790394257*((RANDBETWEEN(1620,2416)))</f>
        <v>48492127.409833588</v>
      </c>
      <c r="B10729">
        <v>155100344.71623641</v>
      </c>
    </row>
    <row r="10730" spans="1:2" x14ac:dyDescent="0.25">
      <c r="A10730">
        <f ca="1">26808.688730753*((RANDBETWEEN(1620,2416)))</f>
        <v>52303751.713699192</v>
      </c>
      <c r="B10730">
        <v>175671055.61378574</v>
      </c>
    </row>
    <row r="10731" spans="1:2" x14ac:dyDescent="0.25">
      <c r="A10731">
        <f ca="1">28100.3400147619*((RANDBETWEEN(1620,2416)))</f>
        <v>48163982.785301924</v>
      </c>
      <c r="B10731">
        <v>187880674.47191143</v>
      </c>
    </row>
    <row r="10732" spans="1:2" x14ac:dyDescent="0.25">
      <c r="A10732">
        <f ca="1">26531.9449816549*((RANDBETWEEN(1620,2416)))</f>
        <v>60094855.383448392</v>
      </c>
      <c r="B10732">
        <v>143268550.45772153</v>
      </c>
    </row>
    <row r="10733" spans="1:2" x14ac:dyDescent="0.25">
      <c r="A10733">
        <f ca="1">25255.8208687931*((RANDBETWEEN(1620,2416)))</f>
        <v>53971689.196610764</v>
      </c>
      <c r="B10733">
        <v>165541135.68148834</v>
      </c>
    </row>
    <row r="10734" spans="1:2" x14ac:dyDescent="0.25">
      <c r="A10734">
        <f ca="1">30625.2070833865*((RANDBETWEEN(1620,2416)))</f>
        <v>73898624.692211702</v>
      </c>
      <c r="B10734">
        <v>187649135.24568391</v>
      </c>
    </row>
    <row r="10735" spans="1:2" x14ac:dyDescent="0.25">
      <c r="A10735">
        <f ca="1">28787.9467600688*((RANDBETWEEN(1620,2416)))</f>
        <v>55848616.714533389</v>
      </c>
      <c r="B10735">
        <v>145246535.734662</v>
      </c>
    </row>
    <row r="10736" spans="1:2" x14ac:dyDescent="0.25">
      <c r="A10736">
        <f ca="1">28856.0960207275*((RANDBETWEEN(1620,2416)))</f>
        <v>58116177.385745108</v>
      </c>
      <c r="B10736">
        <v>195615449.52636877</v>
      </c>
    </row>
    <row r="10737" spans="1:2" x14ac:dyDescent="0.25">
      <c r="A10737">
        <f ca="1">28257.7900213292*((RANDBETWEEN(1620,2416)))</f>
        <v>46964447.015449047</v>
      </c>
      <c r="B10737">
        <v>153461163.19404292</v>
      </c>
    </row>
    <row r="10738" spans="1:2" x14ac:dyDescent="0.25">
      <c r="A10738">
        <f ca="1">28508.6870283177*((RANDBETWEEN(1620,2416)))</f>
        <v>52912123.124557711</v>
      </c>
      <c r="B10738">
        <v>170553984.02663827</v>
      </c>
    </row>
    <row r="10739" spans="1:2" x14ac:dyDescent="0.25">
      <c r="A10739">
        <f ca="1">26964.3678097461*((RANDBETWEEN(1620,2416)))</f>
        <v>47807824.12667983</v>
      </c>
      <c r="B10739">
        <v>169782737.27162242</v>
      </c>
    </row>
    <row r="10740" spans="1:2" x14ac:dyDescent="0.25">
      <c r="A10740">
        <f ca="1">25782.0269433358*((RANDBETWEEN(1620,2416)))</f>
        <v>55766524.278435238</v>
      </c>
      <c r="B10740">
        <v>144521044.70313096</v>
      </c>
    </row>
    <row r="10741" spans="1:2" x14ac:dyDescent="0.25">
      <c r="A10741">
        <f ca="1">26765.2578514318*((RANDBETWEEN(1620,2416)))</f>
        <v>52138722.29458914</v>
      </c>
      <c r="B10741">
        <v>163776805.73770878</v>
      </c>
    </row>
    <row r="10742" spans="1:2" x14ac:dyDescent="0.25">
      <c r="A10742">
        <f ca="1">29374.7604168908*((RANDBETWEEN(1620,2416)))</f>
        <v>63243859.177565955</v>
      </c>
      <c r="B10742">
        <v>166657009.11975795</v>
      </c>
    </row>
    <row r="10743" spans="1:2" x14ac:dyDescent="0.25">
      <c r="A10743">
        <f ca="1">31165.7012732772*((RANDBETWEEN(1620,2416)))</f>
        <v>67349080.451552123</v>
      </c>
      <c r="B10743">
        <v>158008417.27489269</v>
      </c>
    </row>
    <row r="10744" spans="1:2" x14ac:dyDescent="0.25">
      <c r="A10744">
        <f ca="1">28526.2953046388*((RANDBETWEEN(1620,2416)))</f>
        <v>49949543.078422509</v>
      </c>
      <c r="B10744">
        <v>165812848.5163531</v>
      </c>
    </row>
    <row r="10745" spans="1:2" x14ac:dyDescent="0.25">
      <c r="A10745">
        <f ca="1">26929.3545410671*((RANDBETWEEN(1620,2416)))</f>
        <v>53185475.21860753</v>
      </c>
      <c r="B10745">
        <v>191402948.17238662</v>
      </c>
    </row>
    <row r="10746" spans="1:2" x14ac:dyDescent="0.25">
      <c r="A10746">
        <f ca="1">26162.8616998762*((RANDBETWEEN(1620,2416)))</f>
        <v>58604810.207722768</v>
      </c>
      <c r="B10746">
        <v>165714731.52614745</v>
      </c>
    </row>
    <row r="10747" spans="1:2" x14ac:dyDescent="0.25">
      <c r="A10747">
        <f ca="1">31667.3447614352*((RANDBETWEEN(1620,2416)))</f>
        <v>54752839.092521451</v>
      </c>
      <c r="B10747">
        <v>160197225.82165059</v>
      </c>
    </row>
    <row r="10748" spans="1:2" x14ac:dyDescent="0.25">
      <c r="A10748">
        <f ca="1">27191.5965357278*((RANDBETWEEN(1620,2416)))</f>
        <v>63682719.086674556</v>
      </c>
      <c r="B10748">
        <v>152240459.7622084</v>
      </c>
    </row>
    <row r="10749" spans="1:2" x14ac:dyDescent="0.25">
      <c r="A10749">
        <f ca="1">26914.9481071505*((RANDBETWEEN(1620,2416)))</f>
        <v>49765739.050121278</v>
      </c>
      <c r="B10749">
        <v>189100704.15902346</v>
      </c>
    </row>
    <row r="10750" spans="1:2" x14ac:dyDescent="0.25">
      <c r="A10750">
        <f ca="1">26913.6421007214*((RANDBETWEEN(1620,2416)))</f>
        <v>50974438.138766333</v>
      </c>
      <c r="B10750">
        <v>147258342.0678618</v>
      </c>
    </row>
    <row r="10751" spans="1:2" x14ac:dyDescent="0.25">
      <c r="A10751">
        <f ca="1">27302.9159509832*((RANDBETWEEN(1620,2416)))</f>
        <v>64489487.476222545</v>
      </c>
      <c r="B10751">
        <v>168092118.92192915</v>
      </c>
    </row>
    <row r="10752" spans="1:2" x14ac:dyDescent="0.25">
      <c r="A10752">
        <f ca="1">27582.4051065768*((RANDBETWEEN(1620,2416)))</f>
        <v>65177223.266840987</v>
      </c>
      <c r="B10752">
        <v>155133459.94628072</v>
      </c>
    </row>
    <row r="10753" spans="1:2" x14ac:dyDescent="0.25">
      <c r="A10753">
        <f ca="1">26805.2434209704*((RANDBETWEEN(1620,2416)))</f>
        <v>53288823.920889117</v>
      </c>
      <c r="B10753">
        <v>187681589.41169685</v>
      </c>
    </row>
    <row r="10754" spans="1:2" x14ac:dyDescent="0.25">
      <c r="A10754">
        <f ca="1">29710.0888016887*((RANDBETWEEN(1620,2416)))</f>
        <v>51012222.472499482</v>
      </c>
      <c r="B10754">
        <v>196066224.65637484</v>
      </c>
    </row>
    <row r="10755" spans="1:2" x14ac:dyDescent="0.25">
      <c r="A10755">
        <f ca="1">33124.4434818028*((RANDBETWEEN(1620,2416)))</f>
        <v>53760971.770966008</v>
      </c>
      <c r="B10755">
        <v>164875951.8044396</v>
      </c>
    </row>
    <row r="10756" spans="1:2" x14ac:dyDescent="0.25">
      <c r="A10756">
        <f ca="1">27406.4579037768*((RANDBETWEEN(1620,2416)))</f>
        <v>61609717.367690191</v>
      </c>
      <c r="B10756">
        <v>172772985.97856361</v>
      </c>
    </row>
    <row r="10757" spans="1:2" x14ac:dyDescent="0.25">
      <c r="A10757">
        <f ca="1">27035.1634142809*((RANDBETWEEN(1620,2416)))</f>
        <v>65181778.991831347</v>
      </c>
      <c r="B10757">
        <v>169275132.3694309</v>
      </c>
    </row>
    <row r="10758" spans="1:2" x14ac:dyDescent="0.25">
      <c r="A10758">
        <f ca="1">27046.2146795987*((RANDBETWEEN(1620,2416)))</f>
        <v>48953648.570073694</v>
      </c>
      <c r="B10758">
        <v>165215174.28668106</v>
      </c>
    </row>
    <row r="10759" spans="1:2" x14ac:dyDescent="0.25">
      <c r="A10759">
        <f ca="1">27412.639169294*((RANDBETWEEN(1620,2416)))</f>
        <v>54194787.637694307</v>
      </c>
      <c r="B10759">
        <v>146632797.86137694</v>
      </c>
    </row>
    <row r="10760" spans="1:2" x14ac:dyDescent="0.25">
      <c r="A10760">
        <f ca="1">28007.6911796573*((RANDBETWEEN(1620,2416)))</f>
        <v>55063120.859206334</v>
      </c>
      <c r="B10760">
        <v>179988603.49821398</v>
      </c>
    </row>
    <row r="10761" spans="1:2" x14ac:dyDescent="0.25">
      <c r="A10761">
        <f ca="1">26822.332177543*((RANDBETWEEN(1620,2416)))</f>
        <v>51472055.448705032</v>
      </c>
      <c r="B10761">
        <v>173673666.01482368</v>
      </c>
    </row>
    <row r="10762" spans="1:2" x14ac:dyDescent="0.25">
      <c r="A10762">
        <f ca="1">27714.9942876281*((RANDBETWEEN(1620,2416)))</f>
        <v>50080994.677743912</v>
      </c>
      <c r="B10762">
        <v>143870429.03969324</v>
      </c>
    </row>
    <row r="10763" spans="1:2" x14ac:dyDescent="0.25">
      <c r="A10763">
        <f ca="1">26035.627819539*((RANDBETWEEN(1620,2416)))</f>
        <v>52852324.47366415</v>
      </c>
      <c r="B10763">
        <v>156792014.85774621</v>
      </c>
    </row>
    <row r="10764" spans="1:2" x14ac:dyDescent="0.25">
      <c r="A10764">
        <f ca="1">26661.5575891317*((RANDBETWEEN(1620,2416)))</f>
        <v>50043743.594800144</v>
      </c>
      <c r="B10764">
        <v>148367841.30745509</v>
      </c>
    </row>
    <row r="10765" spans="1:2" x14ac:dyDescent="0.25">
      <c r="A10765">
        <f ca="1">26815.6265910968*((RANDBETWEEN(1620,2416)))</f>
        <v>45184330.805998072</v>
      </c>
      <c r="B10765">
        <v>165681824.73271111</v>
      </c>
    </row>
    <row r="10766" spans="1:2" x14ac:dyDescent="0.25">
      <c r="A10766">
        <f ca="1">26732.3401213077*((RANDBETWEEN(1620,2416)))</f>
        <v>58971542.307604887</v>
      </c>
      <c r="B10766">
        <v>200032467.84730688</v>
      </c>
    </row>
    <row r="10767" spans="1:2" x14ac:dyDescent="0.25">
      <c r="A10767">
        <f ca="1">25654.2368193238*((RANDBETWEEN(1620,2416)))</f>
        <v>60082222.630856253</v>
      </c>
      <c r="B10767">
        <v>150431177.11441404</v>
      </c>
    </row>
    <row r="10768" spans="1:2" x14ac:dyDescent="0.25">
      <c r="A10768">
        <f ca="1">26544.5641764561*((RANDBETWEEN(1620,2416)))</f>
        <v>56141753.23320473</v>
      </c>
      <c r="B10768">
        <v>182224697.48068026</v>
      </c>
    </row>
    <row r="10769" spans="1:2" x14ac:dyDescent="0.25">
      <c r="A10769">
        <f ca="1">30809.5689993448*((RANDBETWEEN(1620,2416)))</f>
        <v>73388393.356439263</v>
      </c>
      <c r="B10769">
        <v>182715177.87900445</v>
      </c>
    </row>
    <row r="10770" spans="1:2" x14ac:dyDescent="0.25">
      <c r="A10770">
        <f ca="1">27131.9744414763*((RANDBETWEEN(1620,2416)))</f>
        <v>52391842.646490648</v>
      </c>
      <c r="B10770">
        <v>157100245.09328997</v>
      </c>
    </row>
    <row r="10771" spans="1:2" x14ac:dyDescent="0.25">
      <c r="A10771">
        <f ca="1">26644.3396103631*((RANDBETWEEN(1620,2416)))</f>
        <v>54913983.936958283</v>
      </c>
      <c r="B10771">
        <v>149384308.5854286</v>
      </c>
    </row>
    <row r="10772" spans="1:2" x14ac:dyDescent="0.25">
      <c r="A10772">
        <f ca="1">28607.6013853273*((RANDBETWEEN(1620,2416)))</f>
        <v>46372921.845615566</v>
      </c>
      <c r="B10772">
        <v>149466994.71023029</v>
      </c>
    </row>
    <row r="10773" spans="1:2" x14ac:dyDescent="0.25">
      <c r="A10773">
        <f ca="1">28096.917236003*((RANDBETWEEN(1620,2416)))</f>
        <v>61447957.995138615</v>
      </c>
      <c r="B10773">
        <v>174834412.05592197</v>
      </c>
    </row>
    <row r="10774" spans="1:2" x14ac:dyDescent="0.25">
      <c r="A10774">
        <f ca="1">26550.3031223297*((RANDBETWEEN(1620,2416)))</f>
        <v>50498676.538671024</v>
      </c>
      <c r="B10774">
        <v>148532067.25260231</v>
      </c>
    </row>
    <row r="10775" spans="1:2" x14ac:dyDescent="0.25">
      <c r="A10775">
        <f ca="1">32015.973907462*((RANDBETWEEN(1620,2416)))</f>
        <v>74148995.569682091</v>
      </c>
      <c r="B10775">
        <v>168398144.25304914</v>
      </c>
    </row>
    <row r="10776" spans="1:2" x14ac:dyDescent="0.25">
      <c r="A10776">
        <f ca="1">27532.3557818099*((RANDBETWEEN(1620,2416)))</f>
        <v>58093270.699618891</v>
      </c>
      <c r="B10776">
        <v>172652564.5268915</v>
      </c>
    </row>
    <row r="10777" spans="1:2" x14ac:dyDescent="0.25">
      <c r="A10777">
        <f ca="1">26082.2468328708*((RANDBETWEEN(1620,2416)))</f>
        <v>49321528.760958716</v>
      </c>
      <c r="B10777">
        <v>152420560.27186167</v>
      </c>
    </row>
    <row r="10778" spans="1:2" x14ac:dyDescent="0.25">
      <c r="A10778">
        <f ca="1">27256.8787848302*((RANDBETWEEN(1620,2416)))</f>
        <v>52905601.721355379</v>
      </c>
      <c r="B10778">
        <v>158099630.65244472</v>
      </c>
    </row>
    <row r="10779" spans="1:2" x14ac:dyDescent="0.25">
      <c r="A10779">
        <f ca="1">31094.3505273595*((RANDBETWEEN(1620,2416)))</f>
        <v>73973459.904588163</v>
      </c>
      <c r="B10779">
        <v>167873666.06039903</v>
      </c>
    </row>
    <row r="10780" spans="1:2" x14ac:dyDescent="0.25">
      <c r="A10780">
        <f ca="1">24854.5431552342*((RANDBETWEEN(1620,2416)))</f>
        <v>59203521.795767888</v>
      </c>
      <c r="B10780">
        <v>169029015.22068962</v>
      </c>
    </row>
    <row r="10781" spans="1:2" x14ac:dyDescent="0.25">
      <c r="A10781">
        <f ca="1">27285.1475863783*((RANDBETWEEN(1620,2416)))</f>
        <v>59590762.328650206</v>
      </c>
      <c r="B10781">
        <v>158696333.67107421</v>
      </c>
    </row>
    <row r="10782" spans="1:2" x14ac:dyDescent="0.25">
      <c r="A10782">
        <f ca="1">27916.8217552248*((RANDBETWEEN(1620,2416)))</f>
        <v>55275307.075345203</v>
      </c>
      <c r="B10782">
        <v>167975923.52477193</v>
      </c>
    </row>
    <row r="10783" spans="1:2" x14ac:dyDescent="0.25">
      <c r="A10783">
        <f ca="1">26715.3667471888*((RANDBETWEEN(1620,2416)))</f>
        <v>51667519.289063096</v>
      </c>
      <c r="B10783">
        <v>188025704.78169999</v>
      </c>
    </row>
    <row r="10784" spans="1:2" x14ac:dyDescent="0.25">
      <c r="A10784">
        <f ca="1">28708.7021695883*((RANDBETWEEN(1620,2416)))</f>
        <v>56814521.593615226</v>
      </c>
      <c r="B10784">
        <v>145698126.11685169</v>
      </c>
    </row>
    <row r="10785" spans="1:2" x14ac:dyDescent="0.25">
      <c r="A10785">
        <f ca="1">28608.7942016664*((RANDBETWEEN(1620,2416)))</f>
        <v>52325484.594847806</v>
      </c>
      <c r="B10785">
        <v>178061835.46346927</v>
      </c>
    </row>
    <row r="10786" spans="1:2" x14ac:dyDescent="0.25">
      <c r="A10786">
        <f ca="1">25516.273551918*((RANDBETWEEN(1620,2416)))</f>
        <v>61111475.15684361</v>
      </c>
      <c r="B10786">
        <v>150139700.90382451</v>
      </c>
    </row>
    <row r="10787" spans="1:2" x14ac:dyDescent="0.25">
      <c r="A10787">
        <f ca="1">31183.6304267479*((RANDBETWEEN(1620,2416)))</f>
        <v>69196475.916953593</v>
      </c>
      <c r="B10787">
        <v>144665489.51464394</v>
      </c>
    </row>
    <row r="10788" spans="1:2" x14ac:dyDescent="0.25">
      <c r="A10788">
        <f ca="1">28478.5044800038*((RANDBETWEEN(1620,2416)))</f>
        <v>52258055.720807046</v>
      </c>
      <c r="B10788">
        <v>163955400.11716262</v>
      </c>
    </row>
    <row r="10789" spans="1:2" x14ac:dyDescent="0.25">
      <c r="A10789">
        <f ca="1">27581.9194440083*((RANDBETWEEN(1620,2416)))</f>
        <v>48268359.027014509</v>
      </c>
      <c r="B10789">
        <v>148082695.09203002</v>
      </c>
    </row>
    <row r="10790" spans="1:2" x14ac:dyDescent="0.25">
      <c r="A10790">
        <f ca="1">26409.5606673349*((RANDBETWEEN(1620,2416)))</f>
        <v>47352342.27653148</v>
      </c>
      <c r="B10790">
        <v>150927280.85664025</v>
      </c>
    </row>
    <row r="10791" spans="1:2" x14ac:dyDescent="0.25">
      <c r="A10791">
        <f ca="1">26196.1021423974*((RANDBETWEEN(1620,2416)))</f>
        <v>47310160.469169721</v>
      </c>
      <c r="B10791">
        <v>161792177.86790121</v>
      </c>
    </row>
    <row r="10792" spans="1:2" x14ac:dyDescent="0.25">
      <c r="A10792">
        <f ca="1">26659.9876078675*((RANDBETWEEN(1620,2416)))</f>
        <v>53826514.980284505</v>
      </c>
      <c r="B10792">
        <v>178518551.11152446</v>
      </c>
    </row>
    <row r="10793" spans="1:2" x14ac:dyDescent="0.25">
      <c r="A10793">
        <f ca="1">27221.1737105705*((RANDBETWEEN(1620,2416)))</f>
        <v>64949720.473421305</v>
      </c>
      <c r="B10793">
        <v>202042893.87106195</v>
      </c>
    </row>
    <row r="10794" spans="1:2" x14ac:dyDescent="0.25">
      <c r="A10794">
        <f ca="1">27566.3503541173*((RANDBETWEEN(1620,2416)))</f>
        <v>47166025.455894768</v>
      </c>
      <c r="B10794">
        <v>174095687.13391089</v>
      </c>
    </row>
    <row r="10795" spans="1:2" x14ac:dyDescent="0.25">
      <c r="A10795">
        <f ca="1">29360.4400272051*((RANDBETWEEN(1620,2416)))</f>
        <v>60599948.21615126</v>
      </c>
      <c r="B10795">
        <v>160956639.72669491</v>
      </c>
    </row>
    <row r="10796" spans="1:2" x14ac:dyDescent="0.25">
      <c r="A10796">
        <f ca="1">27713.5220807086*((RANDBETWEEN(1620,2416)))</f>
        <v>47473263.324253805</v>
      </c>
      <c r="B10796">
        <v>147652534.09792429</v>
      </c>
    </row>
    <row r="10797" spans="1:2" x14ac:dyDescent="0.25">
      <c r="A10797">
        <f ca="1">28482.4964179572*((RANDBETWEEN(1620,2416)))</f>
        <v>68756746.352948681</v>
      </c>
      <c r="B10797">
        <v>148243153.30584401</v>
      </c>
    </row>
    <row r="10798" spans="1:2" x14ac:dyDescent="0.25">
      <c r="A10798">
        <f ca="1">26445.6510634719*((RANDBETWEEN(1620,2416)))</f>
        <v>62120834.348095402</v>
      </c>
      <c r="B10798">
        <v>179433212.0949465</v>
      </c>
    </row>
    <row r="10799" spans="1:2" x14ac:dyDescent="0.25">
      <c r="A10799">
        <f ca="1">28230.0438168672*((RANDBETWEEN(1620,2416)))</f>
        <v>60553443.987180099</v>
      </c>
      <c r="B10799">
        <v>163072908.09007102</v>
      </c>
    </row>
    <row r="10800" spans="1:2" x14ac:dyDescent="0.25">
      <c r="A10800">
        <f ca="1">28915.4522501537*((RANDBETWEEN(1620,2416)))</f>
        <v>47392426.23800198</v>
      </c>
      <c r="B10800">
        <v>192376800.52930415</v>
      </c>
    </row>
    <row r="10801" spans="1:2" x14ac:dyDescent="0.25">
      <c r="A10801">
        <f ca="1">25626.8974856089*((RANDBETWEEN(1620,2416)))</f>
        <v>52663274.33292634</v>
      </c>
      <c r="B10801">
        <v>143477474.86235079</v>
      </c>
    </row>
    <row r="10802" spans="1:2" x14ac:dyDescent="0.25">
      <c r="A10802">
        <f ca="1">28009.2537921519*((RANDBETWEEN(1620,2416)))</f>
        <v>64365265.21436502</v>
      </c>
      <c r="B10802">
        <v>158231848.16817221</v>
      </c>
    </row>
    <row r="10803" spans="1:2" x14ac:dyDescent="0.25">
      <c r="A10803">
        <f ca="1">30276.5602869714*((RANDBETWEEN(1620,2416)))</f>
        <v>58736526.956724592</v>
      </c>
      <c r="B10803">
        <v>145799528.46365011</v>
      </c>
    </row>
    <row r="10804" spans="1:2" x14ac:dyDescent="0.25">
      <c r="A10804">
        <f ca="1">25646.4676565111*((RANDBETWEEN(1620,2416)))</f>
        <v>51087763.571770087</v>
      </c>
      <c r="B10804">
        <v>146727848.40049607</v>
      </c>
    </row>
    <row r="10805" spans="1:2" x14ac:dyDescent="0.25">
      <c r="A10805">
        <f ca="1">26893.481075423*((RANDBETWEEN(1620,2416)))</f>
        <v>58305066.971517138</v>
      </c>
      <c r="B10805">
        <v>183148856.39429012</v>
      </c>
    </row>
    <row r="10806" spans="1:2" x14ac:dyDescent="0.25">
      <c r="A10806">
        <f ca="1">30258.4993636913*((RANDBETWEEN(1620,2416)))</f>
        <v>72832207.968404844</v>
      </c>
      <c r="B10806">
        <v>187099680.42041424</v>
      </c>
    </row>
    <row r="10807" spans="1:2" x14ac:dyDescent="0.25">
      <c r="A10807">
        <f ca="1">26671.8926537957*((RANDBETWEEN(1620,2416)))</f>
        <v>48782891.663792349</v>
      </c>
      <c r="B10807">
        <v>157656196.41295531</v>
      </c>
    </row>
    <row r="10808" spans="1:2" x14ac:dyDescent="0.25">
      <c r="A10808">
        <f ca="1">29785.8884828816*((RANDBETWEEN(1620,2416)))</f>
        <v>55848540.905403093</v>
      </c>
      <c r="B10808">
        <v>144989721.84824157</v>
      </c>
    </row>
    <row r="10809" spans="1:2" x14ac:dyDescent="0.25">
      <c r="A10809">
        <f ca="1">25479.7135079701*((RANDBETWEEN(1620,2416)))</f>
        <v>43952505.801248401</v>
      </c>
      <c r="B10809">
        <v>148704754.27775505</v>
      </c>
    </row>
    <row r="10810" spans="1:2" x14ac:dyDescent="0.25">
      <c r="A10810">
        <f ca="1">30316.1652474397*((RANDBETWEEN(1620,2416)))</f>
        <v>56842809.838949427</v>
      </c>
      <c r="B10810">
        <v>202541570.33770058</v>
      </c>
    </row>
    <row r="10811" spans="1:2" x14ac:dyDescent="0.25">
      <c r="A10811">
        <f ca="1">27559.3378639494*((RANDBETWEEN(1620,2416)))</f>
        <v>54898201.024987265</v>
      </c>
      <c r="B10811">
        <v>145595681.45023757</v>
      </c>
    </row>
    <row r="10812" spans="1:2" x14ac:dyDescent="0.25">
      <c r="A10812">
        <f ca="1">29149.5474269003*((RANDBETWEEN(1620,2416)))</f>
        <v>60193815.436549194</v>
      </c>
      <c r="B10812">
        <v>159809329.30463693</v>
      </c>
    </row>
    <row r="10813" spans="1:2" x14ac:dyDescent="0.25">
      <c r="A10813">
        <f ca="1">26759.498496932*((RANDBETWEEN(1620,2416)))</f>
        <v>48702287.264416322</v>
      </c>
      <c r="B10813">
        <v>148271264.64394808</v>
      </c>
    </row>
    <row r="10814" spans="1:2" x14ac:dyDescent="0.25">
      <c r="A10814">
        <f ca="1">27266.829803953*((RANDBETWEEN(1620,2416)))</f>
        <v>54015589.84163098</v>
      </c>
      <c r="B10814">
        <v>176917497.87316099</v>
      </c>
    </row>
    <row r="10815" spans="1:2" x14ac:dyDescent="0.25">
      <c r="A10815">
        <f ca="1">28634.9289820075*((RANDBETWEEN(1620,2416)))</f>
        <v>58787509.20006144</v>
      </c>
      <c r="B10815">
        <v>201454293.49888223</v>
      </c>
    </row>
    <row r="10816" spans="1:2" x14ac:dyDescent="0.25">
      <c r="A10816">
        <f ca="1">26341.3906868524*((RANDBETWEEN(1620,2416)))</f>
        <v>63509092.946001083</v>
      </c>
      <c r="B10816">
        <v>176289482.41011158</v>
      </c>
    </row>
    <row r="10817" spans="1:2" x14ac:dyDescent="0.25">
      <c r="A10817">
        <f ca="1">29617.3328966217*((RANDBETWEEN(1620,2416)))</f>
        <v>54288571.19950749</v>
      </c>
      <c r="B10817">
        <v>166349647.52550229</v>
      </c>
    </row>
    <row r="10818" spans="1:2" x14ac:dyDescent="0.25">
      <c r="A10818">
        <f ca="1">28915.4150702022*((RANDBETWEEN(1620,2416)))</f>
        <v>63064520.268110983</v>
      </c>
      <c r="B10818">
        <v>162176310.86013693</v>
      </c>
    </row>
    <row r="10819" spans="1:2" x14ac:dyDescent="0.25">
      <c r="A10819">
        <f ca="1">26296.0056161442*((RANDBETWEEN(1620,2416)))</f>
        <v>43756553.345263876</v>
      </c>
      <c r="B10819">
        <v>157417988.45139608</v>
      </c>
    </row>
    <row r="10820" spans="1:2" x14ac:dyDescent="0.25">
      <c r="A10820">
        <f ca="1">26617.5683946936*((RANDBETWEEN(1620,2416)))</f>
        <v>43972222.988033839</v>
      </c>
      <c r="B10820">
        <v>164068181.10195616</v>
      </c>
    </row>
    <row r="10821" spans="1:2" x14ac:dyDescent="0.25">
      <c r="A10821">
        <f ca="1">28569.7605175549*((RANDBETWEEN(1620,2416)))</f>
        <v>54996788.996293247</v>
      </c>
      <c r="B10821">
        <v>188360217.43965313</v>
      </c>
    </row>
    <row r="10822" spans="1:2" x14ac:dyDescent="0.25">
      <c r="A10822">
        <f ca="1">28120.8846829869*((RANDBETWEEN(1620,2416)))</f>
        <v>60206814.106275</v>
      </c>
      <c r="B10822">
        <v>150589848.45615733</v>
      </c>
    </row>
    <row r="10823" spans="1:2" x14ac:dyDescent="0.25">
      <c r="A10823">
        <f ca="1">28317.5197211277*((RANDBETWEEN(1620,2416)))</f>
        <v>63686101.852816284</v>
      </c>
      <c r="B10823">
        <v>155283043.32121181</v>
      </c>
    </row>
    <row r="10824" spans="1:2" x14ac:dyDescent="0.25">
      <c r="A10824">
        <f ca="1">25878.510246191*((RANDBETWEEN(1620,2416)))</f>
        <v>49220926.4882553</v>
      </c>
      <c r="B10824">
        <v>165275911.01743749</v>
      </c>
    </row>
    <row r="10825" spans="1:2" x14ac:dyDescent="0.25">
      <c r="A10825">
        <f ca="1">28454.8532283899*((RANDBETWEEN(1620,2416)))</f>
        <v>64251058.589704305</v>
      </c>
      <c r="B10825">
        <v>184275402.67945835</v>
      </c>
    </row>
    <row r="10826" spans="1:2" x14ac:dyDescent="0.25">
      <c r="A10826">
        <f ca="1">26419.907821078*((RANDBETWEEN(1620,2416)))</f>
        <v>59207013.427035861</v>
      </c>
      <c r="B10826">
        <v>195449218.82496405</v>
      </c>
    </row>
    <row r="10827" spans="1:2" x14ac:dyDescent="0.25">
      <c r="A10827">
        <f ca="1">25703.4917019361*((RANDBETWEEN(1620,2416)))</f>
        <v>54594216.374912269</v>
      </c>
      <c r="B10827">
        <v>155126877.00583476</v>
      </c>
    </row>
    <row r="10828" spans="1:2" x14ac:dyDescent="0.25">
      <c r="A10828">
        <f ca="1">26903.365170091*((RANDBETWEEN(1620,2416)))</f>
        <v>46408304.918406971</v>
      </c>
      <c r="B10828">
        <v>186374208.135272</v>
      </c>
    </row>
    <row r="10829" spans="1:2" x14ac:dyDescent="0.25">
      <c r="A10829">
        <f ca="1">30686.3045851739*((RANDBETWEEN(1620,2416)))</f>
        <v>73309581.653980494</v>
      </c>
      <c r="B10829">
        <v>179927253.68330958</v>
      </c>
    </row>
    <row r="10830" spans="1:2" x14ac:dyDescent="0.25">
      <c r="A10830">
        <f ca="1">31610.64124638*((RANDBETWEEN(1620,2416)))</f>
        <v>57120428.732208624</v>
      </c>
      <c r="B10830">
        <v>194077276.13649613</v>
      </c>
    </row>
    <row r="10831" spans="1:2" x14ac:dyDescent="0.25">
      <c r="A10831">
        <f ca="1">31791.2820406211*((RANDBETWEEN(1620,2416)))</f>
        <v>71911879.975884914</v>
      </c>
      <c r="B10831">
        <v>198323512.35169852</v>
      </c>
    </row>
    <row r="10832" spans="1:2" x14ac:dyDescent="0.25">
      <c r="A10832">
        <f ca="1">27271.3994887167*((RANDBETWEEN(1620,2416)))</f>
        <v>62424233.429672547</v>
      </c>
      <c r="B10832">
        <v>155146643.93918982</v>
      </c>
    </row>
    <row r="10833" spans="1:2" x14ac:dyDescent="0.25">
      <c r="A10833">
        <f ca="1">30249.8611618476*((RANDBETWEEN(1620,2416)))</f>
        <v>68092437.475318953</v>
      </c>
      <c r="B10833">
        <v>166525689.81803223</v>
      </c>
    </row>
    <row r="10834" spans="1:2" x14ac:dyDescent="0.25">
      <c r="A10834">
        <f ca="1">28334.9913971894*((RANDBETWEEN(1620,2416)))</f>
        <v>63385375.75551261</v>
      </c>
      <c r="B10834">
        <v>157745505.96076974</v>
      </c>
    </row>
    <row r="10835" spans="1:2" x14ac:dyDescent="0.25">
      <c r="A10835">
        <f ca="1">28219.6302339838*((RANDBETWEEN(1620,2416)))</f>
        <v>46477730.995371334</v>
      </c>
      <c r="B10835">
        <v>152958481.58965355</v>
      </c>
    </row>
    <row r="10836" spans="1:2" x14ac:dyDescent="0.25">
      <c r="A10836">
        <f ca="1">26272.3373301346*((RANDBETWEEN(1620,2416)))</f>
        <v>43060360.884090625</v>
      </c>
      <c r="B10836">
        <v>171177437.4781034</v>
      </c>
    </row>
    <row r="10837" spans="1:2" x14ac:dyDescent="0.25">
      <c r="A10837">
        <f ca="1">25784.4817909268*((RANDBETWEEN(1620,2416)))</f>
        <v>59691075.34599553</v>
      </c>
      <c r="B10837">
        <v>167368447.88965103</v>
      </c>
    </row>
    <row r="10838" spans="1:2" x14ac:dyDescent="0.25">
      <c r="A10838">
        <f ca="1">26201.0575794648*((RANDBETWEEN(1620,2416)))</f>
        <v>53057141.598416299</v>
      </c>
      <c r="B10838">
        <v>157106692.0810734</v>
      </c>
    </row>
    <row r="10839" spans="1:2" x14ac:dyDescent="0.25">
      <c r="A10839">
        <f ca="1">29790.9183671629*((RANDBETWEEN(1620,2416)))</f>
        <v>55887762.856797643</v>
      </c>
      <c r="B10839">
        <v>185103238.20716581</v>
      </c>
    </row>
    <row r="10840" spans="1:2" x14ac:dyDescent="0.25">
      <c r="A10840">
        <f ca="1">26601.0560321446*((RANDBETWEEN(1620,2416)))</f>
        <v>58761732.775007434</v>
      </c>
      <c r="B10840">
        <v>149943648.11216044</v>
      </c>
    </row>
    <row r="10841" spans="1:2" x14ac:dyDescent="0.25">
      <c r="A10841">
        <f ca="1">28894.9681777389*((RANDBETWEEN(1620,2416)))</f>
        <v>61921916.804894522</v>
      </c>
      <c r="B10841">
        <v>183042198.79443538</v>
      </c>
    </row>
    <row r="10842" spans="1:2" x14ac:dyDescent="0.25">
      <c r="A10842">
        <f ca="1">25836.9346008089*((RANDBETWEEN(1620,2416)))</f>
        <v>51828890.809222743</v>
      </c>
      <c r="B10842">
        <v>149035894.93807879</v>
      </c>
    </row>
    <row r="10843" spans="1:2" x14ac:dyDescent="0.25">
      <c r="A10843">
        <f ca="1">32059.0785810515*((RANDBETWEEN(1620,2416)))</f>
        <v>73287053.63628383</v>
      </c>
      <c r="B10843">
        <v>181775592.16279727</v>
      </c>
    </row>
    <row r="10844" spans="1:2" x14ac:dyDescent="0.25">
      <c r="A10844">
        <f ca="1">25535.6526240415*((RANDBETWEEN(1620,2416)))</f>
        <v>41878470.303428024</v>
      </c>
      <c r="B10844">
        <v>147854967.94183582</v>
      </c>
    </row>
    <row r="10845" spans="1:2" x14ac:dyDescent="0.25">
      <c r="A10845">
        <f ca="1">26934.4126156471*((RANDBETWEEN(1620,2416)))</f>
        <v>59498117.467964493</v>
      </c>
      <c r="B10845">
        <v>166176599.79295045</v>
      </c>
    </row>
    <row r="10846" spans="1:2" x14ac:dyDescent="0.25">
      <c r="A10846">
        <f ca="1">27278.3868092209*((RANDBETWEEN(1620,2416)))</f>
        <v>64677055.124662757</v>
      </c>
      <c r="B10846">
        <v>145278768.91811734</v>
      </c>
    </row>
    <row r="10847" spans="1:2" x14ac:dyDescent="0.25">
      <c r="A10847">
        <f ca="1">27252.6853782388*((RANDBETWEEN(1620,2416)))</f>
        <v>56031521.137658894</v>
      </c>
      <c r="B10847">
        <v>145238031.84425279</v>
      </c>
    </row>
    <row r="10848" spans="1:2" x14ac:dyDescent="0.25">
      <c r="A10848">
        <f ca="1">26772.0300389133*((RANDBETWEEN(1620,2416)))</f>
        <v>53142479.6272429</v>
      </c>
      <c r="B10848">
        <v>145601593.4218623</v>
      </c>
    </row>
    <row r="10849" spans="1:2" x14ac:dyDescent="0.25">
      <c r="A10849">
        <f ca="1">25874.1435468603*((RANDBETWEEN(1620,2416)))</f>
        <v>54982555.037078194</v>
      </c>
      <c r="B10849">
        <v>156702384.61465311</v>
      </c>
    </row>
    <row r="10850" spans="1:2" x14ac:dyDescent="0.25">
      <c r="A10850">
        <f ca="1">26784.1854415612*((RANDBETWEEN(1620,2416)))</f>
        <v>54104054.591953613</v>
      </c>
      <c r="B10850">
        <v>153578479.33801317</v>
      </c>
    </row>
    <row r="10851" spans="1:2" x14ac:dyDescent="0.25">
      <c r="A10851">
        <f ca="1">26883.8356278436*((RANDBETWEEN(1620,2416)))</f>
        <v>62182311.807202242</v>
      </c>
      <c r="B10851">
        <v>167784388.03283498</v>
      </c>
    </row>
    <row r="10852" spans="1:2" x14ac:dyDescent="0.25">
      <c r="A10852">
        <f ca="1">27264.963157512*((RANDBETWEEN(1620,2416)))</f>
        <v>44387360.020429537</v>
      </c>
      <c r="B10852">
        <v>171039154.13799047</v>
      </c>
    </row>
    <row r="10853" spans="1:2" x14ac:dyDescent="0.25">
      <c r="A10853">
        <f ca="1">27341.1420515631*((RANDBETWEEN(1620,2416)))</f>
        <v>46397918.061502509</v>
      </c>
      <c r="B10853">
        <v>203633714.2450206</v>
      </c>
    </row>
    <row r="10854" spans="1:2" x14ac:dyDescent="0.25">
      <c r="A10854">
        <f ca="1">26610.7953972808*((RANDBETWEEN(1620,2416)))</f>
        <v>62375704.411226243</v>
      </c>
      <c r="B10854">
        <v>147120251.19682801</v>
      </c>
    </row>
    <row r="10855" spans="1:2" x14ac:dyDescent="0.25">
      <c r="A10855">
        <f ca="1">29553.2335574566*((RANDBETWEEN(1620,2416)))</f>
        <v>55323653.219558835</v>
      </c>
      <c r="B10855">
        <v>181884424.0931915</v>
      </c>
    </row>
    <row r="10856" spans="1:2" x14ac:dyDescent="0.25">
      <c r="A10856">
        <f ca="1">27919.0489563631*((RANDBETWEEN(1620,2416)))</f>
        <v>53241626.359784365</v>
      </c>
      <c r="B10856">
        <v>181189278.78302318</v>
      </c>
    </row>
    <row r="10857" spans="1:2" x14ac:dyDescent="0.25">
      <c r="A10857">
        <f ca="1">30165.9835776127*((RANDBETWEEN(1620,2416)))</f>
        <v>58793501.992767081</v>
      </c>
      <c r="B10857">
        <v>157983872.73966694</v>
      </c>
    </row>
    <row r="10858" spans="1:2" x14ac:dyDescent="0.25">
      <c r="A10858">
        <f ca="1">28811.9365631996*((RANDBETWEEN(1620,2416)))</f>
        <v>56327335.98105514</v>
      </c>
      <c r="B10858">
        <v>153182333.43733108</v>
      </c>
    </row>
    <row r="10859" spans="1:2" x14ac:dyDescent="0.25">
      <c r="A10859">
        <f ca="1">27509.7214789443*((RANDBETWEEN(1620,2416)))</f>
        <v>47289211.222305186</v>
      </c>
      <c r="B10859">
        <v>157762420.57154739</v>
      </c>
    </row>
    <row r="10860" spans="1:2" x14ac:dyDescent="0.25">
      <c r="A10860">
        <f ca="1">27148.3343425833*((RANDBETWEEN(1620,2416)))</f>
        <v>57174392.125480503</v>
      </c>
      <c r="B10860">
        <v>145026149.41158709</v>
      </c>
    </row>
    <row r="10861" spans="1:2" x14ac:dyDescent="0.25">
      <c r="A10861">
        <f ca="1">27327.0676824112*((RANDBETWEEN(1620,2416)))</f>
        <v>50309131.603319041</v>
      </c>
      <c r="B10861">
        <v>191067865.86730307</v>
      </c>
    </row>
    <row r="10862" spans="1:2" x14ac:dyDescent="0.25">
      <c r="A10862">
        <f ca="1">26822.2732584285*((RANDBETWEEN(1620,2416)))</f>
        <v>55146593.819328986</v>
      </c>
      <c r="B10862">
        <v>196522881.56002831</v>
      </c>
    </row>
    <row r="10863" spans="1:2" x14ac:dyDescent="0.25">
      <c r="A10863">
        <f ca="1">30825.8188795444*((RANDBETWEEN(1620,2416)))</f>
        <v>51479117.528839223</v>
      </c>
      <c r="B10863">
        <v>181732130.35677049</v>
      </c>
    </row>
    <row r="10864" spans="1:2" x14ac:dyDescent="0.25">
      <c r="A10864">
        <f ca="1">28833.6295447092*((RANDBETWEEN(1620,2416)))</f>
        <v>64760331.9574169</v>
      </c>
      <c r="B10864">
        <v>156556336.19647324</v>
      </c>
    </row>
    <row r="10865" spans="1:2" x14ac:dyDescent="0.25">
      <c r="A10865">
        <f ca="1">26458.6944675916*((RANDBETWEEN(1620,2416)))</f>
        <v>43656845.871526062</v>
      </c>
      <c r="B10865">
        <v>159292648.12691671</v>
      </c>
    </row>
    <row r="10866" spans="1:2" x14ac:dyDescent="0.25">
      <c r="A10866">
        <f ca="1">32806.7295592535*((RANDBETWEEN(1620,2416)))</f>
        <v>54524784.527479328</v>
      </c>
      <c r="B10866">
        <v>179044968.2641114</v>
      </c>
    </row>
    <row r="10867" spans="1:2" x14ac:dyDescent="0.25">
      <c r="A10867">
        <f ca="1">30811.4139841758*((RANDBETWEEN(1620,2416)))</f>
        <v>70034343.986031696</v>
      </c>
      <c r="B10867">
        <v>173278392.40830481</v>
      </c>
    </row>
    <row r="10868" spans="1:2" x14ac:dyDescent="0.25">
      <c r="A10868">
        <f ca="1">26677.523822052*((RANDBETWEEN(1620,2416)))</f>
        <v>48446383.260846481</v>
      </c>
      <c r="B10868">
        <v>143678782.4496485</v>
      </c>
    </row>
    <row r="10869" spans="1:2" x14ac:dyDescent="0.25">
      <c r="A10869">
        <f ca="1">30399.0274467781*((RANDBETWEEN(1620,2416)))</f>
        <v>64628332.351850227</v>
      </c>
      <c r="B10869">
        <v>145368532.45980147</v>
      </c>
    </row>
    <row r="10870" spans="1:2" x14ac:dyDescent="0.25">
      <c r="A10870">
        <f ca="1">27148.4218075272*((RANDBETWEEN(1620,2416)))</f>
        <v>58749184.791488923</v>
      </c>
      <c r="B10870">
        <v>154434602.44253409</v>
      </c>
    </row>
    <row r="10871" spans="1:2" x14ac:dyDescent="0.25">
      <c r="A10871">
        <f ca="1">28428.1727182501*((RANDBETWEEN(1620,2416)))</f>
        <v>55889787.564079635</v>
      </c>
      <c r="B10871">
        <v>197562670.58718517</v>
      </c>
    </row>
    <row r="10872" spans="1:2" x14ac:dyDescent="0.25">
      <c r="A10872">
        <f ca="1">29851.4160132615*((RANDBETWEEN(1620,2416)))</f>
        <v>60120751.850708701</v>
      </c>
      <c r="B10872">
        <v>171509017.19373405</v>
      </c>
    </row>
    <row r="10873" spans="1:2" x14ac:dyDescent="0.25">
      <c r="A10873">
        <f ca="1">25501.1264769536*((RANDBETWEEN(1620,2416)))</f>
        <v>42535878.963558607</v>
      </c>
      <c r="B10873">
        <v>159298623.97744957</v>
      </c>
    </row>
    <row r="10874" spans="1:2" x14ac:dyDescent="0.25">
      <c r="A10874">
        <f ca="1">29514.8316376812*((RANDBETWEEN(1620,2416)))</f>
        <v>66201767.363318898</v>
      </c>
      <c r="B10874">
        <v>157674120.53881267</v>
      </c>
    </row>
    <row r="10875" spans="1:2" x14ac:dyDescent="0.25">
      <c r="A10875">
        <f ca="1">26332.2933160817*((RANDBETWEEN(1620,2416)))</f>
        <v>50663332.340141155</v>
      </c>
      <c r="B10875">
        <v>153212494.1396268</v>
      </c>
    </row>
    <row r="10876" spans="1:2" x14ac:dyDescent="0.25">
      <c r="A10876">
        <f ca="1">27078.0244051692*((RANDBETWEEN(1620,2416)))</f>
        <v>47386542.709046148</v>
      </c>
      <c r="B10876">
        <v>153767768.50064024</v>
      </c>
    </row>
    <row r="10877" spans="1:2" x14ac:dyDescent="0.25">
      <c r="A10877">
        <f ca="1">30964.4010382345*((RANDBETWEEN(1620,2416)))</f>
        <v>54528310.228330903</v>
      </c>
      <c r="B10877">
        <v>172925175.63212746</v>
      </c>
    </row>
    <row r="10878" spans="1:2" x14ac:dyDescent="0.25">
      <c r="A10878">
        <f ca="1">26852.799475278*((RANDBETWEEN(1620,2416)))</f>
        <v>61278088.402584486</v>
      </c>
      <c r="B10878">
        <v>166075219.46519142</v>
      </c>
    </row>
    <row r="10879" spans="1:2" x14ac:dyDescent="0.25">
      <c r="A10879">
        <f ca="1">26705.1244432016*((RANDBETWEEN(1620,2416)))</f>
        <v>43502647.717975423</v>
      </c>
      <c r="B10879">
        <v>179565644.29662883</v>
      </c>
    </row>
    <row r="10880" spans="1:2" x14ac:dyDescent="0.25">
      <c r="A10880">
        <f ca="1">30199.625675089*((RANDBETWEEN(1620,2416)))</f>
        <v>59734859.585325971</v>
      </c>
      <c r="B10880">
        <v>203074490.65864408</v>
      </c>
    </row>
    <row r="10881" spans="1:2" x14ac:dyDescent="0.25">
      <c r="A10881">
        <f ca="1">28002.5284312193*((RANDBETWEEN(1620,2416)))</f>
        <v>50404551.176194809</v>
      </c>
      <c r="B10881">
        <v>158206607.06744593</v>
      </c>
    </row>
    <row r="10882" spans="1:2" x14ac:dyDescent="0.25">
      <c r="A10882">
        <f ca="1">27111.4515462473*((RANDBETWEEN(1620,2416)))</f>
        <v>47661931.818302803</v>
      </c>
      <c r="B10882">
        <v>148609583.18403774</v>
      </c>
    </row>
    <row r="10883" spans="1:2" x14ac:dyDescent="0.25">
      <c r="A10883">
        <f ca="1">27271.2277431391*((RANDBETWEEN(1620,2416)))</f>
        <v>49388193.442824945</v>
      </c>
      <c r="B10883">
        <v>191010426.41209576</v>
      </c>
    </row>
    <row r="10884" spans="1:2" x14ac:dyDescent="0.25">
      <c r="A10884">
        <f ca="1">27193.3526225755*((RANDBETWEEN(1620,2416)))</f>
        <v>64366665.657636136</v>
      </c>
      <c r="B10884">
        <v>151755800.9188062</v>
      </c>
    </row>
    <row r="10885" spans="1:2" x14ac:dyDescent="0.25">
      <c r="A10885">
        <f ca="1">29354.9514823436*((RANDBETWEEN(1620,2416)))</f>
        <v>59120872.285440028</v>
      </c>
      <c r="B10885">
        <v>166566659.54284289</v>
      </c>
    </row>
    <row r="10886" spans="1:2" x14ac:dyDescent="0.25">
      <c r="A10886">
        <f ca="1">25324.928376126*((RANDBETWEEN(1620,2416)))</f>
        <v>52447926.666957043</v>
      </c>
      <c r="B10886">
        <v>193150212.7259964</v>
      </c>
    </row>
    <row r="10887" spans="1:2" x14ac:dyDescent="0.25">
      <c r="A10887">
        <f ca="1">27498.1577885022*((RANDBETWEEN(1620,2416)))</f>
        <v>52246499.798154153</v>
      </c>
      <c r="B10887">
        <v>151032884.97866711</v>
      </c>
    </row>
    <row r="10888" spans="1:2" x14ac:dyDescent="0.25">
      <c r="A10888">
        <f ca="1">27136.4441338934*((RANDBETWEEN(1620,2416)))</f>
        <v>51423561.633728012</v>
      </c>
      <c r="B10888">
        <v>146964443.41791612</v>
      </c>
    </row>
    <row r="10889" spans="1:2" x14ac:dyDescent="0.25">
      <c r="A10889">
        <f ca="1">29453.7461453473*((RANDBETWEEN(1620,2416)))</f>
        <v>49040487.332003251</v>
      </c>
      <c r="B10889">
        <v>190929907.18402186</v>
      </c>
    </row>
    <row r="10890" spans="1:2" x14ac:dyDescent="0.25">
      <c r="A10890">
        <f ca="1">27052.3580723557*((RANDBETWEEN(1620,2416)))</f>
        <v>57946150.990985878</v>
      </c>
      <c r="B10890">
        <v>145914888.71699479</v>
      </c>
    </row>
    <row r="10891" spans="1:2" x14ac:dyDescent="0.25">
      <c r="A10891">
        <f ca="1">26263.5683042406*((RANDBETWEEN(1620,2416)))</f>
        <v>58252594.498805672</v>
      </c>
      <c r="B10891">
        <v>189788557.32943586</v>
      </c>
    </row>
    <row r="10892" spans="1:2" x14ac:dyDescent="0.25">
      <c r="A10892">
        <f ca="1">30943.4399305198*((RANDBETWEEN(1620,2416)))</f>
        <v>74666520.552344322</v>
      </c>
      <c r="B10892">
        <v>187601691.65948367</v>
      </c>
    </row>
    <row r="10893" spans="1:2" x14ac:dyDescent="0.25">
      <c r="A10893">
        <f ca="1">28464.1826170716*((RANDBETWEEN(1620,2416)))</f>
        <v>46823580.405082829</v>
      </c>
      <c r="B10893">
        <v>159401134.65769565</v>
      </c>
    </row>
    <row r="10894" spans="1:2" x14ac:dyDescent="0.25">
      <c r="A10894">
        <f ca="1">28349.8668787965*((RANDBETWEEN(1620,2416)))</f>
        <v>58740924.172866322</v>
      </c>
      <c r="B10894">
        <v>149311460.97886825</v>
      </c>
    </row>
    <row r="10895" spans="1:2" x14ac:dyDescent="0.25">
      <c r="A10895">
        <f ca="1">26350.4318940455*((RANDBETWEEN(1620,2416)))</f>
        <v>55757513.887800172</v>
      </c>
      <c r="B10895">
        <v>176171222.36707464</v>
      </c>
    </row>
    <row r="10896" spans="1:2" x14ac:dyDescent="0.25">
      <c r="A10896">
        <f ca="1">28118.9577394465*((RANDBETWEEN(1620,2416)))</f>
        <v>60652591.843986176</v>
      </c>
      <c r="B10896">
        <v>177264132.95331511</v>
      </c>
    </row>
    <row r="10897" spans="1:2" x14ac:dyDescent="0.25">
      <c r="A10897">
        <f ca="1">31479.3882432275*((RANDBETWEEN(1620,2416)))</f>
        <v>57009172.108485043</v>
      </c>
      <c r="B10897">
        <v>180242541.24137619</v>
      </c>
    </row>
    <row r="10898" spans="1:2" x14ac:dyDescent="0.25">
      <c r="A10898">
        <f ca="1">30737.3810411836*((RANDBETWEEN(1620,2416)))</f>
        <v>71618097.825957671</v>
      </c>
      <c r="B10898">
        <v>162946227.4735786</v>
      </c>
    </row>
    <row r="10899" spans="1:2" x14ac:dyDescent="0.25">
      <c r="A10899">
        <f ca="1">31065.7201493546*((RANDBETWEEN(1620,2416)))</f>
        <v>60484957.130793422</v>
      </c>
      <c r="B10899">
        <v>186511607.7773301</v>
      </c>
    </row>
    <row r="10900" spans="1:2" x14ac:dyDescent="0.25">
      <c r="A10900">
        <f ca="1">28784.1619600625*((RANDBETWEEN(1620,2416)))</f>
        <v>65483968.459142268</v>
      </c>
      <c r="B10900">
        <v>180837032.10778478</v>
      </c>
    </row>
    <row r="10901" spans="1:2" x14ac:dyDescent="0.25">
      <c r="A10901">
        <f ca="1">28613.4672152896*((RANDBETWEEN(1620,2416)))</f>
        <v>51618694.856382452</v>
      </c>
      <c r="B10901">
        <v>145669419.22913018</v>
      </c>
    </row>
    <row r="10902" spans="1:2" x14ac:dyDescent="0.25">
      <c r="A10902">
        <f ca="1">26111.420375182*((RANDBETWEEN(1620,2416)))</f>
        <v>62980745.944939092</v>
      </c>
      <c r="B10902">
        <v>199387083.95864317</v>
      </c>
    </row>
    <row r="10903" spans="1:2" x14ac:dyDescent="0.25">
      <c r="A10903">
        <f ca="1">31031.1009480286*((RANDBETWEEN(1620,2416)))</f>
        <v>72395558.511750609</v>
      </c>
      <c r="B10903">
        <v>155679550.20327947</v>
      </c>
    </row>
    <row r="10904" spans="1:2" x14ac:dyDescent="0.25">
      <c r="A10904">
        <f ca="1">27981.538607641*((RANDBETWEEN(1620,2416)))</f>
        <v>48212191.020965405</v>
      </c>
      <c r="B10904">
        <v>168479889.10051152</v>
      </c>
    </row>
    <row r="10905" spans="1:2" x14ac:dyDescent="0.25">
      <c r="A10905">
        <f ca="1">27493.2189490982*((RANDBETWEEN(1620,2416)))</f>
        <v>59742764.776390396</v>
      </c>
      <c r="B10905">
        <v>151098968.1747683</v>
      </c>
    </row>
    <row r="10906" spans="1:2" x14ac:dyDescent="0.25">
      <c r="A10906">
        <f ca="1">27118.3696045914*((RANDBETWEEN(1620,2416)))</f>
        <v>62562078.677792266</v>
      </c>
      <c r="B10906">
        <v>169808751.43596902</v>
      </c>
    </row>
    <row r="10907" spans="1:2" x14ac:dyDescent="0.25">
      <c r="A10907">
        <f ca="1">27432.8008379774*((RANDBETWEEN(1620,2416)))</f>
        <v>51491367.172883503</v>
      </c>
      <c r="B10907">
        <v>150983218.10797375</v>
      </c>
    </row>
    <row r="10908" spans="1:2" x14ac:dyDescent="0.25">
      <c r="A10908">
        <f ca="1">31584.9522557803*((RANDBETWEEN(1620,2416)))</f>
        <v>70213348.864599541</v>
      </c>
      <c r="B10908">
        <v>197568838.34174997</v>
      </c>
    </row>
    <row r="10909" spans="1:2" x14ac:dyDescent="0.25">
      <c r="A10909">
        <f ca="1">28535.7363640359*((RANDBETWEEN(1620,2416)))</f>
        <v>53133541.10983485</v>
      </c>
      <c r="B10909">
        <v>189198782.14979604</v>
      </c>
    </row>
    <row r="10910" spans="1:2" x14ac:dyDescent="0.25">
      <c r="A10910">
        <f ca="1">29498.3027129779*((RANDBETWEEN(1620,2416)))</f>
        <v>53981893.964749604</v>
      </c>
      <c r="B10910">
        <v>179384404.32257211</v>
      </c>
    </row>
    <row r="10911" spans="1:2" x14ac:dyDescent="0.25">
      <c r="A10911">
        <f ca="1">26555.3412847236*((RANDBETWEEN(1620,2416)))</f>
        <v>47401284.193231583</v>
      </c>
      <c r="B10911">
        <v>161967097.6250892</v>
      </c>
    </row>
    <row r="10912" spans="1:2" x14ac:dyDescent="0.25">
      <c r="A10912">
        <f ca="1">31527.6275133871*((RANDBETWEEN(1620,2416)))</f>
        <v>75823944.169696063</v>
      </c>
      <c r="B10912">
        <v>173555328.03862119</v>
      </c>
    </row>
    <row r="10913" spans="1:2" x14ac:dyDescent="0.25">
      <c r="A10913">
        <f ca="1">27207.2607325247*((RANDBETWEEN(1620,2416)))</f>
        <v>63012015.856527135</v>
      </c>
      <c r="B10913">
        <v>150548150.10357523</v>
      </c>
    </row>
    <row r="10914" spans="1:2" x14ac:dyDescent="0.25">
      <c r="A10914">
        <f ca="1">28027.3515873786*((RANDBETWEEN(1620,2416)))</f>
        <v>48403236.191402867</v>
      </c>
      <c r="B10914">
        <v>194956355.22223562</v>
      </c>
    </row>
    <row r="10915" spans="1:2" x14ac:dyDescent="0.25">
      <c r="A10915">
        <f ca="1">29863.6891233341*((RANDBETWEEN(1620,2416)))</f>
        <v>59488468.733681515</v>
      </c>
      <c r="B10915">
        <v>166609104.34718484</v>
      </c>
    </row>
    <row r="10916" spans="1:2" x14ac:dyDescent="0.25">
      <c r="A10916">
        <f ca="1">31950.9733646879*((RANDBETWEEN(1620,2416)))</f>
        <v>70292141.402313352</v>
      </c>
      <c r="B10916">
        <v>180101603.58381397</v>
      </c>
    </row>
    <row r="10917" spans="1:2" x14ac:dyDescent="0.25">
      <c r="A10917">
        <f ca="1">27812.4841979287*((RANDBETWEEN(1620,2416)))</f>
        <v>57293717.447733067</v>
      </c>
      <c r="B10917">
        <v>147180481.99292171</v>
      </c>
    </row>
    <row r="10918" spans="1:2" x14ac:dyDescent="0.25">
      <c r="A10918">
        <f ca="1">26528.2539181918*((RANDBETWEEN(1620,2416)))</f>
        <v>60829286.234413713</v>
      </c>
      <c r="B10918">
        <v>176721514.71293327</v>
      </c>
    </row>
    <row r="10919" spans="1:2" x14ac:dyDescent="0.25">
      <c r="A10919">
        <f ca="1">26026.9454683208*((RANDBETWEEN(1620,2416)))</f>
        <v>56582579.448129348</v>
      </c>
      <c r="B10919">
        <v>156941848.39475602</v>
      </c>
    </row>
    <row r="10920" spans="1:2" x14ac:dyDescent="0.25">
      <c r="A10920">
        <f ca="1">25886.5242865153*((RANDBETWEEN(1620,2416)))</f>
        <v>61817019.99619852</v>
      </c>
      <c r="B10920">
        <v>165181317.42505231</v>
      </c>
    </row>
    <row r="10921" spans="1:2" x14ac:dyDescent="0.25">
      <c r="A10921">
        <f ca="1">32956.5438813244*((RANDBETWEEN(1620,2416)))</f>
        <v>74284049.908505127</v>
      </c>
      <c r="B10921">
        <v>201979607.82153255</v>
      </c>
    </row>
    <row r="10922" spans="1:2" x14ac:dyDescent="0.25">
      <c r="A10922">
        <f ca="1">27454.172818931*((RANDBETWEEN(1620,2416)))</f>
        <v>61112988.694940418</v>
      </c>
      <c r="B10922">
        <v>165012605.47962949</v>
      </c>
    </row>
    <row r="10923" spans="1:2" x14ac:dyDescent="0.25">
      <c r="A10923">
        <f ca="1">28695.4517788549*((RANDBETWEEN(1620,2416)))</f>
        <v>47347495.435110532</v>
      </c>
      <c r="B10923">
        <v>185872654.01486844</v>
      </c>
    </row>
    <row r="10924" spans="1:2" x14ac:dyDescent="0.25">
      <c r="A10924">
        <f ca="1">26400.355237379*((RANDBETWEEN(1620,2416)))</f>
        <v>53751123.263303548</v>
      </c>
      <c r="B10924">
        <v>145435544.86912349</v>
      </c>
    </row>
    <row r="10925" spans="1:2" x14ac:dyDescent="0.25">
      <c r="A10925">
        <f ca="1">26713.1685877142*((RANDBETWEEN(1620,2416)))</f>
        <v>54120879.558708921</v>
      </c>
      <c r="B10925">
        <v>161387901.88324064</v>
      </c>
    </row>
    <row r="10926" spans="1:2" x14ac:dyDescent="0.25">
      <c r="A10926">
        <f ca="1">26977.965053111*((RANDBETWEEN(1620,2416)))</f>
        <v>50232970.928892665</v>
      </c>
      <c r="B10926">
        <v>193318733.67479327</v>
      </c>
    </row>
    <row r="10927" spans="1:2" x14ac:dyDescent="0.25">
      <c r="A10927">
        <f ca="1">27523.0089948393*((RANDBETWEEN(1620,2416)))</f>
        <v>50890043.631457791</v>
      </c>
      <c r="B10927">
        <v>175898607.49003595</v>
      </c>
    </row>
    <row r="10928" spans="1:2" x14ac:dyDescent="0.25">
      <c r="A10928">
        <f ca="1">27406.4214470943*((RANDBETWEEN(1620,2416)))</f>
        <v>49989312.719499961</v>
      </c>
      <c r="B10928">
        <v>163099536.58546782</v>
      </c>
    </row>
    <row r="10929" spans="1:2" x14ac:dyDescent="0.25">
      <c r="A10929">
        <f ca="1">27805.7446252179*((RANDBETWEEN(1620,2416)))</f>
        <v>63647349.447123684</v>
      </c>
      <c r="B10929">
        <v>183023184.45493937</v>
      </c>
    </row>
    <row r="10930" spans="1:2" x14ac:dyDescent="0.25">
      <c r="A10930">
        <f ca="1">30199.3730961937*((RANDBETWEEN(1620,2416)))</f>
        <v>50493351.81683585</v>
      </c>
      <c r="B10930">
        <v>176177406.54642338</v>
      </c>
    </row>
    <row r="10931" spans="1:2" x14ac:dyDescent="0.25">
      <c r="A10931">
        <f ca="1">28325.8825083631*((RANDBETWEEN(1620,2416)))</f>
        <v>62656852.108499162</v>
      </c>
      <c r="B10931">
        <v>170940333.77132729</v>
      </c>
    </row>
    <row r="10932" spans="1:2" x14ac:dyDescent="0.25">
      <c r="A10932">
        <f ca="1">26808.0156748803*((RANDBETWEEN(1620,2416)))</f>
        <v>47637843.85426224</v>
      </c>
      <c r="B10932">
        <v>143462899.05880287</v>
      </c>
    </row>
    <row r="10933" spans="1:2" x14ac:dyDescent="0.25">
      <c r="A10933">
        <f ca="1">25845.1644687669*((RANDBETWEEN(1620,2416)))</f>
        <v>60374304.199039429</v>
      </c>
      <c r="B10933">
        <v>147138955.52125913</v>
      </c>
    </row>
    <row r="10934" spans="1:2" x14ac:dyDescent="0.25">
      <c r="A10934">
        <f ca="1">27165.6266729622*((RANDBETWEEN(1620,2416)))</f>
        <v>64165210.201536812</v>
      </c>
      <c r="B10934">
        <v>148516781.38646531</v>
      </c>
    </row>
    <row r="10935" spans="1:2" x14ac:dyDescent="0.25">
      <c r="A10935">
        <f ca="1">32452.4875581013*((RANDBETWEEN(1620,2416)))</f>
        <v>63412160.688529931</v>
      </c>
      <c r="B10935">
        <v>190672654.77536169</v>
      </c>
    </row>
    <row r="10936" spans="1:2" x14ac:dyDescent="0.25">
      <c r="A10936">
        <f ca="1">30725.3842024295*((RANDBETWEEN(1620,2416)))</f>
        <v>69808072.907919794</v>
      </c>
      <c r="B10936">
        <v>200077882.16076827</v>
      </c>
    </row>
    <row r="10937" spans="1:2" x14ac:dyDescent="0.25">
      <c r="A10937">
        <f ca="1">26951.2721279407*((RANDBETWEEN(1620,2416)))</f>
        <v>50964855.593935885</v>
      </c>
      <c r="B10937">
        <v>167121526.29298729</v>
      </c>
    </row>
    <row r="10938" spans="1:2" x14ac:dyDescent="0.25">
      <c r="A10938">
        <f ca="1">27885.8116326431*((RANDBETWEEN(1620,2416)))</f>
        <v>49804059.57590054</v>
      </c>
      <c r="B10938">
        <v>174086432.96243477</v>
      </c>
    </row>
    <row r="10939" spans="1:2" x14ac:dyDescent="0.25">
      <c r="A10939">
        <f ca="1">27364.3911112358*((RANDBETWEEN(1620,2416)))</f>
        <v>49666369.866892889</v>
      </c>
      <c r="B10939">
        <v>159885466.55409646</v>
      </c>
    </row>
    <row r="10940" spans="1:2" x14ac:dyDescent="0.25">
      <c r="A10940">
        <f ca="1">29757.4539704309*((RANDBETWEEN(1620,2416)))</f>
        <v>67311360.881114766</v>
      </c>
      <c r="B10940">
        <v>186546360.63275945</v>
      </c>
    </row>
    <row r="10941" spans="1:2" x14ac:dyDescent="0.25">
      <c r="A10941">
        <f ca="1">29047.2045360366*((RANDBETWEEN(1620,2416)))</f>
        <v>54347319.68692448</v>
      </c>
      <c r="B10941">
        <v>150044438.6621289</v>
      </c>
    </row>
    <row r="10942" spans="1:2" x14ac:dyDescent="0.25">
      <c r="A10942">
        <f ca="1">25732.3673296252*((RANDBETWEEN(1620,2416)))</f>
        <v>52082311.475161314</v>
      </c>
      <c r="B10942">
        <v>168027286.4730556</v>
      </c>
    </row>
    <row r="10943" spans="1:2" x14ac:dyDescent="0.25">
      <c r="A10943">
        <f ca="1">27698.2646801988*((RANDBETWEEN(1620,2416)))</f>
        <v>57917071.446295716</v>
      </c>
      <c r="B10943">
        <v>166155815.16715333</v>
      </c>
    </row>
    <row r="10944" spans="1:2" x14ac:dyDescent="0.25">
      <c r="A10944">
        <f ca="1">29824.6856266064*((RANDBETWEEN(1620,2416)))</f>
        <v>61289728.962676197</v>
      </c>
      <c r="B10944">
        <v>158099963.58010948</v>
      </c>
    </row>
    <row r="10945" spans="1:2" x14ac:dyDescent="0.25">
      <c r="A10945">
        <f ca="1">27619.0791504707*((RANDBETWEEN(1620,2416)))</f>
        <v>63441024.808631174</v>
      </c>
      <c r="B10945">
        <v>148150653.8929182</v>
      </c>
    </row>
    <row r="10946" spans="1:2" x14ac:dyDescent="0.25">
      <c r="A10946">
        <f ca="1">27687.6600289336*((RANDBETWEEN(1620,2416)))</f>
        <v>56178262.198706232</v>
      </c>
      <c r="B10946">
        <v>169074575.61792767</v>
      </c>
    </row>
    <row r="10947" spans="1:2" x14ac:dyDescent="0.25">
      <c r="A10947">
        <f ca="1">29657.7238152833*((RANDBETWEEN(1620,2416)))</f>
        <v>64861441.984024681</v>
      </c>
      <c r="B10947">
        <v>150085585.53876504</v>
      </c>
    </row>
    <row r="10948" spans="1:2" x14ac:dyDescent="0.25">
      <c r="A10948">
        <f ca="1">26319.9941786957*((RANDBETWEEN(1620,2416)))</f>
        <v>52955828.287535809</v>
      </c>
      <c r="B10948">
        <v>175161596.87148884</v>
      </c>
    </row>
    <row r="10949" spans="1:2" x14ac:dyDescent="0.25">
      <c r="A10949">
        <f ca="1">26812.9362428267*((RANDBETWEEN(1620,2416)))</f>
        <v>47673400.639745891</v>
      </c>
      <c r="B10949">
        <v>143592909.29259759</v>
      </c>
    </row>
    <row r="10950" spans="1:2" x14ac:dyDescent="0.25">
      <c r="A10950">
        <f ca="1">29281.8856799025*((RANDBETWEEN(1620,2416)))</f>
        <v>55225636.392296068</v>
      </c>
      <c r="B10950">
        <v>199316328.4216271</v>
      </c>
    </row>
    <row r="10951" spans="1:2" x14ac:dyDescent="0.25">
      <c r="A10951">
        <f ca="1">25531.4549698859*((RANDBETWEEN(1620,2416)))</f>
        <v>48535295.897753149</v>
      </c>
      <c r="B10951">
        <v>145091243.79293317</v>
      </c>
    </row>
    <row r="10952" spans="1:2" x14ac:dyDescent="0.25">
      <c r="A10952">
        <f ca="1">26256.8203345137*((RANDBETWEEN(1620,2416)))</f>
        <v>57922545.657937303</v>
      </c>
      <c r="B10952">
        <v>146862178.0142965</v>
      </c>
    </row>
    <row r="10953" spans="1:2" x14ac:dyDescent="0.25">
      <c r="A10953">
        <f ca="1">30588.0110514369*((RANDBETWEEN(1620,2416)))</f>
        <v>69954781.274636298</v>
      </c>
      <c r="B10953">
        <v>165159999.70510367</v>
      </c>
    </row>
    <row r="10954" spans="1:2" x14ac:dyDescent="0.25">
      <c r="A10954">
        <f ca="1">29238.768897508*((RANDBETWEEN(1620,2416)))</f>
        <v>66138095.246163018</v>
      </c>
      <c r="B10954">
        <v>192422404.55849832</v>
      </c>
    </row>
    <row r="10955" spans="1:2" x14ac:dyDescent="0.25">
      <c r="A10955">
        <f ca="1">26676.9091153989*((RANDBETWEEN(1620,2416)))</f>
        <v>63010859.330572128</v>
      </c>
      <c r="B10955">
        <v>167428695.64020082</v>
      </c>
    </row>
    <row r="10956" spans="1:2" x14ac:dyDescent="0.25">
      <c r="A10956">
        <f ca="1">29842.8129460918*((RANDBETWEEN(1620,2416)))</f>
        <v>48972056.044536658</v>
      </c>
      <c r="B10956">
        <v>195218042.84328592</v>
      </c>
    </row>
    <row r="10957" spans="1:2" x14ac:dyDescent="0.25">
      <c r="A10957">
        <f ca="1">27389.3492774682*((RANDBETWEEN(1620,2416)))</f>
        <v>48232644.077621512</v>
      </c>
      <c r="B10957">
        <v>154526161.86068803</v>
      </c>
    </row>
    <row r="10958" spans="1:2" x14ac:dyDescent="0.25">
      <c r="A10958">
        <f ca="1">26171.2783007295*((RANDBETWEEN(1620,2416)))</f>
        <v>59670514.525663324</v>
      </c>
      <c r="B10958">
        <v>148509009.93974707</v>
      </c>
    </row>
    <row r="10959" spans="1:2" x14ac:dyDescent="0.25">
      <c r="A10959">
        <f ca="1">27519.0868801771*((RANDBETWEEN(1620,2416)))</f>
        <v>55505998.237317137</v>
      </c>
      <c r="B10959">
        <v>150320542.01494801</v>
      </c>
    </row>
    <row r="10960" spans="1:2" x14ac:dyDescent="0.25">
      <c r="A10960">
        <f ca="1">28373.9075800315*((RANDBETWEEN(1620,2416)))</f>
        <v>47469547.38139274</v>
      </c>
      <c r="B10960">
        <v>149396256.6076076</v>
      </c>
    </row>
    <row r="10961" spans="1:2" x14ac:dyDescent="0.25">
      <c r="A10961">
        <f ca="1">26179.4534975352*((RANDBETWEEN(1620,2416)))</f>
        <v>59139385.450932041</v>
      </c>
      <c r="B10961">
        <v>166058921.33073002</v>
      </c>
    </row>
    <row r="10962" spans="1:2" x14ac:dyDescent="0.25">
      <c r="A10962">
        <f ca="1">27998.4297068767*((RANDBETWEEN(1620,2416)))</f>
        <v>59188680.400337383</v>
      </c>
      <c r="B10962">
        <v>194142966.63904268</v>
      </c>
    </row>
    <row r="10963" spans="1:2" x14ac:dyDescent="0.25">
      <c r="A10963">
        <f ca="1">29184.9147402582*((RANDBETWEEN(1620,2416)))</f>
        <v>65082359.870775804</v>
      </c>
      <c r="B10963">
        <v>159398099.56200173</v>
      </c>
    </row>
    <row r="10964" spans="1:2" x14ac:dyDescent="0.25">
      <c r="A10964">
        <f ca="1">24949.8407034888*((RANDBETWEEN(1620,2416)))</f>
        <v>59081222.785861522</v>
      </c>
      <c r="B10964">
        <v>144046899.19755992</v>
      </c>
    </row>
    <row r="10965" spans="1:2" x14ac:dyDescent="0.25">
      <c r="A10965">
        <f ca="1">29182.6789227476*((RANDBETWEEN(1620,2416)))</f>
        <v>56760310.504744105</v>
      </c>
      <c r="B10965">
        <v>157119386.30845439</v>
      </c>
    </row>
    <row r="10966" spans="1:2" x14ac:dyDescent="0.25">
      <c r="A10966">
        <f ca="1">29744.4137057435*((RANDBETWEEN(1620,2416)))</f>
        <v>62106335.817592405</v>
      </c>
      <c r="B10966">
        <v>143390285.0312537</v>
      </c>
    </row>
    <row r="10967" spans="1:2" x14ac:dyDescent="0.25">
      <c r="A10967">
        <f ca="1">26495.0287018245*((RANDBETWEEN(1620,2416)))</f>
        <v>53493462.948983677</v>
      </c>
      <c r="B10967">
        <v>158956286.83124304</v>
      </c>
    </row>
    <row r="10968" spans="1:2" x14ac:dyDescent="0.25">
      <c r="A10968">
        <f ca="1">30808.2308491436*((RANDBETWEEN(1620,2416)))</f>
        <v>59244227.92290324</v>
      </c>
      <c r="B10968">
        <v>190542254.50454372</v>
      </c>
    </row>
    <row r="10969" spans="1:2" x14ac:dyDescent="0.25">
      <c r="A10969">
        <f ca="1">30471.4775918207*((RANDBETWEEN(1620,2416)))</f>
        <v>50887367.57834065</v>
      </c>
      <c r="B10969">
        <v>196889671.66333309</v>
      </c>
    </row>
    <row r="10970" spans="1:2" x14ac:dyDescent="0.25">
      <c r="A10970">
        <f ca="1">24504.8099542878*((RANDBETWEEN(1620,2416)))</f>
        <v>58934067.94006227</v>
      </c>
      <c r="B10970">
        <v>172575229.89711043</v>
      </c>
    </row>
    <row r="10971" spans="1:2" x14ac:dyDescent="0.25">
      <c r="A10971">
        <f ca="1">31291.3956789688*((RANDBETWEEN(1620,2416)))</f>
        <v>51286597.51782994</v>
      </c>
      <c r="B10971">
        <v>186925526.90344822</v>
      </c>
    </row>
    <row r="10972" spans="1:2" x14ac:dyDescent="0.25">
      <c r="A10972">
        <f ca="1">26848.5285854167*((RANDBETWEEN(1620,2416)))</f>
        <v>47414501.481845833</v>
      </c>
      <c r="B10972">
        <v>198385800.76551342</v>
      </c>
    </row>
    <row r="10973" spans="1:2" x14ac:dyDescent="0.25">
      <c r="A10973">
        <f ca="1">27155.2357654856*((RANDBETWEEN(1620,2416)))</f>
        <v>52273828.848559856</v>
      </c>
      <c r="B10973">
        <v>158150322.29849753</v>
      </c>
    </row>
    <row r="10974" spans="1:2" x14ac:dyDescent="0.25">
      <c r="A10974">
        <f ca="1">26765.3440552786*((RANDBETWEEN(1620,2416)))</f>
        <v>44510767.163928315</v>
      </c>
      <c r="B10974">
        <v>177470038.53281501</v>
      </c>
    </row>
    <row r="10975" spans="1:2" x14ac:dyDescent="0.25">
      <c r="A10975">
        <f ca="1">30280.7166304858*((RANDBETWEEN(1620,2416)))</f>
        <v>65951400.821197987</v>
      </c>
      <c r="B10975">
        <v>177362255.12893528</v>
      </c>
    </row>
    <row r="10976" spans="1:2" x14ac:dyDescent="0.25">
      <c r="A10976">
        <f ca="1">30563.9211027316*((RANDBETWEEN(1620,2416)))</f>
        <v>67821340.926961437</v>
      </c>
      <c r="B10976">
        <v>185162242.31188771</v>
      </c>
    </row>
    <row r="10977" spans="1:2" x14ac:dyDescent="0.25">
      <c r="A10977">
        <f ca="1">28088.9618309376*((RANDBETWEEN(1620,2416)))</f>
        <v>50728665.066673338</v>
      </c>
      <c r="B10977">
        <v>156171544.19843888</v>
      </c>
    </row>
    <row r="10978" spans="1:2" x14ac:dyDescent="0.25">
      <c r="A10978">
        <f ca="1">25770.6062610964*((RANDBETWEEN(1620,2416)))</f>
        <v>42804976.99968116</v>
      </c>
      <c r="B10978">
        <v>175540407.19972089</v>
      </c>
    </row>
    <row r="10979" spans="1:2" x14ac:dyDescent="0.25">
      <c r="A10979">
        <f ca="1">26816.1435387557*((RANDBETWEEN(1620,2416)))</f>
        <v>53605470.933972716</v>
      </c>
      <c r="B10979">
        <v>190585299.66602203</v>
      </c>
    </row>
    <row r="10980" spans="1:2" x14ac:dyDescent="0.25">
      <c r="A10980">
        <f ca="1">27661.6403124028*((RANDBETWEEN(1620,2416)))</f>
        <v>62459983.825405553</v>
      </c>
      <c r="B10980">
        <v>145051321.45261303</v>
      </c>
    </row>
    <row r="10981" spans="1:2" x14ac:dyDescent="0.25">
      <c r="A10981">
        <f ca="1">26374.0092744919*((RANDBETWEEN(1620,2416)))</f>
        <v>47868826.833202779</v>
      </c>
      <c r="B10981">
        <v>145788987.93288356</v>
      </c>
    </row>
    <row r="10982" spans="1:2" x14ac:dyDescent="0.25">
      <c r="A10982">
        <f ca="1">26892.8314028247*((RANDBETWEEN(1620,2416)))</f>
        <v>64865509.343613073</v>
      </c>
      <c r="B10982">
        <v>151149372.28291163</v>
      </c>
    </row>
    <row r="10983" spans="1:2" x14ac:dyDescent="0.25">
      <c r="A10983">
        <f ca="1">29011.098206286*((RANDBETWEEN(1620,2416)))</f>
        <v>63186171.89329084</v>
      </c>
      <c r="B10983">
        <v>146894399.62154314</v>
      </c>
    </row>
    <row r="10984" spans="1:2" x14ac:dyDescent="0.25">
      <c r="A10984">
        <f ca="1">27843.3907038167*((RANDBETWEEN(1620,2416)))</f>
        <v>63622147.758221172</v>
      </c>
      <c r="B10984">
        <v>179786999.96366537</v>
      </c>
    </row>
    <row r="10985" spans="1:2" x14ac:dyDescent="0.25">
      <c r="A10985">
        <f ca="1">26496.3178001399*((RANDBETWEEN(1620,2416)))</f>
        <v>52886650.32907927</v>
      </c>
      <c r="B10985">
        <v>168254207.24606875</v>
      </c>
    </row>
    <row r="10986" spans="1:2" x14ac:dyDescent="0.25">
      <c r="A10986">
        <f ca="1">26708.1354062077*((RANDBETWEEN(1620,2416)))</f>
        <v>64206357.516523309</v>
      </c>
      <c r="B10986">
        <v>158891751.38455984</v>
      </c>
    </row>
    <row r="10987" spans="1:2" x14ac:dyDescent="0.25">
      <c r="A10987">
        <f ca="1">26189.4784073976*((RANDBETWEEN(1620,2416)))</f>
        <v>48293398.183241114</v>
      </c>
      <c r="B10987">
        <v>155763895.37736434</v>
      </c>
    </row>
    <row r="10988" spans="1:2" x14ac:dyDescent="0.25">
      <c r="A10988">
        <f ca="1">27719.706539423*((RANDBETWEEN(1620,2416)))</f>
        <v>62341620.007162347</v>
      </c>
      <c r="B10988">
        <v>186167304.44826108</v>
      </c>
    </row>
    <row r="10989" spans="1:2" x14ac:dyDescent="0.25">
      <c r="A10989">
        <f ca="1">29992.770116702*((RANDBETWEEN(1620,2416)))</f>
        <v>68113580.935030311</v>
      </c>
      <c r="B10989">
        <v>179862983.26240844</v>
      </c>
    </row>
    <row r="10990" spans="1:2" x14ac:dyDescent="0.25">
      <c r="A10990">
        <f ca="1">29885.0861846096*((RANDBETWEEN(1620,2416)))</f>
        <v>50894301.772390082</v>
      </c>
      <c r="B10990">
        <v>151498169.47532547</v>
      </c>
    </row>
    <row r="10991" spans="1:2" x14ac:dyDescent="0.25">
      <c r="A10991">
        <f ca="1">26615.8189850243*((RANDBETWEEN(1620,2416)))</f>
        <v>44900886.62773595</v>
      </c>
      <c r="B10991">
        <v>176227145.96819937</v>
      </c>
    </row>
    <row r="10992" spans="1:2" x14ac:dyDescent="0.25">
      <c r="A10992">
        <f ca="1">25357.4534695565*((RANDBETWEEN(1620,2416)))</f>
        <v>48407378.673383333</v>
      </c>
      <c r="B10992">
        <v>166028985.50057045</v>
      </c>
    </row>
    <row r="10993" spans="1:2" x14ac:dyDescent="0.25">
      <c r="A10993">
        <f ca="1">27528.5091773138*((RANDBETWEEN(1620,2416)))</f>
        <v>47651849.385930151</v>
      </c>
      <c r="B10993">
        <v>143553957.96593761</v>
      </c>
    </row>
    <row r="10994" spans="1:2" x14ac:dyDescent="0.25">
      <c r="A10994">
        <f ca="1">26551.4444583965*((RANDBETWEEN(1620,2416)))</f>
        <v>55412864.584673598</v>
      </c>
      <c r="B10994">
        <v>145011034.71746013</v>
      </c>
    </row>
    <row r="10995" spans="1:2" x14ac:dyDescent="0.25">
      <c r="A10995">
        <f ca="1">27482.1784554599*((RANDBETWEEN(1620,2416)))</f>
        <v>45208183.559231579</v>
      </c>
      <c r="B10995">
        <v>193910026.64674163</v>
      </c>
    </row>
    <row r="10996" spans="1:2" x14ac:dyDescent="0.25">
      <c r="A10996">
        <f ca="1">27172.1548639568*((RANDBETWEEN(1620,2416)))</f>
        <v>52496603.19716455</v>
      </c>
      <c r="B10996">
        <v>145484259.68843931</v>
      </c>
    </row>
    <row r="10997" spans="1:2" x14ac:dyDescent="0.25">
      <c r="A10997">
        <f ca="1">28073.5825046348*((RANDBETWEEN(1620,2416)))</f>
        <v>49381431.625652537</v>
      </c>
      <c r="B10997">
        <v>159361535.79697677</v>
      </c>
    </row>
    <row r="10998" spans="1:2" x14ac:dyDescent="0.25">
      <c r="A10998">
        <f ca="1">26050.4951612577*((RANDBETWEEN(1620,2416)))</f>
        <v>57493442.820895851</v>
      </c>
      <c r="B10998">
        <v>147514306.03320864</v>
      </c>
    </row>
    <row r="10999" spans="1:2" x14ac:dyDescent="0.25">
      <c r="A10999">
        <f ca="1">27920.8625626306*((RANDBETWEEN(1620,2416)))</f>
        <v>50173790.025047176</v>
      </c>
      <c r="B10999">
        <v>173699638.69552386</v>
      </c>
    </row>
    <row r="11000" spans="1:2" x14ac:dyDescent="0.25">
      <c r="A11000">
        <f ca="1">25167.6169496701*((RANDBETWEEN(1620,2416)))</f>
        <v>56375461.967261061</v>
      </c>
      <c r="B11000">
        <v>151042533.97240049</v>
      </c>
    </row>
    <row r="11001" spans="1:2" x14ac:dyDescent="0.25">
      <c r="A11001">
        <f ca="1">26990.4013413995*((RANDBETWEEN(1620,2416)))</f>
        <v>62212875.091925859</v>
      </c>
      <c r="B11001">
        <v>198113634.79975253</v>
      </c>
    </row>
    <row r="11002" spans="1:2" x14ac:dyDescent="0.25">
      <c r="A11002">
        <f ca="1">26008.4451817243*((RANDBETWEEN(1620,2416)))</f>
        <v>51938865.027903333</v>
      </c>
      <c r="B11002">
        <v>155084556.42498484</v>
      </c>
    </row>
    <row r="11003" spans="1:2" x14ac:dyDescent="0.25">
      <c r="A11003">
        <f ca="1">27078.1396959262*((RANDBETWEEN(1620,2416)))</f>
        <v>55428951.957560971</v>
      </c>
      <c r="B11003">
        <v>175826339.95841038</v>
      </c>
    </row>
    <row r="11004" spans="1:2" x14ac:dyDescent="0.25">
      <c r="A11004">
        <f ca="1">26716.9972261304*((RANDBETWEEN(1620,2416)))</f>
        <v>44243347.406471893</v>
      </c>
      <c r="B11004">
        <v>158036187.56929997</v>
      </c>
    </row>
    <row r="11005" spans="1:2" x14ac:dyDescent="0.25">
      <c r="A11005">
        <f ca="1">26413.4639528247*((RANDBETWEEN(1620,2416)))</f>
        <v>51453427.780102424</v>
      </c>
      <c r="B11005">
        <v>143625544.49477768</v>
      </c>
    </row>
    <row r="11006" spans="1:2" x14ac:dyDescent="0.25">
      <c r="A11006">
        <f ca="1">27679.7787384125*((RANDBETWEEN(1620,2416)))</f>
        <v>48411933.013483495</v>
      </c>
      <c r="B11006">
        <v>154885980.80649143</v>
      </c>
    </row>
    <row r="11007" spans="1:2" x14ac:dyDescent="0.25">
      <c r="A11007">
        <f ca="1">28183.9828677796*((RANDBETWEEN(1620,2416)))</f>
        <v>59355467.919543736</v>
      </c>
      <c r="B11007">
        <v>186043010.45840606</v>
      </c>
    </row>
    <row r="11008" spans="1:2" x14ac:dyDescent="0.25">
      <c r="A11008">
        <f ca="1">27448.7427908549*((RANDBETWEEN(1620,2416)))</f>
        <v>45400220.576074034</v>
      </c>
      <c r="B11008">
        <v>186393304.28339076</v>
      </c>
    </row>
    <row r="11009" spans="1:2" x14ac:dyDescent="0.25">
      <c r="A11009">
        <f ca="1">26430.1827496326*((RANDBETWEEN(1620,2416)))</f>
        <v>56824892.911710016</v>
      </c>
      <c r="B11009">
        <v>162326983.15114689</v>
      </c>
    </row>
    <row r="11010" spans="1:2" x14ac:dyDescent="0.25">
      <c r="A11010">
        <f ca="1">33241.1396531056*((RANDBETWEEN(1620,2416)))</f>
        <v>64554293.206330977</v>
      </c>
      <c r="B11010">
        <v>161458651.81205797</v>
      </c>
    </row>
    <row r="11011" spans="1:2" x14ac:dyDescent="0.25">
      <c r="A11011">
        <f ca="1">28408.4393009715*((RANDBETWEEN(1620,2416)))</f>
        <v>53010147.735612832</v>
      </c>
      <c r="B11011">
        <v>192228387.876706</v>
      </c>
    </row>
    <row r="11012" spans="1:2" x14ac:dyDescent="0.25">
      <c r="A11012">
        <f ca="1">28054.395237603*((RANDBETWEEN(1620,2416)))</f>
        <v>61719669.522726513</v>
      </c>
      <c r="B11012">
        <v>198843727.72207335</v>
      </c>
    </row>
    <row r="11013" spans="1:2" x14ac:dyDescent="0.25">
      <c r="A11013">
        <f ca="1">28413.8364614241*((RANDBETWEEN(1620,2416)))</f>
        <v>67085067.885422312</v>
      </c>
      <c r="B11013">
        <v>174191888.58222365</v>
      </c>
    </row>
    <row r="11014" spans="1:2" x14ac:dyDescent="0.25">
      <c r="A11014">
        <f ca="1">30350.8764409823*((RANDBETWEEN(1620,2416)))</f>
        <v>54176314.447153375</v>
      </c>
      <c r="B11014">
        <v>151590968.18847606</v>
      </c>
    </row>
    <row r="11015" spans="1:2" x14ac:dyDescent="0.25">
      <c r="A11015">
        <f ca="1">33193.4297871627*((RANDBETWEEN(1620,2416)))</f>
        <v>79033556.323234469</v>
      </c>
      <c r="B11015">
        <v>170969526.29201394</v>
      </c>
    </row>
    <row r="11016" spans="1:2" x14ac:dyDescent="0.25">
      <c r="A11016">
        <f ca="1">28277.5187035469*((RANDBETWEEN(1620,2416)))</f>
        <v>52907237.4943363</v>
      </c>
      <c r="B11016">
        <v>191827116.4590323</v>
      </c>
    </row>
    <row r="11017" spans="1:2" x14ac:dyDescent="0.25">
      <c r="A11017">
        <f ca="1">28335.9023742336*((RANDBETWEEN(1620,2416)))</f>
        <v>50494578.030884318</v>
      </c>
      <c r="B11017">
        <v>186620047.99163842</v>
      </c>
    </row>
    <row r="11018" spans="1:2" x14ac:dyDescent="0.25">
      <c r="A11018">
        <f ca="1">27707.023004047*((RANDBETWEEN(1620,2416)))</f>
        <v>59957997.780757621</v>
      </c>
      <c r="B11018">
        <v>156567901.68433326</v>
      </c>
    </row>
    <row r="11019" spans="1:2" x14ac:dyDescent="0.25">
      <c r="A11019">
        <f ca="1">25566.5930660482*((RANDBETWEEN(1620,2416)))</f>
        <v>49905989.66492606</v>
      </c>
      <c r="B11019">
        <v>149845820.51764527</v>
      </c>
    </row>
    <row r="11020" spans="1:2" x14ac:dyDescent="0.25">
      <c r="A11020">
        <f ca="1">27969.0194952962*((RANDBETWEEN(1620,2416)))</f>
        <v>58175560.550216019</v>
      </c>
      <c r="B11020">
        <v>179857452.88989624</v>
      </c>
    </row>
    <row r="11021" spans="1:2" x14ac:dyDescent="0.25">
      <c r="A11021">
        <f ca="1">29807.5682483048*((RANDBETWEEN(1620,2416)))</f>
        <v>58631486.744415611</v>
      </c>
      <c r="B11021">
        <v>191121396.74562487</v>
      </c>
    </row>
    <row r="11022" spans="1:2" x14ac:dyDescent="0.25">
      <c r="A11022">
        <f ca="1">29132.2331277328*((RANDBETWEEN(1620,2416)))</f>
        <v>58293598.488593347</v>
      </c>
      <c r="B11022">
        <v>184231498.74230093</v>
      </c>
    </row>
    <row r="11023" spans="1:2" x14ac:dyDescent="0.25">
      <c r="A11023">
        <f ca="1">26463.4997905774*((RANDBETWEEN(1620,2416)))</f>
        <v>54461882.569008283</v>
      </c>
      <c r="B11023">
        <v>145648859.63448441</v>
      </c>
    </row>
    <row r="11024" spans="1:2" x14ac:dyDescent="0.25">
      <c r="A11024">
        <f ca="1">28074.7309182545*((RANDBETWEEN(1620,2416)))</f>
        <v>49046554.914190672</v>
      </c>
      <c r="B11024">
        <v>172786643.18186018</v>
      </c>
    </row>
    <row r="11025" spans="1:2" x14ac:dyDescent="0.25">
      <c r="A11025">
        <f ca="1">25979.167037016*((RANDBETWEEN(1620,2416)))</f>
        <v>43904792.292557001</v>
      </c>
      <c r="B11025">
        <v>175431395.78455096</v>
      </c>
    </row>
    <row r="11026" spans="1:2" x14ac:dyDescent="0.25">
      <c r="A11026">
        <f ca="1">28165.7203763579*((RANDBETWEEN(1620,2416)))</f>
        <v>59823990.079384111</v>
      </c>
      <c r="B11026">
        <v>164897171.41341555</v>
      </c>
    </row>
    <row r="11027" spans="1:2" x14ac:dyDescent="0.25">
      <c r="A11027">
        <f ca="1">27003.1080559372*((RANDBETWEEN(1620,2416)))</f>
        <v>57057567.322195239</v>
      </c>
      <c r="B11027">
        <v>144845947.9895871</v>
      </c>
    </row>
    <row r="11028" spans="1:2" x14ac:dyDescent="0.25">
      <c r="A11028">
        <f ca="1">31907.9450343576*((RANDBETWEEN(1620,2416)))</f>
        <v>76068540.961908445</v>
      </c>
      <c r="B11028">
        <v>185835284.80945867</v>
      </c>
    </row>
    <row r="11029" spans="1:2" x14ac:dyDescent="0.25">
      <c r="A11029">
        <f ca="1">25487.5974761691*((RANDBETWEEN(1620,2416)))</f>
        <v>44730733.570676766</v>
      </c>
      <c r="B11029">
        <v>180985909.3182528</v>
      </c>
    </row>
    <row r="11030" spans="1:2" x14ac:dyDescent="0.25">
      <c r="A11030">
        <f ca="1">26170.6850967531*((RANDBETWEEN(1620,2416)))</f>
        <v>59276601.744145699</v>
      </c>
      <c r="B11030">
        <v>198121435.98441765</v>
      </c>
    </row>
    <row r="11031" spans="1:2" x14ac:dyDescent="0.25">
      <c r="A11031">
        <f ca="1">28372.569778305*((RANDBETWEEN(1620,2416)))</f>
        <v>51325978.728953831</v>
      </c>
      <c r="B11031">
        <v>150964413.3709656</v>
      </c>
    </row>
    <row r="11032" spans="1:2" x14ac:dyDescent="0.25">
      <c r="A11032">
        <f ca="1">25969.0210959933*((RANDBETWEEN(1620,2416)))</f>
        <v>55937271.440769665</v>
      </c>
      <c r="B11032">
        <v>144275742.80594274</v>
      </c>
    </row>
    <row r="11033" spans="1:2" x14ac:dyDescent="0.25">
      <c r="A11033">
        <f ca="1">30119.0392128953*((RANDBETWEEN(1620,2416)))</f>
        <v>63852363.131338075</v>
      </c>
      <c r="B11033">
        <v>175579673.48771018</v>
      </c>
    </row>
    <row r="11034" spans="1:2" x14ac:dyDescent="0.25">
      <c r="A11034">
        <f ca="1">27257.7231538912*((RANDBETWEEN(1620,2416)))</f>
        <v>63565010.394874282</v>
      </c>
      <c r="B11034">
        <v>165003447.66750503</v>
      </c>
    </row>
    <row r="11035" spans="1:2" x14ac:dyDescent="0.25">
      <c r="A11035">
        <f ca="1">31096.4430282815*((RANDBETWEEN(1620,2416)))</f>
        <v>70402347.016029209</v>
      </c>
      <c r="B11035">
        <v>202038059.7335889</v>
      </c>
    </row>
    <row r="11036" spans="1:2" x14ac:dyDescent="0.25">
      <c r="A11036">
        <f ca="1">26489.0899922364*((RANDBETWEEN(1620,2416)))</f>
        <v>48607480.135753781</v>
      </c>
      <c r="B11036">
        <v>156047759.18851364</v>
      </c>
    </row>
    <row r="11037" spans="1:2" x14ac:dyDescent="0.25">
      <c r="A11037">
        <f ca="1">30128.7857272926*((RANDBETWEEN(1620,2416)))</f>
        <v>53448465.880216993</v>
      </c>
      <c r="B11037">
        <v>190007125.83888674</v>
      </c>
    </row>
    <row r="11038" spans="1:2" x14ac:dyDescent="0.25">
      <c r="A11038">
        <f ca="1">27121.5240275334*((RANDBETWEEN(1620,2416)))</f>
        <v>57145051.126012899</v>
      </c>
      <c r="B11038">
        <v>162116164.49678627</v>
      </c>
    </row>
    <row r="11039" spans="1:2" x14ac:dyDescent="0.25">
      <c r="A11039">
        <f ca="1">29329.073335408*((RANDBETWEEN(1620,2416)))</f>
        <v>56869073.197356105</v>
      </c>
      <c r="B11039">
        <v>199353929.7902652</v>
      </c>
    </row>
    <row r="11040" spans="1:2" x14ac:dyDescent="0.25">
      <c r="A11040">
        <f ca="1">27104.6853928349*((RANDBETWEEN(1620,2416)))</f>
        <v>64969930.88662529</v>
      </c>
      <c r="B11040">
        <v>189835910.46833575</v>
      </c>
    </row>
    <row r="11041" spans="1:2" x14ac:dyDescent="0.25">
      <c r="A11041">
        <f ca="1">30040.0800520276*((RANDBETWEEN(1620,2416)))</f>
        <v>56475350.497811951</v>
      </c>
      <c r="B11041">
        <v>176046423.23822597</v>
      </c>
    </row>
    <row r="11042" spans="1:2" x14ac:dyDescent="0.25">
      <c r="A11042">
        <f ca="1">26085.1682140305*((RANDBETWEEN(1620,2416)))</f>
        <v>49692245.447728038</v>
      </c>
      <c r="B11042">
        <v>150406896.89671445</v>
      </c>
    </row>
    <row r="11043" spans="1:2" x14ac:dyDescent="0.25">
      <c r="A11043">
        <f ca="1">28594.5798172739*((RANDBETWEEN(1620,2416)))</f>
        <v>61621319.506225251</v>
      </c>
      <c r="B11043">
        <v>166904344.61141205</v>
      </c>
    </row>
    <row r="11044" spans="1:2" x14ac:dyDescent="0.25">
      <c r="A11044">
        <f ca="1">31150.6436678524*((RANDBETWEEN(1620,2416)))</f>
        <v>66942733.242214732</v>
      </c>
      <c r="B11044">
        <v>191654215.72034335</v>
      </c>
    </row>
    <row r="11045" spans="1:2" x14ac:dyDescent="0.25">
      <c r="A11045">
        <f ca="1">28121.9665819003*((RANDBETWEEN(1620,2416)))</f>
        <v>61615228.780943654</v>
      </c>
      <c r="B11045">
        <v>172123281.14331901</v>
      </c>
    </row>
    <row r="11046" spans="1:2" x14ac:dyDescent="0.25">
      <c r="A11046">
        <f ca="1">30678.6368395054*((RANDBETWEEN(1620,2416)))</f>
        <v>69026932.888887197</v>
      </c>
      <c r="B11046">
        <v>162253873.76075527</v>
      </c>
    </row>
    <row r="11047" spans="1:2" x14ac:dyDescent="0.25">
      <c r="A11047">
        <f ca="1">24731.6733628322*((RANDBETWEEN(1620,2416)))</f>
        <v>50427881.986814842</v>
      </c>
      <c r="B11047">
        <v>149997472.61653006</v>
      </c>
    </row>
    <row r="11048" spans="1:2" x14ac:dyDescent="0.25">
      <c r="A11048">
        <f ca="1">27272.8590323562*((RANDBETWEEN(1620,2416)))</f>
        <v>53482076.56245055</v>
      </c>
      <c r="B11048">
        <v>172110872.20762885</v>
      </c>
    </row>
    <row r="11049" spans="1:2" x14ac:dyDescent="0.25">
      <c r="A11049">
        <f ca="1">31884.6234859204*((RANDBETWEEN(1620,2416)))</f>
        <v>55383590.995043747</v>
      </c>
      <c r="B11049">
        <v>186262584.40561897</v>
      </c>
    </row>
    <row r="11050" spans="1:2" x14ac:dyDescent="0.25">
      <c r="A11050">
        <f ca="1">26434.3417750995*((RANDBETWEEN(1620,2416)))</f>
        <v>55855764.170785226</v>
      </c>
      <c r="B11050">
        <v>144846973.98802346</v>
      </c>
    </row>
    <row r="11051" spans="1:2" x14ac:dyDescent="0.25">
      <c r="A11051">
        <f ca="1">27946.2619194548*((RANDBETWEEN(1620,2416)))</f>
        <v>63326229.509484597</v>
      </c>
      <c r="B11051">
        <v>148947434.46450853</v>
      </c>
    </row>
    <row r="11052" spans="1:2" x14ac:dyDescent="0.25">
      <c r="A11052">
        <f ca="1">29097.628724818*((RANDBETWEEN(1620,2416)))</f>
        <v>66749960.294732504</v>
      </c>
      <c r="B11052">
        <v>159880350.30075347</v>
      </c>
    </row>
    <row r="11053" spans="1:2" x14ac:dyDescent="0.25">
      <c r="A11053">
        <f ca="1">28385.7266110786*((RANDBETWEEN(1620,2416)))</f>
        <v>46268734.376058161</v>
      </c>
      <c r="B11053">
        <v>193223962.14497519</v>
      </c>
    </row>
    <row r="11054" spans="1:2" x14ac:dyDescent="0.25">
      <c r="A11054">
        <f ca="1">27623.9410279507*((RANDBETWEEN(1620,2416)))</f>
        <v>65606859.94138287</v>
      </c>
      <c r="B11054">
        <v>160811535.87168479</v>
      </c>
    </row>
    <row r="11055" spans="1:2" x14ac:dyDescent="0.25">
      <c r="A11055">
        <f ca="1">30659.3640640133*((RANDBETWEEN(1620,2416)))</f>
        <v>51385094.171286337</v>
      </c>
      <c r="B11055">
        <v>179377010.99521658</v>
      </c>
    </row>
    <row r="11056" spans="1:2" x14ac:dyDescent="0.25">
      <c r="A11056">
        <f ca="1">27814.2026646523*((RANDBETWEEN(1620,2416)))</f>
        <v>48452341.041824386</v>
      </c>
      <c r="B11056">
        <v>184364247.44387579</v>
      </c>
    </row>
    <row r="11057" spans="1:2" x14ac:dyDescent="0.25">
      <c r="A11057">
        <f ca="1">29454.1929557729*((RANDBETWEEN(1620,2416)))</f>
        <v>49748131.902300425</v>
      </c>
      <c r="B11057">
        <v>168516237.67660579</v>
      </c>
    </row>
    <row r="11058" spans="1:2" x14ac:dyDescent="0.25">
      <c r="A11058">
        <f ca="1">25995.2473077598*((RANDBETWEEN(1620,2416)))</f>
        <v>42320262.617033005</v>
      </c>
      <c r="B11058">
        <v>157426869.03501856</v>
      </c>
    </row>
    <row r="11059" spans="1:2" x14ac:dyDescent="0.25">
      <c r="A11059">
        <f ca="1">26305.3101716386*((RANDBETWEEN(1620,2416)))</f>
        <v>62185753.245753616</v>
      </c>
      <c r="B11059">
        <v>173176070.92902935</v>
      </c>
    </row>
    <row r="11060" spans="1:2" x14ac:dyDescent="0.25">
      <c r="A11060">
        <f ca="1">26718.6335543555*((RANDBETWEEN(1620,2416)))</f>
        <v>43551372.693599515</v>
      </c>
      <c r="B11060">
        <v>156724007.53184164</v>
      </c>
    </row>
    <row r="11061" spans="1:2" x14ac:dyDescent="0.25">
      <c r="A11061">
        <f ca="1">31656.0075698426*((RANDBETWEEN(1620,2416)))</f>
        <v>66604239.92694886</v>
      </c>
      <c r="B11061">
        <v>195602732.40437707</v>
      </c>
    </row>
    <row r="11062" spans="1:2" x14ac:dyDescent="0.25">
      <c r="A11062">
        <f ca="1">28343.0595454154*((RANDBETWEEN(1620,2416)))</f>
        <v>49968813.978567392</v>
      </c>
      <c r="B11062">
        <v>196695352.04388666</v>
      </c>
    </row>
    <row r="11063" spans="1:2" x14ac:dyDescent="0.25">
      <c r="A11063">
        <f ca="1">31121.5926130129*((RANDBETWEEN(1620,2416)))</f>
        <v>73851539.270679697</v>
      </c>
      <c r="B11063">
        <v>151884634.59408543</v>
      </c>
    </row>
    <row r="11064" spans="1:2" x14ac:dyDescent="0.25">
      <c r="A11064">
        <f ca="1">28312.1526250684*((RANDBETWEEN(1620,2416)))</f>
        <v>60050075.717769973</v>
      </c>
      <c r="B11064">
        <v>163561257.13675088</v>
      </c>
    </row>
    <row r="11065" spans="1:2" x14ac:dyDescent="0.25">
      <c r="A11065">
        <f ca="1">28465.75242048*((RANDBETWEEN(1620,2416)))</f>
        <v>54170326.8561735</v>
      </c>
      <c r="B11065">
        <v>161473968.10076845</v>
      </c>
    </row>
    <row r="11066" spans="1:2" x14ac:dyDescent="0.25">
      <c r="A11066">
        <f ca="1">27254.8987856453*((RANDBETWEEN(1620,2416)))</f>
        <v>52029601.78179685</v>
      </c>
      <c r="B11066">
        <v>161474378.73009133</v>
      </c>
    </row>
    <row r="11067" spans="1:2" x14ac:dyDescent="0.25">
      <c r="A11067">
        <f ca="1">26781.0098465934*((RANDBETWEEN(1620,2416)))</f>
        <v>51740911.023618475</v>
      </c>
      <c r="B11067">
        <v>165589364.74107128</v>
      </c>
    </row>
    <row r="11068" spans="1:2" x14ac:dyDescent="0.25">
      <c r="A11068">
        <f ca="1">30567.6820983972*((RANDBETWEEN(1620,2416)))</f>
        <v>59637547.773972921</v>
      </c>
      <c r="B11068">
        <v>158480643.48312062</v>
      </c>
    </row>
    <row r="11069" spans="1:2" x14ac:dyDescent="0.25">
      <c r="A11069">
        <f ca="1">26594.1875022758*((RANDBETWEEN(1620,2416)))</f>
        <v>48534392.191653326</v>
      </c>
      <c r="B11069">
        <v>154876805.92484626</v>
      </c>
    </row>
    <row r="11070" spans="1:2" x14ac:dyDescent="0.25">
      <c r="A11070">
        <f ca="1">25932.1331613447*((RANDBETWEEN(1620,2416)))</f>
        <v>53731379.910306118</v>
      </c>
      <c r="B11070">
        <v>157315436.62072396</v>
      </c>
    </row>
    <row r="11071" spans="1:2" x14ac:dyDescent="0.25">
      <c r="A11071">
        <f ca="1">27988.0748759089*((RANDBETWEEN(1620,2416)))</f>
        <v>54660710.232650101</v>
      </c>
      <c r="B11071">
        <v>169781116.45756945</v>
      </c>
    </row>
    <row r="11072" spans="1:2" x14ac:dyDescent="0.25">
      <c r="A11072">
        <f ca="1">29744.0707030474*((RANDBETWEEN(1620,2416)))</f>
        <v>49107460.730731301</v>
      </c>
      <c r="B11072">
        <v>183541580.99756545</v>
      </c>
    </row>
    <row r="11073" spans="1:2" x14ac:dyDescent="0.25">
      <c r="A11073">
        <f ca="1">27550.9717338699*((RANDBETWEEN(1620,2416)))</f>
        <v>55597860.958949484</v>
      </c>
      <c r="B11073">
        <v>156962213.53319725</v>
      </c>
    </row>
    <row r="11074" spans="1:2" x14ac:dyDescent="0.25">
      <c r="A11074">
        <f ca="1">29519.3691698317*((RANDBETWEEN(1620,2416)))</f>
        <v>57503731.142832093</v>
      </c>
      <c r="B11074">
        <v>198244941.94273275</v>
      </c>
    </row>
    <row r="11075" spans="1:2" x14ac:dyDescent="0.25">
      <c r="A11075">
        <f ca="1">28067.5699517916*((RANDBETWEEN(1620,2416)))</f>
        <v>54591423.55623465</v>
      </c>
      <c r="B11075">
        <v>175963878.27278891</v>
      </c>
    </row>
    <row r="11076" spans="1:2" x14ac:dyDescent="0.25">
      <c r="A11076">
        <f ca="1">27962.8358829454*((RANDBETWEEN(1620,2416)))</f>
        <v>57771218.934165165</v>
      </c>
      <c r="B11076">
        <v>186771629.16593194</v>
      </c>
    </row>
    <row r="11077" spans="1:2" x14ac:dyDescent="0.25">
      <c r="A11077">
        <f ca="1">26994.4442982286*((RANDBETWEEN(1620,2416)))</f>
        <v>60197610.785049774</v>
      </c>
      <c r="B11077">
        <v>158289500.30683613</v>
      </c>
    </row>
    <row r="11078" spans="1:2" x14ac:dyDescent="0.25">
      <c r="A11078">
        <f ca="1">28464.5572007191*((RANDBETWEEN(1620,2416)))</f>
        <v>68201079.052922875</v>
      </c>
      <c r="B11078">
        <v>155370953.63021511</v>
      </c>
    </row>
    <row r="11079" spans="1:2" x14ac:dyDescent="0.25">
      <c r="A11079">
        <f ca="1">25841.2916928938*((RANDBETWEEN(1620,2416)))</f>
        <v>53233060.887361199</v>
      </c>
      <c r="B11079">
        <v>143098445.73611617</v>
      </c>
    </row>
    <row r="11080" spans="1:2" x14ac:dyDescent="0.25">
      <c r="A11080">
        <f ca="1">27129.2646036504*((RANDBETWEEN(1620,2416)))</f>
        <v>61800464.767115496</v>
      </c>
      <c r="B11080">
        <v>196753504.47212815</v>
      </c>
    </row>
    <row r="11081" spans="1:2" x14ac:dyDescent="0.25">
      <c r="A11081">
        <f ca="1">26074.2001236645*((RANDBETWEEN(1620,2416)))</f>
        <v>52304845.448070988</v>
      </c>
      <c r="B11081">
        <v>145953741.73410109</v>
      </c>
    </row>
    <row r="11082" spans="1:2" x14ac:dyDescent="0.25">
      <c r="A11082">
        <f ca="1">30767.6171386872*((RANDBETWEEN(1620,2416)))</f>
        <v>60027621.03757865</v>
      </c>
      <c r="B11082">
        <v>176950867.12256813</v>
      </c>
    </row>
    <row r="11083" spans="1:2" x14ac:dyDescent="0.25">
      <c r="A11083">
        <f ca="1">27063.1535918311*((RANDBETWEEN(1620,2416)))</f>
        <v>61000348.195987299</v>
      </c>
      <c r="B11083">
        <v>155648630.54716885</v>
      </c>
    </row>
    <row r="11084" spans="1:2" x14ac:dyDescent="0.25">
      <c r="A11084">
        <f ca="1">27687.8181746867*((RANDBETWEEN(1620,2416)))</f>
        <v>48813623.441972651</v>
      </c>
      <c r="B11084">
        <v>167983817.98536026</v>
      </c>
    </row>
    <row r="11085" spans="1:2" x14ac:dyDescent="0.25">
      <c r="A11085">
        <f ca="1">25581.566587412*((RANDBETWEEN(1620,2416)))</f>
        <v>41518882.571369596</v>
      </c>
      <c r="B11085">
        <v>169083017.4395147</v>
      </c>
    </row>
    <row r="11086" spans="1:2" x14ac:dyDescent="0.25">
      <c r="A11086">
        <f ca="1">28709.5843109577*((RANDBETWEEN(1620,2416)))</f>
        <v>49552742.520712934</v>
      </c>
      <c r="B11086">
        <v>184399669.31304663</v>
      </c>
    </row>
    <row r="11087" spans="1:2" x14ac:dyDescent="0.25">
      <c r="A11087">
        <f ca="1">25638.9784986603*((RANDBETWEEN(1620,2416)))</f>
        <v>45201519.093138136</v>
      </c>
      <c r="B11087">
        <v>152685619.61871964</v>
      </c>
    </row>
    <row r="11088" spans="1:2" x14ac:dyDescent="0.25">
      <c r="A11088">
        <f ca="1">25874.0355578451*((RANDBETWEEN(1620,2416)))</f>
        <v>42407544.279308133</v>
      </c>
      <c r="B11088">
        <v>148781314.11001441</v>
      </c>
    </row>
    <row r="11089" spans="1:2" x14ac:dyDescent="0.25">
      <c r="A11089">
        <f ca="1">29588.2943569155*((RANDBETWEEN(1620,2416)))</f>
        <v>49501216.459119655</v>
      </c>
      <c r="B11089">
        <v>157661015.45841438</v>
      </c>
    </row>
    <row r="11090" spans="1:2" x14ac:dyDescent="0.25">
      <c r="A11090">
        <f ca="1">26399.2285591506*((RANDBETWEEN(1620,2416)))</f>
        <v>48416185.177482285</v>
      </c>
      <c r="B11090">
        <v>157964371.85990629</v>
      </c>
    </row>
    <row r="11091" spans="1:2" x14ac:dyDescent="0.25">
      <c r="A11091">
        <f ca="1">29001.9836031819*((RANDBETWEEN(1620,2416)))</f>
        <v>63862367.894206516</v>
      </c>
      <c r="B11091">
        <v>185597560.42596188</v>
      </c>
    </row>
    <row r="11092" spans="1:2" x14ac:dyDescent="0.25">
      <c r="A11092">
        <f ca="1">30403.0867495688*((RANDBETWEEN(1620,2416)))</f>
        <v>59590050.029154934</v>
      </c>
      <c r="B11092">
        <v>190441265.14039287</v>
      </c>
    </row>
    <row r="11093" spans="1:2" x14ac:dyDescent="0.25">
      <c r="A11093">
        <f ca="1">29780.6506169626*((RANDBETWEEN(1620,2416)))</f>
        <v>68971986.828885436</v>
      </c>
      <c r="B11093">
        <v>189861028.43425065</v>
      </c>
    </row>
    <row r="11094" spans="1:2" x14ac:dyDescent="0.25">
      <c r="A11094">
        <f ca="1">29287.3794456008*((RANDBETWEEN(1620,2416)))</f>
        <v>48236313.946904503</v>
      </c>
      <c r="B11094">
        <v>158904035.9562121</v>
      </c>
    </row>
    <row r="11095" spans="1:2" x14ac:dyDescent="0.25">
      <c r="A11095">
        <f ca="1">28959.5974886017*((RANDBETWEEN(1620,2416)))</f>
        <v>69329276.387712419</v>
      </c>
      <c r="B11095">
        <v>193742577.46749172</v>
      </c>
    </row>
    <row r="11096" spans="1:2" x14ac:dyDescent="0.25">
      <c r="A11096">
        <f ca="1">26932.7455003862*((RANDBETWEEN(1620,2416)))</f>
        <v>52842046.671757713</v>
      </c>
      <c r="B11096">
        <v>144364085.62251294</v>
      </c>
    </row>
    <row r="11097" spans="1:2" x14ac:dyDescent="0.25">
      <c r="A11097">
        <f ca="1">26866.4931023935*((RANDBETWEEN(1620,2416)))</f>
        <v>53141923.356534429</v>
      </c>
      <c r="B11097">
        <v>162195263.69601911</v>
      </c>
    </row>
    <row r="11098" spans="1:2" x14ac:dyDescent="0.25">
      <c r="A11098">
        <f ca="1">30491.8508995375*((RANDBETWEEN(1620,2416)))</f>
        <v>54366970.153875321</v>
      </c>
      <c r="B11098">
        <v>152578569.08745885</v>
      </c>
    </row>
    <row r="11099" spans="1:2" x14ac:dyDescent="0.25">
      <c r="A11099">
        <f ca="1">33847.7174469105*((RANDBETWEEN(1620,2416)))</f>
        <v>71554074.682768881</v>
      </c>
      <c r="B11099">
        <v>202511084.03650936</v>
      </c>
    </row>
    <row r="11100" spans="1:2" x14ac:dyDescent="0.25">
      <c r="A11100">
        <f ca="1">26207.7168616706*((RANDBETWEEN(1620,2416)))</f>
        <v>59648763.577162214</v>
      </c>
      <c r="B11100">
        <v>152347114.97448277</v>
      </c>
    </row>
    <row r="11101" spans="1:2" x14ac:dyDescent="0.25">
      <c r="A11101">
        <f ca="1">25550.201919057*((RANDBETWEEN(1620,2416)))</f>
        <v>57896757.54858312</v>
      </c>
      <c r="B11101">
        <v>147018389.87628847</v>
      </c>
    </row>
    <row r="11102" spans="1:2" x14ac:dyDescent="0.25">
      <c r="A11102">
        <f ca="1">29857.5131149573*((RANDBETWEEN(1620,2416)))</f>
        <v>57684715.338097528</v>
      </c>
      <c r="B11102">
        <v>184109538.83881992</v>
      </c>
    </row>
    <row r="11103" spans="1:2" x14ac:dyDescent="0.25">
      <c r="A11103">
        <f ca="1">27468.7846543623*((RANDBETWEEN(1620,2416)))</f>
        <v>48070373.145134069</v>
      </c>
      <c r="B11103">
        <v>179012616.72464561</v>
      </c>
    </row>
    <row r="11104" spans="1:2" x14ac:dyDescent="0.25">
      <c r="A11104">
        <f ca="1">27047.0652828925*((RANDBETWEEN(1620,2416)))</f>
        <v>58205284.488784559</v>
      </c>
      <c r="B11104">
        <v>145513845.62040704</v>
      </c>
    </row>
    <row r="11105" spans="1:2" x14ac:dyDescent="0.25">
      <c r="A11105">
        <f ca="1">26817.1765012071*((RANDBETWEEN(1620,2416)))</f>
        <v>59560949.009181</v>
      </c>
      <c r="B11105">
        <v>177207117.56878072</v>
      </c>
    </row>
    <row r="11106" spans="1:2" x14ac:dyDescent="0.25">
      <c r="A11106">
        <f ca="1">26638.4877449108*((RANDBETWEEN(1620,2416)))</f>
        <v>55354777.533924617</v>
      </c>
      <c r="B11106">
        <v>147621176.55947062</v>
      </c>
    </row>
    <row r="11107" spans="1:2" x14ac:dyDescent="0.25">
      <c r="A11107">
        <f ca="1">26820.4836238243*((RANDBETWEEN(1620,2416)))</f>
        <v>44548823.299172238</v>
      </c>
      <c r="B11107">
        <v>146026001.70195442</v>
      </c>
    </row>
    <row r="11108" spans="1:2" x14ac:dyDescent="0.25">
      <c r="A11108">
        <f ca="1">27386.436665128*((RANDBETWEEN(1620,2416)))</f>
        <v>58415269.40671809</v>
      </c>
      <c r="B11108">
        <v>194105952.87547761</v>
      </c>
    </row>
    <row r="11109" spans="1:2" x14ac:dyDescent="0.25">
      <c r="A11109">
        <f ca="1">29337.9199267349*((RANDBETWEEN(1620,2416)))</f>
        <v>60113397.929879762</v>
      </c>
      <c r="B11109">
        <v>162194877.0408611</v>
      </c>
    </row>
    <row r="11110" spans="1:2" x14ac:dyDescent="0.25">
      <c r="A11110">
        <f ca="1">27594.2099618648*((RANDBETWEEN(1620,2416)))</f>
        <v>47379258.504521832</v>
      </c>
      <c r="B11110">
        <v>185133105.35719854</v>
      </c>
    </row>
    <row r="11111" spans="1:2" x14ac:dyDescent="0.25">
      <c r="A11111">
        <f ca="1">28910.0285321448*((RANDBETWEEN(1620,2416)))</f>
        <v>66782165.909254417</v>
      </c>
      <c r="B11111">
        <v>169323767.15385762</v>
      </c>
    </row>
    <row r="11112" spans="1:2" x14ac:dyDescent="0.25">
      <c r="A11112">
        <f ca="1">27700.9195533083*((RANDBETWEEN(1620,2416)))</f>
        <v>49501543.241761871</v>
      </c>
      <c r="B11112">
        <v>201522837.40684521</v>
      </c>
    </row>
    <row r="11113" spans="1:2" x14ac:dyDescent="0.25">
      <c r="A11113">
        <f ca="1">25786.300397397*((RANDBETWEEN(1620,2416)))</f>
        <v>51108447.387640789</v>
      </c>
      <c r="B11113">
        <v>152434219.32259852</v>
      </c>
    </row>
    <row r="11114" spans="1:2" x14ac:dyDescent="0.25">
      <c r="A11114">
        <f ca="1">27111.4389995603*((RANDBETWEEN(1620,2416)))</f>
        <v>57937145.142060295</v>
      </c>
      <c r="B11114">
        <v>149929858.56173521</v>
      </c>
    </row>
    <row r="11115" spans="1:2" x14ac:dyDescent="0.25">
      <c r="A11115">
        <f ca="1">27187.05863132*((RANDBETWEEN(1620,2416)))</f>
        <v>46870489.080395654</v>
      </c>
      <c r="B11115">
        <v>155623525.28878704</v>
      </c>
    </row>
    <row r="11116" spans="1:2" x14ac:dyDescent="0.25">
      <c r="A11116">
        <f ca="1">28263.2991828833*((RANDBETWEEN(1620,2416)))</f>
        <v>55000380.209890887</v>
      </c>
      <c r="B11116">
        <v>199853335.03646481</v>
      </c>
    </row>
    <row r="11117" spans="1:2" x14ac:dyDescent="0.25">
      <c r="A11117">
        <f ca="1">27477.7581441751*((RANDBETWEEN(1620,2416)))</f>
        <v>62456944.261710063</v>
      </c>
      <c r="B11117">
        <v>148205464.29724246</v>
      </c>
    </row>
    <row r="11118" spans="1:2" x14ac:dyDescent="0.25">
      <c r="A11118">
        <f ca="1">31092.8106327597*((RANDBETWEEN(1620,2416)))</f>
        <v>73969796.49533534</v>
      </c>
      <c r="B11118">
        <v>146810725.57664222</v>
      </c>
    </row>
    <row r="11119" spans="1:2" x14ac:dyDescent="0.25">
      <c r="A11119">
        <f ca="1">27783.2154026627*((RANDBETWEEN(1620,2416)))</f>
        <v>64707108.67280145</v>
      </c>
      <c r="B11119">
        <v>173059845.32925272</v>
      </c>
    </row>
    <row r="11120" spans="1:2" x14ac:dyDescent="0.25">
      <c r="A11120">
        <f ca="1">27331.7413849225*((RANDBETWEEN(1620,2416)))</f>
        <v>53761535.304142579</v>
      </c>
      <c r="B11120">
        <v>171149871.36361805</v>
      </c>
    </row>
    <row r="11121" spans="1:2" x14ac:dyDescent="0.25">
      <c r="A11121">
        <f ca="1">25625.5970840844*((RANDBETWEEN(1620,2416)))</f>
        <v>42974126.310009584</v>
      </c>
      <c r="B11121">
        <v>158383288.02116171</v>
      </c>
    </row>
    <row r="11122" spans="1:2" x14ac:dyDescent="0.25">
      <c r="A11122">
        <f ca="1">26585.6508276992*((RANDBETWEEN(1620,2416)))</f>
        <v>64124589.796410404</v>
      </c>
      <c r="B11122">
        <v>148131308.98930824</v>
      </c>
    </row>
    <row r="11123" spans="1:2" x14ac:dyDescent="0.25">
      <c r="A11123">
        <f ca="1">32857.863475275*((RANDBETWEEN(1620,2416)))</f>
        <v>63021382.145577468</v>
      </c>
      <c r="B11123">
        <v>155344389.79292673</v>
      </c>
    </row>
    <row r="11124" spans="1:2" x14ac:dyDescent="0.25">
      <c r="A11124">
        <f ca="1">27533.0461529311*((RANDBETWEEN(1620,2416)))</f>
        <v>59333714.459566608</v>
      </c>
      <c r="B11124">
        <v>172042071.34815961</v>
      </c>
    </row>
    <row r="11125" spans="1:2" x14ac:dyDescent="0.25">
      <c r="A11125">
        <f ca="1">26719.543301155*((RANDBETWEEN(1620,2416)))</f>
        <v>51381681.768121041</v>
      </c>
      <c r="B11125">
        <v>146699576.94081625</v>
      </c>
    </row>
    <row r="11126" spans="1:2" x14ac:dyDescent="0.25">
      <c r="A11126">
        <f ca="1">29255.1068321118*((RANDBETWEEN(1620,2416)))</f>
        <v>60938387.53128884</v>
      </c>
      <c r="B11126">
        <v>186678307.96243179</v>
      </c>
    </row>
    <row r="11127" spans="1:2" x14ac:dyDescent="0.25">
      <c r="A11127">
        <f ca="1">27371.0313352817*((RANDBETWEEN(1620,2416)))</f>
        <v>57643391.992103249</v>
      </c>
      <c r="B11127">
        <v>143479876.12373564</v>
      </c>
    </row>
    <row r="11128" spans="1:2" x14ac:dyDescent="0.25">
      <c r="A11128">
        <f ca="1">27851.5092707073*((RANDBETWEEN(1620,2416)))</f>
        <v>47709635.380721673</v>
      </c>
      <c r="B11128">
        <v>187830164.77745384</v>
      </c>
    </row>
    <row r="11129" spans="1:2" x14ac:dyDescent="0.25">
      <c r="A11129">
        <f ca="1">27126.2387336507*((RANDBETWEEN(1620,2416)))</f>
        <v>60464386.137307495</v>
      </c>
      <c r="B11129">
        <v>146138325.74995929</v>
      </c>
    </row>
    <row r="11130" spans="1:2" x14ac:dyDescent="0.25">
      <c r="A11130">
        <f ca="1">25639.175898966*((RANDBETWEEN(1620,2416)))</f>
        <v>44304495.953413181</v>
      </c>
      <c r="B11130">
        <v>153216327.54847157</v>
      </c>
    </row>
    <row r="11131" spans="1:2" x14ac:dyDescent="0.25">
      <c r="A11131">
        <f ca="1">26593.1919641329*((RANDBETWEEN(1620,2416)))</f>
        <v>50872776.227386162</v>
      </c>
      <c r="B11131">
        <v>144260904.22935802</v>
      </c>
    </row>
    <row r="11132" spans="1:2" x14ac:dyDescent="0.25">
      <c r="A11132">
        <f ca="1">27570.4749494999*((RANDBETWEEN(1620,2416)))</f>
        <v>47448787.388089389</v>
      </c>
      <c r="B11132">
        <v>201939242.25252953</v>
      </c>
    </row>
    <row r="11133" spans="1:2" x14ac:dyDescent="0.25">
      <c r="A11133">
        <f ca="1">26940.744833665*((RANDBETWEEN(1620,2416)))</f>
        <v>57329905.006039143</v>
      </c>
      <c r="B11133">
        <v>185003968.47749767</v>
      </c>
    </row>
    <row r="11134" spans="1:2" x14ac:dyDescent="0.25">
      <c r="A11134">
        <f ca="1">26093.14937311*((RANDBETWEEN(1620,2416)))</f>
        <v>51038200.173803255</v>
      </c>
      <c r="B11134">
        <v>168610270.41187114</v>
      </c>
    </row>
    <row r="11135" spans="1:2" x14ac:dyDescent="0.25">
      <c r="A11135">
        <f ca="1">27756.3054793206*((RANDBETWEEN(1620,2416)))</f>
        <v>52514929.966874629</v>
      </c>
      <c r="B11135">
        <v>151823197.9634296</v>
      </c>
    </row>
    <row r="11136" spans="1:2" x14ac:dyDescent="0.25">
      <c r="A11136">
        <f ca="1">26754.895225001*((RANDBETWEEN(1620,2416)))</f>
        <v>46285968.73925174</v>
      </c>
      <c r="B11136">
        <v>159301804.25739878</v>
      </c>
    </row>
    <row r="11137" spans="1:2" x14ac:dyDescent="0.25">
      <c r="A11137">
        <f ca="1">33087.0399654009*((RANDBETWEEN(1620,2416)))</f>
        <v>65710861.371286161</v>
      </c>
      <c r="B11137">
        <v>156584969.68483508</v>
      </c>
    </row>
    <row r="11138" spans="1:2" x14ac:dyDescent="0.25">
      <c r="A11138">
        <f ca="1">29429.3777097629*((RANDBETWEEN(1620,2416)))</f>
        <v>54562066.273900479</v>
      </c>
      <c r="B11138">
        <v>181475289.21446073</v>
      </c>
    </row>
    <row r="11139" spans="1:2" x14ac:dyDescent="0.25">
      <c r="A11139">
        <f ca="1">29299.3424701978*((RANDBETWEEN(1620,2416)))</f>
        <v>65923520.557945132</v>
      </c>
      <c r="B11139">
        <v>175985085.52303976</v>
      </c>
    </row>
    <row r="11140" spans="1:2" x14ac:dyDescent="0.25">
      <c r="A11140">
        <f ca="1">33231.7071897095*((RANDBETWEEN(1620,2416)))</f>
        <v>65433231.456538036</v>
      </c>
      <c r="B11140">
        <v>189190906.45463803</v>
      </c>
    </row>
    <row r="11141" spans="1:2" x14ac:dyDescent="0.25">
      <c r="A11141">
        <f ca="1">28524.6081939572*((RANDBETWEEN(1620,2416)))</f>
        <v>52542328.293269247</v>
      </c>
      <c r="B11141">
        <v>192982676.7101512</v>
      </c>
    </row>
    <row r="11142" spans="1:2" x14ac:dyDescent="0.25">
      <c r="A11142">
        <f ca="1">27215.0330596564*((RANDBETWEEN(1620,2416)))</f>
        <v>48361113.747009486</v>
      </c>
      <c r="B11142">
        <v>169181958.39103985</v>
      </c>
    </row>
    <row r="11143" spans="1:2" x14ac:dyDescent="0.25">
      <c r="A11143">
        <f ca="1">27124.2858096405*((RANDBETWEEN(1620,2416)))</f>
        <v>45026314.444003269</v>
      </c>
      <c r="B11143">
        <v>202945593.12424058</v>
      </c>
    </row>
    <row r="11144" spans="1:2" x14ac:dyDescent="0.25">
      <c r="A11144">
        <f ca="1">25892.1581533019*((RANDBETWEEN(1620,2416)))</f>
        <v>55771708.662212253</v>
      </c>
      <c r="B11144">
        <v>160630653.09869498</v>
      </c>
    </row>
    <row r="11145" spans="1:2" x14ac:dyDescent="0.25">
      <c r="A11145">
        <f ca="1">29570.544890357*((RANDBETWEEN(1620,2416)))</f>
        <v>67065995.8113297</v>
      </c>
      <c r="B11145">
        <v>192405168.96631867</v>
      </c>
    </row>
    <row r="11146" spans="1:2" x14ac:dyDescent="0.25">
      <c r="A11146">
        <f ca="1">26220.8719291457*((RANDBETWEEN(1620,2416)))</f>
        <v>60675097.644043185</v>
      </c>
      <c r="B11146">
        <v>179914536.5318791</v>
      </c>
    </row>
    <row r="11147" spans="1:2" x14ac:dyDescent="0.25">
      <c r="A11147">
        <f ca="1">29434.9541350626*((RANDBETWEEN(1620,2416)))</f>
        <v>70349540.38279964</v>
      </c>
      <c r="B11147">
        <v>157335458.13300204</v>
      </c>
    </row>
    <row r="11148" spans="1:2" x14ac:dyDescent="0.25">
      <c r="A11148">
        <f ca="1">30271.2725290603*((RANDBETWEEN(1620,2416)))</f>
        <v>71591559.531227633</v>
      </c>
      <c r="B11148">
        <v>147894991.02918988</v>
      </c>
    </row>
    <row r="11149" spans="1:2" x14ac:dyDescent="0.25">
      <c r="A11149">
        <f ca="1">29155.1584403049*((RANDBETWEEN(1620,2416)))</f>
        <v>58805954.574095063</v>
      </c>
      <c r="B11149">
        <v>200012334.2196523</v>
      </c>
    </row>
    <row r="11150" spans="1:2" x14ac:dyDescent="0.25">
      <c r="A11150">
        <f ca="1">29002.0336836173*((RANDBETWEEN(1620,2416)))</f>
        <v>66298649.000749201</v>
      </c>
      <c r="B11150">
        <v>198643789.44790518</v>
      </c>
    </row>
    <row r="11151" spans="1:2" x14ac:dyDescent="0.25">
      <c r="A11151">
        <f ca="1">26311.3687532733*((RANDBETWEEN(1620,2416)))</f>
        <v>51017744.012596987</v>
      </c>
      <c r="B11151">
        <v>175260227.83396095</v>
      </c>
    </row>
    <row r="11152" spans="1:2" x14ac:dyDescent="0.25">
      <c r="A11152">
        <f ca="1">31621.9831892611*((RANDBETWEEN(1620,2416)))</f>
        <v>57520387.42126587</v>
      </c>
      <c r="B11152">
        <v>183959383.32515037</v>
      </c>
    </row>
    <row r="11153" spans="1:2" x14ac:dyDescent="0.25">
      <c r="A11153">
        <f ca="1">27069.3265711124*((RANDBETWEEN(1620,2416)))</f>
        <v>64560343.87210305</v>
      </c>
      <c r="B11153">
        <v>151454338.03767905</v>
      </c>
    </row>
    <row r="11154" spans="1:2" x14ac:dyDescent="0.25">
      <c r="A11154">
        <f ca="1">28385.1161057982*((RANDBETWEEN(1620,2416)))</f>
        <v>46948982.038990237</v>
      </c>
      <c r="B11154">
        <v>150994983.20985922</v>
      </c>
    </row>
    <row r="11155" spans="1:2" x14ac:dyDescent="0.25">
      <c r="A11155">
        <f ca="1">25613.4435177451*((RANDBETWEEN(1620,2416)))</f>
        <v>50484097.173475571</v>
      </c>
      <c r="B11155">
        <v>150456487.92504159</v>
      </c>
    </row>
    <row r="11156" spans="1:2" x14ac:dyDescent="0.25">
      <c r="A11156">
        <f ca="1">25422.7178403753*((RANDBETWEEN(1620,2416)))</f>
        <v>53413130.182628416</v>
      </c>
      <c r="B11156">
        <v>181757393.96966922</v>
      </c>
    </row>
    <row r="11157" spans="1:2" x14ac:dyDescent="0.25">
      <c r="A11157">
        <f ca="1">29723.8195067155*((RANDBETWEEN(1620,2416)))</f>
        <v>60547420.335179389</v>
      </c>
      <c r="B11157">
        <v>151494188.14982885</v>
      </c>
    </row>
    <row r="11158" spans="1:2" x14ac:dyDescent="0.25">
      <c r="A11158">
        <f ca="1">26388.4465384714*((RANDBETWEEN(1620,2416)))</f>
        <v>55494903.070405342</v>
      </c>
      <c r="B11158">
        <v>177864904.17717558</v>
      </c>
    </row>
    <row r="11159" spans="1:2" x14ac:dyDescent="0.25">
      <c r="A11159">
        <f ca="1">30874.3453473219*((RANDBETWEEN(1620,2416)))</f>
        <v>66750334.640910022</v>
      </c>
      <c r="B11159">
        <v>186199461.70236319</v>
      </c>
    </row>
    <row r="11160" spans="1:2" x14ac:dyDescent="0.25">
      <c r="A11160">
        <f ca="1">28938.2685689413*((RANDBETWEEN(1620,2416)))</f>
        <v>50931352.681336679</v>
      </c>
      <c r="B11160">
        <v>144236980.88854977</v>
      </c>
    </row>
    <row r="11161" spans="1:2" x14ac:dyDescent="0.25">
      <c r="A11161">
        <f ca="1">28359.6451160451*((RANDBETWEEN(1620,2416)))</f>
        <v>62901692.867387988</v>
      </c>
      <c r="B11161">
        <v>200027490.84531879</v>
      </c>
    </row>
    <row r="11162" spans="1:2" x14ac:dyDescent="0.25">
      <c r="A11162">
        <f ca="1">29662.401287902*((RANDBETWEEN(1620,2416)))</f>
        <v>71367737.498692125</v>
      </c>
      <c r="B11162">
        <v>174744434.42853948</v>
      </c>
    </row>
    <row r="11163" spans="1:2" x14ac:dyDescent="0.25">
      <c r="A11163">
        <f ca="1">26830.3649467794*((RANDBETWEEN(1620,2416)))</f>
        <v>60904928.429189347</v>
      </c>
      <c r="B11163">
        <v>144387656.69260406</v>
      </c>
    </row>
    <row r="11164" spans="1:2" x14ac:dyDescent="0.25">
      <c r="A11164">
        <f ca="1">26413.2142985609*((RANDBETWEEN(1620,2416)))</f>
        <v>56656344.670413025</v>
      </c>
      <c r="B11164">
        <v>143432396.00380462</v>
      </c>
    </row>
    <row r="11165" spans="1:2" x14ac:dyDescent="0.25">
      <c r="A11165">
        <f ca="1">26903.593300306*((RANDBETWEEN(1620,2416)))</f>
        <v>44686868.471808232</v>
      </c>
      <c r="B11165">
        <v>146018837.73450804</v>
      </c>
    </row>
    <row r="11166" spans="1:2" x14ac:dyDescent="0.25">
      <c r="A11166">
        <f ca="1">27375.1809403252*((RANDBETWEEN(1620,2416)))</f>
        <v>55598992.489800453</v>
      </c>
      <c r="B11166">
        <v>147301537.67252252</v>
      </c>
    </row>
    <row r="11167" spans="1:2" x14ac:dyDescent="0.25">
      <c r="A11167">
        <f ca="1">25049.8832661463*((RANDBETWEEN(1620,2416)))</f>
        <v>40756160.074020043</v>
      </c>
      <c r="B11167">
        <v>144587523.49149513</v>
      </c>
    </row>
    <row r="11168" spans="1:2" x14ac:dyDescent="0.25">
      <c r="A11168">
        <f ca="1">26651.6168303622*((RANDBETWEEN(1620,2416)))</f>
        <v>47333271.490723304</v>
      </c>
      <c r="B11168">
        <v>181698090.49400562</v>
      </c>
    </row>
    <row r="11169" spans="1:2" x14ac:dyDescent="0.25">
      <c r="A11169">
        <f ca="1">28870.8200358396*((RANDBETWEEN(1620,2416)))</f>
        <v>51938605.244475499</v>
      </c>
      <c r="B11169">
        <v>143462949.29239044</v>
      </c>
    </row>
    <row r="11170" spans="1:2" x14ac:dyDescent="0.25">
      <c r="A11170">
        <f ca="1">27923.2101490255*((RANDBETWEEN(1620,2416)))</f>
        <v>57745198.588184662</v>
      </c>
      <c r="B11170">
        <v>172198197.7489143</v>
      </c>
    </row>
    <row r="11171" spans="1:2" x14ac:dyDescent="0.25">
      <c r="A11171">
        <f ca="1">32151.2667971369*((RANDBETWEEN(1620,2416)))</f>
        <v>72468955.360746622</v>
      </c>
      <c r="B11171">
        <v>198926684.3059746</v>
      </c>
    </row>
    <row r="11172" spans="1:2" x14ac:dyDescent="0.25">
      <c r="A11172">
        <f ca="1">27076.2906271999*((RANDBETWEEN(1620,2416)))</f>
        <v>60325975.517401405</v>
      </c>
      <c r="B11172">
        <v>160989743.64701718</v>
      </c>
    </row>
    <row r="11173" spans="1:2" x14ac:dyDescent="0.25">
      <c r="A11173">
        <f ca="1">26134.751507903*((RANDBETWEEN(1620,2416)))</f>
        <v>51537729.973584764</v>
      </c>
      <c r="B11173">
        <v>155101717.1861231</v>
      </c>
    </row>
    <row r="11174" spans="1:2" x14ac:dyDescent="0.25">
      <c r="A11174">
        <f ca="1">26305.0202694048*((RANDBETWEEN(1620,2416)))</f>
        <v>52478515.437462643</v>
      </c>
      <c r="B11174">
        <v>160364933.51265499</v>
      </c>
    </row>
    <row r="11175" spans="1:2" x14ac:dyDescent="0.25">
      <c r="A11175">
        <f ca="1">26706.6360312298*((RANDBETWEEN(1620,2416)))</f>
        <v>59716038.165829763</v>
      </c>
      <c r="B11175">
        <v>148346667.8303718</v>
      </c>
    </row>
    <row r="11176" spans="1:2" x14ac:dyDescent="0.25">
      <c r="A11176">
        <f ca="1">29041.6444611485*((RANDBETWEEN(1620,2416)))</f>
        <v>54453083.36465349</v>
      </c>
      <c r="B11176">
        <v>168429240.19057995</v>
      </c>
    </row>
    <row r="11177" spans="1:2" x14ac:dyDescent="0.25">
      <c r="A11177">
        <f ca="1">31529.811444063*((RANDBETWEEN(1620,2416)))</f>
        <v>74410355.007988766</v>
      </c>
      <c r="B11177">
        <v>188141957.88286263</v>
      </c>
    </row>
    <row r="11178" spans="1:2" x14ac:dyDescent="0.25">
      <c r="A11178">
        <f ca="1">30110.9104397666*((RANDBETWEEN(1620,2416)))</f>
        <v>52603760.538272321</v>
      </c>
      <c r="B11178">
        <v>162628180.52438244</v>
      </c>
    </row>
    <row r="11179" spans="1:2" x14ac:dyDescent="0.25">
      <c r="A11179">
        <f ca="1">31618.0440800778*((RANDBETWEEN(1620,2416)))</f>
        <v>68674391.74192892</v>
      </c>
      <c r="B11179">
        <v>173340288.12269193</v>
      </c>
    </row>
    <row r="11180" spans="1:2" x14ac:dyDescent="0.25">
      <c r="A11180">
        <f ca="1">27222.9030427594*((RANDBETWEEN(1620,2416)))</f>
        <v>58610910.251060911</v>
      </c>
      <c r="B11180">
        <v>157496172.75164831</v>
      </c>
    </row>
    <row r="11181" spans="1:2" x14ac:dyDescent="0.25">
      <c r="A11181">
        <f ca="1">30183.3384310841*((RANDBETWEEN(1620,2416)))</f>
        <v>68516178.23856087</v>
      </c>
      <c r="B11181">
        <v>182155094.90330189</v>
      </c>
    </row>
    <row r="11182" spans="1:2" x14ac:dyDescent="0.25">
      <c r="A11182">
        <f ca="1">29072.3807795446*((RANDBETWEEN(1620,2416)))</f>
        <v>56051550.142962068</v>
      </c>
      <c r="B11182">
        <v>181115412.2004995</v>
      </c>
    </row>
    <row r="11183" spans="1:2" x14ac:dyDescent="0.25">
      <c r="A11183">
        <f ca="1">29900.4349935025*((RANDBETWEEN(1620,2416)))</f>
        <v>61953701.306537233</v>
      </c>
      <c r="B11183">
        <v>168373038.18824005</v>
      </c>
    </row>
    <row r="11184" spans="1:2" x14ac:dyDescent="0.25">
      <c r="A11184">
        <f ca="1">27410.3848350992*((RANDBETWEEN(1620,2416)))</f>
        <v>50325466.55724211</v>
      </c>
      <c r="B11184">
        <v>200026504.21911123</v>
      </c>
    </row>
    <row r="11185" spans="1:2" x14ac:dyDescent="0.25">
      <c r="A11185">
        <f ca="1">31237.0440433886*((RANDBETWEEN(1620,2416)))</f>
        <v>50791433.614550002</v>
      </c>
      <c r="B11185">
        <v>187241412.76273498</v>
      </c>
    </row>
    <row r="11186" spans="1:2" x14ac:dyDescent="0.25">
      <c r="A11186">
        <f ca="1">26330.9637346899*((RANDBETWEEN(1620,2416)))</f>
        <v>50555450.370604672</v>
      </c>
      <c r="B11186">
        <v>158342900.48291412</v>
      </c>
    </row>
    <row r="11187" spans="1:2" x14ac:dyDescent="0.25">
      <c r="A11187">
        <f ca="1">26802.0462613977*((RANDBETWEEN(1620,2416)))</f>
        <v>63788870.102126449</v>
      </c>
      <c r="B11187">
        <v>143652382.29372382</v>
      </c>
    </row>
    <row r="11188" spans="1:2" x14ac:dyDescent="0.25">
      <c r="A11188">
        <f ca="1">27984.9202420921*((RANDBETWEEN(1620,2416)))</f>
        <v>53954926.226753518</v>
      </c>
      <c r="B11188">
        <v>152094202.49405751</v>
      </c>
    </row>
    <row r="11189" spans="1:2" x14ac:dyDescent="0.25">
      <c r="A11189">
        <f ca="1">26742.9510822129*((RANDBETWEEN(1620,2416)))</f>
        <v>61776216.999911718</v>
      </c>
      <c r="B11189">
        <v>163801768.97717568</v>
      </c>
    </row>
    <row r="11190" spans="1:2" x14ac:dyDescent="0.25">
      <c r="A11190">
        <f ca="1">26893.0146250881*((RANDBETWEEN(1620,2416)))</f>
        <v>47761993.974156484</v>
      </c>
      <c r="B11190">
        <v>146390015.21355191</v>
      </c>
    </row>
    <row r="11191" spans="1:2" x14ac:dyDescent="0.25">
      <c r="A11191">
        <f ca="1">29590.4013861254*((RANDBETWEEN(1620,2416)))</f>
        <v>49771055.131462887</v>
      </c>
      <c r="B11191">
        <v>182045896.43278569</v>
      </c>
    </row>
    <row r="11192" spans="1:2" x14ac:dyDescent="0.25">
      <c r="A11192">
        <f ca="1">27677.4606304139*((RANDBETWEEN(1620,2416)))</f>
        <v>66398228.052362993</v>
      </c>
      <c r="B11192">
        <v>143962644.73963562</v>
      </c>
    </row>
    <row r="11193" spans="1:2" x14ac:dyDescent="0.25">
      <c r="A11193">
        <f ca="1">27349.4834778434*((RANDBETWEEN(1620,2416)))</f>
        <v>47396654.86710263</v>
      </c>
      <c r="B11193">
        <v>144670966.94276252</v>
      </c>
    </row>
    <row r="11194" spans="1:2" x14ac:dyDescent="0.25">
      <c r="A11194">
        <f ca="1">27058.5864902071*((RANDBETWEEN(1620,2416)))</f>
        <v>46216065.725273751</v>
      </c>
      <c r="B11194">
        <v>148981979.75836068</v>
      </c>
    </row>
    <row r="11195" spans="1:2" x14ac:dyDescent="0.25">
      <c r="A11195">
        <f ca="1">32456.0916920458*((RANDBETWEEN(1620,2416)))</f>
        <v>61504293.756426737</v>
      </c>
      <c r="B11195">
        <v>191206955.23418933</v>
      </c>
    </row>
    <row r="11196" spans="1:2" x14ac:dyDescent="0.25">
      <c r="A11196">
        <f ca="1">27761.1797200448*((RANDBETWEEN(1620,2416)))</f>
        <v>56938179.605811857</v>
      </c>
      <c r="B11196">
        <v>155642359.04535934</v>
      </c>
    </row>
    <row r="11197" spans="1:2" x14ac:dyDescent="0.25">
      <c r="A11197">
        <f ca="1">28853.2065847528*((RANDBETWEEN(1620,2416)))</f>
        <v>68814897.704635382</v>
      </c>
      <c r="B11197">
        <v>162556851.08136746</v>
      </c>
    </row>
    <row r="11198" spans="1:2" x14ac:dyDescent="0.25">
      <c r="A11198">
        <f ca="1">28114.2982457961*((RANDBETWEEN(1620,2416)))</f>
        <v>48778307.456456207</v>
      </c>
      <c r="B11198">
        <v>157891271.92735851</v>
      </c>
    </row>
    <row r="11199" spans="1:2" x14ac:dyDescent="0.25">
      <c r="A11199">
        <f ca="1">27351.8734234545*((RANDBETWEEN(1620,2416)))</f>
        <v>48330760.339244023</v>
      </c>
      <c r="B11199">
        <v>154760912.12838411</v>
      </c>
    </row>
    <row r="11200" spans="1:2" x14ac:dyDescent="0.25">
      <c r="A11200">
        <f ca="1">28192.8569206788*((RANDBETWEEN(1620,2416)))</f>
        <v>58556563.824249968</v>
      </c>
      <c r="B11200">
        <v>170905600.73158422</v>
      </c>
    </row>
    <row r="11201" spans="1:2" x14ac:dyDescent="0.25">
      <c r="A11201">
        <f ca="1">28458.1699960846*((RANDBETWEEN(1620,2416)))</f>
        <v>49687964.813163787</v>
      </c>
      <c r="B11201">
        <v>174839412.53884494</v>
      </c>
    </row>
    <row r="11202" spans="1:2" x14ac:dyDescent="0.25">
      <c r="A11202">
        <f ca="1">26600.6392216994*((RANDBETWEEN(1620,2416)))</f>
        <v>52589463.741299689</v>
      </c>
      <c r="B11202">
        <v>145206837.4197464</v>
      </c>
    </row>
    <row r="11203" spans="1:2" x14ac:dyDescent="0.25">
      <c r="A11203">
        <f ca="1">28077.7349114632*((RANDBETWEEN(1620,2416)))</f>
        <v>48827181.011034541</v>
      </c>
      <c r="B11203">
        <v>145847423.33708444</v>
      </c>
    </row>
    <row r="11204" spans="1:2" x14ac:dyDescent="0.25">
      <c r="A11204">
        <f ca="1">31383.2356313612*((RANDBETWEEN(1620,2416)))</f>
        <v>67473956.607426569</v>
      </c>
      <c r="B11204">
        <v>180507507.93033457</v>
      </c>
    </row>
    <row r="11205" spans="1:2" x14ac:dyDescent="0.25">
      <c r="A11205">
        <f ca="1">26701.8718951934*((RANDBETWEEN(1620,2416)))</f>
        <v>52949811.968168452</v>
      </c>
      <c r="B11205">
        <v>174686277.19539836</v>
      </c>
    </row>
    <row r="11206" spans="1:2" x14ac:dyDescent="0.25">
      <c r="A11206">
        <f ca="1">28797.7046319507*((RANDBETWEEN(1620,2416)))</f>
        <v>49272872.625267699</v>
      </c>
      <c r="B11206">
        <v>195435103.54381496</v>
      </c>
    </row>
    <row r="11207" spans="1:2" x14ac:dyDescent="0.25">
      <c r="A11207">
        <f ca="1">26585.2522778476*((RANDBETWEEN(1620,2416)))</f>
        <v>45620292.908786431</v>
      </c>
      <c r="B11207">
        <v>182241446.17239618</v>
      </c>
    </row>
    <row r="11208" spans="1:2" x14ac:dyDescent="0.25">
      <c r="A11208">
        <f ca="1">28062.7719567847*((RANDBETWEEN(1620,2416)))</f>
        <v>65807200.238660023</v>
      </c>
      <c r="B11208">
        <v>179832679.64067754</v>
      </c>
    </row>
    <row r="11209" spans="1:2" x14ac:dyDescent="0.25">
      <c r="A11209">
        <f ca="1">25323.9309033776*((RANDBETWEEN(1620,2416)))</f>
        <v>46975891.825765461</v>
      </c>
      <c r="B11209">
        <v>146113876.31559795</v>
      </c>
    </row>
    <row r="11210" spans="1:2" x14ac:dyDescent="0.25">
      <c r="A11210">
        <f ca="1">27362.1126860705*((RANDBETWEEN(1620,2416)))</f>
        <v>58883266.500423647</v>
      </c>
      <c r="B11210">
        <v>147376009.86223847</v>
      </c>
    </row>
    <row r="11211" spans="1:2" x14ac:dyDescent="0.25">
      <c r="A11211">
        <f ca="1">27015.421062606*((RANDBETWEEN(1620,2416)))</f>
        <v>63567285.760311835</v>
      </c>
      <c r="B11211">
        <v>195536967.34885469</v>
      </c>
    </row>
    <row r="11212" spans="1:2" x14ac:dyDescent="0.25">
      <c r="A11212">
        <f ca="1">27360.9900798875*((RANDBETWEEN(1620,2416)))</f>
        <v>53353930.655780688</v>
      </c>
      <c r="B11212">
        <v>179546506.06062365</v>
      </c>
    </row>
    <row r="11213" spans="1:2" x14ac:dyDescent="0.25">
      <c r="A11213">
        <f ca="1">27554.8938988754*((RANDBETWEEN(1620,2416)))</f>
        <v>66269519.826795265</v>
      </c>
      <c r="B11213">
        <v>170122021.51123193</v>
      </c>
    </row>
    <row r="11214" spans="1:2" x14ac:dyDescent="0.25">
      <c r="A11214">
        <f ca="1">30823.0945858745*((RANDBETWEEN(1620,2416)))</f>
        <v>70646532.790824324</v>
      </c>
      <c r="B11214">
        <v>173283161.16031355</v>
      </c>
    </row>
    <row r="11215" spans="1:2" x14ac:dyDescent="0.25">
      <c r="A11215">
        <f ca="1">27232.7577004645*((RANDBETWEEN(1620,2416)))</f>
        <v>47439463.914209142</v>
      </c>
      <c r="B11215">
        <v>178254038.05677027</v>
      </c>
    </row>
    <row r="11216" spans="1:2" x14ac:dyDescent="0.25">
      <c r="A11216">
        <f ca="1">30103.473297977*((RANDBETWEEN(1620,2416)))</f>
        <v>65204123.163418114</v>
      </c>
      <c r="B11216">
        <v>157580611.14538112</v>
      </c>
    </row>
    <row r="11217" spans="1:2" x14ac:dyDescent="0.25">
      <c r="A11217">
        <f ca="1">27329.5705685328*((RANDBETWEEN(1620,2416)))</f>
        <v>61272897.21465043</v>
      </c>
      <c r="B11217">
        <v>183478107.14504904</v>
      </c>
    </row>
    <row r="11218" spans="1:2" x14ac:dyDescent="0.25">
      <c r="A11218">
        <f ca="1">25905.9229057079*((RANDBETWEEN(1620,2416)))</f>
        <v>60283082.601582356</v>
      </c>
      <c r="B11218">
        <v>157540117.06267795</v>
      </c>
    </row>
    <row r="11219" spans="1:2" x14ac:dyDescent="0.25">
      <c r="A11219">
        <f ca="1">28544.9579089112*((RANDBETWEEN(1620,2416)))</f>
        <v>56890101.112460107</v>
      </c>
      <c r="B11219">
        <v>192213500.09590825</v>
      </c>
    </row>
    <row r="11220" spans="1:2" x14ac:dyDescent="0.25">
      <c r="A11220">
        <f ca="1">28246.1369632392*((RANDBETWEEN(1620,2416)))</f>
        <v>51182000.17738948</v>
      </c>
      <c r="B11220">
        <v>170682970.65930003</v>
      </c>
    </row>
    <row r="11221" spans="1:2" x14ac:dyDescent="0.25">
      <c r="A11221">
        <f ca="1">27852.8284229074*((RANDBETWEEN(1620,2416)))</f>
        <v>49076683.681162812</v>
      </c>
      <c r="B11221">
        <v>175048090.54188156</v>
      </c>
    </row>
    <row r="11222" spans="1:2" x14ac:dyDescent="0.25">
      <c r="A11222">
        <f ca="1">27349.9929599595*((RANDBETWEEN(1620,2416)))</f>
        <v>50679536.954804994</v>
      </c>
      <c r="B11222">
        <v>182809706.08850777</v>
      </c>
    </row>
    <row r="11223" spans="1:2" x14ac:dyDescent="0.25">
      <c r="A11223">
        <f ca="1">27740.0558223714*((RANDBETWEEN(1620,2416)))</f>
        <v>52706106.062505655</v>
      </c>
      <c r="B11223">
        <v>200836902.88580555</v>
      </c>
    </row>
    <row r="11224" spans="1:2" x14ac:dyDescent="0.25">
      <c r="A11224">
        <f ca="1">26837.5545610346*((RANDBETWEEN(1620,2416)))</f>
        <v>45301792.099026471</v>
      </c>
      <c r="B11224">
        <v>155542490.57024756</v>
      </c>
    </row>
    <row r="11225" spans="1:2" x14ac:dyDescent="0.25">
      <c r="A11225">
        <f ca="1">28816.7184129899*((RANDBETWEEN(1620,2416)))</f>
        <v>68814323.570219859</v>
      </c>
      <c r="B11225">
        <v>196677809.97055519</v>
      </c>
    </row>
    <row r="11226" spans="1:2" x14ac:dyDescent="0.25">
      <c r="A11226">
        <f ca="1">25843.2661273157*((RANDBETWEEN(1620,2416)))</f>
        <v>46621252.093677498</v>
      </c>
      <c r="B11226">
        <v>172148647.77847329</v>
      </c>
    </row>
    <row r="11227" spans="1:2" x14ac:dyDescent="0.25">
      <c r="A11227">
        <f ca="1">31121.5642849766*((RANDBETWEEN(1620,2416)))</f>
        <v>73478013.276829809</v>
      </c>
      <c r="B11227">
        <v>167116415.1907295</v>
      </c>
    </row>
    <row r="11228" spans="1:2" x14ac:dyDescent="0.25">
      <c r="A11228">
        <f ca="1">25023.4443468398*((RANDBETWEEN(1620,2416)))</f>
        <v>48695622.698950298</v>
      </c>
      <c r="B11228">
        <v>145294462.21408311</v>
      </c>
    </row>
    <row r="11229" spans="1:2" x14ac:dyDescent="0.25">
      <c r="A11229">
        <f ca="1">26455.8662734224*((RANDBETWEEN(1620,2416)))</f>
        <v>50001587.256768353</v>
      </c>
      <c r="B11229">
        <v>169264031.263569</v>
      </c>
    </row>
    <row r="11230" spans="1:2" x14ac:dyDescent="0.25">
      <c r="A11230">
        <f ca="1">25968.1957996713*((RANDBETWEEN(1620,2416)))</f>
        <v>49339572.019375414</v>
      </c>
      <c r="B11230">
        <v>146981351.77902615</v>
      </c>
    </row>
    <row r="11231" spans="1:2" x14ac:dyDescent="0.25">
      <c r="A11231">
        <f ca="1">26947.0973017641*((RANDBETWEEN(1620,2416)))</f>
        <v>45136387.980454892</v>
      </c>
      <c r="B11231">
        <v>145947309.69916886</v>
      </c>
    </row>
    <row r="11232" spans="1:2" x14ac:dyDescent="0.25">
      <c r="A11232">
        <f ca="1">28508.5480169765*((RANDBETWEEN(1620,2416)))</f>
        <v>68334989.596692652</v>
      </c>
      <c r="B11232">
        <v>203327513.5748435</v>
      </c>
    </row>
    <row r="11233" spans="1:2" x14ac:dyDescent="0.25">
      <c r="A11233">
        <f ca="1">28204.9402370998*((RANDBETWEEN(1620,2416)))</f>
        <v>56297060.713251285</v>
      </c>
      <c r="B11233">
        <v>198351504.53027922</v>
      </c>
    </row>
    <row r="11234" spans="1:2" x14ac:dyDescent="0.25">
      <c r="A11234">
        <f ca="1">27119.9290804927*((RANDBETWEEN(1620,2416)))</f>
        <v>61752078.516281813</v>
      </c>
      <c r="B11234">
        <v>162599022.59061173</v>
      </c>
    </row>
    <row r="11235" spans="1:2" x14ac:dyDescent="0.25">
      <c r="A11235">
        <f ca="1">27596.8517090926*((RANDBETWEEN(1620,2416)))</f>
        <v>55359284.528439701</v>
      </c>
      <c r="B11235">
        <v>156812676.14966249</v>
      </c>
    </row>
    <row r="11236" spans="1:2" x14ac:dyDescent="0.25">
      <c r="A11236">
        <f ca="1">27707.2039666388*((RANDBETWEEN(1620,2416)))</f>
        <v>52532858.720747158</v>
      </c>
      <c r="B11236">
        <v>145535357.84056735</v>
      </c>
    </row>
    <row r="11237" spans="1:2" x14ac:dyDescent="0.25">
      <c r="A11237">
        <f ca="1">26780.5205863572*((RANDBETWEEN(1620,2416)))</f>
        <v>52891528.158055387</v>
      </c>
      <c r="B11237">
        <v>153211330.39326942</v>
      </c>
    </row>
    <row r="11238" spans="1:2" x14ac:dyDescent="0.25">
      <c r="A11238">
        <f ca="1">30728.6859098455*((RANDBETWEEN(1620,2416)))</f>
        <v>72150954.516317114</v>
      </c>
      <c r="B11238">
        <v>165880821.41525796</v>
      </c>
    </row>
    <row r="11239" spans="1:2" x14ac:dyDescent="0.25">
      <c r="A11239">
        <f ca="1">32933.3821583405*((RANDBETWEEN(1620,2416)))</f>
        <v>65735030.788047642</v>
      </c>
      <c r="B11239">
        <v>151762017.18814605</v>
      </c>
    </row>
    <row r="11240" spans="1:2" x14ac:dyDescent="0.25">
      <c r="A11240">
        <f ca="1">27555.6861676343*((RANDBETWEEN(1620,2416)))</f>
        <v>66491870.722501583</v>
      </c>
      <c r="B11240">
        <v>201099711.62074101</v>
      </c>
    </row>
    <row r="11241" spans="1:2" x14ac:dyDescent="0.25">
      <c r="A11241">
        <f ca="1">26184.3028703072*((RANDBETWEEN(1620,2416)))</f>
        <v>58181520.977822691</v>
      </c>
      <c r="B11241">
        <v>151782960.91118184</v>
      </c>
    </row>
    <row r="11242" spans="1:2" x14ac:dyDescent="0.25">
      <c r="A11242">
        <f ca="1">29599.2737246085*((RANDBETWEEN(1620,2416)))</f>
        <v>56179421.529307015</v>
      </c>
      <c r="B11242">
        <v>149759015.72316724</v>
      </c>
    </row>
    <row r="11243" spans="1:2" x14ac:dyDescent="0.25">
      <c r="A11243">
        <f ca="1">30070.8286178237*((RANDBETWEEN(1620,2416)))</f>
        <v>55330324.656795658</v>
      </c>
      <c r="B11243">
        <v>162022083.10049319</v>
      </c>
    </row>
    <row r="11244" spans="1:2" x14ac:dyDescent="0.25">
      <c r="A11244">
        <f ca="1">26190.6270084282*((RANDBETWEEN(1620,2416)))</f>
        <v>42559768.888695791</v>
      </c>
      <c r="B11244">
        <v>144416182.38328326</v>
      </c>
    </row>
    <row r="11245" spans="1:2" x14ac:dyDescent="0.25">
      <c r="A11245">
        <f ca="1">25494.2127569235*((RANDBETWEEN(1620,2416)))</f>
        <v>50147116.492868543</v>
      </c>
      <c r="B11245">
        <v>145560221.72590876</v>
      </c>
    </row>
    <row r="11246" spans="1:2" x14ac:dyDescent="0.25">
      <c r="A11246">
        <f ca="1">26405.6838878273*((RANDBETWEEN(1620,2416)))</f>
        <v>62343819.659160279</v>
      </c>
      <c r="B11246">
        <v>179663855.4324311</v>
      </c>
    </row>
    <row r="11247" spans="1:2" x14ac:dyDescent="0.25">
      <c r="A11247">
        <f ca="1">31070.5274823069*((RANDBETWEEN(1620,2416)))</f>
        <v>72114694.286434308</v>
      </c>
      <c r="B11247">
        <v>164109664.07821673</v>
      </c>
    </row>
    <row r="11248" spans="1:2" x14ac:dyDescent="0.25">
      <c r="A11248">
        <f ca="1">27721.3648892721*((RANDBETWEEN(1620,2416)))</f>
        <v>61735479.608408988</v>
      </c>
      <c r="B11248">
        <v>155191417.87932545</v>
      </c>
    </row>
    <row r="11249" spans="1:2" x14ac:dyDescent="0.25">
      <c r="A11249">
        <f ca="1">27835.4153621234*((RANDBETWEEN(1620,2416)))</f>
        <v>52775947.526586048</v>
      </c>
      <c r="B11249">
        <v>169441049.19877297</v>
      </c>
    </row>
    <row r="11250" spans="1:2" x14ac:dyDescent="0.25">
      <c r="A11250">
        <f ca="1">28996.5342438852*((RANDBETWEEN(1620,2416)))</f>
        <v>56224279.898893312</v>
      </c>
      <c r="B11250">
        <v>173817226.58026898</v>
      </c>
    </row>
    <row r="11251" spans="1:2" x14ac:dyDescent="0.25">
      <c r="A11251">
        <f ca="1">26240.2125558891*((RANDBETWEEN(1620,2416)))</f>
        <v>58883036.975415178</v>
      </c>
      <c r="B11251">
        <v>149073975.07527786</v>
      </c>
    </row>
    <row r="11252" spans="1:2" x14ac:dyDescent="0.25">
      <c r="A11252">
        <f ca="1">27674.3838084628*((RANDBETWEEN(1620,2416)))</f>
        <v>66363172.372693762</v>
      </c>
      <c r="B11252">
        <v>193029368.58358887</v>
      </c>
    </row>
    <row r="11253" spans="1:2" x14ac:dyDescent="0.25">
      <c r="A11253">
        <f ca="1">27941.9298930948*((RANDBETWEEN(1620,2416)))</f>
        <v>45293868.356706619</v>
      </c>
      <c r="B11253">
        <v>153329003.37159771</v>
      </c>
    </row>
    <row r="11254" spans="1:2" x14ac:dyDescent="0.25">
      <c r="A11254">
        <f ca="1">28316.6755271009*((RANDBETWEEN(1620,2416)))</f>
        <v>62947969.696745232</v>
      </c>
      <c r="B11254">
        <v>145978671.66134042</v>
      </c>
    </row>
    <row r="11255" spans="1:2" x14ac:dyDescent="0.25">
      <c r="A11255">
        <f ca="1">29075.2435903259*((RANDBETWEEN(1620,2416)))</f>
        <v>69344455.962927222</v>
      </c>
      <c r="B11255">
        <v>180869005.82241371</v>
      </c>
    </row>
    <row r="11256" spans="1:2" x14ac:dyDescent="0.25">
      <c r="A11256">
        <f ca="1">27108.3864423611*((RANDBETWEEN(1620,2416)))</f>
        <v>58960740.512135431</v>
      </c>
      <c r="B11256">
        <v>161491430.08385998</v>
      </c>
    </row>
    <row r="11257" spans="1:2" x14ac:dyDescent="0.25">
      <c r="A11257">
        <f ca="1">28533.3317520419*((RANDBETWEEN(1620,2416)))</f>
        <v>65312796.380423859</v>
      </c>
      <c r="B11257">
        <v>148129894.18882334</v>
      </c>
    </row>
    <row r="11258" spans="1:2" x14ac:dyDescent="0.25">
      <c r="A11258">
        <f ca="1">27085.4814485054*((RANDBETWEEN(1620,2416)))</f>
        <v>51624927.640851237</v>
      </c>
      <c r="B11258">
        <v>183732955.02602518</v>
      </c>
    </row>
    <row r="11259" spans="1:2" x14ac:dyDescent="0.25">
      <c r="A11259">
        <f ca="1">26908.0503319099*((RANDBETWEEN(1620,2416)))</f>
        <v>53412479.908841081</v>
      </c>
      <c r="B11259">
        <v>143187678.60900983</v>
      </c>
    </row>
    <row r="11260" spans="1:2" x14ac:dyDescent="0.25">
      <c r="A11260">
        <f ca="1">28738.7944715572*((RANDBETWEEN(1620,2416)))</f>
        <v>61673452.935961679</v>
      </c>
      <c r="B11260">
        <v>193558403.86153245</v>
      </c>
    </row>
    <row r="11261" spans="1:2" x14ac:dyDescent="0.25">
      <c r="A11261">
        <f ca="1">29316.3513319098*((RANDBETWEEN(1620,2416)))</f>
        <v>50805236.858199708</v>
      </c>
      <c r="B11261">
        <v>167982720.65785211</v>
      </c>
    </row>
    <row r="11262" spans="1:2" x14ac:dyDescent="0.25">
      <c r="A11262">
        <f ca="1">25552.8301833128*((RANDBETWEEN(1620,2416)))</f>
        <v>55602958.478888646</v>
      </c>
      <c r="B11262">
        <v>157200457.88031444</v>
      </c>
    </row>
    <row r="11263" spans="1:2" x14ac:dyDescent="0.25">
      <c r="A11263">
        <f ca="1">25976.2921330749*((RANDBETWEEN(1620,2416)))</f>
        <v>50887556.288693689</v>
      </c>
      <c r="B11263">
        <v>154846305.96283266</v>
      </c>
    </row>
    <row r="11264" spans="1:2" x14ac:dyDescent="0.25">
      <c r="A11264">
        <f ca="1">27507.0950759709*((RANDBETWEEN(1620,2416)))</f>
        <v>46349455.203010902</v>
      </c>
      <c r="B11264">
        <v>169404186.36952055</v>
      </c>
    </row>
    <row r="11265" spans="1:2" x14ac:dyDescent="0.25">
      <c r="A11265">
        <f ca="1">29353.5211937656*((RANDBETWEEN(1620,2416)))</f>
        <v>69655905.792805776</v>
      </c>
      <c r="B11265">
        <v>148469587.96971992</v>
      </c>
    </row>
    <row r="11266" spans="1:2" x14ac:dyDescent="0.25">
      <c r="A11266">
        <f ca="1">28763.9474638244*((RANDBETWEEN(1620,2416)))</f>
        <v>47661860.947557069</v>
      </c>
      <c r="B11266">
        <v>150473646.94081807</v>
      </c>
    </row>
    <row r="11267" spans="1:2" x14ac:dyDescent="0.25">
      <c r="A11267">
        <f ca="1">33788.500313402*((RANDBETWEEN(1620,2416)))</f>
        <v>74233335.188544169</v>
      </c>
      <c r="B11267">
        <v>197381570.39930737</v>
      </c>
    </row>
    <row r="11268" spans="1:2" x14ac:dyDescent="0.25">
      <c r="A11268">
        <f ca="1">27525.5198332442*((RANDBETWEEN(1620,2416)))</f>
        <v>48665119.065175682</v>
      </c>
      <c r="B11268">
        <v>156712969.84306985</v>
      </c>
    </row>
    <row r="11269" spans="1:2" x14ac:dyDescent="0.25">
      <c r="A11269">
        <f ca="1">31951.9386021444*((RANDBETWEEN(1620,2416)))</f>
        <v>62561895.782998711</v>
      </c>
      <c r="B11269">
        <v>197766859.08126158</v>
      </c>
    </row>
    <row r="11270" spans="1:2" x14ac:dyDescent="0.25">
      <c r="A11270">
        <f ca="1">29280.3195768125*((RANDBETWEEN(1620,2416)))</f>
        <v>54783477.928216234</v>
      </c>
      <c r="B11270">
        <v>151459542.09966928</v>
      </c>
    </row>
    <row r="11271" spans="1:2" x14ac:dyDescent="0.25">
      <c r="A11271">
        <f ca="1">29683.2621037892*((RANDBETWEEN(1620,2416)))</f>
        <v>66727973.209318146</v>
      </c>
      <c r="B11271">
        <v>154203337.58913738</v>
      </c>
    </row>
    <row r="11272" spans="1:2" x14ac:dyDescent="0.25">
      <c r="A11272">
        <f ca="1">26130.024845355*((RANDBETWEEN(1620,2416)))</f>
        <v>54141411.479575641</v>
      </c>
      <c r="B11272">
        <v>147044275.07068938</v>
      </c>
    </row>
    <row r="11273" spans="1:2" x14ac:dyDescent="0.25">
      <c r="A11273">
        <f ca="1">27629.9988190369*((RANDBETWEEN(1620,2416)))</f>
        <v>55840227.613273479</v>
      </c>
      <c r="B11273">
        <v>160536848.47278765</v>
      </c>
    </row>
    <row r="11274" spans="1:2" x14ac:dyDescent="0.25">
      <c r="A11274">
        <f ca="1">27671.5043271941*((RANDBETWEEN(1620,2416)))</f>
        <v>47207586.382193103</v>
      </c>
      <c r="B11274">
        <v>163274976.17026263</v>
      </c>
    </row>
    <row r="11275" spans="1:2" x14ac:dyDescent="0.25">
      <c r="A11275">
        <f ca="1">33037.1894003345*((RANDBETWEEN(1620,2416)))</f>
        <v>77472209.143784434</v>
      </c>
      <c r="B11275">
        <v>156676807.39207828</v>
      </c>
    </row>
    <row r="11276" spans="1:2" x14ac:dyDescent="0.25">
      <c r="A11276">
        <f ca="1">34076.3973635308*((RANDBETWEEN(1620,2416)))</f>
        <v>63143564.314622514</v>
      </c>
      <c r="B11276">
        <v>156442568.48146081</v>
      </c>
    </row>
    <row r="11277" spans="1:2" x14ac:dyDescent="0.25">
      <c r="A11277">
        <f ca="1">31946.9620880114*((RANDBETWEEN(1620,2416)))</f>
        <v>53638949.345771194</v>
      </c>
      <c r="B11277">
        <v>201941217.86752966</v>
      </c>
    </row>
    <row r="11278" spans="1:2" x14ac:dyDescent="0.25">
      <c r="A11278">
        <f ca="1">29976.3535932751*((RANDBETWEEN(1620,2416)))</f>
        <v>57104953.595189109</v>
      </c>
      <c r="B11278">
        <v>154845268.17391244</v>
      </c>
    </row>
    <row r="11279" spans="1:2" x14ac:dyDescent="0.25">
      <c r="A11279">
        <f ca="1">26624.2443413944*((RANDBETWEEN(1620,2416)))</f>
        <v>58173973.885946654</v>
      </c>
      <c r="B11279">
        <v>145123158.88165429</v>
      </c>
    </row>
    <row r="11280" spans="1:2" x14ac:dyDescent="0.25">
      <c r="A11280">
        <f ca="1">26781.2011111554*((RANDBETWEEN(1620,2416)))</f>
        <v>54178369.847867437</v>
      </c>
      <c r="B11280">
        <v>145331349.40015987</v>
      </c>
    </row>
    <row r="11281" spans="1:2" x14ac:dyDescent="0.25">
      <c r="A11281">
        <f ca="1">26555.3343017575*((RANDBETWEEN(1620,2416)))</f>
        <v>51597014.54831481</v>
      </c>
      <c r="B11281">
        <v>160658565.57008159</v>
      </c>
    </row>
    <row r="11282" spans="1:2" x14ac:dyDescent="0.25">
      <c r="A11282">
        <f ca="1">26099.2678656467*((RANDBETWEEN(1620,2416)))</f>
        <v>46639391.675910734</v>
      </c>
      <c r="B11282">
        <v>144075333.99444166</v>
      </c>
    </row>
    <row r="11283" spans="1:2" x14ac:dyDescent="0.25">
      <c r="A11283">
        <f ca="1">26749.7417001334*((RANDBETWEEN(1620,2416)))</f>
        <v>45608309.598727375</v>
      </c>
      <c r="B11283">
        <v>143514211.96171653</v>
      </c>
    </row>
    <row r="11284" spans="1:2" x14ac:dyDescent="0.25">
      <c r="A11284">
        <f ca="1">28292.5674473137*((RANDBETWEEN(1620,2416)))</f>
        <v>61253408.523434192</v>
      </c>
      <c r="B11284">
        <v>191759456.59452724</v>
      </c>
    </row>
    <row r="11285" spans="1:2" x14ac:dyDescent="0.25">
      <c r="A11285">
        <f ca="1">26409.5452805254*((RANDBETWEEN(1620,2416)))</f>
        <v>62484984.133723192</v>
      </c>
      <c r="B11285">
        <v>157229941.37964556</v>
      </c>
    </row>
    <row r="11286" spans="1:2" x14ac:dyDescent="0.25">
      <c r="A11286">
        <f ca="1">27058.5677553752*((RANDBETWEEN(1620,2416)))</f>
        <v>61179421.694903292</v>
      </c>
      <c r="B11286">
        <v>152413963.3571592</v>
      </c>
    </row>
    <row r="11287" spans="1:2" x14ac:dyDescent="0.25">
      <c r="A11287">
        <f ca="1">25761.0265221323*((RANDBETWEEN(1620,2416)))</f>
        <v>48971711.418573596</v>
      </c>
      <c r="B11287">
        <v>147065239.87920347</v>
      </c>
    </row>
    <row r="11288" spans="1:2" x14ac:dyDescent="0.25">
      <c r="A11288">
        <f ca="1">26076.6535671504*((RANDBETWEEN(1620,2416)))</f>
        <v>45790603.663916148</v>
      </c>
      <c r="B11288">
        <v>162418535.96170458</v>
      </c>
    </row>
    <row r="11289" spans="1:2" x14ac:dyDescent="0.25">
      <c r="A11289">
        <f ca="1">26866.6537591448*((RANDBETWEEN(1620,2416)))</f>
        <v>49004776.456680164</v>
      </c>
      <c r="B11289">
        <v>147468535.71013841</v>
      </c>
    </row>
    <row r="11290" spans="1:2" x14ac:dyDescent="0.25">
      <c r="A11290">
        <f ca="1">26139.7446803747*((RANDBETWEEN(1620,2416)))</f>
        <v>59101962.722327247</v>
      </c>
      <c r="B11290">
        <v>153261038.57244217</v>
      </c>
    </row>
    <row r="11291" spans="1:2" x14ac:dyDescent="0.25">
      <c r="A11291">
        <f ca="1">27019.5395364537*((RANDBETWEEN(1620,2416)))</f>
        <v>52309828.542574435</v>
      </c>
      <c r="B11291">
        <v>157634693.59097609</v>
      </c>
    </row>
    <row r="11292" spans="1:2" x14ac:dyDescent="0.25">
      <c r="A11292">
        <f ca="1">27530.6834051286*((RANDBETWEEN(1620,2416)))</f>
        <v>64724636.685457326</v>
      </c>
      <c r="B11292">
        <v>167634281.3018471</v>
      </c>
    </row>
    <row r="11293" spans="1:2" x14ac:dyDescent="0.25">
      <c r="A11293">
        <f ca="1">31639.8123944462*((RANDBETWEEN(1620,2416)))</f>
        <v>61571074.919592358</v>
      </c>
      <c r="B11293">
        <v>157563440.17338175</v>
      </c>
    </row>
    <row r="11294" spans="1:2" x14ac:dyDescent="0.25">
      <c r="A11294">
        <f ca="1">24690.009782877*((RANDBETWEEN(1620,2416)))</f>
        <v>44762987.736355953</v>
      </c>
      <c r="B11294">
        <v>149734778.4576478</v>
      </c>
    </row>
    <row r="11295" spans="1:2" x14ac:dyDescent="0.25">
      <c r="A11295">
        <f ca="1">26685.9722253309*((RANDBETWEEN(1620,2416)))</f>
        <v>44272027.921823986</v>
      </c>
      <c r="B11295">
        <v>153421832.90353721</v>
      </c>
    </row>
    <row r="11296" spans="1:2" x14ac:dyDescent="0.25">
      <c r="A11296">
        <f ca="1">27399.7573328863*((RANDBETWEEN(1620,2416)))</f>
        <v>45784994.503252938</v>
      </c>
      <c r="B11296">
        <v>199972336.46436545</v>
      </c>
    </row>
    <row r="11297" spans="1:2" x14ac:dyDescent="0.25">
      <c r="A11297">
        <f ca="1">26358.8172334992*((RANDBETWEEN(1620,2416)))</f>
        <v>55353516.190348424</v>
      </c>
      <c r="B11297">
        <v>177337095.92573565</v>
      </c>
    </row>
    <row r="11298" spans="1:2" x14ac:dyDescent="0.25">
      <c r="A11298">
        <f ca="1">28913.0687312345*((RANDBETWEEN(1620,2416)))</f>
        <v>59705486.929999173</v>
      </c>
      <c r="B11298">
        <v>147334202.57047677</v>
      </c>
    </row>
    <row r="11299" spans="1:2" x14ac:dyDescent="0.25">
      <c r="A11299">
        <f ca="1">26172.420231219*((RANDBETWEEN(1620,2416)))</f>
        <v>51821392.057813652</v>
      </c>
      <c r="B11299">
        <v>153671573.92490536</v>
      </c>
    </row>
    <row r="11300" spans="1:2" x14ac:dyDescent="0.25">
      <c r="A11300">
        <f ca="1">28446.5011809293*((RANDBETWEEN(1620,2416)))</f>
        <v>51345934.63157738</v>
      </c>
      <c r="B11300">
        <v>162459708.82176691</v>
      </c>
    </row>
    <row r="11301" spans="1:2" x14ac:dyDescent="0.25">
      <c r="A11301">
        <f ca="1">28728.9803817913*((RANDBETWEEN(1620,2416)))</f>
        <v>56768465.234419562</v>
      </c>
      <c r="B11301">
        <v>152612592.78031844</v>
      </c>
    </row>
    <row r="11302" spans="1:2" x14ac:dyDescent="0.25">
      <c r="A11302">
        <f ca="1">32533.3816127057*((RANDBETWEEN(1620,2416)))</f>
        <v>64351028.829931855</v>
      </c>
      <c r="B11302">
        <v>166489992.86408594</v>
      </c>
    </row>
    <row r="11303" spans="1:2" x14ac:dyDescent="0.25">
      <c r="A11303">
        <f ca="1">29416.1687037565*((RANDBETWEEN(1620,2416)))</f>
        <v>64862651.991783008</v>
      </c>
      <c r="B11303">
        <v>152187806.01322705</v>
      </c>
    </row>
    <row r="11304" spans="1:2" x14ac:dyDescent="0.25">
      <c r="A11304">
        <f ca="1">33725.1836945348*((RANDBETWEEN(1620,2416)))</f>
        <v>63369620.162030883</v>
      </c>
      <c r="B11304">
        <v>145994949.64580208</v>
      </c>
    </row>
    <row r="11305" spans="1:2" x14ac:dyDescent="0.25">
      <c r="A11305">
        <f ca="1">27329.5394168398*((RANDBETWEEN(1620,2416)))</f>
        <v>48072659.83422114</v>
      </c>
      <c r="B11305">
        <v>171795471.64228591</v>
      </c>
    </row>
    <row r="11306" spans="1:2" x14ac:dyDescent="0.25">
      <c r="A11306">
        <f ca="1">28141.1233274175*((RANDBETWEEN(1620,2416)))</f>
        <v>65399970.612918258</v>
      </c>
      <c r="B11306">
        <v>150494862.26593059</v>
      </c>
    </row>
    <row r="11307" spans="1:2" x14ac:dyDescent="0.25">
      <c r="A11307">
        <f ca="1">26900.1739526397*((RANDBETWEEN(1620,2416)))</f>
        <v>52885741.990889639</v>
      </c>
      <c r="B11307">
        <v>151659252.15383741</v>
      </c>
    </row>
    <row r="11308" spans="1:2" x14ac:dyDescent="0.25">
      <c r="A11308">
        <f ca="1">26831.0476387349*((RANDBETWEEN(1620,2416)))</f>
        <v>61496761.187980324</v>
      </c>
      <c r="B11308">
        <v>163047996.05300772</v>
      </c>
    </row>
    <row r="11309" spans="1:2" x14ac:dyDescent="0.25">
      <c r="A11309">
        <f ca="1">30462.464646238*((RANDBETWEEN(1620,2416)))</f>
        <v>58030995.15108332</v>
      </c>
      <c r="B11309">
        <v>159151939.45536178</v>
      </c>
    </row>
    <row r="11310" spans="1:2" x14ac:dyDescent="0.25">
      <c r="A11310">
        <f ca="1">29373.9554730692*((RANDBETWEEN(1620,2416)))</f>
        <v>47762051.599210516</v>
      </c>
      <c r="B11310">
        <v>186051522.49606419</v>
      </c>
    </row>
    <row r="11311" spans="1:2" x14ac:dyDescent="0.25">
      <c r="A11311">
        <f ca="1">27630.2548551517*((RANDBETWEEN(1620,2416)))</f>
        <v>51337013.520871863</v>
      </c>
      <c r="B11311">
        <v>192408786.93620855</v>
      </c>
    </row>
    <row r="11312" spans="1:2" x14ac:dyDescent="0.25">
      <c r="A11312">
        <f ca="1">27969.4823659615*((RANDBETWEEN(1620,2416)))</f>
        <v>58092614.874102071</v>
      </c>
      <c r="B11312">
        <v>160899362.87227178</v>
      </c>
    </row>
    <row r="11313" spans="1:2" x14ac:dyDescent="0.25">
      <c r="A11313">
        <f ca="1">26234.7036563219*((RANDBETWEEN(1620,2416)))</f>
        <v>47353640.099661008</v>
      </c>
      <c r="B11313">
        <v>160651795.25792313</v>
      </c>
    </row>
    <row r="11314" spans="1:2" x14ac:dyDescent="0.25">
      <c r="A11314">
        <f ca="1">28814.2394904903*((RANDBETWEEN(1620,2416)))</f>
        <v>58464091.926204786</v>
      </c>
      <c r="B11314">
        <v>200235301.1905883</v>
      </c>
    </row>
    <row r="11315" spans="1:2" x14ac:dyDescent="0.25">
      <c r="A11315">
        <f ca="1">29240.422589638*((RANDBETWEEN(1620,2416)))</f>
        <v>60030587.576526813</v>
      </c>
      <c r="B11315">
        <v>190562427.34196252</v>
      </c>
    </row>
    <row r="11316" spans="1:2" x14ac:dyDescent="0.25">
      <c r="A11316">
        <f ca="1">30965.8984114561*((RANDBETWEEN(1620,2416)))</f>
        <v>70540316.581297025</v>
      </c>
      <c r="B11316">
        <v>170808688.34087196</v>
      </c>
    </row>
    <row r="11317" spans="1:2" x14ac:dyDescent="0.25">
      <c r="A11317">
        <f ca="1">25351.5509926742*((RANDBETWEEN(1620,2416)))</f>
        <v>45860955.745747581</v>
      </c>
      <c r="B11317">
        <v>151238398.84962684</v>
      </c>
    </row>
    <row r="11318" spans="1:2" x14ac:dyDescent="0.25">
      <c r="A11318">
        <f ca="1">26636.8473401077*((RANDBETWEEN(1620,2416)))</f>
        <v>46401388.066467568</v>
      </c>
      <c r="B11318">
        <v>181326325.94040897</v>
      </c>
    </row>
    <row r="11319" spans="1:2" x14ac:dyDescent="0.25">
      <c r="A11319">
        <f ca="1">28245.0636607033*((RANDBETWEEN(1620,2416)))</f>
        <v>52451083.217926018</v>
      </c>
      <c r="B11319">
        <v>159052417.71382576</v>
      </c>
    </row>
    <row r="11320" spans="1:2" x14ac:dyDescent="0.25">
      <c r="A11320">
        <f ca="1">28074.2564249467*((RANDBETWEEN(1620,2416)))</f>
        <v>64514641.264527582</v>
      </c>
      <c r="B11320">
        <v>194552602.63407132</v>
      </c>
    </row>
    <row r="11321" spans="1:2" x14ac:dyDescent="0.25">
      <c r="A11321">
        <f ca="1">26813.5832491307*((RANDBETWEEN(1620,2416)))</f>
        <v>46602007.686989099</v>
      </c>
      <c r="B11321">
        <v>202029276.79067492</v>
      </c>
    </row>
    <row r="11322" spans="1:2" x14ac:dyDescent="0.25">
      <c r="A11322">
        <f ca="1">25835.3784242939*((RANDBETWEEN(1620,2416)))</f>
        <v>61746554.434062362</v>
      </c>
      <c r="B11322">
        <v>154454753.28816062</v>
      </c>
    </row>
    <row r="11323" spans="1:2" x14ac:dyDescent="0.25">
      <c r="A11323">
        <f ca="1">31883.1783813694*((RANDBETWEEN(1620,2416)))</f>
        <v>61311352.027373433</v>
      </c>
      <c r="B11323">
        <v>178631547.44703126</v>
      </c>
    </row>
    <row r="11324" spans="1:2" x14ac:dyDescent="0.25">
      <c r="A11324">
        <f ca="1">26265.8202137106*((RANDBETWEEN(1620,2416)))</f>
        <v>45649995.531429023</v>
      </c>
      <c r="B11324">
        <v>194230333.68977866</v>
      </c>
    </row>
    <row r="11325" spans="1:2" x14ac:dyDescent="0.25">
      <c r="A11325">
        <f ca="1">27938.5797641339*((RANDBETWEEN(1620,2416)))</f>
        <v>51379048.186242297</v>
      </c>
      <c r="B11325">
        <v>186217566.67230082</v>
      </c>
    </row>
    <row r="11326" spans="1:2" x14ac:dyDescent="0.25">
      <c r="A11326">
        <f ca="1">34048.7231485692*((RANDBETWEEN(1620,2416)))</f>
        <v>71195880.103658244</v>
      </c>
      <c r="B11326">
        <v>184486091.48860937</v>
      </c>
    </row>
    <row r="11327" spans="1:2" x14ac:dyDescent="0.25">
      <c r="A11327">
        <f ca="1">29009.3229358375*((RANDBETWEEN(1620,2416)))</f>
        <v>61731839.207462244</v>
      </c>
      <c r="B11327">
        <v>173536989.35506713</v>
      </c>
    </row>
    <row r="11328" spans="1:2" x14ac:dyDescent="0.25">
      <c r="A11328">
        <f ca="1">27937.3521898123*((RANDBETWEEN(1620,2416)))</f>
        <v>46599503.452606849</v>
      </c>
      <c r="B11328">
        <v>167355591.11242276</v>
      </c>
    </row>
    <row r="11329" spans="1:2" x14ac:dyDescent="0.25">
      <c r="A11329">
        <f ca="1">27799.5941094337*((RANDBETWEEN(1620,2416)))</f>
        <v>53959012.166410744</v>
      </c>
      <c r="B11329">
        <v>169011035.79563481</v>
      </c>
    </row>
    <row r="11330" spans="1:2" x14ac:dyDescent="0.25">
      <c r="A11330">
        <f ca="1">27907.4977502955*((RANDBETWEEN(1620,2416)))</f>
        <v>48559046.085514106</v>
      </c>
      <c r="B11330">
        <v>157841416.04283136</v>
      </c>
    </row>
    <row r="11331" spans="1:2" x14ac:dyDescent="0.25">
      <c r="A11331">
        <f ca="1">26335.0529342058*((RANDBETWEEN(1620,2416)))</f>
        <v>45269955.993899688</v>
      </c>
      <c r="B11331">
        <v>146602880.0370717</v>
      </c>
    </row>
    <row r="11332" spans="1:2" x14ac:dyDescent="0.25">
      <c r="A11332">
        <f ca="1">25561.3153553317*((RANDBETWEEN(1620,2416)))</f>
        <v>56720558.773481004</v>
      </c>
      <c r="B11332">
        <v>176462687.40938199</v>
      </c>
    </row>
    <row r="11333" spans="1:2" x14ac:dyDescent="0.25">
      <c r="A11333">
        <f ca="1">25907.823333387*((RANDBETWEEN(1620,2416)))</f>
        <v>51504752.786773302</v>
      </c>
      <c r="B11333">
        <v>162469054.86968899</v>
      </c>
    </row>
    <row r="11334" spans="1:2" x14ac:dyDescent="0.25">
      <c r="A11334">
        <f ca="1">33406.1492801116*((RANDBETWEEN(1620,2416)))</f>
        <v>78103577.016900927</v>
      </c>
      <c r="B11334">
        <v>196908485.40164775</v>
      </c>
    </row>
    <row r="11335" spans="1:2" x14ac:dyDescent="0.25">
      <c r="A11335">
        <f ca="1">26158.1597934265*((RANDBETWEEN(1620,2416)))</f>
        <v>55219875.323923372</v>
      </c>
      <c r="B11335">
        <v>156431613.98598039</v>
      </c>
    </row>
    <row r="11336" spans="1:2" x14ac:dyDescent="0.25">
      <c r="A11336">
        <f ca="1">32645.5967465824*((RANDBETWEEN(1620,2416)))</f>
        <v>76586569.967482224</v>
      </c>
      <c r="B11336">
        <v>196322092.19635308</v>
      </c>
    </row>
    <row r="11337" spans="1:2" x14ac:dyDescent="0.25">
      <c r="A11337">
        <f ca="1">27865.9760884773*((RANDBETWEEN(1620,2416)))</f>
        <v>67212734.325407341</v>
      </c>
      <c r="B11337">
        <v>150200032.59726197</v>
      </c>
    </row>
    <row r="11338" spans="1:2" x14ac:dyDescent="0.25">
      <c r="A11338">
        <f ca="1">31646.6662279516*((RANDBETWEEN(1620,2416)))</f>
        <v>63926265.78046231</v>
      </c>
      <c r="B11338">
        <v>193932237.13510656</v>
      </c>
    </row>
    <row r="11339" spans="1:2" x14ac:dyDescent="0.25">
      <c r="A11339">
        <f ca="1">28145.3072120438*((RANDBETWEEN(1620,2416)))</f>
        <v>49592031.307621203</v>
      </c>
      <c r="B11339">
        <v>174957086.01599455</v>
      </c>
    </row>
    <row r="11340" spans="1:2" x14ac:dyDescent="0.25">
      <c r="A11340">
        <f ca="1">28642.5314974368*((RANDBETWEEN(1620,2416)))</f>
        <v>53017325.801755562</v>
      </c>
      <c r="B11340">
        <v>185061286.261976</v>
      </c>
    </row>
    <row r="11341" spans="1:2" x14ac:dyDescent="0.25">
      <c r="A11341">
        <f ca="1">30117.663633346*((RANDBETWEEN(1620,2416)))</f>
        <v>69089920.374895602</v>
      </c>
      <c r="B11341">
        <v>175473452.25368702</v>
      </c>
    </row>
    <row r="11342" spans="1:2" x14ac:dyDescent="0.25">
      <c r="A11342">
        <f ca="1">26465.9016999649*((RANDBETWEEN(1620,2416)))</f>
        <v>54625621.108727649</v>
      </c>
      <c r="B11342">
        <v>151182652.22469786</v>
      </c>
    </row>
    <row r="11343" spans="1:2" x14ac:dyDescent="0.25">
      <c r="A11343">
        <f ca="1">25915.2081312175*((RANDBETWEEN(1620,2416)))</f>
        <v>44651903.610087715</v>
      </c>
      <c r="B11343">
        <v>168005920.37613824</v>
      </c>
    </row>
    <row r="11344" spans="1:2" x14ac:dyDescent="0.25">
      <c r="A11344">
        <f ca="1">27849.9596388381*((RANDBETWEEN(1620,2416)))</f>
        <v>62216809.833164401</v>
      </c>
      <c r="B11344">
        <v>159285905.78292817</v>
      </c>
    </row>
    <row r="11345" spans="1:2" x14ac:dyDescent="0.25">
      <c r="A11345">
        <f ca="1">25933.5948640266*((RANDBETWEEN(1620,2416)))</f>
        <v>54097478.886359386</v>
      </c>
      <c r="B11345">
        <v>184962449.24427092</v>
      </c>
    </row>
    <row r="11346" spans="1:2" x14ac:dyDescent="0.25">
      <c r="A11346">
        <f ca="1">27588.96437554*((RANDBETWEEN(1620,2416)))</f>
        <v>63427029.099366426</v>
      </c>
      <c r="B11346">
        <v>161489313.45808616</v>
      </c>
    </row>
    <row r="11347" spans="1:2" x14ac:dyDescent="0.25">
      <c r="A11347">
        <f ca="1">30450.1571753593*((RANDBETWEEN(1620,2416)))</f>
        <v>72958576.592160985</v>
      </c>
      <c r="B11347">
        <v>159634754.13695678</v>
      </c>
    </row>
    <row r="11348" spans="1:2" x14ac:dyDescent="0.25">
      <c r="A11348">
        <f ca="1">27267.9223668433*((RANDBETWEEN(1620,2416)))</f>
        <v>46164592.567065738</v>
      </c>
      <c r="B11348">
        <v>168468041.63070664</v>
      </c>
    </row>
    <row r="11349" spans="1:2" x14ac:dyDescent="0.25">
      <c r="A11349">
        <f ca="1">27465.1749576789*((RANDBETWEEN(1620,2416)))</f>
        <v>48613359.675091609</v>
      </c>
      <c r="B11349">
        <v>146067615.24563521</v>
      </c>
    </row>
    <row r="11350" spans="1:2" x14ac:dyDescent="0.25">
      <c r="A11350">
        <f ca="1">30862.5393576051*((RANDBETWEEN(1620,2416)))</f>
        <v>58824000.015595272</v>
      </c>
      <c r="B11350">
        <v>149264072.95339775</v>
      </c>
    </row>
    <row r="11351" spans="1:2" x14ac:dyDescent="0.25">
      <c r="A11351">
        <f ca="1">26089.6530713463*((RANDBETWEEN(1620,2416)))</f>
        <v>53066354.347118415</v>
      </c>
      <c r="B11351">
        <v>145298901.48031154</v>
      </c>
    </row>
    <row r="11352" spans="1:2" x14ac:dyDescent="0.25">
      <c r="A11352">
        <f ca="1">27239.8697413262*((RANDBETWEEN(1620,2416)))</f>
        <v>50284799.542488091</v>
      </c>
      <c r="B11352">
        <v>198636390.29638672</v>
      </c>
    </row>
    <row r="11353" spans="1:2" x14ac:dyDescent="0.25">
      <c r="A11353">
        <f ca="1">32826.9480096632*((RANDBETWEEN(1620,2416)))</f>
        <v>62633816.802437499</v>
      </c>
      <c r="B11353">
        <v>152110584.2648744</v>
      </c>
    </row>
    <row r="11354" spans="1:2" x14ac:dyDescent="0.25">
      <c r="A11354">
        <f ca="1">26844.2061916424*((RANDBETWEEN(1620,2416)))</f>
        <v>51648252.712719999</v>
      </c>
      <c r="B11354">
        <v>179529855.41982341</v>
      </c>
    </row>
    <row r="11355" spans="1:2" x14ac:dyDescent="0.25">
      <c r="A11355">
        <f ca="1">25497.323743302*((RANDBETWEEN(1620,2416)))</f>
        <v>59153791.084460557</v>
      </c>
      <c r="B11355">
        <v>148183070.1334489</v>
      </c>
    </row>
    <row r="11356" spans="1:2" x14ac:dyDescent="0.25">
      <c r="A11356">
        <f ca="1">29296.5614053831*((RANDBETWEEN(1620,2416)))</f>
        <v>48017064.143422849</v>
      </c>
      <c r="B11356">
        <v>174646542.32549042</v>
      </c>
    </row>
    <row r="11357" spans="1:2" x14ac:dyDescent="0.25">
      <c r="A11357">
        <f ca="1">26938.4489381023*((RANDBETWEEN(1620,2416)))</f>
        <v>63709431.738611892</v>
      </c>
      <c r="B11357">
        <v>147883739.28838199</v>
      </c>
    </row>
    <row r="11358" spans="1:2" x14ac:dyDescent="0.25">
      <c r="A11358">
        <f ca="1">31954.0351667087*((RANDBETWEEN(1620,2416)))</f>
        <v>54417721.888905004</v>
      </c>
      <c r="B11358">
        <v>197409166.69866639</v>
      </c>
    </row>
    <row r="11359" spans="1:2" x14ac:dyDescent="0.25">
      <c r="A11359">
        <f ca="1">25390.7878085093*((RANDBETWEEN(1620,2416)))</f>
        <v>44560832.603933901</v>
      </c>
      <c r="B11359">
        <v>185656464.65886533</v>
      </c>
    </row>
    <row r="11360" spans="1:2" x14ac:dyDescent="0.25">
      <c r="A11360">
        <f ca="1">26744.3831629976*((RANDBETWEEN(1620,2416)))</f>
        <v>56243437.791784003</v>
      </c>
      <c r="B11360">
        <v>178298930.30190653</v>
      </c>
    </row>
    <row r="11361" spans="1:2" x14ac:dyDescent="0.25">
      <c r="A11361">
        <f ca="1">27998.3103809506*((RANDBETWEEN(1620,2416)))</f>
        <v>50368960.375330083</v>
      </c>
      <c r="B11361">
        <v>176915552.46091989</v>
      </c>
    </row>
    <row r="11362" spans="1:2" x14ac:dyDescent="0.25">
      <c r="A11362">
        <f ca="1">26648.2990772512*((RANDBETWEEN(1620,2416)))</f>
        <v>47300730.86212083</v>
      </c>
      <c r="B11362">
        <v>179202853.20835036</v>
      </c>
    </row>
    <row r="11363" spans="1:2" x14ac:dyDescent="0.25">
      <c r="A11363">
        <f ca="1">28189.8879480585*((RANDBETWEEN(1620,2416)))</f>
        <v>64244754.633625276</v>
      </c>
      <c r="B11363">
        <v>170805180.82071596</v>
      </c>
    </row>
    <row r="11364" spans="1:2" x14ac:dyDescent="0.25">
      <c r="A11364">
        <f ca="1">32203.8539099879*((RANDBETWEEN(1620,2416)))</f>
        <v>61960214.922816694</v>
      </c>
      <c r="B11364">
        <v>172359008.29392546</v>
      </c>
    </row>
    <row r="11365" spans="1:2" x14ac:dyDescent="0.25">
      <c r="A11365">
        <f ca="1">32720.5285659002*((RANDBETWEEN(1620,2416)))</f>
        <v>71232590.687964767</v>
      </c>
      <c r="B11365">
        <v>155629943.79179868</v>
      </c>
    </row>
    <row r="11366" spans="1:2" x14ac:dyDescent="0.25">
      <c r="A11366">
        <f ca="1">30545.5197767505*((RANDBETWEEN(1620,2416)))</f>
        <v>55684482.55301623</v>
      </c>
      <c r="B11366">
        <v>165794958.18794456</v>
      </c>
    </row>
    <row r="11367" spans="1:2" x14ac:dyDescent="0.25">
      <c r="A11367">
        <f ca="1">29868.9929113142*((RANDBETWEEN(1620,2416)))</f>
        <v>70759644.206903338</v>
      </c>
      <c r="B11367">
        <v>191765738.66696724</v>
      </c>
    </row>
    <row r="11368" spans="1:2" x14ac:dyDescent="0.25">
      <c r="A11368">
        <f ca="1">26988.2871856199*((RANDBETWEEN(1620,2416)))</f>
        <v>64232123.501775451</v>
      </c>
      <c r="B11368">
        <v>161838569.50771427</v>
      </c>
    </row>
    <row r="11369" spans="1:2" x14ac:dyDescent="0.25">
      <c r="A11369">
        <f ca="1">30181.0096710918*((RANDBETWEEN(1620,2416)))</f>
        <v>51820793.605264597</v>
      </c>
      <c r="B11369">
        <v>157987559.23055512</v>
      </c>
    </row>
    <row r="11370" spans="1:2" x14ac:dyDescent="0.25">
      <c r="A11370">
        <f ca="1">30714.9531624302*((RANDBETWEEN(1620,2416)))</f>
        <v>55993359.615110271</v>
      </c>
      <c r="B11370">
        <v>162353878.62955338</v>
      </c>
    </row>
    <row r="11371" spans="1:2" x14ac:dyDescent="0.25">
      <c r="A11371">
        <f ca="1">28277.0328315072*((RANDBETWEEN(1620,2416)))</f>
        <v>64188864.527521349</v>
      </c>
      <c r="B11371">
        <v>181457225.07327461</v>
      </c>
    </row>
    <row r="11372" spans="1:2" x14ac:dyDescent="0.25">
      <c r="A11372">
        <f ca="1">26928.37245893*((RANDBETWEEN(1620,2416)))</f>
        <v>58973135.685056701</v>
      </c>
      <c r="B11372">
        <v>162128072.18857837</v>
      </c>
    </row>
    <row r="11373" spans="1:2" x14ac:dyDescent="0.25">
      <c r="A11373">
        <f ca="1">26044.3757079663*((RANDBETWEEN(1620,2416)))</f>
        <v>52583594.554383896</v>
      </c>
      <c r="B11373">
        <v>143376438.98339358</v>
      </c>
    </row>
    <row r="11374" spans="1:2" x14ac:dyDescent="0.25">
      <c r="A11374">
        <f ca="1">27366.3794621571*((RANDBETWEEN(1620,2416)))</f>
        <v>58071457.218697421</v>
      </c>
      <c r="B11374">
        <v>167339373.45113212</v>
      </c>
    </row>
    <row r="11375" spans="1:2" x14ac:dyDescent="0.25">
      <c r="A11375">
        <f ca="1">27711.9319295688*((RANDBETWEEN(1620,2416)))</f>
        <v>58028785.460516997</v>
      </c>
      <c r="B11375">
        <v>160670824.23334849</v>
      </c>
    </row>
    <row r="11376" spans="1:2" x14ac:dyDescent="0.25">
      <c r="A11376">
        <f ca="1">27544.0910821612*((RANDBETWEEN(1620,2416)))</f>
        <v>63847203.128449656</v>
      </c>
      <c r="B11376">
        <v>162232673.60188389</v>
      </c>
    </row>
    <row r="11377" spans="1:2" x14ac:dyDescent="0.25">
      <c r="A11377">
        <f ca="1">26239.0558859833*((RANDBETWEEN(1620,2416)))</f>
        <v>51271115.201211289</v>
      </c>
      <c r="B11377">
        <v>151629231.06377229</v>
      </c>
    </row>
    <row r="11378" spans="1:2" x14ac:dyDescent="0.25">
      <c r="A11378">
        <f ca="1">29838.5808423183*((RANDBETWEEN(1620,2416)))</f>
        <v>62541665.445499234</v>
      </c>
      <c r="B11378">
        <v>157871322.88595971</v>
      </c>
    </row>
    <row r="11379" spans="1:2" x14ac:dyDescent="0.25">
      <c r="A11379">
        <f ca="1">26123.3984789775*((RANDBETWEEN(1620,2416)))</f>
        <v>59822582.516858466</v>
      </c>
      <c r="B11379">
        <v>147993312.65309829</v>
      </c>
    </row>
    <row r="11380" spans="1:2" x14ac:dyDescent="0.25">
      <c r="A11380">
        <f ca="1">27156.8699874904*((RANDBETWEEN(1620,2416)))</f>
        <v>56757858.273855031</v>
      </c>
      <c r="B11380">
        <v>169613333.74714646</v>
      </c>
    </row>
    <row r="11381" spans="1:2" x14ac:dyDescent="0.25">
      <c r="A11381">
        <f ca="1">26603.1424948135*((RANDBETWEEN(1620,2416)))</f>
        <v>59511229.760897771</v>
      </c>
      <c r="B11381">
        <v>200965366.32387596</v>
      </c>
    </row>
    <row r="11382" spans="1:2" x14ac:dyDescent="0.25">
      <c r="A11382">
        <f ca="1">27817.0668115245*((RANDBETWEEN(1620,2416)))</f>
        <v>47455915.980460748</v>
      </c>
      <c r="B11382">
        <v>157571197.80236885</v>
      </c>
    </row>
    <row r="11383" spans="1:2" x14ac:dyDescent="0.25">
      <c r="A11383">
        <f ca="1">27060.4343364128*((RANDBETWEEN(1620,2416)))</f>
        <v>57151637.318503775</v>
      </c>
      <c r="B11383">
        <v>159105912.21051502</v>
      </c>
    </row>
    <row r="11384" spans="1:2" x14ac:dyDescent="0.25">
      <c r="A11384">
        <f ca="1">29622.213586998*((RANDBETWEEN(1620,2416)))</f>
        <v>58385382.979973152</v>
      </c>
      <c r="B11384">
        <v>157095519.76948106</v>
      </c>
    </row>
    <row r="11385" spans="1:2" x14ac:dyDescent="0.25">
      <c r="A11385">
        <f ca="1">30674.9479601714*((RANDBETWEEN(1620,2416)))</f>
        <v>70030906.193071306</v>
      </c>
      <c r="B11385">
        <v>156256339.667593</v>
      </c>
    </row>
    <row r="11386" spans="1:2" x14ac:dyDescent="0.25">
      <c r="A11386">
        <f ca="1">28998.4796225207*((RANDBETWEEN(1620,2416)))</f>
        <v>65217580.671048954</v>
      </c>
      <c r="B11386">
        <v>174423623.19527829</v>
      </c>
    </row>
    <row r="11387" spans="1:2" x14ac:dyDescent="0.25">
      <c r="A11387">
        <f ca="1">25865.3747985788*((RANDBETWEEN(1620,2416)))</f>
        <v>56800363.057679147</v>
      </c>
      <c r="B11387">
        <v>189426855.32514083</v>
      </c>
    </row>
    <row r="11388" spans="1:2" x14ac:dyDescent="0.25">
      <c r="A11388">
        <f ca="1">32788.4138536436*((RANDBETWEEN(1620,2416)))</f>
        <v>78888923.731866553</v>
      </c>
      <c r="B11388">
        <v>185758593.20915931</v>
      </c>
    </row>
    <row r="11389" spans="1:2" x14ac:dyDescent="0.25">
      <c r="A11389">
        <f ca="1">27287.3000887772*((RANDBETWEEN(1620,2416)))</f>
        <v>53783268.474979796</v>
      </c>
      <c r="B11389">
        <v>165613165.82713914</v>
      </c>
    </row>
    <row r="11390" spans="1:2" x14ac:dyDescent="0.25">
      <c r="A11390">
        <f ca="1">25831.6373923124*((RANDBETWEEN(1620,2416)))</f>
        <v>44662901.051308088</v>
      </c>
      <c r="B11390">
        <v>155791171.85777211</v>
      </c>
    </row>
    <row r="11391" spans="1:2" x14ac:dyDescent="0.25">
      <c r="A11391">
        <f ca="1">26113.5353030018*((RANDBETWEEN(1620,2416)))</f>
        <v>55987419.689635873</v>
      </c>
      <c r="B11391">
        <v>146988308.65898144</v>
      </c>
    </row>
    <row r="11392" spans="1:2" x14ac:dyDescent="0.25">
      <c r="A11392">
        <f ca="1">30920.3214724206*((RANDBETWEEN(1620,2416)))</f>
        <v>61716961.658951424</v>
      </c>
      <c r="B11392">
        <v>165045785.94008863</v>
      </c>
    </row>
    <row r="11393" spans="1:2" x14ac:dyDescent="0.25">
      <c r="A11393">
        <f ca="1">30838.3260548358*((RANDBETWEEN(1620,2416)))</f>
        <v>65377251.236251824</v>
      </c>
      <c r="B11393">
        <v>144996823.99107462</v>
      </c>
    </row>
    <row r="11394" spans="1:2" x14ac:dyDescent="0.25">
      <c r="A11394">
        <f ca="1">27093.7579650049*((RANDBETWEEN(1620,2416)))</f>
        <v>44027356.693132997</v>
      </c>
      <c r="B11394">
        <v>178575338.14032775</v>
      </c>
    </row>
    <row r="11395" spans="1:2" x14ac:dyDescent="0.25">
      <c r="A11395">
        <f ca="1">25642.5778729554*((RANDBETWEEN(1620,2416)))</f>
        <v>46156640.171319723</v>
      </c>
      <c r="B11395">
        <v>202856746.35661614</v>
      </c>
    </row>
    <row r="11396" spans="1:2" x14ac:dyDescent="0.25">
      <c r="A11396">
        <f ca="1">27238.8251928851*((RANDBETWEEN(1620,2416)))</f>
        <v>48539586.493721195</v>
      </c>
      <c r="B11396">
        <v>151424397.21327704</v>
      </c>
    </row>
    <row r="11397" spans="1:2" x14ac:dyDescent="0.25">
      <c r="A11397">
        <f ca="1">28384.4717082761*((RANDBETWEEN(1620,2416)))</f>
        <v>47515605.639654234</v>
      </c>
      <c r="B11397">
        <v>149211900.90024355</v>
      </c>
    </row>
    <row r="11398" spans="1:2" x14ac:dyDescent="0.25">
      <c r="A11398">
        <f ca="1">26379.9051650205*((RANDBETWEEN(1620,2416)))</f>
        <v>58721668.897335678</v>
      </c>
      <c r="B11398">
        <v>167417295.84652829</v>
      </c>
    </row>
    <row r="11399" spans="1:2" x14ac:dyDescent="0.25">
      <c r="A11399">
        <f ca="1">26505.3221923457*((RANDBETWEEN(1620,2416)))</f>
        <v>61492347.486242019</v>
      </c>
      <c r="B11399">
        <v>149578492.57277352</v>
      </c>
    </row>
    <row r="11400" spans="1:2" x14ac:dyDescent="0.25">
      <c r="A11400">
        <f ca="1">26935.6141169619*((RANDBETWEEN(1620,2416)))</f>
        <v>43689566.097712226</v>
      </c>
      <c r="B11400">
        <v>196458372.61913818</v>
      </c>
    </row>
    <row r="11401" spans="1:2" x14ac:dyDescent="0.25">
      <c r="A11401">
        <f ca="1">30853.801487237*((RANDBETWEEN(1620,2416)))</f>
        <v>67940070.87489596</v>
      </c>
      <c r="B11401">
        <v>200925126.71863461</v>
      </c>
    </row>
    <row r="11402" spans="1:2" x14ac:dyDescent="0.25">
      <c r="A11402">
        <f ca="1">30967.589174528*((RANDBETWEEN(1620,2416)))</f>
        <v>68717080.378277645</v>
      </c>
      <c r="B11402">
        <v>183539751.12175471</v>
      </c>
    </row>
    <row r="11403" spans="1:2" x14ac:dyDescent="0.25">
      <c r="A11403">
        <f ca="1">30323.8753954895*((RANDBETWEEN(1620,2416)))</f>
        <v>62831069.819454163</v>
      </c>
      <c r="B11403">
        <v>173693906.98993319</v>
      </c>
    </row>
    <row r="11404" spans="1:2" x14ac:dyDescent="0.25">
      <c r="A11404">
        <f ca="1">28457.8461246903*((RANDBETWEEN(1620,2416)))</f>
        <v>55037474.405150995</v>
      </c>
      <c r="B11404">
        <v>184886858.72711262</v>
      </c>
    </row>
    <row r="11405" spans="1:2" x14ac:dyDescent="0.25">
      <c r="A11405">
        <f ca="1">27075.6962544592*((RANDBETWEEN(1620,2416)))</f>
        <v>63302977.842925556</v>
      </c>
      <c r="B11405">
        <v>201702190.36274081</v>
      </c>
    </row>
    <row r="11406" spans="1:2" x14ac:dyDescent="0.25">
      <c r="A11406">
        <f ca="1">27229.6673589795*((RANDBETWEEN(1620,2416)))</f>
        <v>48713874.905214332</v>
      </c>
      <c r="B11406">
        <v>151640937.68504617</v>
      </c>
    </row>
    <row r="11407" spans="1:2" x14ac:dyDescent="0.25">
      <c r="A11407">
        <f ca="1">29329.0881310856*((RANDBETWEEN(1620,2416)))</f>
        <v>57573000.00132113</v>
      </c>
      <c r="B11407">
        <v>156361975.12856144</v>
      </c>
    </row>
    <row r="11408" spans="1:2" x14ac:dyDescent="0.25">
      <c r="A11408">
        <f ca="1">30724.8645266304*((RANDBETWEEN(1620,2416)))</f>
        <v>51925021.050005458</v>
      </c>
      <c r="B11408">
        <v>188885427.83472648</v>
      </c>
    </row>
    <row r="11409" spans="1:2" x14ac:dyDescent="0.25">
      <c r="A11409">
        <f ca="1">27057.2479144178*((RANDBETWEEN(1620,2416)))</f>
        <v>54872098.770439222</v>
      </c>
      <c r="B11409">
        <v>167871506.83945122</v>
      </c>
    </row>
    <row r="11410" spans="1:2" x14ac:dyDescent="0.25">
      <c r="A11410">
        <f ca="1">25965.7556450454*((RANDBETWEEN(1620,2416)))</f>
        <v>45517969.645764627</v>
      </c>
      <c r="B11410">
        <v>151886249.32100618</v>
      </c>
    </row>
    <row r="11411" spans="1:2" x14ac:dyDescent="0.25">
      <c r="A11411">
        <f ca="1">31499.4821624113*((RANDBETWEEN(1620,2416)))</f>
        <v>58148044.071811222</v>
      </c>
      <c r="B11411">
        <v>151523906.69192809</v>
      </c>
    </row>
    <row r="11412" spans="1:2" x14ac:dyDescent="0.25">
      <c r="A11412">
        <f ca="1">26822.1307535475*((RANDBETWEEN(1620,2416)))</f>
        <v>60081572.887946442</v>
      </c>
      <c r="B11412">
        <v>153404452.53540373</v>
      </c>
    </row>
    <row r="11413" spans="1:2" x14ac:dyDescent="0.25">
      <c r="A11413">
        <f ca="1">25009.5186239117*((RANDBETWEEN(1620,2416)))</f>
        <v>44316867.001571506</v>
      </c>
      <c r="B11413">
        <v>168438086.29890212</v>
      </c>
    </row>
    <row r="11414" spans="1:2" x14ac:dyDescent="0.25">
      <c r="A11414">
        <f ca="1">27436.5515691337*((RANDBETWEEN(1620,2416)))</f>
        <v>55037722.447682224</v>
      </c>
      <c r="B11414">
        <v>151173841.65790901</v>
      </c>
    </row>
    <row r="11415" spans="1:2" x14ac:dyDescent="0.25">
      <c r="A11415">
        <f ca="1">26581.4451821026*((RANDBETWEEN(1620,2416)))</f>
        <v>47501042.540417403</v>
      </c>
      <c r="B11415">
        <v>160943601.6092571</v>
      </c>
    </row>
    <row r="11416" spans="1:2" x14ac:dyDescent="0.25">
      <c r="A11416">
        <f ca="1">25584.646619588*((RANDBETWEEN(1620,2416)))</f>
        <v>49224860.096087292</v>
      </c>
      <c r="B11416">
        <v>146200122.02712545</v>
      </c>
    </row>
    <row r="11417" spans="1:2" x14ac:dyDescent="0.25">
      <c r="A11417">
        <f ca="1">28420.8834870523*((RANDBETWEEN(1620,2416)))</f>
        <v>50987064.975771748</v>
      </c>
      <c r="B11417">
        <v>169259544.03409225</v>
      </c>
    </row>
    <row r="11418" spans="1:2" x14ac:dyDescent="0.25">
      <c r="A11418">
        <f ca="1">31706.4454363103*((RANDBETWEEN(1620,2416)))</f>
        <v>68581041.478739277</v>
      </c>
      <c r="B11418">
        <v>197538656.36962771</v>
      </c>
    </row>
    <row r="11419" spans="1:2" x14ac:dyDescent="0.25">
      <c r="A11419">
        <f ca="1">27209.3719455397*((RANDBETWEEN(1620,2416)))</f>
        <v>57901543.500108473</v>
      </c>
      <c r="B11419">
        <v>167920622.04061669</v>
      </c>
    </row>
    <row r="11420" spans="1:2" x14ac:dyDescent="0.25">
      <c r="A11420">
        <f ca="1">31146.0616452138*((RANDBETWEEN(1620,2416)))</f>
        <v>60329921.406779081</v>
      </c>
      <c r="B11420">
        <v>186248146.02876556</v>
      </c>
    </row>
    <row r="11421" spans="1:2" x14ac:dyDescent="0.25">
      <c r="A11421">
        <f ca="1">26580.7665183409*((RANDBETWEEN(1620,2416)))</f>
        <v>46888472.138353273</v>
      </c>
      <c r="B11421">
        <v>147678430.85248363</v>
      </c>
    </row>
    <row r="11422" spans="1:2" x14ac:dyDescent="0.25">
      <c r="A11422">
        <f ca="1">26054.6352327321*((RANDBETWEEN(1620,2416)))</f>
        <v>49373533.766027324</v>
      </c>
      <c r="B11422">
        <v>170657617.68735141</v>
      </c>
    </row>
    <row r="11423" spans="1:2" x14ac:dyDescent="0.25">
      <c r="A11423">
        <f ca="1">33359.5565198486*((RANDBETWEEN(1620,2416)))</f>
        <v>79228946.734640345</v>
      </c>
      <c r="B11423">
        <v>161620959.7047323</v>
      </c>
    </row>
    <row r="11424" spans="1:2" x14ac:dyDescent="0.25">
      <c r="A11424">
        <f ca="1">27370.313891083*((RANDBETWEEN(1620,2416)))</f>
        <v>54056369.93488884</v>
      </c>
      <c r="B11424">
        <v>200410707.05222222</v>
      </c>
    </row>
    <row r="11425" spans="1:2" x14ac:dyDescent="0.25">
      <c r="A11425">
        <f ca="1">27396.3620795852*((RANDBETWEEN(1620,2416)))</f>
        <v>54436571.452135704</v>
      </c>
      <c r="B11425">
        <v>158476231.86501223</v>
      </c>
    </row>
    <row r="11426" spans="1:2" x14ac:dyDescent="0.25">
      <c r="A11426">
        <f ca="1">29019.3981500271*((RANDBETWEEN(1620,2416)))</f>
        <v>51480412.318148017</v>
      </c>
      <c r="B11426">
        <v>143344395.2330052</v>
      </c>
    </row>
    <row r="11427" spans="1:2" x14ac:dyDescent="0.25">
      <c r="A11427">
        <f ca="1">25067.141790017*((RANDBETWEEN(1620,2416)))</f>
        <v>52239923.490395367</v>
      </c>
      <c r="B11427">
        <v>151649467.10355759</v>
      </c>
    </row>
    <row r="11428" spans="1:2" x14ac:dyDescent="0.25">
      <c r="A11428">
        <f ca="1">26977.0658956883*((RANDBETWEEN(1620,2416)))</f>
        <v>58810003.6526004</v>
      </c>
      <c r="B11428">
        <v>166463671.44802189</v>
      </c>
    </row>
    <row r="11429" spans="1:2" x14ac:dyDescent="0.25">
      <c r="A11429">
        <f ca="1">28212.6453324508*((RANDBETWEEN(1620,2416)))</f>
        <v>60628974.819436856</v>
      </c>
      <c r="B11429">
        <v>148820039.26037592</v>
      </c>
    </row>
    <row r="11430" spans="1:2" x14ac:dyDescent="0.25">
      <c r="A11430">
        <f ca="1">28063.7687612656*((RANDBETWEEN(1620,2416)))</f>
        <v>51497015.676922366</v>
      </c>
      <c r="B11430">
        <v>177451718.63813317</v>
      </c>
    </row>
    <row r="11431" spans="1:2" x14ac:dyDescent="0.25">
      <c r="A11431">
        <f ca="1">27035.8376555649*((RANDBETWEEN(1620,2416)))</f>
        <v>49935192.149828292</v>
      </c>
      <c r="B11431">
        <v>189186224.78026238</v>
      </c>
    </row>
    <row r="11432" spans="1:2" x14ac:dyDescent="0.25">
      <c r="A11432">
        <f ca="1">32491.4644479902*((RANDBETWEEN(1620,2416)))</f>
        <v>55917810.314991154</v>
      </c>
      <c r="B11432">
        <v>155911999.32758009</v>
      </c>
    </row>
    <row r="11433" spans="1:2" x14ac:dyDescent="0.25">
      <c r="A11433">
        <f ca="1">27197.5200154775*((RANDBETWEEN(1620,2416)))</f>
        <v>58175495.313106433</v>
      </c>
      <c r="B11433">
        <v>196722463.52985775</v>
      </c>
    </row>
    <row r="11434" spans="1:2" x14ac:dyDescent="0.25">
      <c r="A11434">
        <f ca="1">29126.1076133482*((RANDBETWEEN(1620,2416)))</f>
        <v>68388100.676141486</v>
      </c>
      <c r="B11434">
        <v>199397817.4217509</v>
      </c>
    </row>
    <row r="11435" spans="1:2" x14ac:dyDescent="0.25">
      <c r="A11435">
        <f ca="1">25742.3681778225*((RANDBETWEEN(1620,2416)))</f>
        <v>44328358.002210341</v>
      </c>
      <c r="B11435">
        <v>152035656.69010445</v>
      </c>
    </row>
    <row r="11436" spans="1:2" x14ac:dyDescent="0.25">
      <c r="A11436">
        <f ca="1">28610.9120119641*((RANDBETWEEN(1620,2416)))</f>
        <v>65919541.275565349</v>
      </c>
      <c r="B11436">
        <v>174380232.74401587</v>
      </c>
    </row>
    <row r="11437" spans="1:2" x14ac:dyDescent="0.25">
      <c r="A11437">
        <f ca="1">25409.9259515013*((RANDBETWEEN(1620,2416)))</f>
        <v>43781302.414436728</v>
      </c>
      <c r="B11437">
        <v>158583046.81378978</v>
      </c>
    </row>
    <row r="11438" spans="1:2" x14ac:dyDescent="0.25">
      <c r="A11438">
        <f ca="1">28466.8147754522*((RANDBETWEEN(1620,2416)))</f>
        <v>66384612.056354597</v>
      </c>
      <c r="B11438">
        <v>184575999.62632763</v>
      </c>
    </row>
    <row r="11439" spans="1:2" x14ac:dyDescent="0.25">
      <c r="A11439">
        <f ca="1">25941.9272644939*((RANDBETWEEN(1620,2416)))</f>
        <v>61197006.416941218</v>
      </c>
      <c r="B11439">
        <v>161569582.80306077</v>
      </c>
    </row>
    <row r="11440" spans="1:2" x14ac:dyDescent="0.25">
      <c r="A11440">
        <f ca="1">28365.1911620257*((RANDBETWEEN(1620,2416)))</f>
        <v>54801549.325033747</v>
      </c>
      <c r="B11440">
        <v>179599351.30829248</v>
      </c>
    </row>
    <row r="11441" spans="1:2" x14ac:dyDescent="0.25">
      <c r="A11441">
        <f ca="1">27184.7875384138*((RANDBETWEEN(1620,2416)))</f>
        <v>49911269.920527808</v>
      </c>
      <c r="B11441">
        <v>173808348.96778488</v>
      </c>
    </row>
    <row r="11442" spans="1:2" x14ac:dyDescent="0.25">
      <c r="A11442">
        <f ca="1">27605.8241404366*((RANDBETWEEN(1620,2416)))</f>
        <v>60235908.274432607</v>
      </c>
      <c r="B11442">
        <v>174328456.97786874</v>
      </c>
    </row>
    <row r="11443" spans="1:2" x14ac:dyDescent="0.25">
      <c r="A11443">
        <f ca="1">26785.8356929925*((RANDBETWEEN(1620,2416)))</f>
        <v>60562774.501856022</v>
      </c>
      <c r="B11443">
        <v>154593550.81181115</v>
      </c>
    </row>
    <row r="11444" spans="1:2" x14ac:dyDescent="0.25">
      <c r="A11444">
        <f ca="1">32899.6368416303*((RANDBETWEEN(1620,2416)))</f>
        <v>68266746.446382791</v>
      </c>
      <c r="B11444">
        <v>170584306.03412622</v>
      </c>
    </row>
    <row r="11445" spans="1:2" x14ac:dyDescent="0.25">
      <c r="A11445">
        <f ca="1">26722.1535684435*((RANDBETWEEN(1620,2416)))</f>
        <v>62422950.735883929</v>
      </c>
      <c r="B11445">
        <v>150175897.69053188</v>
      </c>
    </row>
    <row r="11446" spans="1:2" x14ac:dyDescent="0.25">
      <c r="A11446">
        <f ca="1">27503.3733314328*((RANDBETWEEN(1620,2416)))</f>
        <v>50441186.689847715</v>
      </c>
      <c r="B11446">
        <v>177640488.72010988</v>
      </c>
    </row>
    <row r="11447" spans="1:2" x14ac:dyDescent="0.25">
      <c r="A11447">
        <f ca="1">26038.3684661497*((RANDBETWEEN(1620,2416)))</f>
        <v>49941590.718075134</v>
      </c>
      <c r="B11447">
        <v>198067448.69980016</v>
      </c>
    </row>
    <row r="11448" spans="1:2" x14ac:dyDescent="0.25">
      <c r="A11448">
        <f ca="1">26684.2415020242*((RANDBETWEEN(1620,2416)))</f>
        <v>43922261.512331799</v>
      </c>
      <c r="B11448">
        <v>172831027.31673431</v>
      </c>
    </row>
    <row r="11449" spans="1:2" x14ac:dyDescent="0.25">
      <c r="A11449">
        <f ca="1">26169.142878777*((RANDBETWEEN(1620,2416)))</f>
        <v>55112214.902704351</v>
      </c>
      <c r="B11449">
        <v>145666805.23368207</v>
      </c>
    </row>
    <row r="11450" spans="1:2" x14ac:dyDescent="0.25">
      <c r="A11450">
        <f ca="1">27321.0842490932*((RANDBETWEEN(1620,2416)))</f>
        <v>47183512.498184018</v>
      </c>
      <c r="B11450">
        <v>166139838.67211136</v>
      </c>
    </row>
    <row r="11451" spans="1:2" x14ac:dyDescent="0.25">
      <c r="A11451">
        <f ca="1">25209.2834931511*((RANDBETWEEN(1620,2416)))</f>
        <v>52636983.933699436</v>
      </c>
      <c r="B11451">
        <v>147779111.19965175</v>
      </c>
    </row>
    <row r="11452" spans="1:2" x14ac:dyDescent="0.25">
      <c r="A11452">
        <f ca="1">26325.7719523069*((RANDBETWEEN(1620,2416)))</f>
        <v>59575221.928070433</v>
      </c>
      <c r="B11452">
        <v>147579504.49607471</v>
      </c>
    </row>
    <row r="11453" spans="1:2" x14ac:dyDescent="0.25">
      <c r="A11453">
        <f ca="1">27319.8869276378*((RANDBETWEEN(1620,2416)))</f>
        <v>58409918.251289591</v>
      </c>
      <c r="B11453">
        <v>147653799.3762159</v>
      </c>
    </row>
    <row r="11454" spans="1:2" x14ac:dyDescent="0.25">
      <c r="A11454">
        <f ca="1">26967.7231057762*((RANDBETWEEN(1620,2416)))</f>
        <v>59194152.217178755</v>
      </c>
      <c r="B11454">
        <v>144327432.82734105</v>
      </c>
    </row>
    <row r="11455" spans="1:2" x14ac:dyDescent="0.25">
      <c r="A11455">
        <f ca="1">33074.9593223387*((RANDBETWEEN(1620,2416)))</f>
        <v>66182993.603999704</v>
      </c>
      <c r="B11455">
        <v>190144105.40812939</v>
      </c>
    </row>
    <row r="11456" spans="1:2" x14ac:dyDescent="0.25">
      <c r="A11456">
        <f ca="1">27537.8341276426*((RANDBETWEEN(1620,2416)))</f>
        <v>51275447.145670451</v>
      </c>
      <c r="B11456">
        <v>159236188.75404555</v>
      </c>
    </row>
    <row r="11457" spans="1:2" x14ac:dyDescent="0.25">
      <c r="A11457">
        <f ca="1">29373.9569333535*((RANDBETWEEN(1620,2416)))</f>
        <v>60804090.852041736</v>
      </c>
      <c r="B11457">
        <v>185541005.52130404</v>
      </c>
    </row>
    <row r="11458" spans="1:2" x14ac:dyDescent="0.25">
      <c r="A11458">
        <f ca="1">25268.2210004024*((RANDBETWEEN(1620,2416)))</f>
        <v>57561007.438916728</v>
      </c>
      <c r="B11458">
        <v>154535604.11503682</v>
      </c>
    </row>
    <row r="11459" spans="1:2" x14ac:dyDescent="0.25">
      <c r="A11459">
        <f ca="1">26364.4247961716*((RANDBETWEEN(1620,2416)))</f>
        <v>47798702.15545918</v>
      </c>
      <c r="B11459">
        <v>177046292.04754177</v>
      </c>
    </row>
    <row r="11460" spans="1:2" x14ac:dyDescent="0.25">
      <c r="A11460">
        <f ca="1">26920.0851579189*((RANDBETWEEN(1620,2416)))</f>
        <v>64419763.782899812</v>
      </c>
      <c r="B11460">
        <v>144313024.82342184</v>
      </c>
    </row>
    <row r="11461" spans="1:2" x14ac:dyDescent="0.25">
      <c r="A11461">
        <f ca="1">30441.2244943497*((RANDBETWEEN(1620,2416)))</f>
        <v>53576555.110055543</v>
      </c>
      <c r="B11461">
        <v>168116143.28041887</v>
      </c>
    </row>
    <row r="11462" spans="1:2" x14ac:dyDescent="0.25">
      <c r="A11462">
        <f ca="1">26621.5622866616*((RANDBETWEEN(1620,2416)))</f>
        <v>60138109.205568634</v>
      </c>
      <c r="B11462">
        <v>145222487.40219235</v>
      </c>
    </row>
    <row r="11463" spans="1:2" x14ac:dyDescent="0.25">
      <c r="A11463">
        <f ca="1">25913.7570641343*((RANDBETWEEN(1620,2416)))</f>
        <v>50868705.116895676</v>
      </c>
      <c r="B11463">
        <v>147803823.55456656</v>
      </c>
    </row>
    <row r="11464" spans="1:2" x14ac:dyDescent="0.25">
      <c r="A11464">
        <f ca="1">28149.2795447205*((RANDBETWEEN(1620,2416)))</f>
        <v>61196533.730222315</v>
      </c>
      <c r="B11464">
        <v>178211392.43324381</v>
      </c>
    </row>
    <row r="11465" spans="1:2" x14ac:dyDescent="0.25">
      <c r="A11465">
        <f ca="1">27634.7518265457*((RANDBETWEEN(1620,2416)))</f>
        <v>47089617.112433873</v>
      </c>
      <c r="B11465">
        <v>189886718.94608021</v>
      </c>
    </row>
    <row r="11466" spans="1:2" x14ac:dyDescent="0.25">
      <c r="A11466">
        <f ca="1">25125.4759397174*((RANDBETWEEN(1620,2416)))</f>
        <v>60250891.303442389</v>
      </c>
      <c r="B11466">
        <v>151713426.07482237</v>
      </c>
    </row>
    <row r="11467" spans="1:2" x14ac:dyDescent="0.25">
      <c r="A11467">
        <f ca="1">30345.2433572917*((RANDBETWEEN(1620,2416)))</f>
        <v>58293212.489357412</v>
      </c>
      <c r="B11467">
        <v>196629153.10700887</v>
      </c>
    </row>
    <row r="11468" spans="1:2" x14ac:dyDescent="0.25">
      <c r="A11468">
        <f ca="1">29653.8977765913*((RANDBETWEEN(1620,2416)))</f>
        <v>50589549.606864706</v>
      </c>
      <c r="B11468">
        <v>191374417.08693412</v>
      </c>
    </row>
    <row r="11469" spans="1:2" x14ac:dyDescent="0.25">
      <c r="A11469">
        <f ca="1">27125.9967400864*((RANDBETWEEN(1620,2416)))</f>
        <v>50128841.975679696</v>
      </c>
      <c r="B11469">
        <v>169473280.59498441</v>
      </c>
    </row>
    <row r="11470" spans="1:2" x14ac:dyDescent="0.25">
      <c r="A11470">
        <f ca="1">29278.0570444957*((RANDBETWEEN(1620,2416)))</f>
        <v>66226965.03464929</v>
      </c>
      <c r="B11470">
        <v>185947135.26085395</v>
      </c>
    </row>
    <row r="11471" spans="1:2" x14ac:dyDescent="0.25">
      <c r="A11471">
        <f ca="1">26253.1670156511*((RANDBETWEEN(1620,2416)))</f>
        <v>54475321.557475962</v>
      </c>
      <c r="B11471">
        <v>161366867.95397177</v>
      </c>
    </row>
    <row r="11472" spans="1:2" x14ac:dyDescent="0.25">
      <c r="A11472">
        <f ca="1">30554.8319458195*((RANDBETWEEN(1620,2416)))</f>
        <v>56159781.116416179</v>
      </c>
      <c r="B11472">
        <v>146438680.78157926</v>
      </c>
    </row>
    <row r="11473" spans="1:2" x14ac:dyDescent="0.25">
      <c r="A11473">
        <f ca="1">29888.0214485335*((RANDBETWEEN(1620,2416)))</f>
        <v>71850803.56227462</v>
      </c>
      <c r="B11473">
        <v>199894826.55380693</v>
      </c>
    </row>
    <row r="11474" spans="1:2" x14ac:dyDescent="0.25">
      <c r="A11474">
        <f ca="1">27382.1524065184*((RANDBETWEEN(1620,2416)))</f>
        <v>61555078.609853268</v>
      </c>
      <c r="B11474">
        <v>145595446.44511729</v>
      </c>
    </row>
    <row r="11475" spans="1:2" x14ac:dyDescent="0.25">
      <c r="A11475">
        <f ca="1">29447.5930099254*((RANDBETWEEN(1620,2416)))</f>
        <v>56833854.509156011</v>
      </c>
      <c r="B11475">
        <v>202094688.72035146</v>
      </c>
    </row>
    <row r="11476" spans="1:2" x14ac:dyDescent="0.25">
      <c r="A11476">
        <f ca="1">29915.4392531162*((RANDBETWEEN(1620,2416)))</f>
        <v>70869675.590632349</v>
      </c>
      <c r="B11476">
        <v>179608243.59901243</v>
      </c>
    </row>
    <row r="11477" spans="1:2" x14ac:dyDescent="0.25">
      <c r="A11477">
        <f ca="1">30599.893423844*((RANDBETWEEN(1620,2416)))</f>
        <v>52387017.541621014</v>
      </c>
      <c r="B11477">
        <v>202523346.49520415</v>
      </c>
    </row>
    <row r="11478" spans="1:2" x14ac:dyDescent="0.25">
      <c r="A11478">
        <f ca="1">29007.0831394092*((RANDBETWEEN(1620,2416)))</f>
        <v>58768350.440443024</v>
      </c>
      <c r="B11478">
        <v>177835064.15465242</v>
      </c>
    </row>
    <row r="11479" spans="1:2" x14ac:dyDescent="0.25">
      <c r="A11479">
        <f ca="1">24328.0360110448*((RANDBETWEEN(1620,2416)))</f>
        <v>54884049.240917034</v>
      </c>
      <c r="B11479">
        <v>159061020.59235114</v>
      </c>
    </row>
    <row r="11480" spans="1:2" x14ac:dyDescent="0.25">
      <c r="A11480">
        <f ca="1">28846.416506534*((RANDBETWEEN(1620,2416)))</f>
        <v>68221775.037953004</v>
      </c>
      <c r="B11480">
        <v>165260965.99624717</v>
      </c>
    </row>
    <row r="11481" spans="1:2" x14ac:dyDescent="0.25">
      <c r="A11481">
        <f ca="1">26793.3546683572*((RANDBETWEEN(1620,2416)))</f>
        <v>52943668.824673854</v>
      </c>
      <c r="B11481">
        <v>150268783.18366432</v>
      </c>
    </row>
    <row r="11482" spans="1:2" x14ac:dyDescent="0.25">
      <c r="A11482">
        <f ca="1">27182.4184074631*((RANDBETWEEN(1620,2416)))</f>
        <v>54935667.601482861</v>
      </c>
      <c r="B11482">
        <v>174823587.00381729</v>
      </c>
    </row>
    <row r="11483" spans="1:2" x14ac:dyDescent="0.25">
      <c r="A11483">
        <f ca="1">25634.8300555463*((RANDBETWEEN(1620,2416)))</f>
        <v>58678125.997145548</v>
      </c>
      <c r="B11483">
        <v>194751340.05508974</v>
      </c>
    </row>
    <row r="11484" spans="1:2" x14ac:dyDescent="0.25">
      <c r="A11484">
        <f ca="1">25581.2063941588*((RANDBETWEEN(1620,2416)))</f>
        <v>45483384.968814284</v>
      </c>
      <c r="B11484">
        <v>148108182.1112909</v>
      </c>
    </row>
    <row r="11485" spans="1:2" x14ac:dyDescent="0.25">
      <c r="A11485">
        <f ca="1">32046.3518178863*((RANDBETWEEN(1620,2416)))</f>
        <v>66143670.152117223</v>
      </c>
      <c r="B11485">
        <v>180591881.33302081</v>
      </c>
    </row>
    <row r="11486" spans="1:2" x14ac:dyDescent="0.25">
      <c r="A11486">
        <f ca="1">26911.8962352282*((RANDBETWEEN(1620,2416)))</f>
        <v>53312466.441987105</v>
      </c>
      <c r="B11486">
        <v>193022156.49530652</v>
      </c>
    </row>
    <row r="11487" spans="1:2" x14ac:dyDescent="0.25">
      <c r="A11487">
        <f ca="1">26873.4826945212*((RANDBETWEEN(1620,2416)))</f>
        <v>61352160.991591863</v>
      </c>
      <c r="B11487">
        <v>154630040.93414438</v>
      </c>
    </row>
    <row r="11488" spans="1:2" x14ac:dyDescent="0.25">
      <c r="A11488">
        <f ca="1">27193.0154713481*((RANDBETWEEN(1620,2416)))</f>
        <v>49355323.080496773</v>
      </c>
      <c r="B11488">
        <v>193747858.33910662</v>
      </c>
    </row>
    <row r="11489" spans="1:2" x14ac:dyDescent="0.25">
      <c r="A11489">
        <f ca="1">30574.9965525673*((RANDBETWEEN(1620,2416)))</f>
        <v>54912693.808410838</v>
      </c>
      <c r="B11489">
        <v>179880199.00998902</v>
      </c>
    </row>
    <row r="11490" spans="1:2" x14ac:dyDescent="0.25">
      <c r="A11490">
        <f ca="1">25748.508896949*((RANDBETWEEN(1620,2416)))</f>
        <v>62182648.986131765</v>
      </c>
      <c r="B11490">
        <v>167214468.57674718</v>
      </c>
    </row>
    <row r="11491" spans="1:2" x14ac:dyDescent="0.25">
      <c r="A11491">
        <f ca="1">26223.2834607036*((RANDBETWEEN(1620,2416)))</f>
        <v>59762863.006943583</v>
      </c>
      <c r="B11491">
        <v>143236994.09494472</v>
      </c>
    </row>
    <row r="11492" spans="1:2" x14ac:dyDescent="0.25">
      <c r="A11492">
        <f ca="1">25596.1031805927*((RANDBETWEEN(1620,2416)))</f>
        <v>61379455.427061364</v>
      </c>
      <c r="B11492">
        <v>154589850.45492342</v>
      </c>
    </row>
    <row r="11493" spans="1:2" x14ac:dyDescent="0.25">
      <c r="A11493">
        <f ca="1">27483.2316005425*((RANDBETWEEN(1620,2416)))</f>
        <v>53372435.768253446</v>
      </c>
      <c r="B11493">
        <v>145857672.18655193</v>
      </c>
    </row>
    <row r="11494" spans="1:2" x14ac:dyDescent="0.25">
      <c r="A11494">
        <f ca="1">25942.0261920484*((RANDBETWEEN(1620,2416)))</f>
        <v>54270718.793765247</v>
      </c>
      <c r="B11494">
        <v>170663374.60430416</v>
      </c>
    </row>
    <row r="11495" spans="1:2" x14ac:dyDescent="0.25">
      <c r="A11495">
        <f ca="1">29214.1672773257*((RANDBETWEEN(1620,2416)))</f>
        <v>57493481.201777026</v>
      </c>
      <c r="B11495">
        <v>189041626.24019784</v>
      </c>
    </row>
    <row r="11496" spans="1:2" x14ac:dyDescent="0.25">
      <c r="A11496">
        <f ca="1">28321.7603517994*((RANDBETWEEN(1620,2416)))</f>
        <v>53414840.02349361</v>
      </c>
      <c r="B11496">
        <v>150555101.11545509</v>
      </c>
    </row>
    <row r="11497" spans="1:2" x14ac:dyDescent="0.25">
      <c r="A11497">
        <f ca="1">31340.2605735712*((RANDBETWEEN(1620,2416)))</f>
        <v>66347331.634250179</v>
      </c>
      <c r="B11497">
        <v>148710525.08205882</v>
      </c>
    </row>
    <row r="11498" spans="1:2" x14ac:dyDescent="0.25">
      <c r="A11498">
        <f ca="1">26881.3898854171*((RANDBETWEEN(1620,2416)))</f>
        <v>57768106.863761328</v>
      </c>
      <c r="B11498">
        <v>176081920.99169165</v>
      </c>
    </row>
    <row r="11499" spans="1:2" x14ac:dyDescent="0.25">
      <c r="A11499">
        <f ca="1">26626.0232117843*((RANDBETWEEN(1620,2416)))</f>
        <v>62251642.269151628</v>
      </c>
      <c r="B11499">
        <v>148311966.199687</v>
      </c>
    </row>
    <row r="11500" spans="1:2" x14ac:dyDescent="0.25">
      <c r="A11500">
        <f ca="1">26447.431199614*((RANDBETWEEN(1620,2416)))</f>
        <v>59295140.749534667</v>
      </c>
      <c r="B11500">
        <v>196631985.6683895</v>
      </c>
    </row>
    <row r="11501" spans="1:2" x14ac:dyDescent="0.25">
      <c r="A11501">
        <f ca="1">26991.3674226571*((RANDBETWEEN(1620,2416)))</f>
        <v>44859652.65645615</v>
      </c>
      <c r="B11501">
        <v>148572894.92308161</v>
      </c>
    </row>
    <row r="11502" spans="1:2" x14ac:dyDescent="0.25">
      <c r="A11502">
        <f ca="1">32726.0765024284*((RANDBETWEEN(1620,2416)))</f>
        <v>58186964.021317668</v>
      </c>
      <c r="B11502">
        <v>158164947.11640283</v>
      </c>
    </row>
    <row r="11503" spans="1:2" x14ac:dyDescent="0.25">
      <c r="A11503">
        <f ca="1">32498.233582218*((RANDBETWEEN(1620,2416)))</f>
        <v>61194173.835316427</v>
      </c>
      <c r="B11503">
        <v>185802338.08440235</v>
      </c>
    </row>
    <row r="11504" spans="1:2" x14ac:dyDescent="0.25">
      <c r="A11504">
        <f ca="1">25960.0775457358*((RANDBETWEEN(1620,2416)))</f>
        <v>42626447.330098242</v>
      </c>
      <c r="B11504">
        <v>152576523.04511327</v>
      </c>
    </row>
    <row r="11505" spans="1:2" x14ac:dyDescent="0.25">
      <c r="A11505">
        <f ca="1">27091.3770208885*((RANDBETWEEN(1620,2416)))</f>
        <v>64016923.900359467</v>
      </c>
      <c r="B11505">
        <v>154860921.62525779</v>
      </c>
    </row>
    <row r="11506" spans="1:2" x14ac:dyDescent="0.25">
      <c r="A11506">
        <f ca="1">31484.1729877549*((RANDBETWEEN(1620,2416)))</f>
        <v>65896374.063371003</v>
      </c>
      <c r="B11506">
        <v>186606153.04828262</v>
      </c>
    </row>
    <row r="11507" spans="1:2" x14ac:dyDescent="0.25">
      <c r="A11507">
        <f ca="1">30432.7323986339*((RANDBETWEEN(1620,2416)))</f>
        <v>61778446.769226916</v>
      </c>
      <c r="B11507">
        <v>203018525.41141325</v>
      </c>
    </row>
    <row r="11508" spans="1:2" x14ac:dyDescent="0.25">
      <c r="A11508">
        <f ca="1">27991.7805182181*((RANDBETWEEN(1620,2416)))</f>
        <v>66536462.291804455</v>
      </c>
      <c r="B11508">
        <v>183110911.40533575</v>
      </c>
    </row>
    <row r="11509" spans="1:2" x14ac:dyDescent="0.25">
      <c r="A11509">
        <f ca="1">26612.8785449758*((RANDBETWEEN(1620,2416)))</f>
        <v>56605592.665163577</v>
      </c>
      <c r="B11509">
        <v>163590972.41184089</v>
      </c>
    </row>
    <row r="11510" spans="1:2" x14ac:dyDescent="0.25">
      <c r="A11510">
        <f ca="1">25727.5559920425*((RANDBETWEEN(1620,2416)))</f>
        <v>49525545.284681782</v>
      </c>
      <c r="B11510">
        <v>149772357.11198077</v>
      </c>
    </row>
    <row r="11511" spans="1:2" x14ac:dyDescent="0.25">
      <c r="A11511">
        <f ca="1">27206.6826791214*((RANDBETWEEN(1620,2416)))</f>
        <v>46414600.650581054</v>
      </c>
      <c r="B11511">
        <v>150412868.42849723</v>
      </c>
    </row>
    <row r="11512" spans="1:2" x14ac:dyDescent="0.25">
      <c r="A11512">
        <f ca="1">30941.0838502332*((RANDBETWEEN(1620,2416)))</f>
        <v>60304172.424104415</v>
      </c>
      <c r="B11512">
        <v>162948232.96336457</v>
      </c>
    </row>
    <row r="11513" spans="1:2" x14ac:dyDescent="0.25">
      <c r="A11513">
        <f ca="1">27699.1757445859*((RANDBETWEEN(1620,2416)))</f>
        <v>60411902.298941903</v>
      </c>
      <c r="B11513">
        <v>196719260.59967491</v>
      </c>
    </row>
    <row r="11514" spans="1:2" x14ac:dyDescent="0.25">
      <c r="A11514">
        <f ca="1">26451.3312472723*((RANDBETWEEN(1620,2416)))</f>
        <v>47612396.245090067</v>
      </c>
      <c r="B11514">
        <v>178833542.66262701</v>
      </c>
    </row>
    <row r="11515" spans="1:2" x14ac:dyDescent="0.25">
      <c r="A11515">
        <f ca="1">30755.4279254502*((RANDBETWEEN(1620,2416)))</f>
        <v>57235851.369262733</v>
      </c>
      <c r="B11515">
        <v>161860608.16206557</v>
      </c>
    </row>
    <row r="11516" spans="1:2" x14ac:dyDescent="0.25">
      <c r="A11516">
        <f ca="1">27828.1767894313*((RANDBETWEEN(1620,2416)))</f>
        <v>46806993.359823518</v>
      </c>
      <c r="B11516">
        <v>146855008.11285377</v>
      </c>
    </row>
    <row r="11517" spans="1:2" x14ac:dyDescent="0.25">
      <c r="A11517">
        <f ca="1">25810.7440725951*((RANDBETWEEN(1620,2416)))</f>
        <v>48472577.368333526</v>
      </c>
      <c r="B11517">
        <v>173530960.56852365</v>
      </c>
    </row>
    <row r="11518" spans="1:2" x14ac:dyDescent="0.25">
      <c r="A11518">
        <f ca="1">29534.9109986909*((RANDBETWEEN(1620,2416)))</f>
        <v>48909812.613832131</v>
      </c>
      <c r="B11518">
        <v>194450277.64619395</v>
      </c>
    </row>
    <row r="11519" spans="1:2" x14ac:dyDescent="0.25">
      <c r="A11519">
        <f ca="1">28935.7087880998*((RANDBETWEEN(1620,2416)))</f>
        <v>69185279.712346733</v>
      </c>
      <c r="B11519">
        <v>161071033.57541019</v>
      </c>
    </row>
    <row r="11520" spans="1:2" x14ac:dyDescent="0.25">
      <c r="A11520">
        <f ca="1">28717.276725659*((RANDBETWEEN(1620,2416)))</f>
        <v>61139082.148928039</v>
      </c>
      <c r="B11520">
        <v>169351162.68754494</v>
      </c>
    </row>
    <row r="11521" spans="1:2" x14ac:dyDescent="0.25">
      <c r="A11521">
        <f ca="1">32848.4627887835*((RANDBETWEEN(1620,2416)))</f>
        <v>70591346.533095717</v>
      </c>
      <c r="B11521">
        <v>182743892.10955182</v>
      </c>
    </row>
    <row r="11522" spans="1:2" x14ac:dyDescent="0.25">
      <c r="A11522">
        <f ca="1">28648.224534063*((RANDBETWEEN(1620,2416)))</f>
        <v>63828244.261892289</v>
      </c>
      <c r="B11522">
        <v>195631617.487526</v>
      </c>
    </row>
    <row r="11523" spans="1:2" x14ac:dyDescent="0.25">
      <c r="A11523">
        <f ca="1">31942.4585576669*((RANDBETWEEN(1620,2416)))</f>
        <v>73946791.560998961</v>
      </c>
      <c r="B11523">
        <v>197016149.93693635</v>
      </c>
    </row>
    <row r="11524" spans="1:2" x14ac:dyDescent="0.25">
      <c r="A11524">
        <f ca="1">26533.5392626312*((RANDBETWEEN(1620,2416)))</f>
        <v>54473356.10618189</v>
      </c>
      <c r="B11524">
        <v>145218550.25401384</v>
      </c>
    </row>
    <row r="11525" spans="1:2" x14ac:dyDescent="0.25">
      <c r="A11525">
        <f ca="1">27952.9019532218*((RANDBETWEEN(1620,2416)))</f>
        <v>62195206.84591841</v>
      </c>
      <c r="B11525">
        <v>170240109.75916594</v>
      </c>
    </row>
    <row r="11526" spans="1:2" x14ac:dyDescent="0.25">
      <c r="A11526">
        <f ca="1">31605.4416301545*((RANDBETWEEN(1620,2416)))</f>
        <v>66971930.814297445</v>
      </c>
      <c r="B11526">
        <v>195013609.07486024</v>
      </c>
    </row>
    <row r="11527" spans="1:2" x14ac:dyDescent="0.25">
      <c r="A11527">
        <f ca="1">31620.3310511021*((RANDBETWEEN(1620,2416)))</f>
        <v>75256387.901622996</v>
      </c>
      <c r="B11527">
        <v>166122905.84592286</v>
      </c>
    </row>
    <row r="11528" spans="1:2" x14ac:dyDescent="0.25">
      <c r="A11528">
        <f ca="1">30439.36200708*((RANDBETWEEN(1620,2416)))</f>
        <v>50377144.121717475</v>
      </c>
      <c r="B11528">
        <v>200632429.63027588</v>
      </c>
    </row>
    <row r="11529" spans="1:2" x14ac:dyDescent="0.25">
      <c r="A11529">
        <f ca="1">27408.6646618222*((RANDBETWEEN(1620,2416)))</f>
        <v>52103871.522124082</v>
      </c>
      <c r="B11529">
        <v>153043806.45421869</v>
      </c>
    </row>
    <row r="11530" spans="1:2" x14ac:dyDescent="0.25">
      <c r="A11530">
        <f ca="1">27602.4538191035*((RANDBETWEEN(1620,2416)))</f>
        <v>55756956.714589074</v>
      </c>
      <c r="B11530">
        <v>188077931.22972107</v>
      </c>
    </row>
    <row r="11531" spans="1:2" x14ac:dyDescent="0.25">
      <c r="A11531">
        <f ca="1">27922.6344550086*((RANDBETWEEN(1620,2416)))</f>
        <v>63523993.385144539</v>
      </c>
      <c r="B11531">
        <v>151327707.54882559</v>
      </c>
    </row>
    <row r="11532" spans="1:2" x14ac:dyDescent="0.25">
      <c r="A11532">
        <f ca="1">28155.6664335032*((RANDBETWEEN(1620,2416)))</f>
        <v>57381248.191479526</v>
      </c>
      <c r="B11532">
        <v>171913904.57158107</v>
      </c>
    </row>
    <row r="11533" spans="1:2" x14ac:dyDescent="0.25">
      <c r="A11533">
        <f ca="1">27813.420345836*((RANDBETWEEN(1620,2416)))</f>
        <v>56934071.44792638</v>
      </c>
      <c r="B11533">
        <v>173076209.98962718</v>
      </c>
    </row>
    <row r="11534" spans="1:2" x14ac:dyDescent="0.25">
      <c r="A11534">
        <f ca="1">27508.5317088796*((RANDBETWEEN(1620,2416)))</f>
        <v>46104299.144082151</v>
      </c>
      <c r="B11534">
        <v>165955214.03567219</v>
      </c>
    </row>
    <row r="11535" spans="1:2" x14ac:dyDescent="0.25">
      <c r="A11535">
        <f ca="1">28136.9553625007*((RANDBETWEEN(1620,2416)))</f>
        <v>61788753.976051494</v>
      </c>
      <c r="B11535">
        <v>163550467.28482789</v>
      </c>
    </row>
    <row r="11536" spans="1:2" x14ac:dyDescent="0.25">
      <c r="A11536">
        <f ca="1">28073.5814874675*((RANDBETWEEN(1620,2416)))</f>
        <v>65158782.632411964</v>
      </c>
      <c r="B11536">
        <v>185151148.04182872</v>
      </c>
    </row>
    <row r="11537" spans="1:2" x14ac:dyDescent="0.25">
      <c r="A11537">
        <f ca="1">26766.3176568035*((RANDBETWEEN(1620,2416)))</f>
        <v>53345271.090009421</v>
      </c>
      <c r="B11537">
        <v>168885795.59817386</v>
      </c>
    </row>
    <row r="11538" spans="1:2" x14ac:dyDescent="0.25">
      <c r="A11538">
        <f ca="1">28934.238414164*((RANDBETWEEN(1620,2416)))</f>
        <v>49622218.880291268</v>
      </c>
      <c r="B11538">
        <v>182907404.69549462</v>
      </c>
    </row>
    <row r="11539" spans="1:2" x14ac:dyDescent="0.25">
      <c r="A11539">
        <f ca="1">27421.5735897496*((RANDBETWEEN(1620,2416)))</f>
        <v>54733460.885140277</v>
      </c>
      <c r="B11539">
        <v>164297596.17595699</v>
      </c>
    </row>
    <row r="11540" spans="1:2" x14ac:dyDescent="0.25">
      <c r="A11540">
        <f ca="1">27275.3864701985*((RANDBETWEEN(1620,2416)))</f>
        <v>55478136.080383822</v>
      </c>
      <c r="B11540">
        <v>175680084.41079289</v>
      </c>
    </row>
    <row r="11541" spans="1:2" x14ac:dyDescent="0.25">
      <c r="A11541">
        <f ca="1">31244.9041825835*((RANDBETWEEN(1620,2416)))</f>
        <v>58615440.246526681</v>
      </c>
      <c r="B11541">
        <v>198658175.19625533</v>
      </c>
    </row>
    <row r="11542" spans="1:2" x14ac:dyDescent="0.25">
      <c r="A11542">
        <f ca="1">28188.9515708611*((RANDBETWEEN(1620,2416)))</f>
        <v>56744359.512143381</v>
      </c>
      <c r="B11542">
        <v>147459138.21706575</v>
      </c>
    </row>
    <row r="11543" spans="1:2" x14ac:dyDescent="0.25">
      <c r="A11543">
        <f ca="1">30232.0191709367*((RANDBETWEEN(1620,2416)))</f>
        <v>72677774.086931705</v>
      </c>
      <c r="B11543">
        <v>191539206.67984048</v>
      </c>
    </row>
    <row r="11544" spans="1:2" x14ac:dyDescent="0.25">
      <c r="A11544">
        <f ca="1">26203.8787463288*((RANDBETWEEN(1620,2416)))</f>
        <v>52040903.190208919</v>
      </c>
      <c r="B11544">
        <v>155223144.29225636</v>
      </c>
    </row>
    <row r="11545" spans="1:2" x14ac:dyDescent="0.25">
      <c r="A11545">
        <f ca="1">26635.2261515508*((RANDBETWEEN(1620,2416)))</f>
        <v>48609287.72658024</v>
      </c>
      <c r="B11545">
        <v>150870753.68566996</v>
      </c>
    </row>
    <row r="11546" spans="1:2" x14ac:dyDescent="0.25">
      <c r="A11546">
        <f ca="1">28046.0020657111*((RANDBETWEEN(1620,2416)))</f>
        <v>67226266.95150958</v>
      </c>
      <c r="B11546">
        <v>155759196.3809467</v>
      </c>
    </row>
    <row r="11547" spans="1:2" x14ac:dyDescent="0.25">
      <c r="A11547">
        <f ca="1">25428.8748095764*((RANDBETWEEN(1620,2416)))</f>
        <v>43127371.677041575</v>
      </c>
      <c r="B11547">
        <v>160491744.39135581</v>
      </c>
    </row>
    <row r="11548" spans="1:2" x14ac:dyDescent="0.25">
      <c r="A11548">
        <f ca="1">29468.2747531619*((RANDBETWEEN(1620,2416)))</f>
        <v>49447765.035805695</v>
      </c>
      <c r="B11548">
        <v>195874449.19544074</v>
      </c>
    </row>
    <row r="11549" spans="1:2" x14ac:dyDescent="0.25">
      <c r="A11549">
        <f ca="1">26875.5803795869*((RANDBETWEEN(1620,2416)))</f>
        <v>57137483.88700185</v>
      </c>
      <c r="B11549">
        <v>151501750.93090209</v>
      </c>
    </row>
    <row r="11550" spans="1:2" x14ac:dyDescent="0.25">
      <c r="A11550">
        <f ca="1">30197.0272147184*((RANDBETWEEN(1620,2416)))</f>
        <v>59125779.286418721</v>
      </c>
      <c r="B11550">
        <v>187530075.79301822</v>
      </c>
    </row>
    <row r="11551" spans="1:2" x14ac:dyDescent="0.25">
      <c r="A11551">
        <f ca="1">27449.7979892556*((RANDBETWEEN(1620,2416)))</f>
        <v>60526804.566308662</v>
      </c>
      <c r="B11551">
        <v>144608845.32805696</v>
      </c>
    </row>
    <row r="11552" spans="1:2" x14ac:dyDescent="0.25">
      <c r="A11552">
        <f ca="1">27698.3100148046*((RANDBETWEEN(1620,2416)))</f>
        <v>60216125.972185224</v>
      </c>
      <c r="B11552">
        <v>166215923.25994682</v>
      </c>
    </row>
    <row r="11553" spans="1:2" x14ac:dyDescent="0.25">
      <c r="A11553">
        <f ca="1">29957.4714732067*((RANDBETWEEN(1620,2416)))</f>
        <v>65127542.982751362</v>
      </c>
      <c r="B11553">
        <v>155681926.74511725</v>
      </c>
    </row>
    <row r="11554" spans="1:2" x14ac:dyDescent="0.25">
      <c r="A11554">
        <f ca="1">26539.3764797846*((RANDBETWEEN(1620,2416)))</f>
        <v>63482188.539644778</v>
      </c>
      <c r="B11554">
        <v>151547620.53404829</v>
      </c>
    </row>
    <row r="11555" spans="1:2" x14ac:dyDescent="0.25">
      <c r="A11555">
        <f ca="1">30046.2388886911*((RANDBETWEEN(1620,2416)))</f>
        <v>56757345.260737523</v>
      </c>
      <c r="B11555">
        <v>155426572.51368999</v>
      </c>
    </row>
    <row r="11556" spans="1:2" x14ac:dyDescent="0.25">
      <c r="A11556">
        <f ca="1">32502.0597103717*((RANDBETWEEN(1620,2416)))</f>
        <v>76217330.020821542</v>
      </c>
      <c r="B11556">
        <v>197452401.64174205</v>
      </c>
    </row>
    <row r="11557" spans="1:2" x14ac:dyDescent="0.25">
      <c r="A11557">
        <f ca="1">25403.791060145*((RANDBETWEEN(1620,2416)))</f>
        <v>43491290.29496824</v>
      </c>
      <c r="B11557">
        <v>148410322.88834506</v>
      </c>
    </row>
    <row r="11558" spans="1:2" x14ac:dyDescent="0.25">
      <c r="A11558">
        <f ca="1">29314.1185778605*((RANDBETWEEN(1620,2416)))</f>
        <v>63611637.313957356</v>
      </c>
      <c r="B11558">
        <v>199845025.02035585</v>
      </c>
    </row>
    <row r="11559" spans="1:2" x14ac:dyDescent="0.25">
      <c r="A11559">
        <f ca="1">25589.4013297176*((RANDBETWEEN(1620,2416)))</f>
        <v>59469768.690263689</v>
      </c>
      <c r="B11559">
        <v>147077394.95983002</v>
      </c>
    </row>
    <row r="11560" spans="1:2" x14ac:dyDescent="0.25">
      <c r="A11560">
        <f ca="1">31281.6108080023*((RANDBETWEEN(1620,2416)))</f>
        <v>59935566.308132425</v>
      </c>
      <c r="B11560">
        <v>167553530.02944088</v>
      </c>
    </row>
    <row r="11561" spans="1:2" x14ac:dyDescent="0.25">
      <c r="A11561">
        <f ca="1">29863.9766856157*((RANDBETWEEN(1620,2416)))</f>
        <v>62714351.039792977</v>
      </c>
      <c r="B11561">
        <v>152617645.57774132</v>
      </c>
    </row>
    <row r="11562" spans="1:2" x14ac:dyDescent="0.25">
      <c r="A11562">
        <f ca="1">27951.1701622098*((RANDBETWEEN(1620,2416)))</f>
        <v>50871129.695221871</v>
      </c>
      <c r="B11562">
        <v>159765997.57797575</v>
      </c>
    </row>
    <row r="11563" spans="1:2" x14ac:dyDescent="0.25">
      <c r="A11563">
        <f ca="1">27251.095582636*((RANDBETWEEN(1620,2416)))</f>
        <v>52649116.665652692</v>
      </c>
      <c r="B11563">
        <v>144061957.12268099</v>
      </c>
    </row>
    <row r="11564" spans="1:2" x14ac:dyDescent="0.25">
      <c r="A11564">
        <f ca="1">30658.5466276209*((RANDBETWEEN(1620,2416)))</f>
        <v>70514657.243528157</v>
      </c>
      <c r="B11564">
        <v>144628760.38436705</v>
      </c>
    </row>
    <row r="11565" spans="1:2" x14ac:dyDescent="0.25">
      <c r="A11565">
        <f ca="1">27629.0685457004*((RANDBETWEEN(1620,2416)))</f>
        <v>57606607.91778525</v>
      </c>
      <c r="B11565">
        <v>170663737.94180408</v>
      </c>
    </row>
    <row r="11566" spans="1:2" x14ac:dyDescent="0.25">
      <c r="A11566">
        <f ca="1">26532.8326698014*((RANDBETWEEN(1620,2416)))</f>
        <v>52773804.180235021</v>
      </c>
      <c r="B11566">
        <v>149664580.02182204</v>
      </c>
    </row>
    <row r="11567" spans="1:2" x14ac:dyDescent="0.25">
      <c r="A11567">
        <f ca="1">26650.5660214264*((RANDBETWEEN(1620,2416)))</f>
        <v>56685753.927573964</v>
      </c>
      <c r="B11567">
        <v>160491110.97315252</v>
      </c>
    </row>
    <row r="11568" spans="1:2" x14ac:dyDescent="0.25">
      <c r="A11568">
        <f ca="1">30783.0543788683*((RANDBETWEEN(1620,2416)))</f>
        <v>54024260.434913881</v>
      </c>
      <c r="B11568">
        <v>194382495.14507312</v>
      </c>
    </row>
    <row r="11569" spans="1:2" x14ac:dyDescent="0.25">
      <c r="A11569">
        <f ca="1">31259.6696453144*((RANDBETWEEN(1620,2416)))</f>
        <v>69584024.630469799</v>
      </c>
      <c r="B11569">
        <v>180836446.08643222</v>
      </c>
    </row>
    <row r="11570" spans="1:2" x14ac:dyDescent="0.25">
      <c r="A11570">
        <f ca="1">26817.2356548885*((RANDBETWEEN(1620,2416)))</f>
        <v>56235743.168301091</v>
      </c>
      <c r="B11570">
        <v>158042234.96198058</v>
      </c>
    </row>
    <row r="11571" spans="1:2" x14ac:dyDescent="0.25">
      <c r="A11571">
        <f ca="1">31167.5982446784*((RANDBETWEEN(1620,2416)))</f>
        <v>70345269.238239229</v>
      </c>
      <c r="B11571">
        <v>187417144.45445588</v>
      </c>
    </row>
    <row r="11572" spans="1:2" x14ac:dyDescent="0.25">
      <c r="A11572">
        <f ca="1">27409.8017341339*((RANDBETWEEN(1620,2416)))</f>
        <v>47720464.819127105</v>
      </c>
      <c r="B11572">
        <v>156618902.99723905</v>
      </c>
    </row>
    <row r="11573" spans="1:2" x14ac:dyDescent="0.25">
      <c r="A11573">
        <f ca="1">27972.5520893237*((RANDBETWEEN(1620,2416)))</f>
        <v>54378641.261645272</v>
      </c>
      <c r="B11573">
        <v>189553689.21215326</v>
      </c>
    </row>
    <row r="11574" spans="1:2" x14ac:dyDescent="0.25">
      <c r="A11574">
        <f ca="1">27372.9660663813*((RANDBETWEEN(1620,2416)))</f>
        <v>44481069.857869536</v>
      </c>
      <c r="B11574">
        <v>149776189.89574283</v>
      </c>
    </row>
    <row r="11575" spans="1:2" x14ac:dyDescent="0.25">
      <c r="A11575">
        <f ca="1">26795.4647454643*((RANDBETWEEN(1620,2416)))</f>
        <v>47749518.176417425</v>
      </c>
      <c r="B11575">
        <v>198536398.78324279</v>
      </c>
    </row>
    <row r="11576" spans="1:2" x14ac:dyDescent="0.25">
      <c r="A11576">
        <f ca="1">28581.9653939682*((RANDBETWEEN(1620,2416)))</f>
        <v>58278627.438301072</v>
      </c>
      <c r="B11576">
        <v>174146895.78327647</v>
      </c>
    </row>
    <row r="11577" spans="1:2" x14ac:dyDescent="0.25">
      <c r="A11577">
        <f ca="1">31573.0622293637*((RANDBETWEEN(1620,2416)))</f>
        <v>62767247.711974956</v>
      </c>
      <c r="B11577">
        <v>163124062.82164326</v>
      </c>
    </row>
    <row r="11578" spans="1:2" x14ac:dyDescent="0.25">
      <c r="A11578">
        <f ca="1">27455.9110672269*((RANDBETWEEN(1620,2416)))</f>
        <v>56723912.264890775</v>
      </c>
      <c r="B11578">
        <v>179966801.16921622</v>
      </c>
    </row>
    <row r="11579" spans="1:2" x14ac:dyDescent="0.25">
      <c r="A11579">
        <f ca="1">26510.765223802*((RANDBETWEEN(1620,2416)))</f>
        <v>59278071.040421315</v>
      </c>
      <c r="B11579">
        <v>199429072.13617694</v>
      </c>
    </row>
    <row r="11580" spans="1:2" x14ac:dyDescent="0.25">
      <c r="A11580">
        <f ca="1">32807.221839223*((RANDBETWEEN(1620,2416)))</f>
        <v>63383552.593378775</v>
      </c>
      <c r="B11580">
        <v>174999109.64831951</v>
      </c>
    </row>
    <row r="11581" spans="1:2" x14ac:dyDescent="0.25">
      <c r="A11581">
        <f ca="1">26952.7692695184*((RANDBETWEEN(1620,2416)))</f>
        <v>55819185.157172583</v>
      </c>
      <c r="B11581">
        <v>165699673.88490379</v>
      </c>
    </row>
    <row r="11582" spans="1:2" x14ac:dyDescent="0.25">
      <c r="A11582">
        <f ca="1">31664.1661762761*((RANDBETWEEN(1620,2416)))</f>
        <v>73872499.689252198</v>
      </c>
      <c r="B11582">
        <v>192370703.44172207</v>
      </c>
    </row>
    <row r="11583" spans="1:2" x14ac:dyDescent="0.25">
      <c r="A11583">
        <f ca="1">31257.9873670671*((RANDBETWEEN(1620,2416)))</f>
        <v>72112176.855823889</v>
      </c>
      <c r="B11583">
        <v>168429323.870179</v>
      </c>
    </row>
    <row r="11584" spans="1:2" x14ac:dyDescent="0.25">
      <c r="A11584">
        <f ca="1">28455.3079449877*((RANDBETWEEN(1620,2416)))</f>
        <v>65248021.117856808</v>
      </c>
      <c r="B11584">
        <v>165620756.34696394</v>
      </c>
    </row>
    <row r="11585" spans="1:2" x14ac:dyDescent="0.25">
      <c r="A11585">
        <f ca="1">32242.3944163586*((RANDBETWEEN(1620,2416)))</f>
        <v>72222963.492643237</v>
      </c>
      <c r="B11585">
        <v>177113278.20941716</v>
      </c>
    </row>
    <row r="11586" spans="1:2" x14ac:dyDescent="0.25">
      <c r="A11586">
        <f ca="1">25554.2046868195*((RANDBETWEEN(1620,2416)))</f>
        <v>54609335.415733352</v>
      </c>
      <c r="B11586">
        <v>151256536.66199869</v>
      </c>
    </row>
    <row r="11587" spans="1:2" x14ac:dyDescent="0.25">
      <c r="A11587">
        <f ca="1">26689.3504520337*((RANDBETWEEN(1620,2416)))</f>
        <v>61759156.946006082</v>
      </c>
      <c r="B11587">
        <v>146910496.19714409</v>
      </c>
    </row>
    <row r="11588" spans="1:2" x14ac:dyDescent="0.25">
      <c r="A11588">
        <f ca="1">26014.3008598704*((RANDBETWEEN(1620,2416)))</f>
        <v>56425018.565058805</v>
      </c>
      <c r="B11588">
        <v>172775482.80555224</v>
      </c>
    </row>
    <row r="11589" spans="1:2" x14ac:dyDescent="0.25">
      <c r="A11589">
        <f ca="1">26875.2453857743*((RANDBETWEEN(1620,2416)))</f>
        <v>64312462.208157919</v>
      </c>
      <c r="B11589">
        <v>173995624.64403468</v>
      </c>
    </row>
    <row r="11590" spans="1:2" x14ac:dyDescent="0.25">
      <c r="A11590">
        <f ca="1">28708.8348059336*((RANDBETWEEN(1620,2416)))</f>
        <v>61609159.49353347</v>
      </c>
      <c r="B11590">
        <v>191779182.75790271</v>
      </c>
    </row>
    <row r="11591" spans="1:2" x14ac:dyDescent="0.25">
      <c r="A11591">
        <f ca="1">26375.4962938227*((RANDBETWEEN(1620,2416)))</f>
        <v>49454055.550917536</v>
      </c>
      <c r="B11591">
        <v>151284830.08525881</v>
      </c>
    </row>
    <row r="11592" spans="1:2" x14ac:dyDescent="0.25">
      <c r="A11592">
        <f ca="1">32688.387967473*((RANDBETWEEN(1620,2416)))</f>
        <v>70312722.518034518</v>
      </c>
      <c r="B11592">
        <v>177047229.46605736</v>
      </c>
    </row>
    <row r="11593" spans="1:2" x14ac:dyDescent="0.25">
      <c r="A11593">
        <f ca="1">26664.4269237029*((RANDBETWEEN(1620,2416)))</f>
        <v>55675323.416691586</v>
      </c>
      <c r="B11593">
        <v>194440283.49584097</v>
      </c>
    </row>
    <row r="11594" spans="1:2" x14ac:dyDescent="0.25">
      <c r="A11594">
        <f ca="1">25998.0974304205*((RANDBETWEEN(1620,2416)))</f>
        <v>51944198.665980078</v>
      </c>
      <c r="B11594">
        <v>168306355.39329827</v>
      </c>
    </row>
    <row r="11595" spans="1:2" x14ac:dyDescent="0.25">
      <c r="A11595">
        <f ca="1">32935.3474830286*((RANDBETWEEN(1620,2416)))</f>
        <v>68472587.41721651</v>
      </c>
      <c r="B11595">
        <v>149190506.39101249</v>
      </c>
    </row>
    <row r="11596" spans="1:2" x14ac:dyDescent="0.25">
      <c r="A11596">
        <f ca="1">27784.3679471446*((RANDBETWEEN(1620,2416)))</f>
        <v>57569210.386483505</v>
      </c>
      <c r="B11596">
        <v>164213553.78269267</v>
      </c>
    </row>
    <row r="11597" spans="1:2" x14ac:dyDescent="0.25">
      <c r="A11597">
        <f ca="1">33720.8522248943*((RANDBETWEEN(1620,2416)))</f>
        <v>58134749.23571784</v>
      </c>
      <c r="B11597">
        <v>146429859.59691972</v>
      </c>
    </row>
    <row r="11598" spans="1:2" x14ac:dyDescent="0.25">
      <c r="A11598">
        <f ca="1">30476.0842487653*((RANDBETWEEN(1620,2416)))</f>
        <v>65005487.702616327</v>
      </c>
      <c r="B11598">
        <v>154288460.03778371</v>
      </c>
    </row>
    <row r="11599" spans="1:2" x14ac:dyDescent="0.25">
      <c r="A11599">
        <f ca="1">28843.0410352801*((RANDBETWEEN(1620,2416)))</f>
        <v>58695588.506795056</v>
      </c>
      <c r="B11599">
        <v>203065175.83448762</v>
      </c>
    </row>
    <row r="11600" spans="1:2" x14ac:dyDescent="0.25">
      <c r="A11600">
        <f ca="1">30270.0732110751*((RANDBETWEEN(1620,2416)))</f>
        <v>68047124.578496739</v>
      </c>
      <c r="B11600">
        <v>157239104.98660487</v>
      </c>
    </row>
    <row r="11601" spans="1:2" x14ac:dyDescent="0.25">
      <c r="A11601">
        <f ca="1">28977.6050469089*((RANDBETWEEN(1620,2416)))</f>
        <v>59462045.556257099</v>
      </c>
      <c r="B11601">
        <v>166132204.18159091</v>
      </c>
    </row>
    <row r="11602" spans="1:2" x14ac:dyDescent="0.25">
      <c r="A11602">
        <f ca="1">28356.9157029623*((RANDBETWEEN(1620,2416)))</f>
        <v>58245104.853884667</v>
      </c>
      <c r="B11602">
        <v>158096144.91992113</v>
      </c>
    </row>
    <row r="11603" spans="1:2" x14ac:dyDescent="0.25">
      <c r="A11603">
        <f ca="1">28598.4620257311*((RANDBETWEEN(1620,2416)))</f>
        <v>62973813.380659945</v>
      </c>
      <c r="B11603">
        <v>164013723.5279502</v>
      </c>
    </row>
    <row r="11604" spans="1:2" x14ac:dyDescent="0.25">
      <c r="A11604">
        <f ca="1">27820.8510742385*((RANDBETWEEN(1620,2416)))</f>
        <v>54306301.296913594</v>
      </c>
      <c r="B11604">
        <v>157642481.62405556</v>
      </c>
    </row>
    <row r="11605" spans="1:2" x14ac:dyDescent="0.25">
      <c r="A11605">
        <f ca="1">25649.8937512161*((RANDBETWEEN(1620,2416)))</f>
        <v>45374662.045901254</v>
      </c>
      <c r="B11605">
        <v>170757943.69085419</v>
      </c>
    </row>
    <row r="11606" spans="1:2" x14ac:dyDescent="0.25">
      <c r="A11606">
        <f ca="1">29665.6648502418*((RANDBETWEEN(1620,2416)))</f>
        <v>52270901.466126025</v>
      </c>
      <c r="B11606">
        <v>184083729.42757541</v>
      </c>
    </row>
    <row r="11607" spans="1:2" x14ac:dyDescent="0.25">
      <c r="A11607">
        <f ca="1">28212.741092553*((RANDBETWEEN(1620,2416)))</f>
        <v>47538468.740951858</v>
      </c>
      <c r="B11607">
        <v>146469064.35948122</v>
      </c>
    </row>
    <row r="11608" spans="1:2" x14ac:dyDescent="0.25">
      <c r="A11608">
        <f ca="1">30607.4039629671*((RANDBETWEEN(1620,2416)))</f>
        <v>64122511.302416109</v>
      </c>
      <c r="B11608">
        <v>167118611.09605682</v>
      </c>
    </row>
    <row r="11609" spans="1:2" x14ac:dyDescent="0.25">
      <c r="A11609">
        <f ca="1">24825.3774447325*((RANDBETWEEN(1620,2416)))</f>
        <v>45802821.385531388</v>
      </c>
      <c r="B11609">
        <v>171488466.45573622</v>
      </c>
    </row>
    <row r="11610" spans="1:2" x14ac:dyDescent="0.25">
      <c r="A11610">
        <f ca="1">27340.1809113403*((RANDBETWEEN(1620,2416)))</f>
        <v>50661355.228713557</v>
      </c>
      <c r="B11610">
        <v>159161881.19317579</v>
      </c>
    </row>
    <row r="11611" spans="1:2" x14ac:dyDescent="0.25">
      <c r="A11611">
        <f ca="1">25778.4389414002*((RANDBETWEEN(1620,2416)))</f>
        <v>47561219.846883446</v>
      </c>
      <c r="B11611">
        <v>172274124.05380234</v>
      </c>
    </row>
    <row r="11612" spans="1:2" x14ac:dyDescent="0.25">
      <c r="A11612">
        <f ca="1">30436.7771845163*((RANDBETWEEN(1620,2416)))</f>
        <v>56003670.019509912</v>
      </c>
      <c r="B11612">
        <v>153822987.35303649</v>
      </c>
    </row>
    <row r="11613" spans="1:2" x14ac:dyDescent="0.25">
      <c r="A11613">
        <f ca="1">25520.3698684472*((RANDBETWEEN(1620,2416)))</f>
        <v>46498113.90031071</v>
      </c>
      <c r="B11613">
        <v>173581915.67047551</v>
      </c>
    </row>
    <row r="11614" spans="1:2" x14ac:dyDescent="0.25">
      <c r="A11614">
        <f ca="1">26210.9065912405*((RANDBETWEEN(1620,2416)))</f>
        <v>57297041.808451638</v>
      </c>
      <c r="B11614">
        <v>172163248.13681424</v>
      </c>
    </row>
    <row r="11615" spans="1:2" x14ac:dyDescent="0.25">
      <c r="A11615">
        <f ca="1">30995.1201077192*((RANDBETWEEN(1620,2416)))</f>
        <v>65182737.586533494</v>
      </c>
      <c r="B11615">
        <v>188082654.75559068</v>
      </c>
    </row>
    <row r="11616" spans="1:2" x14ac:dyDescent="0.25">
      <c r="A11616">
        <f ca="1">28427.507627679*((RANDBETWEEN(1620,2416)))</f>
        <v>50288260.993364125</v>
      </c>
      <c r="B11616">
        <v>194765389.70574144</v>
      </c>
    </row>
    <row r="11617" spans="1:2" x14ac:dyDescent="0.25">
      <c r="A11617">
        <f ca="1">27511.0220282218*((RANDBETWEEN(1620,2416)))</f>
        <v>51005434.840323284</v>
      </c>
      <c r="B11617">
        <v>200541668.41365454</v>
      </c>
    </row>
    <row r="11618" spans="1:2" x14ac:dyDescent="0.25">
      <c r="A11618">
        <f ca="1">26744.2033265453*((RANDBETWEEN(1620,2416)))</f>
        <v>53408174.043110892</v>
      </c>
      <c r="B11618">
        <v>144834173.64951134</v>
      </c>
    </row>
    <row r="11619" spans="1:2" x14ac:dyDescent="0.25">
      <c r="A11619">
        <f ca="1">33642.2498621261*((RANDBETWEEN(1620,2416)))</f>
        <v>64256697.236660898</v>
      </c>
      <c r="B11619">
        <v>184469708.801523</v>
      </c>
    </row>
    <row r="11620" spans="1:2" x14ac:dyDescent="0.25">
      <c r="A11620">
        <f ca="1">27252.4205858334*((RANDBETWEEN(1620,2416)))</f>
        <v>57856888.903724298</v>
      </c>
      <c r="B11620">
        <v>160836099.48746958</v>
      </c>
    </row>
    <row r="11621" spans="1:2" x14ac:dyDescent="0.25">
      <c r="A11621">
        <f ca="1">28168.8273387253*((RANDBETWEEN(1620,2416)))</f>
        <v>62393952.555276506</v>
      </c>
      <c r="B11621">
        <v>181761448.52320808</v>
      </c>
    </row>
    <row r="11622" spans="1:2" x14ac:dyDescent="0.25">
      <c r="A11622">
        <f ca="1">27139.7836775495*((RANDBETWEEN(1620,2416)))</f>
        <v>61417330.462294586</v>
      </c>
      <c r="B11622">
        <v>162532203.10009295</v>
      </c>
    </row>
    <row r="11623" spans="1:2" x14ac:dyDescent="0.25">
      <c r="A11623">
        <f ca="1">29405.9141406951*((RANDBETWEEN(1620,2416)))</f>
        <v>64134298.740856111</v>
      </c>
      <c r="B11623">
        <v>156889623.86080688</v>
      </c>
    </row>
    <row r="11624" spans="1:2" x14ac:dyDescent="0.25">
      <c r="A11624">
        <f ca="1">24169.8177586653*((RANDBETWEEN(1620,2416)))</f>
        <v>49523956.587505199</v>
      </c>
      <c r="B11624">
        <v>149402355.9717761</v>
      </c>
    </row>
    <row r="11625" spans="1:2" x14ac:dyDescent="0.25">
      <c r="A11625">
        <f ca="1">29465.2102486433*((RANDBETWEEN(1620,2416)))</f>
        <v>54481173.749741539</v>
      </c>
      <c r="B11625">
        <v>164960714.61243233</v>
      </c>
    </row>
    <row r="11626" spans="1:2" x14ac:dyDescent="0.25">
      <c r="A11626">
        <f ca="1">31162.9763116736*((RANDBETWEEN(1620,2416)))</f>
        <v>59614773.684231564</v>
      </c>
      <c r="B11626">
        <v>181957633.60621953</v>
      </c>
    </row>
    <row r="11627" spans="1:2" x14ac:dyDescent="0.25">
      <c r="A11627">
        <f ca="1">29148.0170551161*((RANDBETWEEN(1620,2416)))</f>
        <v>56722041.189255938</v>
      </c>
      <c r="B11627">
        <v>177595197.92377973</v>
      </c>
    </row>
    <row r="11628" spans="1:2" x14ac:dyDescent="0.25">
      <c r="A11628">
        <f ca="1">30446.8513534281*((RANDBETWEEN(1620,2416)))</f>
        <v>66861285.57212808</v>
      </c>
      <c r="B11628">
        <v>202603548.43703103</v>
      </c>
    </row>
    <row r="11629" spans="1:2" x14ac:dyDescent="0.25">
      <c r="A11629">
        <f ca="1">34714.7271034346*((RANDBETWEEN(1620,2416)))</f>
        <v>78177565.43693465</v>
      </c>
      <c r="B11629">
        <v>181219978.90833861</v>
      </c>
    </row>
    <row r="11630" spans="1:2" x14ac:dyDescent="0.25">
      <c r="A11630">
        <f ca="1">26580.8196113297*((RANDBETWEEN(1620,2416)))</f>
        <v>52895831.026546121</v>
      </c>
      <c r="B11630">
        <v>195634150.92656699</v>
      </c>
    </row>
    <row r="11631" spans="1:2" x14ac:dyDescent="0.25">
      <c r="A11631">
        <f ca="1">26879.0765019068*((RANDBETWEEN(1620,2416)))</f>
        <v>50720817.359098062</v>
      </c>
      <c r="B11631">
        <v>169190051.99795461</v>
      </c>
    </row>
    <row r="11632" spans="1:2" x14ac:dyDescent="0.25">
      <c r="A11632">
        <f ca="1">26825.7506138257*((RANDBETWEEN(1620,2416)))</f>
        <v>51585918.430386908</v>
      </c>
      <c r="B11632">
        <v>143169650.02009714</v>
      </c>
    </row>
    <row r="11633" spans="1:2" x14ac:dyDescent="0.25">
      <c r="A11633">
        <f ca="1">27426.844203331*((RANDBETWEEN(1620,2416)))</f>
        <v>51151064.439212255</v>
      </c>
      <c r="B11633">
        <v>166762214.92237991</v>
      </c>
    </row>
    <row r="11634" spans="1:2" x14ac:dyDescent="0.25">
      <c r="A11634">
        <f ca="1">28349.1729032931*((RANDBETWEEN(1620,2416)))</f>
        <v>48023498.898178525</v>
      </c>
      <c r="B11634">
        <v>155946438.03249025</v>
      </c>
    </row>
    <row r="11635" spans="1:2" x14ac:dyDescent="0.25">
      <c r="A11635">
        <f ca="1">29302.4580656129*((RANDBETWEEN(1620,2416)))</f>
        <v>61974698.808771268</v>
      </c>
      <c r="B11635">
        <v>144783337.08467835</v>
      </c>
    </row>
    <row r="11636" spans="1:2" x14ac:dyDescent="0.25">
      <c r="A11636">
        <f ca="1">31521.6407875741*((RANDBETWEEN(1620,2416)))</f>
        <v>56140042.242669448</v>
      </c>
      <c r="B11636">
        <v>176234823.56107271</v>
      </c>
    </row>
    <row r="11637" spans="1:2" x14ac:dyDescent="0.25">
      <c r="A11637">
        <f ca="1">26792.9049269279*((RANDBETWEEN(1620,2416)))</f>
        <v>58140603.691433437</v>
      </c>
      <c r="B11637">
        <v>166417709.30239332</v>
      </c>
    </row>
    <row r="11638" spans="1:2" x14ac:dyDescent="0.25">
      <c r="A11638">
        <f ca="1">28409.7164483936*((RANDBETWEEN(1620,2416)))</f>
        <v>49915871.799827613</v>
      </c>
      <c r="B11638">
        <v>180725829.96112233</v>
      </c>
    </row>
    <row r="11639" spans="1:2" x14ac:dyDescent="0.25">
      <c r="A11639">
        <f ca="1">26263.1545440497*((RANDBETWEEN(1620,2416)))</f>
        <v>45540309.979382128</v>
      </c>
      <c r="B11639">
        <v>155857906.43549109</v>
      </c>
    </row>
    <row r="11640" spans="1:2" x14ac:dyDescent="0.25">
      <c r="A11640">
        <f ca="1">30147.6642712827*((RANDBETWEEN(1620,2416)))</f>
        <v>68917560.524152234</v>
      </c>
      <c r="B11640">
        <v>200922761.41155052</v>
      </c>
    </row>
    <row r="11641" spans="1:2" x14ac:dyDescent="0.25">
      <c r="A11641">
        <f ca="1">30873.1713362352*((RANDBETWEEN(1620,2416)))</f>
        <v>73323781.923558652</v>
      </c>
      <c r="B11641">
        <v>176496761.69606686</v>
      </c>
    </row>
    <row r="11642" spans="1:2" x14ac:dyDescent="0.25">
      <c r="A11642">
        <f ca="1">28385.7276489079*((RANDBETWEEN(1620,2416)))</f>
        <v>57452712.76138965</v>
      </c>
      <c r="B11642">
        <v>188695965.03916037</v>
      </c>
    </row>
    <row r="11643" spans="1:2" x14ac:dyDescent="0.25">
      <c r="A11643">
        <f ca="1">26136.7957371785*((RANDBETWEEN(1620,2416)))</f>
        <v>49895143.062273756</v>
      </c>
      <c r="B11643">
        <v>153793165.33981299</v>
      </c>
    </row>
    <row r="11644" spans="1:2" x14ac:dyDescent="0.25">
      <c r="A11644">
        <f ca="1">28132.4948286787*((RANDBETWEEN(1620,2416)))</f>
        <v>65351785.487020589</v>
      </c>
      <c r="B11644">
        <v>146103102.0701507</v>
      </c>
    </row>
    <row r="11645" spans="1:2" x14ac:dyDescent="0.25">
      <c r="A11645">
        <f ca="1">26155.6283530094*((RANDBETWEEN(1620,2416)))</f>
        <v>45406170.82082437</v>
      </c>
      <c r="B11645">
        <v>194189666.149984</v>
      </c>
    </row>
    <row r="11646" spans="1:2" x14ac:dyDescent="0.25">
      <c r="A11646">
        <f ca="1">27254.3322365632*((RANDBETWEEN(1620,2416)))</f>
        <v>62058114.502654374</v>
      </c>
      <c r="B11646">
        <v>157827568.19045192</v>
      </c>
    </row>
    <row r="11647" spans="1:2" x14ac:dyDescent="0.25">
      <c r="A11647">
        <f ca="1">29042.2522559256*((RANDBETWEEN(1620,2416)))</f>
        <v>69207687.125870734</v>
      </c>
      <c r="B11647">
        <v>194528540.15567967</v>
      </c>
    </row>
    <row r="11648" spans="1:2" x14ac:dyDescent="0.25">
      <c r="A11648">
        <f ca="1">28444.5947292063*((RANDBETWEEN(1620,2416)))</f>
        <v>68665251.676304072</v>
      </c>
      <c r="B11648">
        <v>195557096.81208953</v>
      </c>
    </row>
    <row r="11649" spans="1:2" x14ac:dyDescent="0.25">
      <c r="A11649">
        <f ca="1">26642.7584959139*((RANDBETWEEN(1620,2416)))</f>
        <v>46758041.160328858</v>
      </c>
      <c r="B11649">
        <v>165674965.655559</v>
      </c>
    </row>
    <row r="11650" spans="1:2" x14ac:dyDescent="0.25">
      <c r="A11650">
        <f ca="1">27392.0944193902*((RANDBETWEEN(1620,2416)))</f>
        <v>47306147.062286906</v>
      </c>
      <c r="B11650">
        <v>146872031.07153189</v>
      </c>
    </row>
    <row r="11651" spans="1:2" x14ac:dyDescent="0.25">
      <c r="A11651">
        <f ca="1">26402.0894484933*((RANDBETWEEN(1620,2416)))</f>
        <v>50876826.367246635</v>
      </c>
      <c r="B11651">
        <v>178490904.08638582</v>
      </c>
    </row>
    <row r="11652" spans="1:2" x14ac:dyDescent="0.25">
      <c r="A11652">
        <f ca="1">26787.1997374733*((RANDBETWEEN(1620,2416)))</f>
        <v>49208085.917738475</v>
      </c>
      <c r="B11652">
        <v>191366992.24922472</v>
      </c>
    </row>
    <row r="11653" spans="1:2" x14ac:dyDescent="0.25">
      <c r="A11653">
        <f ca="1">27752.0917711917*((RANDBETWEEN(1620,2416)))</f>
        <v>57002796.498027846</v>
      </c>
      <c r="B11653">
        <v>153393467.99831074</v>
      </c>
    </row>
    <row r="11654" spans="1:2" x14ac:dyDescent="0.25">
      <c r="A11654">
        <f ca="1">32815.8409725258*((RANDBETWEEN(1620,2416)))</f>
        <v>77051594.603490472</v>
      </c>
      <c r="B11654">
        <v>162438959.92374405</v>
      </c>
    </row>
    <row r="11655" spans="1:2" x14ac:dyDescent="0.25">
      <c r="A11655">
        <f ca="1">27645.1017461199*((RANDBETWEEN(1620,2416)))</f>
        <v>57778262.649390638</v>
      </c>
      <c r="B11655">
        <v>175645453.55428293</v>
      </c>
    </row>
    <row r="11656" spans="1:2" x14ac:dyDescent="0.25">
      <c r="A11656">
        <f ca="1">27310.1746759677*((RANDBETWEEN(1620,2416)))</f>
        <v>58389153.457218908</v>
      </c>
      <c r="B11656">
        <v>191797804.44178966</v>
      </c>
    </row>
    <row r="11657" spans="1:2" x14ac:dyDescent="0.25">
      <c r="A11657">
        <f ca="1">28679.3365744111*((RANDBETWEEN(1620,2416)))</f>
        <v>50791105.073282011</v>
      </c>
      <c r="B11657">
        <v>198074058.49784777</v>
      </c>
    </row>
    <row r="11658" spans="1:2" x14ac:dyDescent="0.25">
      <c r="A11658">
        <f ca="1">25998.3046620284*((RANDBETWEEN(1620,2416)))</f>
        <v>57586244.826392844</v>
      </c>
      <c r="B11658">
        <v>151942256.84991902</v>
      </c>
    </row>
    <row r="11659" spans="1:2" x14ac:dyDescent="0.25">
      <c r="A11659">
        <f ca="1">28370.9982658522*((RANDBETWEEN(1620,2416)))</f>
        <v>48230697.051948808</v>
      </c>
      <c r="B11659">
        <v>184276843.14613804</v>
      </c>
    </row>
    <row r="11660" spans="1:2" x14ac:dyDescent="0.25">
      <c r="A11660">
        <f ca="1">27064.37956633*((RANDBETWEEN(1620,2416)))</f>
        <v>61652656.652099729</v>
      </c>
      <c r="B11660">
        <v>168025770.39912456</v>
      </c>
    </row>
    <row r="11661" spans="1:2" x14ac:dyDescent="0.25">
      <c r="A11661">
        <f ca="1">27016.6170628286*((RANDBETWEEN(1620,2416)))</f>
        <v>49629525.544416115</v>
      </c>
      <c r="B11661">
        <v>144907096.92895865</v>
      </c>
    </row>
    <row r="11662" spans="1:2" x14ac:dyDescent="0.25">
      <c r="A11662">
        <f ca="1">29430.4376996585*((RANDBETWEEN(1620,2416)))</f>
        <v>61009297.351392098</v>
      </c>
      <c r="B11662">
        <v>188652599.9465667</v>
      </c>
    </row>
    <row r="11663" spans="1:2" x14ac:dyDescent="0.25">
      <c r="A11663">
        <f ca="1">27484.3929981815*((RANDBETWEEN(1620,2416)))</f>
        <v>51698143.229579382</v>
      </c>
      <c r="B11663">
        <v>164787305.51882213</v>
      </c>
    </row>
    <row r="11664" spans="1:2" x14ac:dyDescent="0.25">
      <c r="A11664">
        <f ca="1">26420.4121991345*((RANDBETWEEN(1620,2416)))</f>
        <v>62510695.263152272</v>
      </c>
      <c r="B11664">
        <v>161728772.67088342</v>
      </c>
    </row>
    <row r="11665" spans="1:2" x14ac:dyDescent="0.25">
      <c r="A11665">
        <f ca="1">32391.9151737526*((RANDBETWEEN(1620,2416)))</f>
        <v>64427519.280594118</v>
      </c>
      <c r="B11665">
        <v>196223373.79750839</v>
      </c>
    </row>
    <row r="11666" spans="1:2" x14ac:dyDescent="0.25">
      <c r="A11666">
        <f ca="1">30950.8362449412*((RANDBETWEEN(1620,2416)))</f>
        <v>69763184.896097526</v>
      </c>
      <c r="B11666">
        <v>150647548.00181112</v>
      </c>
    </row>
    <row r="11667" spans="1:2" x14ac:dyDescent="0.25">
      <c r="A11667">
        <f ca="1">31904.5879073848*((RANDBETWEEN(1620,2416)))</f>
        <v>72263891.610226616</v>
      </c>
      <c r="B11667">
        <v>166494927.68851787</v>
      </c>
    </row>
    <row r="11668" spans="1:2" x14ac:dyDescent="0.25">
      <c r="A11668">
        <f ca="1">29812.8629252036*((RANDBETWEEN(1620,2416)))</f>
        <v>65081479.765719451</v>
      </c>
      <c r="B11668">
        <v>164231581.88339955</v>
      </c>
    </row>
    <row r="11669" spans="1:2" x14ac:dyDescent="0.25">
      <c r="A11669">
        <f ca="1">29867.1068692591*((RANDBETWEEN(1620,2416)))</f>
        <v>58599263.677486308</v>
      </c>
      <c r="B11669">
        <v>157783568.92921633</v>
      </c>
    </row>
    <row r="11670" spans="1:2" x14ac:dyDescent="0.25">
      <c r="A11670">
        <f ca="1">27055.9759401001*((RANDBETWEEN(1620,2416)))</f>
        <v>51812193.925291665</v>
      </c>
      <c r="B11670">
        <v>163744025.11284226</v>
      </c>
    </row>
    <row r="11671" spans="1:2" x14ac:dyDescent="0.25">
      <c r="A11671">
        <f ca="1">29492.4308711536*((RANDBETWEEN(1620,2416)))</f>
        <v>48308601.766949572</v>
      </c>
      <c r="B11671">
        <v>161479746.00451109</v>
      </c>
    </row>
    <row r="11672" spans="1:2" x14ac:dyDescent="0.25">
      <c r="A11672">
        <f ca="1">30111.9100487292*((RANDBETWEEN(1620,2416)))</f>
        <v>56851286.172000676</v>
      </c>
      <c r="B11672">
        <v>175453398.91339552</v>
      </c>
    </row>
    <row r="11673" spans="1:2" x14ac:dyDescent="0.25">
      <c r="A11673">
        <f ca="1">30846.4207641261*((RANDBETWEEN(1620,2416)))</f>
        <v>68386514.834067464</v>
      </c>
      <c r="B11673">
        <v>175494975.64984399</v>
      </c>
    </row>
    <row r="11674" spans="1:2" x14ac:dyDescent="0.25">
      <c r="A11674">
        <f ca="1">30301.0432635195*((RANDBETWEEN(1620,2416)))</f>
        <v>59056733.320599519</v>
      </c>
      <c r="B11674">
        <v>186992753.4450078</v>
      </c>
    </row>
    <row r="11675" spans="1:2" x14ac:dyDescent="0.25">
      <c r="A11675">
        <f ca="1">27497.7460140695*((RANDBETWEEN(1620,2416)))</f>
        <v>57497786.915419228</v>
      </c>
      <c r="B11675">
        <v>162174864.44100419</v>
      </c>
    </row>
    <row r="11676" spans="1:2" x14ac:dyDescent="0.25">
      <c r="A11676">
        <f ca="1">25803.9143406973*((RANDBETWEEN(1620,2416)))</f>
        <v>52898024.398429506</v>
      </c>
      <c r="B11676">
        <v>142979109.67198205</v>
      </c>
    </row>
    <row r="11677" spans="1:2" x14ac:dyDescent="0.25">
      <c r="A11677">
        <f ca="1">31308.5777198038*((RANDBETWEEN(1620,2416)))</f>
        <v>55040479.631415047</v>
      </c>
      <c r="B11677">
        <v>168564603.86848384</v>
      </c>
    </row>
    <row r="11678" spans="1:2" x14ac:dyDescent="0.25">
      <c r="A11678">
        <f ca="1">29359.5619603575*((RANDBETWEEN(1620,2416)))</f>
        <v>69817038.341730043</v>
      </c>
      <c r="B11678">
        <v>187603931.60946071</v>
      </c>
    </row>
    <row r="11679" spans="1:2" x14ac:dyDescent="0.25">
      <c r="A11679">
        <f ca="1">27026.2078549827*((RANDBETWEEN(1620,2416)))</f>
        <v>61430570.454375654</v>
      </c>
      <c r="B11679">
        <v>146799744.25105047</v>
      </c>
    </row>
    <row r="11680" spans="1:2" x14ac:dyDescent="0.25">
      <c r="A11680">
        <f ca="1">25179.2587665348*((RANDBETWEEN(1620,2416)))</f>
        <v>55243293.733777434</v>
      </c>
      <c r="B11680">
        <v>147363223.32400161</v>
      </c>
    </row>
    <row r="11681" spans="1:2" x14ac:dyDescent="0.25">
      <c r="A11681">
        <f ca="1">32003.069236433*((RANDBETWEEN(1620,2416)))</f>
        <v>71942899.643501356</v>
      </c>
      <c r="B11681">
        <v>187619234.03226179</v>
      </c>
    </row>
    <row r="11682" spans="1:2" x14ac:dyDescent="0.25">
      <c r="A11682">
        <f ca="1">26511.6445843911*((RANDBETWEEN(1620,2416)))</f>
        <v>42948864.226713583</v>
      </c>
      <c r="B11682">
        <v>145022939.98751765</v>
      </c>
    </row>
    <row r="11683" spans="1:2" x14ac:dyDescent="0.25">
      <c r="A11683">
        <f ca="1">26589.648331409*((RANDBETWEEN(1620,2416)))</f>
        <v>51052124.796305448</v>
      </c>
      <c r="B11683">
        <v>153125193.63129714</v>
      </c>
    </row>
    <row r="11684" spans="1:2" x14ac:dyDescent="0.25">
      <c r="A11684">
        <f ca="1">26559.7457353973*((RANDBETWEEN(1620,2416)))</f>
        <v>56173862.230365351</v>
      </c>
      <c r="B11684">
        <v>193024788.78151205</v>
      </c>
    </row>
    <row r="11685" spans="1:2" x14ac:dyDescent="0.25">
      <c r="A11685">
        <f ca="1">27878.457568996*((RANDBETWEEN(1620,2416)))</f>
        <v>47337620.952155165</v>
      </c>
      <c r="B11685">
        <v>197554068.25697589</v>
      </c>
    </row>
    <row r="11686" spans="1:2" x14ac:dyDescent="0.25">
      <c r="A11686">
        <f ca="1">28174.5274584173*((RANDBETWEEN(1620,2416)))</f>
        <v>62688323.594978474</v>
      </c>
      <c r="B11686">
        <v>187027831.97381347</v>
      </c>
    </row>
    <row r="11687" spans="1:2" x14ac:dyDescent="0.25">
      <c r="A11687">
        <f ca="1">26650.065330091*((RANDBETWEEN(1620,2416)))</f>
        <v>43226405.965407655</v>
      </c>
      <c r="B11687">
        <v>146553333.86541361</v>
      </c>
    </row>
    <row r="11688" spans="1:2" x14ac:dyDescent="0.25">
      <c r="A11688">
        <f ca="1">31769.0681643383*((RANDBETWEEN(1620,2416)))</f>
        <v>73291240.255128518</v>
      </c>
      <c r="B11688">
        <v>199840092.69098479</v>
      </c>
    </row>
    <row r="11689" spans="1:2" x14ac:dyDescent="0.25">
      <c r="A11689">
        <f ca="1">27037.9570795855*((RANDBETWEEN(1620,2416)))</f>
        <v>62836212.252956711</v>
      </c>
      <c r="B11689">
        <v>199214482.83568627</v>
      </c>
    </row>
    <row r="11690" spans="1:2" x14ac:dyDescent="0.25">
      <c r="A11690">
        <f ca="1">26037.5594105696*((RANDBETWEEN(1620,2416)))</f>
        <v>62073541.634797923</v>
      </c>
      <c r="B11690">
        <v>155600628.48538604</v>
      </c>
    </row>
    <row r="11691" spans="1:2" x14ac:dyDescent="0.25">
      <c r="A11691">
        <f ca="1">28976.9816319346*((RANDBETWEEN(1620,2416)))</f>
        <v>54911380.192516036</v>
      </c>
      <c r="B11691">
        <v>150077869.95419794</v>
      </c>
    </row>
    <row r="11692" spans="1:2" x14ac:dyDescent="0.25">
      <c r="A11692">
        <f ca="1">29042.0182915324*((RANDBETWEEN(1620,2416)))</f>
        <v>66941852.161982216</v>
      </c>
      <c r="B11692">
        <v>168779446.08754352</v>
      </c>
    </row>
    <row r="11693" spans="1:2" x14ac:dyDescent="0.25">
      <c r="A11693">
        <f ca="1">26341.7156497031*((RANDBETWEEN(1620,2416)))</f>
        <v>43595539.400258608</v>
      </c>
      <c r="B11693">
        <v>162547463.68208432</v>
      </c>
    </row>
    <row r="11694" spans="1:2" x14ac:dyDescent="0.25">
      <c r="A11694">
        <f ca="1">28560.3565188833*((RANDBETWEEN(1620,2416)))</f>
        <v>58748653.359342895</v>
      </c>
      <c r="B11694">
        <v>199799638.42037159</v>
      </c>
    </row>
    <row r="11695" spans="1:2" x14ac:dyDescent="0.25">
      <c r="A11695">
        <f ca="1">25275.391086936*((RANDBETWEEN(1620,2416)))</f>
        <v>55706961.955607012</v>
      </c>
      <c r="B11695">
        <v>149202024.874883</v>
      </c>
    </row>
    <row r="11696" spans="1:2" x14ac:dyDescent="0.25">
      <c r="A11696">
        <f ca="1">26777.8699170886*((RANDBETWEEN(1620,2416)))</f>
        <v>63784886.142505176</v>
      </c>
      <c r="B11696">
        <v>183607517.68792623</v>
      </c>
    </row>
    <row r="11697" spans="1:2" x14ac:dyDescent="0.25">
      <c r="A11697">
        <f ca="1">28281.7267499053*((RANDBETWEEN(1620,2416)))</f>
        <v>49295049.72508496</v>
      </c>
      <c r="B11697">
        <v>168347462.17366943</v>
      </c>
    </row>
    <row r="11698" spans="1:2" x14ac:dyDescent="0.25">
      <c r="A11698">
        <f ca="1">25944.4558488851*((RANDBETWEEN(1620,2416)))</f>
        <v>42497018.680473752</v>
      </c>
      <c r="B11698">
        <v>143621068.77134603</v>
      </c>
    </row>
    <row r="11699" spans="1:2" x14ac:dyDescent="0.25">
      <c r="A11699">
        <f ca="1">27252.315117831*((RANDBETWEEN(1620,2416)))</f>
        <v>56085264.512496255</v>
      </c>
      <c r="B11699">
        <v>151131644.54448357</v>
      </c>
    </row>
    <row r="11700" spans="1:2" x14ac:dyDescent="0.25">
      <c r="A11700">
        <f ca="1">27203.0893088572*((RANDBETWEEN(1620,2416)))</f>
        <v>46163642.557130717</v>
      </c>
      <c r="B11700">
        <v>194785825.19219434</v>
      </c>
    </row>
    <row r="11701" spans="1:2" x14ac:dyDescent="0.25">
      <c r="A11701">
        <f ca="1">27455.5621188506*((RANDBETWEEN(1620,2416)))</f>
        <v>49557289.624525264</v>
      </c>
      <c r="B11701">
        <v>155660151.86771277</v>
      </c>
    </row>
    <row r="11702" spans="1:2" x14ac:dyDescent="0.25">
      <c r="A11702">
        <f ca="1">26352.017184677*((RANDBETWEEN(1620,2416)))</f>
        <v>62164408.538653128</v>
      </c>
      <c r="B11702">
        <v>175775197.11726242</v>
      </c>
    </row>
    <row r="11703" spans="1:2" x14ac:dyDescent="0.25">
      <c r="A11703">
        <f ca="1">29672.3833364516*((RANDBETWEEN(1620,2416)))</f>
        <v>68661895.040548965</v>
      </c>
      <c r="B11703">
        <v>198454276.8255105</v>
      </c>
    </row>
    <row r="11704" spans="1:2" x14ac:dyDescent="0.25">
      <c r="A11704">
        <f ca="1">26216.9828299369*((RANDBETWEEN(1620,2416)))</f>
        <v>43258021.669395871</v>
      </c>
      <c r="B11704">
        <v>195651403.9551084</v>
      </c>
    </row>
    <row r="11705" spans="1:2" x14ac:dyDescent="0.25">
      <c r="A11705">
        <f ca="1">28202.3148720577*((RANDBETWEEN(1620,2416)))</f>
        <v>61565653.365702055</v>
      </c>
      <c r="B11705">
        <v>191738403.83378196</v>
      </c>
    </row>
    <row r="11706" spans="1:2" x14ac:dyDescent="0.25">
      <c r="A11706">
        <f ca="1">31512.4398739903*((RANDBETWEEN(1620,2416)))</f>
        <v>55052232.459861018</v>
      </c>
      <c r="B11706">
        <v>190902262.52276826</v>
      </c>
    </row>
    <row r="11707" spans="1:2" x14ac:dyDescent="0.25">
      <c r="A11707">
        <f ca="1">26521.9083456086*((RANDBETWEEN(1620,2416)))</f>
        <v>44822025.104078561</v>
      </c>
      <c r="B11707">
        <v>154718459.42098129</v>
      </c>
    </row>
    <row r="11708" spans="1:2" x14ac:dyDescent="0.25">
      <c r="A11708">
        <f ca="1">31382.9200336683*((RANDBETWEEN(1620,2416)))</f>
        <v>67598809.7525215</v>
      </c>
      <c r="B11708">
        <v>189191005.56521246</v>
      </c>
    </row>
    <row r="11709" spans="1:2" x14ac:dyDescent="0.25">
      <c r="A11709">
        <f ca="1">28780.5179868916*((RANDBETWEEN(1620,2416)))</f>
        <v>56237132.146386176</v>
      </c>
      <c r="B11709">
        <v>161080776.37880358</v>
      </c>
    </row>
    <row r="11710" spans="1:2" x14ac:dyDescent="0.25">
      <c r="A11710">
        <f ca="1">26329.8094390798*((RANDBETWEEN(1620,2416)))</f>
        <v>46393124.231658541</v>
      </c>
      <c r="B11710">
        <v>152207197.06194204</v>
      </c>
    </row>
    <row r="11711" spans="1:2" x14ac:dyDescent="0.25">
      <c r="A11711">
        <f ca="1">28199.4560679877*((RANDBETWEEN(1620,2416)))</f>
        <v>60882625.650785506</v>
      </c>
      <c r="B11711">
        <v>162687947.51941556</v>
      </c>
    </row>
    <row r="11712" spans="1:2" x14ac:dyDescent="0.25">
      <c r="A11712">
        <f ca="1">31186.8312015838*((RANDBETWEEN(1620,2416)))</f>
        <v>70482238.515579388</v>
      </c>
      <c r="B11712">
        <v>164910177.03982326</v>
      </c>
    </row>
    <row r="11713" spans="1:2" x14ac:dyDescent="0.25">
      <c r="A11713">
        <f ca="1">27035.3805959174*((RANDBETWEEN(1620,2416)))</f>
        <v>60640358.676642738</v>
      </c>
      <c r="B11713">
        <v>150513232.74350977</v>
      </c>
    </row>
    <row r="11714" spans="1:2" x14ac:dyDescent="0.25">
      <c r="A11714">
        <f ca="1">31083.8711854552*((RANDBETWEEN(1620,2416)))</f>
        <v>55298206.838924803</v>
      </c>
      <c r="B11714">
        <v>156913213.40676135</v>
      </c>
    </row>
    <row r="11715" spans="1:2" x14ac:dyDescent="0.25">
      <c r="A11715">
        <f ca="1">27819.7912199863*((RANDBETWEEN(1620,2416)))</f>
        <v>52662864.779434115</v>
      </c>
      <c r="B11715">
        <v>145409714.38866049</v>
      </c>
    </row>
    <row r="11716" spans="1:2" x14ac:dyDescent="0.25">
      <c r="A11716">
        <f ca="1">26641.3462439804*((RANDBETWEEN(1620,2416)))</f>
        <v>55840261.727382965</v>
      </c>
      <c r="B11716">
        <v>188132975.92692262</v>
      </c>
    </row>
    <row r="11717" spans="1:2" x14ac:dyDescent="0.25">
      <c r="A11717">
        <f ca="1">26473.399287396*((RANDBETWEEN(1620,2416)))</f>
        <v>63430264.692600921</v>
      </c>
      <c r="B11717">
        <v>150382083.5792194</v>
      </c>
    </row>
    <row r="11718" spans="1:2" x14ac:dyDescent="0.25">
      <c r="A11718">
        <f ca="1">27803.7439468312*((RANDBETWEEN(1620,2416)))</f>
        <v>64143237.285339497</v>
      </c>
      <c r="B11718">
        <v>201327302.11871958</v>
      </c>
    </row>
    <row r="11719" spans="1:2" x14ac:dyDescent="0.25">
      <c r="A11719">
        <f ca="1">25928.681792829*((RANDBETWEEN(1620,2416)))</f>
        <v>50716501.58677344</v>
      </c>
      <c r="B11719">
        <v>191025213.77195263</v>
      </c>
    </row>
    <row r="11720" spans="1:2" x14ac:dyDescent="0.25">
      <c r="A11720">
        <f ca="1">27644.6652309831*((RANDBETWEEN(1620,2416)))</f>
        <v>48461098.14991346</v>
      </c>
      <c r="B11720">
        <v>154991212.84548295</v>
      </c>
    </row>
    <row r="11721" spans="1:2" x14ac:dyDescent="0.25">
      <c r="A11721">
        <f ca="1">33579.4694677783*((RANDBETWEEN(1620,2416)))</f>
        <v>56346349.766931921</v>
      </c>
      <c r="B11721">
        <v>188099844.2057851</v>
      </c>
    </row>
    <row r="11722" spans="1:2" x14ac:dyDescent="0.25">
      <c r="A11722">
        <f ca="1">28594.7100017171*((RANDBETWEEN(1620,2416)))</f>
        <v>53843838.933233216</v>
      </c>
      <c r="B11722">
        <v>179599239.70730102</v>
      </c>
    </row>
    <row r="11723" spans="1:2" x14ac:dyDescent="0.25">
      <c r="A11723">
        <f ca="1">27019.4129012211*((RANDBETWEEN(1620,2416)))</f>
        <v>56038262.357132643</v>
      </c>
      <c r="B11723">
        <v>187558384.70536697</v>
      </c>
    </row>
    <row r="11724" spans="1:2" x14ac:dyDescent="0.25">
      <c r="A11724">
        <f ca="1">29745.1068229327*((RANDBETWEEN(1620,2416)))</f>
        <v>68502981.013213962</v>
      </c>
      <c r="B11724">
        <v>178564142.3800106</v>
      </c>
    </row>
    <row r="11725" spans="1:2" x14ac:dyDescent="0.25">
      <c r="A11725">
        <f ca="1">27703.1964081567*((RANDBETWEEN(1620,2416)))</f>
        <v>66376858.59394338</v>
      </c>
      <c r="B11725">
        <v>153661194.78502879</v>
      </c>
    </row>
    <row r="11726" spans="1:2" x14ac:dyDescent="0.25">
      <c r="A11726">
        <f ca="1">25837.0490417734*((RANDBETWEEN(1620,2416)))</f>
        <v>44543072.548017412</v>
      </c>
      <c r="B11726">
        <v>151829939.15061107</v>
      </c>
    </row>
    <row r="11727" spans="1:2" x14ac:dyDescent="0.25">
      <c r="A11727">
        <f ca="1">28030.9155126384*((RANDBETWEEN(1620,2416)))</f>
        <v>52614028.417222328</v>
      </c>
      <c r="B11727">
        <v>172352877.39531499</v>
      </c>
    </row>
    <row r="11728" spans="1:2" x14ac:dyDescent="0.25">
      <c r="A11728">
        <f ca="1">27895.2943930494*((RANDBETWEEN(1620,2416)))</f>
        <v>61648600.608639166</v>
      </c>
      <c r="B11728">
        <v>177464954.05196339</v>
      </c>
    </row>
    <row r="11729" spans="1:2" x14ac:dyDescent="0.25">
      <c r="A11729">
        <f ca="1">28009.5508138993*((RANDBETWEEN(1620,2416)))</f>
        <v>54534595.434661999</v>
      </c>
      <c r="B11729">
        <v>161397941.52695221</v>
      </c>
    </row>
    <row r="11730" spans="1:2" x14ac:dyDescent="0.25">
      <c r="A11730">
        <f ca="1">28494.8322545617*((RANDBETWEEN(1620,2416)))</f>
        <v>48982616.645591572</v>
      </c>
      <c r="B11730">
        <v>168751976.99481818</v>
      </c>
    </row>
    <row r="11731" spans="1:2" x14ac:dyDescent="0.25">
      <c r="A11731">
        <f ca="1">31859.9527198356*((RANDBETWEEN(1620,2416)))</f>
        <v>64357104.494067952</v>
      </c>
      <c r="B11731">
        <v>169207155.54490185</v>
      </c>
    </row>
    <row r="11732" spans="1:2" x14ac:dyDescent="0.25">
      <c r="A11732">
        <f ca="1">28428.7787307228*((RANDBETWEEN(1620,2416)))</f>
        <v>46225194.216155328</v>
      </c>
      <c r="B11732">
        <v>184088354.34626564</v>
      </c>
    </row>
    <row r="11733" spans="1:2" x14ac:dyDescent="0.25">
      <c r="A11733">
        <f ca="1">28638.9080337678*((RANDBETWEEN(1620,2416)))</f>
        <v>58394733.480852634</v>
      </c>
      <c r="B11733">
        <v>199181272.44782734</v>
      </c>
    </row>
    <row r="11734" spans="1:2" x14ac:dyDescent="0.25">
      <c r="A11734">
        <f ca="1">26586.4795225894*((RANDBETWEEN(1620,2416)))</f>
        <v>46898549.877847701</v>
      </c>
      <c r="B11734">
        <v>146209305.0513078</v>
      </c>
    </row>
    <row r="11735" spans="1:2" x14ac:dyDescent="0.25">
      <c r="A11735">
        <f ca="1">27551.0496662748*((RANDBETWEEN(1620,2416)))</f>
        <v>55184752.481548429</v>
      </c>
      <c r="B11735">
        <v>152610803.69512704</v>
      </c>
    </row>
    <row r="11736" spans="1:2" x14ac:dyDescent="0.25">
      <c r="A11736">
        <f ca="1">27452.839116038*((RANDBETWEEN(1620,2416)))</f>
        <v>56388131.544341974</v>
      </c>
      <c r="B11736">
        <v>148427564.46997043</v>
      </c>
    </row>
    <row r="11737" spans="1:2" x14ac:dyDescent="0.25">
      <c r="A11737">
        <f ca="1">26525.981126599*((RANDBETWEEN(1620,2416)))</f>
        <v>61328068.364696816</v>
      </c>
      <c r="B11737">
        <v>158269072.61040914</v>
      </c>
    </row>
    <row r="11738" spans="1:2" x14ac:dyDescent="0.25">
      <c r="A11738">
        <f ca="1">26819.7782825577*((RANDBETWEEN(1620,2416)))</f>
        <v>51547613.859075978</v>
      </c>
      <c r="B11738">
        <v>186639704.17716181</v>
      </c>
    </row>
    <row r="11739" spans="1:2" x14ac:dyDescent="0.25">
      <c r="A11739">
        <f ca="1">26738.5053339819*((RANDBETWEEN(1620,2416)))</f>
        <v>51926177.358592845</v>
      </c>
      <c r="B11739">
        <v>190428300.46272612</v>
      </c>
    </row>
    <row r="11740" spans="1:2" x14ac:dyDescent="0.25">
      <c r="A11740">
        <f ca="1">32070.0811014041*((RANDBETWEEN(1620,2416)))</f>
        <v>74017747.182040706</v>
      </c>
      <c r="B11740">
        <v>169194054.43513396</v>
      </c>
    </row>
    <row r="11741" spans="1:2" x14ac:dyDescent="0.25">
      <c r="A11741">
        <f ca="1">28168.5395595116*((RANDBETWEEN(1620,2416)))</f>
        <v>50337180.192847237</v>
      </c>
      <c r="B11741">
        <v>157247385.05932456</v>
      </c>
    </row>
    <row r="11742" spans="1:2" x14ac:dyDescent="0.25">
      <c r="A11742">
        <f ca="1">26809.5810563789*((RANDBETWEEN(1620,2416)))</f>
        <v>47613815.956128985</v>
      </c>
      <c r="B11742">
        <v>149510598.06344214</v>
      </c>
    </row>
    <row r="11743" spans="1:2" x14ac:dyDescent="0.25">
      <c r="A11743">
        <f ca="1">26756.7327438675*((RANDBETWEEN(1620,2416)))</f>
        <v>47091849.629206806</v>
      </c>
      <c r="B11743">
        <v>149326946.69111353</v>
      </c>
    </row>
    <row r="11744" spans="1:2" x14ac:dyDescent="0.25">
      <c r="A11744">
        <f ca="1">26814.8017861525*((RANDBETWEEN(1620,2416)))</f>
        <v>55265306.481260255</v>
      </c>
      <c r="B11744">
        <v>179926230.06085259</v>
      </c>
    </row>
    <row r="11745" spans="1:2" x14ac:dyDescent="0.25">
      <c r="A11745">
        <f ca="1">26557.1560050783*((RANDBETWEEN(1620,2416)))</f>
        <v>51069410.997765608</v>
      </c>
      <c r="B11745">
        <v>152710799.01341277</v>
      </c>
    </row>
    <row r="11746" spans="1:2" x14ac:dyDescent="0.25">
      <c r="A11746">
        <f ca="1">32830.9946534641*((RANDBETWEEN(1620,2416)))</f>
        <v>68091482.911284521</v>
      </c>
      <c r="B11746">
        <v>162057230.77465042</v>
      </c>
    </row>
    <row r="11747" spans="1:2" x14ac:dyDescent="0.25">
      <c r="A11747">
        <f ca="1">26558.5437823654*((RANDBETWEEN(1620,2416)))</f>
        <v>58880291.565504164</v>
      </c>
      <c r="B11747">
        <v>184544857.0011847</v>
      </c>
    </row>
    <row r="11748" spans="1:2" x14ac:dyDescent="0.25">
      <c r="A11748">
        <f ca="1">26003.6231292727*((RANDBETWEEN(1620,2416)))</f>
        <v>42515923.816360824</v>
      </c>
      <c r="B11748">
        <v>167666681.25562093</v>
      </c>
    </row>
    <row r="11749" spans="1:2" x14ac:dyDescent="0.25">
      <c r="A11749">
        <f ca="1">29778.2338424315*((RANDBETWEEN(1620,2416)))</f>
        <v>63844533.358173057</v>
      </c>
      <c r="B11749">
        <v>177137244.48575932</v>
      </c>
    </row>
    <row r="11750" spans="1:2" x14ac:dyDescent="0.25">
      <c r="A11750">
        <f ca="1">26155.2625955502*((RANDBETWEEN(1620,2416)))</f>
        <v>61124848.685800776</v>
      </c>
      <c r="B11750">
        <v>154715760.00617933</v>
      </c>
    </row>
    <row r="11751" spans="1:2" x14ac:dyDescent="0.25">
      <c r="A11751">
        <f ca="1">29268.5797695849*((RANDBETWEEN(1620,2416)))</f>
        <v>48029739.401888788</v>
      </c>
      <c r="B11751">
        <v>159832806.87778205</v>
      </c>
    </row>
    <row r="11752" spans="1:2" x14ac:dyDescent="0.25">
      <c r="A11752">
        <f ca="1">29641.9478684999*((RANDBETWEEN(1620,2416)))</f>
        <v>48494226.712865785</v>
      </c>
      <c r="B11752">
        <v>187963102.51967409</v>
      </c>
    </row>
    <row r="11753" spans="1:2" x14ac:dyDescent="0.25">
      <c r="A11753">
        <f ca="1">26475.9928000775*((RANDBETWEEN(1620,2416)))</f>
        <v>60603547.519377381</v>
      </c>
      <c r="B11753">
        <v>161598330.08531639</v>
      </c>
    </row>
    <row r="11754" spans="1:2" x14ac:dyDescent="0.25">
      <c r="A11754">
        <f ca="1">27929.4025045994*((RANDBETWEEN(1620,2416)))</f>
        <v>49127819.005590424</v>
      </c>
      <c r="B11754">
        <v>169313755.40546465</v>
      </c>
    </row>
    <row r="11755" spans="1:2" x14ac:dyDescent="0.25">
      <c r="A11755">
        <f ca="1">28161.096047178*((RANDBETWEEN(1620,2416)))</f>
        <v>51084228.229580857</v>
      </c>
      <c r="B11755">
        <v>185445027.37757286</v>
      </c>
    </row>
    <row r="11756" spans="1:2" x14ac:dyDescent="0.25">
      <c r="A11756">
        <f ca="1">26657.8312061424*((RANDBETWEEN(1620,2416)))</f>
        <v>57074416.612350821</v>
      </c>
      <c r="B11756">
        <v>171078518.00269562</v>
      </c>
    </row>
    <row r="11757" spans="1:2" x14ac:dyDescent="0.25">
      <c r="A11757">
        <f ca="1">27998.3564363203*((RANDBETWEEN(1620,2416)))</f>
        <v>55884719.446895346</v>
      </c>
      <c r="B11757">
        <v>173754864.46830547</v>
      </c>
    </row>
    <row r="11758" spans="1:2" x14ac:dyDescent="0.25">
      <c r="A11758">
        <f ca="1">26645.9698281904*((RANDBETWEEN(1620,2416)))</f>
        <v>56222996.33748164</v>
      </c>
      <c r="B11758">
        <v>169959822.70061323</v>
      </c>
    </row>
    <row r="11759" spans="1:2" x14ac:dyDescent="0.25">
      <c r="A11759">
        <f ca="1">29244.0177836157*((RANDBETWEEN(1620,2416)))</f>
        <v>67378216.973450556</v>
      </c>
      <c r="B11759">
        <v>175030436.92289811</v>
      </c>
    </row>
    <row r="11760" spans="1:2" x14ac:dyDescent="0.25">
      <c r="A11760">
        <f ca="1">27590.9735001878*((RANDBETWEEN(1620,2416)))</f>
        <v>45718243.089811161</v>
      </c>
      <c r="B11760">
        <v>148300471.98165488</v>
      </c>
    </row>
    <row r="11761" spans="1:2" x14ac:dyDescent="0.25">
      <c r="A11761">
        <f ca="1">25861.3129945521*((RANDBETWEEN(1620,2416)))</f>
        <v>47998596.917888701</v>
      </c>
      <c r="B11761">
        <v>147604594.63498861</v>
      </c>
    </row>
    <row r="11762" spans="1:2" x14ac:dyDescent="0.25">
      <c r="A11762">
        <f ca="1">27912.7996778336*((RANDBETWEEN(1620,2416)))</f>
        <v>48093753.844907321</v>
      </c>
      <c r="B11762">
        <v>172588600.88119137</v>
      </c>
    </row>
    <row r="11763" spans="1:2" x14ac:dyDescent="0.25">
      <c r="A11763">
        <f ca="1">32208.4758414742*((RANDBETWEEN(1620,2416)))</f>
        <v>76559547.075184166</v>
      </c>
      <c r="B11763">
        <v>163431207.39367923</v>
      </c>
    </row>
    <row r="11764" spans="1:2" x14ac:dyDescent="0.25">
      <c r="A11764">
        <f ca="1">28877.0694249724*((RANDBETWEEN(1620,2416)))</f>
        <v>66186243.122036815</v>
      </c>
      <c r="B11764">
        <v>175495386.92034647</v>
      </c>
    </row>
    <row r="11765" spans="1:2" x14ac:dyDescent="0.25">
      <c r="A11765">
        <f ca="1">26870.2041814047*((RANDBETWEEN(1620,2416)))</f>
        <v>58362083.48201111</v>
      </c>
      <c r="B11765">
        <v>152551537.94419473</v>
      </c>
    </row>
    <row r="11766" spans="1:2" x14ac:dyDescent="0.25">
      <c r="A11766">
        <f ca="1">28037.9413205215*((RANDBETWEEN(1620,2416)))</f>
        <v>67403210.934533641</v>
      </c>
      <c r="B11766">
        <v>197470450.11441958</v>
      </c>
    </row>
    <row r="11767" spans="1:2" x14ac:dyDescent="0.25">
      <c r="A11767">
        <f ca="1">27748.7570200689*((RANDBETWEEN(1620,2416)))</f>
        <v>55664006.582258143</v>
      </c>
      <c r="B11767">
        <v>171358735.35246894</v>
      </c>
    </row>
    <row r="11768" spans="1:2" x14ac:dyDescent="0.25">
      <c r="A11768">
        <f ca="1">31224.7352307368*((RANDBETWEEN(1620,2416)))</f>
        <v>53550420.920713663</v>
      </c>
      <c r="B11768">
        <v>181990649.37287202</v>
      </c>
    </row>
    <row r="11769" spans="1:2" x14ac:dyDescent="0.25">
      <c r="A11769">
        <f ca="1">26953.482538557*((RANDBETWEEN(1620,2416)))</f>
        <v>47087733.994859107</v>
      </c>
      <c r="B11769">
        <v>159686944.28778726</v>
      </c>
    </row>
    <row r="11770" spans="1:2" x14ac:dyDescent="0.25">
      <c r="A11770">
        <f ca="1">28621.7976304092*((RANDBETWEEN(1620,2416)))</f>
        <v>68778179.705873325</v>
      </c>
      <c r="B11770">
        <v>146979277.59274077</v>
      </c>
    </row>
    <row r="11771" spans="1:2" x14ac:dyDescent="0.25">
      <c r="A11771">
        <f ca="1">26251.6384577148*((RANDBETWEEN(1620,2416)))</f>
        <v>49248073.746673048</v>
      </c>
      <c r="B11771">
        <v>170301416.15093061</v>
      </c>
    </row>
    <row r="11772" spans="1:2" x14ac:dyDescent="0.25">
      <c r="A11772">
        <f ca="1">26692.4486728457*((RANDBETWEEN(1620,2416)))</f>
        <v>60191471.757267147</v>
      </c>
      <c r="B11772">
        <v>170323591.34578708</v>
      </c>
    </row>
    <row r="11773" spans="1:2" x14ac:dyDescent="0.25">
      <c r="A11773">
        <f ca="1">26448.5407775529*((RANDBETWEEN(1620,2416)))</f>
        <v>47554476.318040147</v>
      </c>
      <c r="B11773">
        <v>158115407.08441436</v>
      </c>
    </row>
    <row r="11774" spans="1:2" x14ac:dyDescent="0.25">
      <c r="A11774">
        <f ca="1">27667.6773425053*((RANDBETWEEN(1620,2416)))</f>
        <v>57936116.355206184</v>
      </c>
      <c r="B11774">
        <v>160888388.35846666</v>
      </c>
    </row>
    <row r="11775" spans="1:2" x14ac:dyDescent="0.25">
      <c r="A11775">
        <f ca="1">32376.7218175304*((RANDBETWEEN(1620,2416)))</f>
        <v>70063226.013135731</v>
      </c>
      <c r="B11775">
        <v>144749933.13252974</v>
      </c>
    </row>
    <row r="11776" spans="1:2" x14ac:dyDescent="0.25">
      <c r="A11776">
        <f ca="1">27065.0497501108*((RANDBETWEEN(1620,2416)))</f>
        <v>62574395.022256263</v>
      </c>
      <c r="B11776">
        <v>145030587.91067806</v>
      </c>
    </row>
    <row r="11777" spans="1:2" x14ac:dyDescent="0.25">
      <c r="A11777">
        <f ca="1">27142.3626816386*((RANDBETWEEN(1620,2416)))</f>
        <v>53334742.669419937</v>
      </c>
      <c r="B11777">
        <v>156548270.7815235</v>
      </c>
    </row>
    <row r="11778" spans="1:2" x14ac:dyDescent="0.25">
      <c r="A11778">
        <f ca="1">27331.8707267337*((RANDBETWEEN(1620,2416)))</f>
        <v>61934019.066778652</v>
      </c>
      <c r="B11778">
        <v>184474727.74273756</v>
      </c>
    </row>
    <row r="11779" spans="1:2" x14ac:dyDescent="0.25">
      <c r="A11779">
        <f ca="1">27692.766683857*((RANDBETWEEN(1620,2416)))</f>
        <v>54970141.867456153</v>
      </c>
      <c r="B11779">
        <v>158184876.93882784</v>
      </c>
    </row>
    <row r="11780" spans="1:2" x14ac:dyDescent="0.25">
      <c r="A11780">
        <f ca="1">26396.8637857035*((RANDBETWEEN(1620,2416)))</f>
        <v>47699132.860766269</v>
      </c>
      <c r="B11780">
        <v>173390043.42514125</v>
      </c>
    </row>
    <row r="11781" spans="1:2" x14ac:dyDescent="0.25">
      <c r="A11781">
        <f ca="1">33554.0505803069*((RANDBETWEEN(1620,2416)))</f>
        <v>77811843.295731738</v>
      </c>
      <c r="B11781">
        <v>180975423.50703102</v>
      </c>
    </row>
    <row r="11782" spans="1:2" x14ac:dyDescent="0.25">
      <c r="A11782">
        <f ca="1">27603.8741346824*((RANDBETWEEN(1620,2416)))</f>
        <v>48417195.232232921</v>
      </c>
      <c r="B11782">
        <v>154106919.61723208</v>
      </c>
    </row>
    <row r="11783" spans="1:2" x14ac:dyDescent="0.25">
      <c r="A11783">
        <f ca="1">28182.015751712*((RANDBETWEEN(1620,2416)))</f>
        <v>46246687.848559409</v>
      </c>
      <c r="B11783">
        <v>172968135.01313823</v>
      </c>
    </row>
    <row r="11784" spans="1:2" x14ac:dyDescent="0.25">
      <c r="A11784">
        <f ca="1">30000.8650406097*((RANDBETWEEN(1620,2416)))</f>
        <v>71582063.986894742</v>
      </c>
      <c r="B11784">
        <v>170734582.60842896</v>
      </c>
    </row>
    <row r="11785" spans="1:2" x14ac:dyDescent="0.25">
      <c r="A11785">
        <f ca="1">31913.8506262679*((RANDBETWEEN(1620,2416)))</f>
        <v>64210667.460050978</v>
      </c>
      <c r="B11785">
        <v>167089170.14257684</v>
      </c>
    </row>
    <row r="11786" spans="1:2" x14ac:dyDescent="0.25">
      <c r="A11786">
        <f ca="1">29833.999938327*((RANDBETWEEN(1620,2416)))</f>
        <v>70945251.853341624</v>
      </c>
      <c r="B11786">
        <v>165792450.890524</v>
      </c>
    </row>
    <row r="11787" spans="1:2" x14ac:dyDescent="0.25">
      <c r="A11787">
        <f ca="1">29400.0566816587*((RANDBETWEEN(1620,2416)))</f>
        <v>57859311.549504325</v>
      </c>
      <c r="B11787">
        <v>188967034.35842049</v>
      </c>
    </row>
    <row r="11788" spans="1:2" x14ac:dyDescent="0.25">
      <c r="A11788">
        <f ca="1">26917.6874759855*((RANDBETWEEN(1620,2416)))</f>
        <v>64737038.37974517</v>
      </c>
      <c r="B11788">
        <v>162651279.63853335</v>
      </c>
    </row>
    <row r="11789" spans="1:2" x14ac:dyDescent="0.25">
      <c r="A11789">
        <f ca="1">27869.0452829034*((RANDBETWEEN(1620,2416)))</f>
        <v>57493840.418629684</v>
      </c>
      <c r="B11789">
        <v>163883056.14209023</v>
      </c>
    </row>
    <row r="11790" spans="1:2" x14ac:dyDescent="0.25">
      <c r="A11790">
        <f ca="1">27881.8393481148*((RANDBETWEEN(1620,2416)))</f>
        <v>66135722.933728278</v>
      </c>
      <c r="B11790">
        <v>183411279.13569948</v>
      </c>
    </row>
    <row r="11791" spans="1:2" x14ac:dyDescent="0.25">
      <c r="A11791">
        <f ca="1">25903.630116844*((RANDBETWEEN(1620,2416)))</f>
        <v>43440387.705947421</v>
      </c>
      <c r="B11791">
        <v>148022206.89394665</v>
      </c>
    </row>
    <row r="11792" spans="1:2" x14ac:dyDescent="0.25">
      <c r="A11792">
        <f ca="1">27044.2471243387*((RANDBETWEEN(1620,2416)))</f>
        <v>56468387.995619245</v>
      </c>
      <c r="B11792">
        <v>149914311.77049848</v>
      </c>
    </row>
    <row r="11793" spans="1:2" x14ac:dyDescent="0.25">
      <c r="A11793">
        <f ca="1">29761.5682614512*((RANDBETWEEN(1620,2416)))</f>
        <v>62201677.666432962</v>
      </c>
      <c r="B11793">
        <v>145415475.94759369</v>
      </c>
    </row>
    <row r="11794" spans="1:2" x14ac:dyDescent="0.25">
      <c r="A11794">
        <f ca="1">27351.1949413764*((RANDBETWEEN(1620,2416)))</f>
        <v>61157271.888917737</v>
      </c>
      <c r="B11794">
        <v>168514234.51166502</v>
      </c>
    </row>
    <row r="11795" spans="1:2" x14ac:dyDescent="0.25">
      <c r="A11795">
        <f ca="1">25933.8526214774*((RANDBETWEEN(1620,2416)))</f>
        <v>48211032.023326524</v>
      </c>
      <c r="B11795">
        <v>164057021.30646724</v>
      </c>
    </row>
    <row r="11796" spans="1:2" x14ac:dyDescent="0.25">
      <c r="A11796">
        <f ca="1">25571.2209615105*((RANDBETWEEN(1620,2416)))</f>
        <v>50605446.282829352</v>
      </c>
      <c r="B11796">
        <v>148874813.15207946</v>
      </c>
    </row>
    <row r="11797" spans="1:2" x14ac:dyDescent="0.25">
      <c r="A11797">
        <f ca="1">29569.8444551665*((RANDBETWEEN(1620,2416)))</f>
        <v>48938092.57330063</v>
      </c>
      <c r="B11797">
        <v>182387162.98518774</v>
      </c>
    </row>
    <row r="11798" spans="1:2" x14ac:dyDescent="0.25">
      <c r="A11798">
        <f ca="1">27510.8817903361*((RANDBETWEEN(1620,2416)))</f>
        <v>48694260.768894933</v>
      </c>
      <c r="B11798">
        <v>198268995.39248466</v>
      </c>
    </row>
    <row r="11799" spans="1:2" x14ac:dyDescent="0.25">
      <c r="A11799">
        <f ca="1">29064.6725541389*((RANDBETWEEN(1620,2416)))</f>
        <v>50601594.916755825</v>
      </c>
      <c r="B11799">
        <v>153363586.02830419</v>
      </c>
    </row>
    <row r="11800" spans="1:2" x14ac:dyDescent="0.25">
      <c r="A11800">
        <f ca="1">31548.5013843188*((RANDBETWEEN(1620,2416)))</f>
        <v>62466032.740951166</v>
      </c>
      <c r="B11800">
        <v>156714100.04967514</v>
      </c>
    </row>
    <row r="11801" spans="1:2" x14ac:dyDescent="0.25">
      <c r="A11801">
        <f ca="1">26230.1694094864*((RANDBETWEEN(1620,2416)))</f>
        <v>60617921.505323127</v>
      </c>
      <c r="B11801">
        <v>150435215.74368203</v>
      </c>
    </row>
    <row r="11802" spans="1:2" x14ac:dyDescent="0.25">
      <c r="A11802">
        <f ca="1">29361.2421516331*((RANDBETWEEN(1620,2416)))</f>
        <v>56814003.563410051</v>
      </c>
      <c r="B11802">
        <v>157699206.78524476</v>
      </c>
    </row>
    <row r="11803" spans="1:2" x14ac:dyDescent="0.25">
      <c r="A11803">
        <f ca="1">27849.250282255*((RANDBETWEEN(1620,2416)))</f>
        <v>47343725.479833536</v>
      </c>
      <c r="B11803">
        <v>186945188.2263357</v>
      </c>
    </row>
    <row r="11804" spans="1:2" x14ac:dyDescent="0.25">
      <c r="A11804">
        <f ca="1">27590.0528989373*((RANDBETWEEN(1620,2416)))</f>
        <v>62767370.345082425</v>
      </c>
      <c r="B11804">
        <v>164678447.99888664</v>
      </c>
    </row>
    <row r="11805" spans="1:2" x14ac:dyDescent="0.25">
      <c r="A11805">
        <f ca="1">28472.5759274029*((RANDBETWEEN(1620,2416)))</f>
        <v>46837387.400577791</v>
      </c>
      <c r="B11805">
        <v>158643857.01074377</v>
      </c>
    </row>
    <row r="11806" spans="1:2" x14ac:dyDescent="0.25">
      <c r="A11806">
        <f ca="1">28443.472579668*((RANDBETWEEN(1620,2416)))</f>
        <v>62006770.223676197</v>
      </c>
      <c r="B11806">
        <v>148531413.53197283</v>
      </c>
    </row>
    <row r="11807" spans="1:2" x14ac:dyDescent="0.25">
      <c r="A11807">
        <f ca="1">27589.909907006*((RANDBETWEEN(1620,2416)))</f>
        <v>57552552.066014484</v>
      </c>
      <c r="B11807">
        <v>193881380.90523267</v>
      </c>
    </row>
    <row r="11808" spans="1:2" x14ac:dyDescent="0.25">
      <c r="A11808">
        <f ca="1">25405.7328584178*((RANDBETWEEN(1620,2416)))</f>
        <v>61024570.325919606</v>
      </c>
      <c r="B11808">
        <v>147788949.13901097</v>
      </c>
    </row>
    <row r="11809" spans="1:2" x14ac:dyDescent="0.25">
      <c r="A11809">
        <f ca="1">27822.2717010723*((RANDBETWEEN(1620,2416)))</f>
        <v>66439584.822160617</v>
      </c>
      <c r="B11809">
        <v>164761907.39380741</v>
      </c>
    </row>
    <row r="11810" spans="1:2" x14ac:dyDescent="0.25">
      <c r="A11810">
        <f ca="1">26138.463775317*((RANDBETWEEN(1620,2416)))</f>
        <v>56223835.580706954</v>
      </c>
      <c r="B11810">
        <v>177500481.1180554</v>
      </c>
    </row>
    <row r="11811" spans="1:2" x14ac:dyDescent="0.25">
      <c r="A11811">
        <f ca="1">28154.0479461713*((RANDBETWEEN(1620,2416)))</f>
        <v>54815931.351195656</v>
      </c>
      <c r="B11811">
        <v>148935100.24321467</v>
      </c>
    </row>
    <row r="11812" spans="1:2" x14ac:dyDescent="0.25">
      <c r="A11812">
        <f ca="1">26077.3739678207*((RANDBETWEEN(1620,2416)))</f>
        <v>57291990.60730201</v>
      </c>
      <c r="B11812">
        <v>149443259.35662812</v>
      </c>
    </row>
    <row r="11813" spans="1:2" x14ac:dyDescent="0.25">
      <c r="A11813">
        <f ca="1">29986.5057650618*((RANDBETWEEN(1620,2416)))</f>
        <v>52596331.111918367</v>
      </c>
      <c r="B11813">
        <v>170996494.25197044</v>
      </c>
    </row>
    <row r="11814" spans="1:2" x14ac:dyDescent="0.25">
      <c r="A11814">
        <f ca="1">29399.3887380427*((RANDBETWEEN(1620,2416)))</f>
        <v>47774006.69931937</v>
      </c>
      <c r="B11814">
        <v>190210662.60056359</v>
      </c>
    </row>
    <row r="11815" spans="1:2" x14ac:dyDescent="0.25">
      <c r="A11815">
        <f ca="1">28383.1985643959*((RANDBETWEEN(1620,2416)))</f>
        <v>66132852.65504238</v>
      </c>
      <c r="B11815">
        <v>180683642.7994563</v>
      </c>
    </row>
    <row r="11816" spans="1:2" x14ac:dyDescent="0.25">
      <c r="A11816">
        <f ca="1">30540.9263433644*((RANDBETWEEN(1620,2416)))</f>
        <v>67556529.071522042</v>
      </c>
      <c r="B11816">
        <v>166737788.91484931</v>
      </c>
    </row>
    <row r="11817" spans="1:2" x14ac:dyDescent="0.25">
      <c r="A11817">
        <f ca="1">24375.072891425*((RANDBETWEEN(1620,2416)))</f>
        <v>40950122.457594</v>
      </c>
      <c r="B11817">
        <v>146591321.89389956</v>
      </c>
    </row>
    <row r="11818" spans="1:2" x14ac:dyDescent="0.25">
      <c r="A11818">
        <f ca="1">27093.1855680939*((RANDBETWEEN(1620,2416)))</f>
        <v>64563061.208767697</v>
      </c>
      <c r="B11818">
        <v>188625682.45100859</v>
      </c>
    </row>
    <row r="11819" spans="1:2" x14ac:dyDescent="0.25">
      <c r="A11819">
        <f ca="1">35677.5678258253*((RANDBETWEEN(1620,2416)))</f>
        <v>80203172.472455189</v>
      </c>
      <c r="B11819">
        <v>150177142.61857188</v>
      </c>
    </row>
    <row r="11820" spans="1:2" x14ac:dyDescent="0.25">
      <c r="A11820">
        <f ca="1">26683.4893525587*((RANDBETWEEN(1620,2416)))</f>
        <v>53633813.598643057</v>
      </c>
      <c r="B11820">
        <v>150229248.15173739</v>
      </c>
    </row>
    <row r="11821" spans="1:2" x14ac:dyDescent="0.25">
      <c r="A11821">
        <f ca="1">35838.367314596*((RANDBETWEEN(1620,2416)))</f>
        <v>63218879.94294738</v>
      </c>
      <c r="B11821">
        <v>177253913.646862</v>
      </c>
    </row>
    <row r="11822" spans="1:2" x14ac:dyDescent="0.25">
      <c r="A11822">
        <f ca="1">27801.4850362668*((RANDBETWEEN(1620,2416)))</f>
        <v>65222283.895081945</v>
      </c>
      <c r="B11822">
        <v>158382672.49296847</v>
      </c>
    </row>
    <row r="11823" spans="1:2" x14ac:dyDescent="0.25">
      <c r="A11823">
        <f ca="1">27473.501691355*((RANDBETWEEN(1620,2416)))</f>
        <v>46320323.851624608</v>
      </c>
      <c r="B11823">
        <v>146816726.16874546</v>
      </c>
    </row>
    <row r="11824" spans="1:2" x14ac:dyDescent="0.25">
      <c r="A11824">
        <f ca="1">31033.0793420572*((RANDBETWEEN(1620,2416)))</f>
        <v>59707644.654118128</v>
      </c>
      <c r="B11824">
        <v>190735323.429905</v>
      </c>
    </row>
    <row r="11825" spans="1:2" x14ac:dyDescent="0.25">
      <c r="A11825">
        <f ca="1">30577.7716221035*((RANDBETWEEN(1620,2416)))</f>
        <v>58709321.514438652</v>
      </c>
      <c r="B11825">
        <v>193804006.61272302</v>
      </c>
    </row>
    <row r="11826" spans="1:2" x14ac:dyDescent="0.25">
      <c r="A11826">
        <f ca="1">27160.9897825298*((RANDBETWEEN(1620,2416)))</f>
        <v>53833081.748974003</v>
      </c>
      <c r="B11826">
        <v>165026925.09857899</v>
      </c>
    </row>
    <row r="11827" spans="1:2" x14ac:dyDescent="0.25">
      <c r="A11827">
        <f ca="1">27294.3796268688*((RANDBETWEEN(1620,2416)))</f>
        <v>64578502.197171509</v>
      </c>
      <c r="B11827">
        <v>172175002.92472136</v>
      </c>
    </row>
    <row r="11828" spans="1:2" x14ac:dyDescent="0.25">
      <c r="A11828">
        <f ca="1">29094.1478711697*((RANDBETWEEN(1620,2416)))</f>
        <v>59119308.474216878</v>
      </c>
      <c r="B11828">
        <v>157784970.68455312</v>
      </c>
    </row>
    <row r="11829" spans="1:2" x14ac:dyDescent="0.25">
      <c r="A11829">
        <f ca="1">28270.2364206084*((RANDBETWEEN(1620,2416)))</f>
        <v>55918527.639963508</v>
      </c>
      <c r="B11829">
        <v>145679583.50987414</v>
      </c>
    </row>
    <row r="11830" spans="1:2" x14ac:dyDescent="0.25">
      <c r="A11830">
        <f ca="1">24571.7649856044*((RANDBETWEEN(1620,2416)))</f>
        <v>42607440.485038042</v>
      </c>
      <c r="B11830">
        <v>149523503.11973035</v>
      </c>
    </row>
    <row r="11831" spans="1:2" x14ac:dyDescent="0.25">
      <c r="A11831">
        <f ca="1">26684.5473060091*((RANDBETWEEN(1620,2416)))</f>
        <v>52194974.530553862</v>
      </c>
      <c r="B11831">
        <v>147205416.72760728</v>
      </c>
    </row>
    <row r="11832" spans="1:2" x14ac:dyDescent="0.25">
      <c r="A11832">
        <f ca="1">33499.8647085516*((RANDBETWEEN(1620,2416)))</f>
        <v>57921266.081085674</v>
      </c>
      <c r="B11832">
        <v>150371942.97054791</v>
      </c>
    </row>
    <row r="11833" spans="1:2" x14ac:dyDescent="0.25">
      <c r="A11833">
        <f ca="1">29591.2280627995*((RANDBETWEEN(1620,2416)))</f>
        <v>69509794.719516143</v>
      </c>
      <c r="B11833">
        <v>144384684.87483329</v>
      </c>
    </row>
    <row r="11834" spans="1:2" x14ac:dyDescent="0.25">
      <c r="A11834">
        <f ca="1">29220.04106614*((RANDBETWEEN(1620,2416)))</f>
        <v>61186765.992497161</v>
      </c>
      <c r="B11834">
        <v>185714767.54613692</v>
      </c>
    </row>
    <row r="11835" spans="1:2" x14ac:dyDescent="0.25">
      <c r="A11835">
        <f ca="1">29304.1220981182*((RANDBETWEEN(1620,2416)))</f>
        <v>56058785.573700063</v>
      </c>
      <c r="B11835">
        <v>179235953.28769532</v>
      </c>
    </row>
    <row r="11836" spans="1:2" x14ac:dyDescent="0.25">
      <c r="A11836">
        <f ca="1">27085.8142641023*((RANDBETWEEN(1620,2416)))</f>
        <v>45314567.263843104</v>
      </c>
      <c r="B11836">
        <v>155483292.69010413</v>
      </c>
    </row>
    <row r="11837" spans="1:2" x14ac:dyDescent="0.25">
      <c r="A11837">
        <f ca="1">33085.5749410815*((RANDBETWEEN(1620,2416)))</f>
        <v>76162993.514369637</v>
      </c>
      <c r="B11837">
        <v>177808012.25159505</v>
      </c>
    </row>
    <row r="11838" spans="1:2" x14ac:dyDescent="0.25">
      <c r="A11838">
        <f ca="1">26990.4690884366*((RANDBETWEEN(1620,2416)))</f>
        <v>50418196.257199556</v>
      </c>
      <c r="B11838">
        <v>197232406.70722449</v>
      </c>
    </row>
    <row r="11839" spans="1:2" x14ac:dyDescent="0.25">
      <c r="A11839">
        <f ca="1">26771.693928359*((RANDBETWEEN(1620,2416)))</f>
        <v>60423713.196306318</v>
      </c>
      <c r="B11839">
        <v>158274235.53508219</v>
      </c>
    </row>
    <row r="11840" spans="1:2" x14ac:dyDescent="0.25">
      <c r="A11840">
        <f ca="1">29547.8974360695*((RANDBETWEEN(1620,2416)))</f>
        <v>59716300.718296461</v>
      </c>
      <c r="B11840">
        <v>162584063.76995948</v>
      </c>
    </row>
    <row r="11841" spans="1:2" x14ac:dyDescent="0.25">
      <c r="A11841">
        <f ca="1">27736.3782222588*((RANDBETWEEN(1620,2416)))</f>
        <v>54807083.367183372</v>
      </c>
      <c r="B11841">
        <v>164887718.05546349</v>
      </c>
    </row>
    <row r="11842" spans="1:2" x14ac:dyDescent="0.25">
      <c r="A11842">
        <f ca="1">26789.0466668092*((RANDBETWEEN(1620,2416)))</f>
        <v>62284533.500331491</v>
      </c>
      <c r="B11842">
        <v>175483510.28290609</v>
      </c>
    </row>
    <row r="11843" spans="1:2" x14ac:dyDescent="0.25">
      <c r="A11843">
        <f ca="1">30707.34168499*((RANDBETWEEN(1620,2416)))</f>
        <v>54536238.832542323</v>
      </c>
      <c r="B11843">
        <v>170249264.35850549</v>
      </c>
    </row>
    <row r="11844" spans="1:2" x14ac:dyDescent="0.25">
      <c r="A11844">
        <f ca="1">26088.1704865501*((RANDBETWEEN(1620,2416)))</f>
        <v>57159181.536031343</v>
      </c>
      <c r="B11844">
        <v>157052769.43647859</v>
      </c>
    </row>
    <row r="11845" spans="1:2" x14ac:dyDescent="0.25">
      <c r="A11845">
        <f ca="1">27759.6442430258*((RANDBETWEEN(1620,2416)))</f>
        <v>67039540.846907251</v>
      </c>
      <c r="B11845">
        <v>145611958.86606643</v>
      </c>
    </row>
    <row r="11846" spans="1:2" x14ac:dyDescent="0.25">
      <c r="A11846">
        <f ca="1">26236.9054681537*((RANDBETWEEN(1620,2416)))</f>
        <v>49351619.185597129</v>
      </c>
      <c r="B11846">
        <v>143634478.20071366</v>
      </c>
    </row>
    <row r="11847" spans="1:2" x14ac:dyDescent="0.25">
      <c r="A11847">
        <f ca="1">28849.7007621272*((RANDBETWEEN(1620,2416)))</f>
        <v>49592635.610096671</v>
      </c>
      <c r="B11847">
        <v>171960820.55368379</v>
      </c>
    </row>
    <row r="11848" spans="1:2" x14ac:dyDescent="0.25">
      <c r="A11848">
        <f ca="1">27797.9125092763*((RANDBETWEEN(1620,2416)))</f>
        <v>60877428.395315029</v>
      </c>
      <c r="B11848">
        <v>160307509.28396925</v>
      </c>
    </row>
    <row r="11849" spans="1:2" x14ac:dyDescent="0.25">
      <c r="A11849">
        <f ca="1">26889.0112339397*((RANDBETWEEN(1620,2416)))</f>
        <v>47270881.749266036</v>
      </c>
      <c r="B11849">
        <v>158213372.63006747</v>
      </c>
    </row>
    <row r="11850" spans="1:2" x14ac:dyDescent="0.25">
      <c r="A11850">
        <f ca="1">26948.7374349359*((RANDBETWEEN(1620,2416)))</f>
        <v>47106393.036267936</v>
      </c>
      <c r="B11850">
        <v>196579519.87646651</v>
      </c>
    </row>
    <row r="11851" spans="1:2" x14ac:dyDescent="0.25">
      <c r="A11851">
        <f ca="1">28668.014975019*((RANDBETWEEN(1620,2416)))</f>
        <v>64445697.663842611</v>
      </c>
      <c r="B11851">
        <v>174969420.1519759</v>
      </c>
    </row>
    <row r="11852" spans="1:2" x14ac:dyDescent="0.25">
      <c r="A11852">
        <f ca="1">31116.4214940254*((RANDBETWEEN(1620,2416)))</f>
        <v>70758742.477413818</v>
      </c>
      <c r="B11852">
        <v>202505497.63508424</v>
      </c>
    </row>
    <row r="11853" spans="1:2" x14ac:dyDescent="0.25">
      <c r="A11853">
        <f ca="1">26733.4975145409*((RANDBETWEEN(1620,2416)))</f>
        <v>44912275.82442873</v>
      </c>
      <c r="B11853">
        <v>187363500.76404721</v>
      </c>
    </row>
    <row r="11854" spans="1:2" x14ac:dyDescent="0.25">
      <c r="A11854">
        <f ca="1">27662.6827421976*((RANDBETWEEN(1620,2416)))</f>
        <v>55519004.263590582</v>
      </c>
      <c r="B11854">
        <v>146372645.86015043</v>
      </c>
    </row>
    <row r="11855" spans="1:2" x14ac:dyDescent="0.25">
      <c r="A11855">
        <f ca="1">32680.7255237237*((RANDBETWEEN(1620,2416)))</f>
        <v>74185246.938852772</v>
      </c>
      <c r="B11855">
        <v>168034566.04355544</v>
      </c>
    </row>
    <row r="11856" spans="1:2" x14ac:dyDescent="0.25">
      <c r="A11856">
        <f ca="1">28211.026171549*((RANDBETWEEN(1620,2416)))</f>
        <v>52275031.495880373</v>
      </c>
      <c r="B11856">
        <v>194072040.1877633</v>
      </c>
    </row>
    <row r="11857" spans="1:2" x14ac:dyDescent="0.25">
      <c r="A11857">
        <f ca="1">32896.9298796777*((RANDBETWEEN(1620,2416)))</f>
        <v>70728399.241307005</v>
      </c>
      <c r="B11857">
        <v>197369098.56932274</v>
      </c>
    </row>
    <row r="11858" spans="1:2" x14ac:dyDescent="0.25">
      <c r="A11858">
        <f ca="1">27756.9083834335*((RANDBETWEEN(1620,2416)))</f>
        <v>51489065.051269114</v>
      </c>
      <c r="B11858">
        <v>145883063.86650184</v>
      </c>
    </row>
    <row r="11859" spans="1:2" x14ac:dyDescent="0.25">
      <c r="A11859">
        <f ca="1">28299.2435149673*((RANDBETWEEN(1620,2416)))</f>
        <v>65625945.711209103</v>
      </c>
      <c r="B11859">
        <v>143382165.74367011</v>
      </c>
    </row>
    <row r="11860" spans="1:2" x14ac:dyDescent="0.25">
      <c r="A11860">
        <f ca="1">29616.5303971711*((RANDBETWEEN(1620,2416)))</f>
        <v>68354952.156670868</v>
      </c>
      <c r="B11860">
        <v>164924438.82392988</v>
      </c>
    </row>
    <row r="11861" spans="1:2" x14ac:dyDescent="0.25">
      <c r="A11861">
        <f ca="1">25349.8225179457*((RANDBETWEEN(1620,2416)))</f>
        <v>51409440.066393934</v>
      </c>
      <c r="B11861">
        <v>151880741.43828008</v>
      </c>
    </row>
    <row r="11862" spans="1:2" x14ac:dyDescent="0.25">
      <c r="A11862">
        <f ca="1">27569.8680707674*((RANDBETWEEN(1620,2416)))</f>
        <v>53899092.078350201</v>
      </c>
      <c r="B11862">
        <v>165863878.70630515</v>
      </c>
    </row>
    <row r="11863" spans="1:2" x14ac:dyDescent="0.25">
      <c r="A11863">
        <f ca="1">28095.4049257176*((RANDBETWEEN(1620,2416)))</f>
        <v>51948403.707651861</v>
      </c>
      <c r="B11863">
        <v>158780744.22969091</v>
      </c>
    </row>
    <row r="11864" spans="1:2" x14ac:dyDescent="0.25">
      <c r="A11864">
        <f ca="1">26623.60475415*((RANDBETWEEN(1620,2416)))</f>
        <v>59823239.882574968</v>
      </c>
      <c r="B11864">
        <v>163900139.96022528</v>
      </c>
    </row>
    <row r="11865" spans="1:2" x14ac:dyDescent="0.25">
      <c r="A11865">
        <f ca="1">27418.9786390585*((RANDBETWEEN(1620,2416)))</f>
        <v>59745954.454508573</v>
      </c>
      <c r="B11865">
        <v>199363898.08990899</v>
      </c>
    </row>
    <row r="11866" spans="1:2" x14ac:dyDescent="0.25">
      <c r="A11866">
        <f ca="1">30199.2782291619*((RANDBETWEEN(1620,2416)))</f>
        <v>58948991.103323944</v>
      </c>
      <c r="B11866">
        <v>164685621.31249094</v>
      </c>
    </row>
    <row r="11867" spans="1:2" x14ac:dyDescent="0.25">
      <c r="A11867">
        <f ca="1">26204.50907407*((RANDBETWEEN(1620,2416)))</f>
        <v>54374356.328695245</v>
      </c>
      <c r="B11867">
        <v>168180800.76898444</v>
      </c>
    </row>
    <row r="11868" spans="1:2" x14ac:dyDescent="0.25">
      <c r="A11868">
        <f ca="1">27578.1660610734*((RANDBETWEEN(1620,2416)))</f>
        <v>53336173.162115969</v>
      </c>
      <c r="B11868">
        <v>147520583.23268184</v>
      </c>
    </row>
    <row r="11869" spans="1:2" x14ac:dyDescent="0.25">
      <c r="A11869">
        <f ca="1">29859.4193428827*((RANDBETWEEN(1620,2416)))</f>
        <v>60316027.072622955</v>
      </c>
      <c r="B11869">
        <v>172791080.71800584</v>
      </c>
    </row>
    <row r="11870" spans="1:2" x14ac:dyDescent="0.25">
      <c r="A11870">
        <f ca="1">30502.3652496974*((RANDBETWEEN(1620,2416)))</f>
        <v>56703896.999187529</v>
      </c>
      <c r="B11870">
        <v>189853473.02748716</v>
      </c>
    </row>
    <row r="11871" spans="1:2" x14ac:dyDescent="0.25">
      <c r="A11871">
        <f ca="1">30913.9500934062*((RANDBETWEEN(1620,2416)))</f>
        <v>64486499.894845314</v>
      </c>
      <c r="B11871">
        <v>165777193.70464146</v>
      </c>
    </row>
    <row r="11872" spans="1:2" x14ac:dyDescent="0.25">
      <c r="A11872">
        <f ca="1">26623.2654025329*((RANDBETWEEN(1620,2416)))</f>
        <v>43795271.587166652</v>
      </c>
      <c r="B11872">
        <v>159695092.26129207</v>
      </c>
    </row>
    <row r="11873" spans="1:2" x14ac:dyDescent="0.25">
      <c r="A11873">
        <f ca="1">26911.496521345*((RANDBETWEEN(1620,2416)))</f>
        <v>48521428.227985069</v>
      </c>
      <c r="B11873">
        <v>180590959.99403787</v>
      </c>
    </row>
    <row r="11874" spans="1:2" x14ac:dyDescent="0.25">
      <c r="A11874">
        <f ca="1">27720.2896570346*((RANDBETWEEN(1620,2416)))</f>
        <v>55828663.369267739</v>
      </c>
      <c r="B11874">
        <v>149043055.46180406</v>
      </c>
    </row>
    <row r="11875" spans="1:2" x14ac:dyDescent="0.25">
      <c r="A11875">
        <f ca="1">27735.975381722*((RANDBETWEEN(1620,2416)))</f>
        <v>61934433.027385242</v>
      </c>
      <c r="B11875">
        <v>164655201.03989032</v>
      </c>
    </row>
    <row r="11876" spans="1:2" x14ac:dyDescent="0.25">
      <c r="A11876">
        <f ca="1">27709.99526343*((RANDBETWEEN(1620,2416)))</f>
        <v>61543899.480077974</v>
      </c>
      <c r="B11876">
        <v>181275124.4060277</v>
      </c>
    </row>
    <row r="11877" spans="1:2" x14ac:dyDescent="0.25">
      <c r="A11877">
        <f ca="1">29544.5546874098*((RANDBETWEEN(1620,2416)))</f>
        <v>63609426.241993397</v>
      </c>
      <c r="B11877">
        <v>143823620.45206439</v>
      </c>
    </row>
    <row r="11878" spans="1:2" x14ac:dyDescent="0.25">
      <c r="A11878">
        <f ca="1">25853.52735135*((RANDBETWEEN(1620,2416)))</f>
        <v>47001712.724754311</v>
      </c>
      <c r="B11878">
        <v>148840727.70981804</v>
      </c>
    </row>
    <row r="11879" spans="1:2" x14ac:dyDescent="0.25">
      <c r="A11879">
        <f ca="1">26528.9631329592*((RANDBETWEEN(1620,2416)))</f>
        <v>44011549.83757928</v>
      </c>
      <c r="B11879">
        <v>149920042.63522294</v>
      </c>
    </row>
    <row r="11880" spans="1:2" x14ac:dyDescent="0.25">
      <c r="A11880">
        <f ca="1">25854.9804606756*((RANDBETWEEN(1620,2416)))</f>
        <v>51218716.292598434</v>
      </c>
      <c r="B11880">
        <v>147518285.11304018</v>
      </c>
    </row>
    <row r="11881" spans="1:2" x14ac:dyDescent="0.25">
      <c r="A11881">
        <f ca="1">26874.1654311848*((RANDBETWEEN(1620,2416)))</f>
        <v>56596992.398075104</v>
      </c>
      <c r="B11881">
        <v>165495359.54596385</v>
      </c>
    </row>
    <row r="11882" spans="1:2" x14ac:dyDescent="0.25">
      <c r="A11882">
        <f ca="1">27312.3993724144*((RANDBETWEEN(1620,2416)))</f>
        <v>63037017.751532413</v>
      </c>
      <c r="B11882">
        <v>147109344.71073082</v>
      </c>
    </row>
    <row r="11883" spans="1:2" x14ac:dyDescent="0.25">
      <c r="A11883">
        <f ca="1">27655.1853629952*((RANDBETWEEN(1620,2416)))</f>
        <v>59569269.271891586</v>
      </c>
      <c r="B11883">
        <v>189969893.78877395</v>
      </c>
    </row>
    <row r="11884" spans="1:2" x14ac:dyDescent="0.25">
      <c r="A11884">
        <f ca="1">31333.1987633047*((RANDBETWEEN(1620,2416)))</f>
        <v>57715752.122007288</v>
      </c>
      <c r="B11884">
        <v>153888229.43360537</v>
      </c>
    </row>
    <row r="11885" spans="1:2" x14ac:dyDescent="0.25">
      <c r="A11885">
        <f ca="1">32241.5888079386*((RANDBETWEEN(1620,2416)))</f>
        <v>77154122.017397016</v>
      </c>
      <c r="B11885">
        <v>181279682.50721851</v>
      </c>
    </row>
    <row r="11886" spans="1:2" x14ac:dyDescent="0.25">
      <c r="A11886">
        <f ca="1">27631.9849008908*((RANDBETWEEN(1620,2416)))</f>
        <v>62696973.740121186</v>
      </c>
      <c r="B11886">
        <v>157162229.38361818</v>
      </c>
    </row>
    <row r="11887" spans="1:2" x14ac:dyDescent="0.25">
      <c r="A11887">
        <f ca="1">25906.0738851227*((RANDBETWEEN(1620,2416)))</f>
        <v>58470008.75872194</v>
      </c>
      <c r="B11887">
        <v>185430735.70676664</v>
      </c>
    </row>
    <row r="11888" spans="1:2" x14ac:dyDescent="0.25">
      <c r="A11888">
        <f ca="1">29146.2882889978*((RANDBETWEEN(1620,2416)))</f>
        <v>52463318.920196116</v>
      </c>
      <c r="B11888">
        <v>181725956.91091636</v>
      </c>
    </row>
    <row r="11889" spans="1:2" x14ac:dyDescent="0.25">
      <c r="A11889">
        <f ca="1">25731.7052403692*((RANDBETWEEN(1620,2416)))</f>
        <v>59388775.694772169</v>
      </c>
      <c r="B11889">
        <v>154027244.59830517</v>
      </c>
    </row>
    <row r="11890" spans="1:2" x14ac:dyDescent="0.25">
      <c r="A11890">
        <f ca="1">26257.9126199074*((RANDBETWEEN(1620,2416)))</f>
        <v>44638451.453842498</v>
      </c>
      <c r="B11890">
        <v>147515470.40452981</v>
      </c>
    </row>
    <row r="11891" spans="1:2" x14ac:dyDescent="0.25">
      <c r="A11891">
        <f ca="1">26458.6044646332*((RANDBETWEEN(1620,2416)))</f>
        <v>53605132.645346761</v>
      </c>
      <c r="B11891">
        <v>154489810.70251176</v>
      </c>
    </row>
    <row r="11892" spans="1:2" x14ac:dyDescent="0.25">
      <c r="A11892">
        <f ca="1">26026.9229453523*((RANDBETWEEN(1620,2416)))</f>
        <v>51585361.277688287</v>
      </c>
      <c r="B11892">
        <v>163185635.63961792</v>
      </c>
    </row>
    <row r="11893" spans="1:2" x14ac:dyDescent="0.25">
      <c r="A11893">
        <f ca="1">27139.5454022459*((RANDBETWEEN(1620,2416)))</f>
        <v>55554649.438397422</v>
      </c>
      <c r="B11893">
        <v>154671706.49105021</v>
      </c>
    </row>
    <row r="11894" spans="1:2" x14ac:dyDescent="0.25">
      <c r="A11894">
        <f ca="1">28097.7976763587*((RANDBETWEEN(1620,2416)))</f>
        <v>46614246.345079109</v>
      </c>
      <c r="B11894">
        <v>185307862.78722352</v>
      </c>
    </row>
    <row r="11895" spans="1:2" x14ac:dyDescent="0.25">
      <c r="A11895">
        <f ca="1">25432.8149645779*((RANDBETWEEN(1620,2416)))</f>
        <v>47686528.058583528</v>
      </c>
      <c r="B11895">
        <v>158480684.19094312</v>
      </c>
    </row>
    <row r="11896" spans="1:2" x14ac:dyDescent="0.25">
      <c r="A11896">
        <f ca="1">26782.0935446116*((RANDBETWEEN(1620,2416)))</f>
        <v>56188832.256595105</v>
      </c>
      <c r="B11896">
        <v>152663705.11642209</v>
      </c>
    </row>
    <row r="11897" spans="1:2" x14ac:dyDescent="0.25">
      <c r="A11897">
        <f ca="1">26741.0115816969*((RANDBETWEEN(1620,2416)))</f>
        <v>45272532.607812807</v>
      </c>
      <c r="B11897">
        <v>144957046.22918117</v>
      </c>
    </row>
    <row r="11898" spans="1:2" x14ac:dyDescent="0.25">
      <c r="A11898">
        <f ca="1">29036.0172220328*((RANDBETWEEN(1620,2416)))</f>
        <v>66928019.696785629</v>
      </c>
      <c r="B11898">
        <v>167730452.70809644</v>
      </c>
    </row>
    <row r="11899" spans="1:2" x14ac:dyDescent="0.25">
      <c r="A11899">
        <f ca="1">26823.1179406738*((RANDBETWEEN(1620,2416)))</f>
        <v>51500386.446093641</v>
      </c>
      <c r="B11899">
        <v>148426371.42339343</v>
      </c>
    </row>
    <row r="11900" spans="1:2" x14ac:dyDescent="0.25">
      <c r="A11900">
        <f ca="1">28366.0363146574*((RANDBETWEEN(1620,2416)))</f>
        <v>67369336.247311279</v>
      </c>
      <c r="B11900">
        <v>187494559.88543296</v>
      </c>
    </row>
    <row r="11901" spans="1:2" x14ac:dyDescent="0.25">
      <c r="A11901">
        <f ca="1">29114.3093902903*((RANDBETWEEN(1620,2416)))</f>
        <v>48125953.422149837</v>
      </c>
      <c r="B11901">
        <v>150409442.57736415</v>
      </c>
    </row>
    <row r="11902" spans="1:2" x14ac:dyDescent="0.25">
      <c r="A11902">
        <f ca="1">25198.3418359132*((RANDBETWEEN(1620,2416)))</f>
        <v>41829247.447615892</v>
      </c>
      <c r="B11902">
        <v>166958166.85657036</v>
      </c>
    </row>
    <row r="11903" spans="1:2" x14ac:dyDescent="0.25">
      <c r="A11903">
        <f ca="1">27571.1323979072*((RANDBETWEEN(1620,2416)))</f>
        <v>55886685.370557815</v>
      </c>
      <c r="B11903">
        <v>167294470.21743178</v>
      </c>
    </row>
    <row r="11904" spans="1:2" x14ac:dyDescent="0.25">
      <c r="A11904">
        <f ca="1">32701.7052643172*((RANDBETWEEN(1620,2416)))</f>
        <v>53630796.633480184</v>
      </c>
      <c r="B11904">
        <v>191846302.61830169</v>
      </c>
    </row>
    <row r="11905" spans="1:2" x14ac:dyDescent="0.25">
      <c r="A11905">
        <f ca="1">27558.3290430657*((RANDBETWEEN(1620,2416)))</f>
        <v>52691525.130341612</v>
      </c>
      <c r="B11905">
        <v>168400019.17484891</v>
      </c>
    </row>
    <row r="11906" spans="1:2" x14ac:dyDescent="0.25">
      <c r="A11906">
        <f ca="1">27430.0651046414*((RANDBETWEEN(1620,2416)))</f>
        <v>60016982.448955387</v>
      </c>
      <c r="B11906">
        <v>198189040.08874199</v>
      </c>
    </row>
    <row r="11907" spans="1:2" x14ac:dyDescent="0.25">
      <c r="A11907">
        <f ca="1">27783.4061304074*((RANDBETWEEN(1620,2416)))</f>
        <v>45314735.39869453</v>
      </c>
      <c r="B11907">
        <v>180489972.10612854</v>
      </c>
    </row>
    <row r="11908" spans="1:2" x14ac:dyDescent="0.25">
      <c r="A11908">
        <f ca="1">28444.2080061769*((RANDBETWEEN(1620,2416)))</f>
        <v>59590615.772940673</v>
      </c>
      <c r="B11908">
        <v>189581314.36150408</v>
      </c>
    </row>
    <row r="11909" spans="1:2" x14ac:dyDescent="0.25">
      <c r="A11909">
        <f ca="1">26541.5400209283*((RANDBETWEEN(1620,2416)))</f>
        <v>43448501.014259592</v>
      </c>
      <c r="B11909">
        <v>158727542.76318634</v>
      </c>
    </row>
    <row r="11910" spans="1:2" x14ac:dyDescent="0.25">
      <c r="A11910">
        <f ca="1">29974.6925868136*((RANDBETWEEN(1620,2416)))</f>
        <v>65824424.920642726</v>
      </c>
      <c r="B11910">
        <v>169147266.26256505</v>
      </c>
    </row>
    <row r="11911" spans="1:2" x14ac:dyDescent="0.25">
      <c r="A11911">
        <f ca="1">28026.0553318503*((RANDBETWEEN(1620,2416)))</f>
        <v>49606117.937374994</v>
      </c>
      <c r="B11911">
        <v>148175863.01642603</v>
      </c>
    </row>
    <row r="11912" spans="1:2" x14ac:dyDescent="0.25">
      <c r="A11912">
        <f ca="1">29727.5903316123*((RANDBETWEEN(1620,2416)))</f>
        <v>62963036.322354801</v>
      </c>
      <c r="B11912">
        <v>171221701.85717237</v>
      </c>
    </row>
    <row r="11913" spans="1:2" x14ac:dyDescent="0.25">
      <c r="A11913">
        <f ca="1">27150.8993019335*((RANDBETWEEN(1620,2416)))</f>
        <v>61089523.429350324</v>
      </c>
      <c r="B11913">
        <v>155409031.219749</v>
      </c>
    </row>
    <row r="11914" spans="1:2" x14ac:dyDescent="0.25">
      <c r="A11914">
        <f ca="1">29124.2776806681*((RANDBETWEEN(1620,2416)))</f>
        <v>50297627.55451373</v>
      </c>
      <c r="B11914">
        <v>194917531.89807713</v>
      </c>
    </row>
    <row r="11915" spans="1:2" x14ac:dyDescent="0.25">
      <c r="A11915">
        <f ca="1">26708.4117941153*((RANDBETWEEN(1620,2416)))</f>
        <v>52455320.763642415</v>
      </c>
      <c r="B11915">
        <v>176734679.81097454</v>
      </c>
    </row>
    <row r="11916" spans="1:2" x14ac:dyDescent="0.25">
      <c r="A11916">
        <f ca="1">28530.4357529138*((RANDBETWEEN(1620,2416)))</f>
        <v>56119367.125981525</v>
      </c>
      <c r="B11916">
        <v>146622512.8561967</v>
      </c>
    </row>
    <row r="11917" spans="1:2" x14ac:dyDescent="0.25">
      <c r="A11917">
        <f ca="1">28715.6759508749*((RANDBETWEEN(1620,2416)))</f>
        <v>66189633.066766664</v>
      </c>
      <c r="B11917">
        <v>190538940.18525058</v>
      </c>
    </row>
    <row r="11918" spans="1:2" x14ac:dyDescent="0.25">
      <c r="A11918">
        <f ca="1">27426.6240997099*((RANDBETWEEN(1620,2416)))</f>
        <v>45637902.501917288</v>
      </c>
      <c r="B11918">
        <v>202847065.53570345</v>
      </c>
    </row>
    <row r="11919" spans="1:2" x14ac:dyDescent="0.25">
      <c r="A11919">
        <f ca="1">28330.1045907984*((RANDBETWEEN(1620,2416)))</f>
        <v>59719860.477402948</v>
      </c>
      <c r="B11919">
        <v>182970018.11248118</v>
      </c>
    </row>
    <row r="11920" spans="1:2" x14ac:dyDescent="0.25">
      <c r="A11920">
        <f ca="1">28422.5978994343*((RANDBETWEEN(1620,2416)))</f>
        <v>53832400.421528608</v>
      </c>
      <c r="B11920">
        <v>154289763.91161129</v>
      </c>
    </row>
    <row r="11921" spans="1:2" x14ac:dyDescent="0.25">
      <c r="A11921">
        <f ca="1">28016.4514868251*((RANDBETWEEN(1620,2416)))</f>
        <v>54660096.850795798</v>
      </c>
      <c r="B11921">
        <v>161757308.77192056</v>
      </c>
    </row>
    <row r="11922" spans="1:2" x14ac:dyDescent="0.25">
      <c r="A11922">
        <f ca="1">26870.6121114569*((RANDBETWEEN(1620,2416)))</f>
        <v>53391906.265464872</v>
      </c>
      <c r="B11922">
        <v>160882417.79224128</v>
      </c>
    </row>
    <row r="11923" spans="1:2" x14ac:dyDescent="0.25">
      <c r="A11923">
        <f ca="1">32664.0696041944*((RANDBETWEEN(1620,2416)))</f>
        <v>75290680.437667996</v>
      </c>
      <c r="B11923">
        <v>154790228.94689548</v>
      </c>
    </row>
    <row r="11924" spans="1:2" x14ac:dyDescent="0.25">
      <c r="A11924">
        <f ca="1">28556.9825130753*((RANDBETWEEN(1620,2416)))</f>
        <v>53687127.124581642</v>
      </c>
      <c r="B11924">
        <v>157916580.58715343</v>
      </c>
    </row>
    <row r="11925" spans="1:2" x14ac:dyDescent="0.25">
      <c r="A11925">
        <f ca="1">32708.858174421*((RANDBETWEEN(1620,2416)))</f>
        <v>61787033.091481231</v>
      </c>
      <c r="B11925">
        <v>159495901.31629628</v>
      </c>
    </row>
    <row r="11926" spans="1:2" x14ac:dyDescent="0.25">
      <c r="A11926">
        <f ca="1">26925.5989394221*((RANDBETWEEN(1620,2416)))</f>
        <v>49839283.636870354</v>
      </c>
      <c r="B11926">
        <v>165327257.78581491</v>
      </c>
    </row>
    <row r="11927" spans="1:2" x14ac:dyDescent="0.25">
      <c r="A11927">
        <f ca="1">27752.9178013971*((RANDBETWEEN(1620,2416)))</f>
        <v>54118189.712724417</v>
      </c>
      <c r="B11927">
        <v>151294149.75297809</v>
      </c>
    </row>
    <row r="11928" spans="1:2" x14ac:dyDescent="0.25">
      <c r="A11928">
        <f ca="1">27184.550984956*((RANDBETWEEN(1620,2416)))</f>
        <v>59806012.166903399</v>
      </c>
      <c r="B11928">
        <v>144643457.95395699</v>
      </c>
    </row>
    <row r="11929" spans="1:2" x14ac:dyDescent="0.25">
      <c r="A11929">
        <f ca="1">30464.0581162116*((RANDBETWEEN(1620,2416)))</f>
        <v>68483202.645243615</v>
      </c>
      <c r="B11929">
        <v>160271719.38640636</v>
      </c>
    </row>
    <row r="11930" spans="1:2" x14ac:dyDescent="0.25">
      <c r="A11930">
        <f ca="1">27126.2243927668*((RANDBETWEEN(1620,2416)))</f>
        <v>63502491.303467043</v>
      </c>
      <c r="B11930">
        <v>146466768.37936723</v>
      </c>
    </row>
    <row r="11931" spans="1:2" x14ac:dyDescent="0.25">
      <c r="A11931">
        <f ca="1">29164.6685078427*((RANDBETWEEN(1620,2416)))</f>
        <v>60866663.175867677</v>
      </c>
      <c r="B11931">
        <v>162897548.89961597</v>
      </c>
    </row>
    <row r="11932" spans="1:2" x14ac:dyDescent="0.25">
      <c r="A11932">
        <f ca="1">26951.9797052974*((RANDBETWEEN(1620,2416)))</f>
        <v>45467989.762836762</v>
      </c>
      <c r="B11932">
        <v>144455674.93600419</v>
      </c>
    </row>
    <row r="11933" spans="1:2" x14ac:dyDescent="0.25">
      <c r="A11933">
        <f ca="1">26839.434530769*((RANDBETWEEN(1620,2416)))</f>
        <v>59180953.140345722</v>
      </c>
      <c r="B11933">
        <v>153643737.85952801</v>
      </c>
    </row>
    <row r="11934" spans="1:2" x14ac:dyDescent="0.25">
      <c r="A11934">
        <f ca="1">27425.9413562061*((RANDBETWEEN(1620,2416)))</f>
        <v>47995397.373360738</v>
      </c>
      <c r="B11934">
        <v>181181785.71502891</v>
      </c>
    </row>
    <row r="11935" spans="1:2" x14ac:dyDescent="0.25">
      <c r="A11935">
        <f ca="1">30088.9186353177*((RANDBETWEEN(1620,2416)))</f>
        <v>58853924.850681432</v>
      </c>
      <c r="B11935">
        <v>194901755.57002014</v>
      </c>
    </row>
    <row r="11936" spans="1:2" x14ac:dyDescent="0.25">
      <c r="A11936">
        <f ca="1">29951.1115085617*((RANDBETWEEN(1620,2416)))</f>
        <v>56338040.747604541</v>
      </c>
      <c r="B11936">
        <v>149036257.07527751</v>
      </c>
    </row>
    <row r="11937" spans="1:2" x14ac:dyDescent="0.25">
      <c r="A11937">
        <f ca="1">27932.4759695069*((RANDBETWEEN(1620,2416)))</f>
        <v>46367910.109381482</v>
      </c>
      <c r="B11937">
        <v>150044747.45742345</v>
      </c>
    </row>
    <row r="11938" spans="1:2" x14ac:dyDescent="0.25">
      <c r="A11938">
        <f ca="1">27053.9102352412*((RANDBETWEEN(1620,2416)))</f>
        <v>63252042.129993849</v>
      </c>
      <c r="B11938">
        <v>159435069.21062469</v>
      </c>
    </row>
    <row r="11939" spans="1:2" x14ac:dyDescent="0.25">
      <c r="A11939">
        <f ca="1">30595.4481024876*((RANDBETWEEN(1620,2416)))</f>
        <v>69512858.088851735</v>
      </c>
      <c r="B11939">
        <v>177046123.98879626</v>
      </c>
    </row>
    <row r="11940" spans="1:2" x14ac:dyDescent="0.25">
      <c r="A11940">
        <f ca="1">29315.6180391223*((RANDBETWEEN(1620,2416)))</f>
        <v>56080777.308840886</v>
      </c>
      <c r="B11940">
        <v>181166041.950295</v>
      </c>
    </row>
    <row r="11941" spans="1:2" x14ac:dyDescent="0.25">
      <c r="A11941">
        <f ca="1">30124.3743281648*((RANDBETWEEN(1620,2416)))</f>
        <v>64767404.805554263</v>
      </c>
      <c r="B11941">
        <v>174666702.85714945</v>
      </c>
    </row>
    <row r="11942" spans="1:2" x14ac:dyDescent="0.25">
      <c r="A11942">
        <f ca="1">28849.8878729716*((RANDBETWEEN(1620,2416)))</f>
        <v>66181642.780596845</v>
      </c>
      <c r="B11942">
        <v>151004063.90567982</v>
      </c>
    </row>
    <row r="11943" spans="1:2" x14ac:dyDescent="0.25">
      <c r="A11943">
        <f ca="1">26425.7076574379*((RANDBETWEEN(1620,2416)))</f>
        <v>43417437.681170397</v>
      </c>
      <c r="B11943">
        <v>179366584.67377689</v>
      </c>
    </row>
    <row r="11944" spans="1:2" x14ac:dyDescent="0.25">
      <c r="A11944">
        <f ca="1">26180.0049165298*((RANDBETWEEN(1620,2416)))</f>
        <v>54951830.319795966</v>
      </c>
      <c r="B11944">
        <v>151893295.67521298</v>
      </c>
    </row>
    <row r="11945" spans="1:2" x14ac:dyDescent="0.25">
      <c r="A11945">
        <f ca="1">29481.755008652*((RANDBETWEEN(1620,2416)))</f>
        <v>51976334.080253527</v>
      </c>
      <c r="B11945">
        <v>146260831.73908195</v>
      </c>
    </row>
    <row r="11946" spans="1:2" x14ac:dyDescent="0.25">
      <c r="A11946">
        <f ca="1">28567.0905496803*((RANDBETWEEN(1620,2416)))</f>
        <v>67761138.783841565</v>
      </c>
      <c r="B11946">
        <v>179239163.53985113</v>
      </c>
    </row>
    <row r="11947" spans="1:2" x14ac:dyDescent="0.25">
      <c r="A11947">
        <f ca="1">28953.8412831313*((RANDBETWEEN(1620,2416)))</f>
        <v>47136853.608937681</v>
      </c>
      <c r="B11947">
        <v>198979536.86741579</v>
      </c>
    </row>
    <row r="11948" spans="1:2" x14ac:dyDescent="0.25">
      <c r="A11948">
        <f ca="1">26241.2623605469*((RANDBETWEEN(1620,2416)))</f>
        <v>56235025.238651916</v>
      </c>
      <c r="B11948">
        <v>184296685.11440453</v>
      </c>
    </row>
    <row r="11949" spans="1:2" x14ac:dyDescent="0.25">
      <c r="A11949">
        <f ca="1">25904.7164854479*((RANDBETWEEN(1620,2416)))</f>
        <v>57042185.700956188</v>
      </c>
      <c r="B11949">
        <v>147375241.27406418</v>
      </c>
    </row>
    <row r="11950" spans="1:2" x14ac:dyDescent="0.25">
      <c r="A11950">
        <f ca="1">28865.5700330888*((RANDBETWEEN(1620,2416)))</f>
        <v>62724883.681902021</v>
      </c>
      <c r="B11950">
        <v>158211180.73859996</v>
      </c>
    </row>
    <row r="11951" spans="1:2" x14ac:dyDescent="0.25">
      <c r="A11951">
        <f ca="1">32448.7447653977*((RANDBETWEEN(1620,2416)))</f>
        <v>72360700.826836929</v>
      </c>
      <c r="B11951">
        <v>175706069.30285341</v>
      </c>
    </row>
    <row r="11952" spans="1:2" x14ac:dyDescent="0.25">
      <c r="A11952">
        <f ca="1">27827.7227842804*((RANDBETWEEN(1620,2416)))</f>
        <v>63530691.116512217</v>
      </c>
      <c r="B11952">
        <v>165364038.52501833</v>
      </c>
    </row>
    <row r="11953" spans="1:2" x14ac:dyDescent="0.25">
      <c r="A11953">
        <f ca="1">26813.1391022206*((RANDBETWEEN(1620,2416)))</f>
        <v>50328262.094868042</v>
      </c>
      <c r="B11953">
        <v>153218078.33408731</v>
      </c>
    </row>
    <row r="11954" spans="1:2" x14ac:dyDescent="0.25">
      <c r="A11954">
        <f ca="1">32312.2640397847*((RANDBETWEEN(1620,2416)))</f>
        <v>75804571.437334821</v>
      </c>
      <c r="B11954">
        <v>175680419.91974285</v>
      </c>
    </row>
    <row r="11955" spans="1:2" x14ac:dyDescent="0.25">
      <c r="A11955">
        <f ca="1">26599.9059089905*((RANDBETWEEN(1620,2416)))</f>
        <v>55966202.03251601</v>
      </c>
      <c r="B11955">
        <v>158394597.28388536</v>
      </c>
    </row>
    <row r="11956" spans="1:2" x14ac:dyDescent="0.25">
      <c r="A11956">
        <f ca="1">30815.9727704304*((RANDBETWEEN(1620,2416)))</f>
        <v>65730469.919328064</v>
      </c>
      <c r="B11956">
        <v>167070132.85817075</v>
      </c>
    </row>
    <row r="11957" spans="1:2" x14ac:dyDescent="0.25">
      <c r="A11957">
        <f ca="1">25992.4061062868*((RANDBETWEEN(1620,2416)))</f>
        <v>52790576.801868498</v>
      </c>
      <c r="B11957">
        <v>150275939.63172671</v>
      </c>
    </row>
    <row r="11958" spans="1:2" x14ac:dyDescent="0.25">
      <c r="A11958">
        <f ca="1">29360.2832509448*((RANDBETWEEN(1620,2416)))</f>
        <v>68380099.691450477</v>
      </c>
      <c r="B11958">
        <v>172508919.22433668</v>
      </c>
    </row>
    <row r="11959" spans="1:2" x14ac:dyDescent="0.25">
      <c r="A11959">
        <f ca="1">27246.9573378036*((RANDBETWEEN(1620,2416)))</f>
        <v>60869702.692653216</v>
      </c>
      <c r="B11959">
        <v>184458735.36095399</v>
      </c>
    </row>
    <row r="11960" spans="1:2" x14ac:dyDescent="0.25">
      <c r="A11960">
        <f ca="1">25559.7804895441*((RANDBETWEEN(1620,2416)))</f>
        <v>43579425.734672621</v>
      </c>
      <c r="B11960">
        <v>183594634.72166216</v>
      </c>
    </row>
    <row r="11961" spans="1:2" x14ac:dyDescent="0.25">
      <c r="A11961">
        <f ca="1">27479.671924869*((RANDBETWEEN(1620,2416)))</f>
        <v>62598692.644851573</v>
      </c>
      <c r="B11961">
        <v>185345570.07065758</v>
      </c>
    </row>
    <row r="11962" spans="1:2" x14ac:dyDescent="0.25">
      <c r="A11962">
        <f ca="1">26528.9720542815*((RANDBETWEEN(1620,2416)))</f>
        <v>53959929.158408649</v>
      </c>
      <c r="B11962">
        <v>164250751.5757035</v>
      </c>
    </row>
    <row r="11963" spans="1:2" x14ac:dyDescent="0.25">
      <c r="A11963">
        <f ca="1">29254.6566051406*((RANDBETWEEN(1620,2416)))</f>
        <v>50171736.077816099</v>
      </c>
      <c r="B11963">
        <v>179590414.09132925</v>
      </c>
    </row>
    <row r="11964" spans="1:2" x14ac:dyDescent="0.25">
      <c r="A11964">
        <f ca="1">25965.3565043433*((RANDBETWEEN(1620,2416)))</f>
        <v>42193704.319557838</v>
      </c>
      <c r="B11964">
        <v>166298429.42208517</v>
      </c>
    </row>
    <row r="11965" spans="1:2" x14ac:dyDescent="0.25">
      <c r="A11965">
        <f ca="1">28245.9594585048*((RANDBETWEEN(1620,2416)))</f>
        <v>47792163.403790094</v>
      </c>
      <c r="B11965">
        <v>151474442.6229158</v>
      </c>
    </row>
    <row r="11966" spans="1:2" x14ac:dyDescent="0.25">
      <c r="A11966">
        <f ca="1">31141.4730126306*((RANDBETWEEN(1620,2416)))</f>
        <v>57393734.76227814</v>
      </c>
      <c r="B11966">
        <v>198838212.56009907</v>
      </c>
    </row>
    <row r="11967" spans="1:2" x14ac:dyDescent="0.25">
      <c r="A11967">
        <f ca="1">27192.8621001099*((RANDBETWEEN(1620,2416)))</f>
        <v>45140151.086182378</v>
      </c>
      <c r="B11967">
        <v>146555436.3381044</v>
      </c>
    </row>
    <row r="11968" spans="1:2" x14ac:dyDescent="0.25">
      <c r="A11968">
        <f ca="1">32987.0573620087*((RANDBETWEEN(1620,2416)))</f>
        <v>70922173.328318775</v>
      </c>
      <c r="B11968">
        <v>156856849.65749636</v>
      </c>
    </row>
    <row r="11969" spans="1:2" x14ac:dyDescent="0.25">
      <c r="A11969">
        <f ca="1">27016.6287376915*((RANDBETWEEN(1620,2416)))</f>
        <v>60003932.426412821</v>
      </c>
      <c r="B11969">
        <v>202906681.33706889</v>
      </c>
    </row>
    <row r="11970" spans="1:2" x14ac:dyDescent="0.25">
      <c r="A11970">
        <f ca="1">32168.9171731283*((RANDBETWEEN(1620,2416)))</f>
        <v>73763327.077983305</v>
      </c>
      <c r="B11970">
        <v>184009392.61601847</v>
      </c>
    </row>
    <row r="11971" spans="1:2" x14ac:dyDescent="0.25">
      <c r="A11971">
        <f ca="1">29670.3443390207*((RANDBETWEEN(1620,2416)))</f>
        <v>55216510.814917549</v>
      </c>
      <c r="B11971">
        <v>181039676.48840746</v>
      </c>
    </row>
    <row r="11972" spans="1:2" x14ac:dyDescent="0.25">
      <c r="A11972">
        <f ca="1">29072.2271100156*((RANDBETWEEN(1620,2416)))</f>
        <v>60790026.887042634</v>
      </c>
      <c r="B11972">
        <v>143393825.54625088</v>
      </c>
    </row>
    <row r="11973" spans="1:2" x14ac:dyDescent="0.25">
      <c r="A11973">
        <f ca="1">27021.4806223686*((RANDBETWEEN(1620,2416)))</f>
        <v>53745724.957891218</v>
      </c>
      <c r="B11973">
        <v>144528823.82687557</v>
      </c>
    </row>
    <row r="11974" spans="1:2" x14ac:dyDescent="0.25">
      <c r="A11974">
        <f ca="1">26523.2915378485*((RANDBETWEEN(1620,2416)))</f>
        <v>46097480.692780696</v>
      </c>
      <c r="B11974">
        <v>150224513.4194999</v>
      </c>
    </row>
    <row r="11975" spans="1:2" x14ac:dyDescent="0.25">
      <c r="A11975">
        <f ca="1">26347.5155093127*((RANDBETWEEN(1620,2416)))</f>
        <v>61969356.477903493</v>
      </c>
      <c r="B11975">
        <v>151358568.0535199</v>
      </c>
    </row>
    <row r="11976" spans="1:2" x14ac:dyDescent="0.25">
      <c r="A11976">
        <f ca="1">25479.6712989873*((RANDBETWEEN(1620,2416)))</f>
        <v>60310381.964703046</v>
      </c>
      <c r="B11976">
        <v>156760274.94655746</v>
      </c>
    </row>
    <row r="11977" spans="1:2" x14ac:dyDescent="0.25">
      <c r="A11977">
        <f ca="1">27121.7285622285*((RANDBETWEEN(1620,2416)))</f>
        <v>65010783.363661647</v>
      </c>
      <c r="B11977">
        <v>145692735.54261324</v>
      </c>
    </row>
    <row r="11978" spans="1:2" x14ac:dyDescent="0.25">
      <c r="A11978">
        <f ca="1">28681.9037706141*((RANDBETWEEN(1620,2416)))</f>
        <v>49591011.61939171</v>
      </c>
      <c r="B11978">
        <v>162124035.47708195</v>
      </c>
    </row>
    <row r="11979" spans="1:2" x14ac:dyDescent="0.25">
      <c r="A11979">
        <f ca="1">30640.2101565818*((RANDBETWEEN(1620,2416)))</f>
        <v>57848716.775626466</v>
      </c>
      <c r="B11979">
        <v>174609745.72137171</v>
      </c>
    </row>
    <row r="11980" spans="1:2" x14ac:dyDescent="0.25">
      <c r="A11980">
        <f ca="1">27203.8557543554*((RANDBETWEEN(1620,2416)))</f>
        <v>62215218.110210843</v>
      </c>
      <c r="B11980">
        <v>148638008.14068043</v>
      </c>
    </row>
    <row r="11981" spans="1:2" x14ac:dyDescent="0.25">
      <c r="A11981">
        <f ca="1">27662.0189315777*((RANDBETWEEN(1620,2416)))</f>
        <v>56126236.412171185</v>
      </c>
      <c r="B11981">
        <v>155974003.78655484</v>
      </c>
    </row>
    <row r="11982" spans="1:2" x14ac:dyDescent="0.25">
      <c r="A11982">
        <f ca="1">26763.0340565866*((RANDBETWEEN(1620,2416)))</f>
        <v>54783930.713832863</v>
      </c>
      <c r="B11982">
        <v>143523313.596616</v>
      </c>
    </row>
    <row r="11983" spans="1:2" x14ac:dyDescent="0.25">
      <c r="A11983">
        <f ca="1">26819.9538482175*((RANDBETWEEN(1620,2416)))</f>
        <v>47042199.049773559</v>
      </c>
      <c r="B11983">
        <v>168985802.56064591</v>
      </c>
    </row>
    <row r="11984" spans="1:2" x14ac:dyDescent="0.25">
      <c r="A11984">
        <f ca="1">30319.2277827221*((RANDBETWEEN(1620,2416)))</f>
        <v>53422479.353156388</v>
      </c>
      <c r="B11984">
        <v>157019719.32787937</v>
      </c>
    </row>
    <row r="11985" spans="1:2" x14ac:dyDescent="0.25">
      <c r="A11985">
        <f ca="1">29189.797275828*((RANDBETWEEN(1620,2416)))</f>
        <v>53358949.420213617</v>
      </c>
      <c r="B11985">
        <v>153733748.48699832</v>
      </c>
    </row>
    <row r="11986" spans="1:2" x14ac:dyDescent="0.25">
      <c r="A11986">
        <f ca="1">26000.9171169797*((RANDBETWEEN(1620,2416)))</f>
        <v>44565571.938503273</v>
      </c>
      <c r="B11986">
        <v>147236093.97019306</v>
      </c>
    </row>
    <row r="11987" spans="1:2" x14ac:dyDescent="0.25">
      <c r="A11987">
        <f ca="1">26909.4989184228*((RANDBETWEEN(1620,2416)))</f>
        <v>51208776.441758648</v>
      </c>
      <c r="B11987">
        <v>157625441.27851099</v>
      </c>
    </row>
    <row r="11988" spans="1:2" x14ac:dyDescent="0.25">
      <c r="A11988">
        <f ca="1">29248.225936646*((RANDBETWEEN(1620,2416)))</f>
        <v>56302834.928043485</v>
      </c>
      <c r="B11988">
        <v>160901281.64450383</v>
      </c>
    </row>
    <row r="11989" spans="1:2" x14ac:dyDescent="0.25">
      <c r="A11989">
        <f ca="1">27174.7320413412*((RANDBETWEEN(1620,2416)))</f>
        <v>48452547.229711339</v>
      </c>
      <c r="B11989">
        <v>151848664.52863196</v>
      </c>
    </row>
    <row r="11990" spans="1:2" x14ac:dyDescent="0.25">
      <c r="A11990">
        <f ca="1">26689.5856132449*((RANDBETWEEN(1620,2416)))</f>
        <v>51884554.432148121</v>
      </c>
      <c r="B11990">
        <v>165074913.39436051</v>
      </c>
    </row>
    <row r="11991" spans="1:2" x14ac:dyDescent="0.25">
      <c r="A11991">
        <f ca="1">28442.3295546728*((RANDBETWEEN(1620,2416)))</f>
        <v>51935693.766832456</v>
      </c>
      <c r="B11991">
        <v>173222314.38748348</v>
      </c>
    </row>
    <row r="11992" spans="1:2" x14ac:dyDescent="0.25">
      <c r="A11992">
        <f ca="1">27985.4941500689*((RANDBETWEEN(1620,2416)))</f>
        <v>45868224.911962934</v>
      </c>
      <c r="B11992">
        <v>143922627.58589327</v>
      </c>
    </row>
    <row r="11993" spans="1:2" x14ac:dyDescent="0.25">
      <c r="A11993">
        <f ca="1">31401.9305290201*((RANDBETWEEN(1620,2416)))</f>
        <v>60762735.573653974</v>
      </c>
      <c r="B11993">
        <v>168357009.07574672</v>
      </c>
    </row>
    <row r="11994" spans="1:2" x14ac:dyDescent="0.25">
      <c r="A11994">
        <f ca="1">26499.09166506*((RANDBETWEEN(1620,2416)))</f>
        <v>53157177.880110405</v>
      </c>
      <c r="B11994">
        <v>147854683.6599611</v>
      </c>
    </row>
    <row r="11995" spans="1:2" x14ac:dyDescent="0.25">
      <c r="A11995">
        <f ca="1">26851.5851607041*((RANDBETWEEN(1620,2416)))</f>
        <v>64497507.556011319</v>
      </c>
      <c r="B11995">
        <v>178408793.18466708</v>
      </c>
    </row>
    <row r="11996" spans="1:2" x14ac:dyDescent="0.25">
      <c r="A11996">
        <f ca="1">28626.3725063024*((RANDBETWEEN(1620,2416)))</f>
        <v>61947470.103638306</v>
      </c>
      <c r="B11996">
        <v>153050390.53250393</v>
      </c>
    </row>
    <row r="11997" spans="1:2" x14ac:dyDescent="0.25">
      <c r="A11997">
        <f ca="1">26465.5865248653*((RANDBETWEEN(1620,2416)))</f>
        <v>61400160.737687409</v>
      </c>
      <c r="B11997">
        <v>155333069.65012598</v>
      </c>
    </row>
    <row r="11998" spans="1:2" x14ac:dyDescent="0.25">
      <c r="A11998">
        <f ca="1">27826.6330893537*((RANDBETWEEN(1620,2416)))</f>
        <v>50338379.258640841</v>
      </c>
      <c r="B11998">
        <v>155089452.00084054</v>
      </c>
    </row>
    <row r="11999" spans="1:2" x14ac:dyDescent="0.25">
      <c r="A11999">
        <f ca="1">29568.0234898143*((RANDBETWEEN(1620,2416)))</f>
        <v>71229368.58696267</v>
      </c>
      <c r="B11999">
        <v>167278884.77204418</v>
      </c>
    </row>
    <row r="12000" spans="1:2" x14ac:dyDescent="0.25">
      <c r="A12000">
        <f ca="1">28045.0691153556*((RANDBETWEEN(1620,2416)))</f>
        <v>57576526.893825136</v>
      </c>
      <c r="B12000">
        <v>152623071.64723259</v>
      </c>
    </row>
    <row r="12001" spans="1:2" x14ac:dyDescent="0.25">
      <c r="A12001">
        <f ca="1">26790.8163541791*((RANDBETWEEN(1620,2416)))</f>
        <v>49857709.23512727</v>
      </c>
      <c r="B12001">
        <v>167549602.43136913</v>
      </c>
    </row>
    <row r="12002" spans="1:2" x14ac:dyDescent="0.25">
      <c r="A12002">
        <f ca="1">28206.6558466915*((RANDBETWEEN(1620,2416)))</f>
        <v>45948642.374260515</v>
      </c>
      <c r="B12002">
        <v>158663060.70041353</v>
      </c>
    </row>
    <row r="12003" spans="1:2" x14ac:dyDescent="0.25">
      <c r="A12003">
        <f ca="1">29286.0572026417*((RANDBETWEEN(1620,2416)))</f>
        <v>60036417.26541546</v>
      </c>
      <c r="B12003">
        <v>181707511.12783676</v>
      </c>
    </row>
    <row r="12004" spans="1:2" x14ac:dyDescent="0.25">
      <c r="A12004">
        <f ca="1">25402.2002831198*((RANDBETWEEN(1620,2416)))</f>
        <v>56316678.02767656</v>
      </c>
      <c r="B12004">
        <v>148083627.48917115</v>
      </c>
    </row>
    <row r="12005" spans="1:2" x14ac:dyDescent="0.25">
      <c r="A12005">
        <f ca="1">30291.5289516223*((RANDBETWEEN(1620,2416)))</f>
        <v>56645159.139533654</v>
      </c>
      <c r="B12005">
        <v>156354529.00038019</v>
      </c>
    </row>
    <row r="12006" spans="1:2" x14ac:dyDescent="0.25">
      <c r="A12006">
        <f ca="1">32557.4082779903*((RANDBETWEEN(1620,2416)))</f>
        <v>73156496.400644287</v>
      </c>
      <c r="B12006">
        <v>193068070.0605965</v>
      </c>
    </row>
    <row r="12007" spans="1:2" x14ac:dyDescent="0.25">
      <c r="A12007">
        <f ca="1">30904.6261166697*((RANDBETWEEN(1620,2416)))</f>
        <v>55473803.879422188</v>
      </c>
      <c r="B12007">
        <v>154296799.87913612</v>
      </c>
    </row>
    <row r="12008" spans="1:2" x14ac:dyDescent="0.25">
      <c r="A12008">
        <f ca="1">30806.4459039084*((RANDBETWEEN(1620,2416)))</f>
        <v>70669986.903565913</v>
      </c>
      <c r="B12008">
        <v>170168142.65339211</v>
      </c>
    </row>
    <row r="12009" spans="1:2" x14ac:dyDescent="0.25">
      <c r="A12009">
        <f ca="1">26897.7371717274*((RANDBETWEEN(1620,2416)))</f>
        <v>57426668.86163798</v>
      </c>
      <c r="B12009">
        <v>166287463.1492711</v>
      </c>
    </row>
    <row r="12010" spans="1:2" x14ac:dyDescent="0.25">
      <c r="A12010">
        <f ca="1">25796.5203866033*((RANDBETWEEN(1620,2416)))</f>
        <v>54817605.821532026</v>
      </c>
      <c r="B12010">
        <v>169123428.71373022</v>
      </c>
    </row>
    <row r="12011" spans="1:2" x14ac:dyDescent="0.25">
      <c r="A12011">
        <f ca="1">25686.0153184389*((RANDBETWEEN(1620,2416)))</f>
        <v>52014181.019838706</v>
      </c>
      <c r="B12011">
        <v>143033272.97252303</v>
      </c>
    </row>
    <row r="12012" spans="1:2" x14ac:dyDescent="0.25">
      <c r="A12012">
        <f ca="1">32435.1603339911*((RANDBETWEEN(1620,2416)))</f>
        <v>61951156.237922937</v>
      </c>
      <c r="B12012">
        <v>167127051.13888574</v>
      </c>
    </row>
    <row r="12013" spans="1:2" x14ac:dyDescent="0.25">
      <c r="A12013">
        <f ca="1">28536.6883652639*((RANDBETWEEN(1620,2416)))</f>
        <v>46514802.035380103</v>
      </c>
      <c r="B12013">
        <v>169630518.12304544</v>
      </c>
    </row>
    <row r="12014" spans="1:2" x14ac:dyDescent="0.25">
      <c r="A12014">
        <f ca="1">31864.1959626373*((RANDBETWEEN(1620,2416)))</f>
        <v>66946675.717500865</v>
      </c>
      <c r="B12014">
        <v>160368089.56630147</v>
      </c>
    </row>
    <row r="12015" spans="1:2" x14ac:dyDescent="0.25">
      <c r="A12015">
        <f ca="1">32389.8650910819*((RANDBETWEEN(1620,2416)))</f>
        <v>69864939.001463711</v>
      </c>
      <c r="B12015">
        <v>177037640.26673323</v>
      </c>
    </row>
    <row r="12016" spans="1:2" x14ac:dyDescent="0.25">
      <c r="A12016">
        <f ca="1">29890.7983652403*((RANDBETWEEN(1620,2416)))</f>
        <v>68958071.828609452</v>
      </c>
      <c r="B12016">
        <v>162741915.97487894</v>
      </c>
    </row>
    <row r="12017" spans="1:2" x14ac:dyDescent="0.25">
      <c r="A12017">
        <f ca="1">29299.0543725274*((RANDBETWEEN(1620,2416)))</f>
        <v>64223527.184580132</v>
      </c>
      <c r="B12017">
        <v>160458398.96498188</v>
      </c>
    </row>
    <row r="12018" spans="1:2" x14ac:dyDescent="0.25">
      <c r="A12018">
        <f ca="1">26001.6434945257*((RANDBETWEEN(1620,2416)))</f>
        <v>60375816.194288716</v>
      </c>
      <c r="B12018">
        <v>189325622.79052806</v>
      </c>
    </row>
    <row r="12019" spans="1:2" x14ac:dyDescent="0.25">
      <c r="A12019">
        <f ca="1">26979.6415886425*((RANDBETWEEN(1620,2416)))</f>
        <v>56117654.504376478</v>
      </c>
      <c r="B12019">
        <v>149037500.32015729</v>
      </c>
    </row>
    <row r="12020" spans="1:2" x14ac:dyDescent="0.25">
      <c r="A12020">
        <f ca="1">26449.0180775726*((RANDBETWEEN(1620,2416)))</f>
        <v>47846273.702328905</v>
      </c>
      <c r="B12020">
        <v>166321884.39944035</v>
      </c>
    </row>
    <row r="12021" spans="1:2" x14ac:dyDescent="0.25">
      <c r="A12021">
        <f ca="1">29399.2056920985*((RANDBETWEEN(1620,2416)))</f>
        <v>56769866.191442199</v>
      </c>
      <c r="B12021">
        <v>182654065.11429095</v>
      </c>
    </row>
    <row r="12022" spans="1:2" x14ac:dyDescent="0.25">
      <c r="A12022">
        <f ca="1">27642.6934083814*((RANDBETWEEN(1620,2416)))</f>
        <v>54400820.62769451</v>
      </c>
      <c r="B12022">
        <v>148361207.77765286</v>
      </c>
    </row>
    <row r="12023" spans="1:2" x14ac:dyDescent="0.25">
      <c r="A12023">
        <f ca="1">26536.3759934338*((RANDBETWEEN(1620,2416)))</f>
        <v>63130038.488379121</v>
      </c>
      <c r="B12023">
        <v>194759824.89093789</v>
      </c>
    </row>
    <row r="12024" spans="1:2" x14ac:dyDescent="0.25">
      <c r="A12024">
        <f ca="1">29885.3220497466*((RANDBETWEEN(1620,2416)))</f>
        <v>58993625.726199843</v>
      </c>
      <c r="B12024">
        <v>192048518.97327983</v>
      </c>
    </row>
    <row r="12025" spans="1:2" x14ac:dyDescent="0.25">
      <c r="A12025">
        <f ca="1">27901.4257775146*((RANDBETWEEN(1620,2416)))</f>
        <v>45897845.404011518</v>
      </c>
      <c r="B12025">
        <v>194912982.47165114</v>
      </c>
    </row>
    <row r="12026" spans="1:2" x14ac:dyDescent="0.25">
      <c r="A12026">
        <f ca="1">27043.2851660091*((RANDBETWEEN(1620,2416)))</f>
        <v>44026468.250262767</v>
      </c>
      <c r="B12026">
        <v>177651858.6923427</v>
      </c>
    </row>
    <row r="12027" spans="1:2" x14ac:dyDescent="0.25">
      <c r="A12027">
        <f ca="1">26395.6068941454*((RANDBETWEEN(1620,2416)))</f>
        <v>62108863.021924332</v>
      </c>
      <c r="B12027">
        <v>175093272.09894741</v>
      </c>
    </row>
    <row r="12028" spans="1:2" x14ac:dyDescent="0.25">
      <c r="A12028">
        <f ca="1">26573.8101692652*((RANDBETWEEN(1620,2416)))</f>
        <v>44378262.982672848</v>
      </c>
      <c r="B12028">
        <v>181006947.07553911</v>
      </c>
    </row>
    <row r="12029" spans="1:2" x14ac:dyDescent="0.25">
      <c r="A12029">
        <f ca="1">29815.1418040913*((RANDBETWEEN(1620,2416)))</f>
        <v>65772202.819825485</v>
      </c>
      <c r="B12029">
        <v>150639640.39992228</v>
      </c>
    </row>
    <row r="12030" spans="1:2" x14ac:dyDescent="0.25">
      <c r="A12030">
        <f ca="1">32680.7437068721*((RANDBETWEEN(1620,2416)))</f>
        <v>67387693.523570314</v>
      </c>
      <c r="B12030">
        <v>160334970.64349151</v>
      </c>
    </row>
    <row r="12031" spans="1:2" x14ac:dyDescent="0.25">
      <c r="A12031">
        <f ca="1">26173.5901568649*((RANDBETWEEN(1620,2416)))</f>
        <v>50645896.953533627</v>
      </c>
      <c r="B12031">
        <v>160141384.03898138</v>
      </c>
    </row>
    <row r="12032" spans="1:2" x14ac:dyDescent="0.25">
      <c r="A12032">
        <f ca="1">25403.4711750476*((RANDBETWEEN(1620,2416)))</f>
        <v>41382254.544152528</v>
      </c>
      <c r="B12032">
        <v>150652709.47567505</v>
      </c>
    </row>
    <row r="12033" spans="1:2" x14ac:dyDescent="0.25">
      <c r="A12033">
        <f ca="1">29712.8666361008*((RANDBETWEEN(1620,2416)))</f>
        <v>54017991.544431217</v>
      </c>
      <c r="B12033">
        <v>175923948.36977747</v>
      </c>
    </row>
    <row r="12034" spans="1:2" x14ac:dyDescent="0.25">
      <c r="A12034">
        <f ca="1">33203.9667237864*((RANDBETWEEN(1620,2416)))</f>
        <v>71753772.090102464</v>
      </c>
      <c r="B12034">
        <v>169319595.37497854</v>
      </c>
    </row>
    <row r="12035" spans="1:2" x14ac:dyDescent="0.25">
      <c r="A12035">
        <f ca="1">25760.6745940721*((RANDBETWEEN(1620,2416)))</f>
        <v>49872666.014123671</v>
      </c>
      <c r="B12035">
        <v>184346176.12892359</v>
      </c>
    </row>
    <row r="12036" spans="1:2" x14ac:dyDescent="0.25">
      <c r="A12036">
        <f ca="1">29356.7557305067*((RANDBETWEEN(1620,2416)))</f>
        <v>70074575.928719521</v>
      </c>
      <c r="B12036">
        <v>166434027.59181961</v>
      </c>
    </row>
    <row r="12037" spans="1:2" x14ac:dyDescent="0.25">
      <c r="A12037">
        <f ca="1">30948.969212028*((RANDBETWEEN(1620,2416)))</f>
        <v>73998985.385958999</v>
      </c>
      <c r="B12037">
        <v>153256541.04460067</v>
      </c>
    </row>
    <row r="12038" spans="1:2" x14ac:dyDescent="0.25">
      <c r="A12038">
        <f ca="1">28052.0536481788*((RANDBETWEEN(1620,2416)))</f>
        <v>67381032.862925515</v>
      </c>
      <c r="B12038">
        <v>146856065.48159191</v>
      </c>
    </row>
    <row r="12039" spans="1:2" x14ac:dyDescent="0.25">
      <c r="A12039">
        <f ca="1">26630.9712713863*((RANDBETWEEN(1620,2416)))</f>
        <v>58135410.285436183</v>
      </c>
      <c r="B12039">
        <v>173929077.66232365</v>
      </c>
    </row>
    <row r="12040" spans="1:2" x14ac:dyDescent="0.25">
      <c r="A12040">
        <f ca="1">27080.7708728754*((RANDBETWEEN(1620,2416)))</f>
        <v>60444280.588257983</v>
      </c>
      <c r="B12040">
        <v>166939994.71491569</v>
      </c>
    </row>
    <row r="12041" spans="1:2" x14ac:dyDescent="0.25">
      <c r="A12041">
        <f ca="1">25101.2366602197*((RANDBETWEEN(1620,2416)))</f>
        <v>56804098.562077194</v>
      </c>
      <c r="B12041">
        <v>154326707.84402445</v>
      </c>
    </row>
    <row r="12042" spans="1:2" x14ac:dyDescent="0.25">
      <c r="A12042">
        <f ca="1">28921.9492746656*((RANDBETWEEN(1620,2416)))</f>
        <v>47836904.10029687</v>
      </c>
      <c r="B12042">
        <v>181487093.03468716</v>
      </c>
    </row>
    <row r="12043" spans="1:2" x14ac:dyDescent="0.25">
      <c r="A12043">
        <f ca="1">27014.5827189114*((RANDBETWEEN(1620,2416)))</f>
        <v>50274138.43989414</v>
      </c>
      <c r="B12043">
        <v>143326603.72772929</v>
      </c>
    </row>
    <row r="12044" spans="1:2" x14ac:dyDescent="0.25">
      <c r="A12044">
        <f ca="1">27827.7130269393*((RANDBETWEEN(1620,2416)))</f>
        <v>64059395.388014182</v>
      </c>
      <c r="B12044">
        <v>152933015.32899475</v>
      </c>
    </row>
    <row r="12045" spans="1:2" x14ac:dyDescent="0.25">
      <c r="A12045">
        <f ca="1">24954.3412774308*((RANDBETWEEN(1620,2416)))</f>
        <v>58193523.85896872</v>
      </c>
      <c r="B12045">
        <v>161680993.43763822</v>
      </c>
    </row>
    <row r="12046" spans="1:2" x14ac:dyDescent="0.25">
      <c r="A12046">
        <f ca="1">29958.5170437544*((RANDBETWEEN(1620,2416)))</f>
        <v>55393298.01390183</v>
      </c>
      <c r="B12046">
        <v>185163114.82303509</v>
      </c>
    </row>
    <row r="12047" spans="1:2" x14ac:dyDescent="0.25">
      <c r="A12047">
        <f ca="1">29773.0665861083*((RANDBETWEEN(1620,2416)))</f>
        <v>52192185.725447789</v>
      </c>
      <c r="B12047">
        <v>202384217.27877098</v>
      </c>
    </row>
    <row r="12048" spans="1:2" x14ac:dyDescent="0.25">
      <c r="A12048">
        <f ca="1">26853.4533706595*((RANDBETWEEN(1620,2416)))</f>
        <v>47611172.826179259</v>
      </c>
      <c r="B12048">
        <v>174923728.77834022</v>
      </c>
    </row>
    <row r="12049" spans="1:2" x14ac:dyDescent="0.25">
      <c r="A12049">
        <f ca="1">30606.4098171725*((RANDBETWEEN(1620,2416)))</f>
        <v>49796628.772539638</v>
      </c>
      <c r="B12049">
        <v>163335523.5706633</v>
      </c>
    </row>
    <row r="12050" spans="1:2" x14ac:dyDescent="0.25">
      <c r="A12050">
        <f ca="1">31432.7165395286*((RANDBETWEEN(1620,2416)))</f>
        <v>51266760.675971195</v>
      </c>
      <c r="B12050">
        <v>172208621.29163188</v>
      </c>
    </row>
    <row r="12051" spans="1:2" x14ac:dyDescent="0.25">
      <c r="A12051">
        <f ca="1">30978.5615208081*((RANDBETWEEN(1620,2416)))</f>
        <v>55792389.298975304</v>
      </c>
      <c r="B12051">
        <v>162688968.26336044</v>
      </c>
    </row>
    <row r="12052" spans="1:2" x14ac:dyDescent="0.25">
      <c r="A12052">
        <f ca="1">27994.8634111796*((RANDBETWEEN(1620,2416)))</f>
        <v>62316565.953285784</v>
      </c>
      <c r="B12052">
        <v>182704627.26510289</v>
      </c>
    </row>
    <row r="12053" spans="1:2" x14ac:dyDescent="0.25">
      <c r="A12053">
        <f ca="1">29355.4046127078*((RANDBETWEEN(1620,2416)))</f>
        <v>68368737.342996523</v>
      </c>
      <c r="B12053">
        <v>188126098.03073147</v>
      </c>
    </row>
    <row r="12054" spans="1:2" x14ac:dyDescent="0.25">
      <c r="A12054">
        <f ca="1">27749.5303283844*((RANDBETWEEN(1620,2416)))</f>
        <v>51142384.395212494</v>
      </c>
      <c r="B12054">
        <v>164059189.47121161</v>
      </c>
    </row>
    <row r="12055" spans="1:2" x14ac:dyDescent="0.25">
      <c r="A12055">
        <f ca="1">28186.5693023237*((RANDBETWEEN(1620,2416)))</f>
        <v>67675952.894879222</v>
      </c>
      <c r="B12055">
        <v>166049837.83940783</v>
      </c>
    </row>
    <row r="12056" spans="1:2" x14ac:dyDescent="0.25">
      <c r="A12056">
        <f ca="1">32676.6199729232*((RANDBETWEEN(1620,2416)))</f>
        <v>53720363.235485785</v>
      </c>
      <c r="B12056">
        <v>169657446.25584486</v>
      </c>
    </row>
    <row r="12057" spans="1:2" x14ac:dyDescent="0.25">
      <c r="A12057">
        <f ca="1">31776.6262820723*((RANDBETWEEN(1620,2416)))</f>
        <v>66730915.192351811</v>
      </c>
      <c r="B12057">
        <v>162526452.79639953</v>
      </c>
    </row>
    <row r="12058" spans="1:2" x14ac:dyDescent="0.25">
      <c r="A12058">
        <f ca="1">29089.9104666774*((RANDBETWEEN(1620,2416)))</f>
        <v>53583615.079619765</v>
      </c>
      <c r="B12058">
        <v>155466316.11620188</v>
      </c>
    </row>
    <row r="12059" spans="1:2" x14ac:dyDescent="0.25">
      <c r="A12059">
        <f ca="1">29362.9061728131*((RANDBETWEEN(1620,2416)))</f>
        <v>63981772.550559834</v>
      </c>
      <c r="B12059">
        <v>166209466.25519943</v>
      </c>
    </row>
    <row r="12060" spans="1:2" x14ac:dyDescent="0.25">
      <c r="A12060">
        <f ca="1">27278.1818580537*((RANDBETWEEN(1620,2416)))</f>
        <v>45500007.339233525</v>
      </c>
      <c r="B12060">
        <v>152262676.29455507</v>
      </c>
    </row>
    <row r="12061" spans="1:2" x14ac:dyDescent="0.25">
      <c r="A12061">
        <f ca="1">25512.4506403295*((RANDBETWEEN(1620,2416)))</f>
        <v>52708723.022920653</v>
      </c>
      <c r="B12061">
        <v>145042565.62146366</v>
      </c>
    </row>
    <row r="12062" spans="1:2" x14ac:dyDescent="0.25">
      <c r="A12062">
        <f ca="1">28746.0332703448*((RANDBETWEEN(1620,2416)))</f>
        <v>55451098.178495191</v>
      </c>
      <c r="B12062">
        <v>173799354.99626237</v>
      </c>
    </row>
    <row r="12063" spans="1:2" x14ac:dyDescent="0.25">
      <c r="A12063">
        <f ca="1">26288.7427151658*((RANDBETWEEN(1620,2416)))</f>
        <v>56547085.580321707</v>
      </c>
      <c r="B12063">
        <v>169973203.72945946</v>
      </c>
    </row>
    <row r="12064" spans="1:2" x14ac:dyDescent="0.25">
      <c r="A12064">
        <f ca="1">26956.4099187301*((RANDBETWEEN(1620,2416)))</f>
        <v>45637201.992410019</v>
      </c>
      <c r="B12064">
        <v>152621865.92752063</v>
      </c>
    </row>
    <row r="12065" spans="1:2" x14ac:dyDescent="0.25">
      <c r="A12065">
        <f ca="1">29473.2092635216*((RANDBETWEEN(1620,2416)))</f>
        <v>61775846.616341367</v>
      </c>
      <c r="B12065">
        <v>180282464.21163699</v>
      </c>
    </row>
    <row r="12066" spans="1:2" x14ac:dyDescent="0.25">
      <c r="A12066">
        <f ca="1">26661.4738658367*((RANDBETWEEN(1620,2416)))</f>
        <v>59001841.665096566</v>
      </c>
      <c r="B12066">
        <v>157304257.33096227</v>
      </c>
    </row>
    <row r="12067" spans="1:2" x14ac:dyDescent="0.25">
      <c r="A12067">
        <f ca="1">29878.7611761423*((RANDBETWEEN(1620,2416)))</f>
        <v>56082434.727619164</v>
      </c>
      <c r="B12067">
        <v>145593518.78605667</v>
      </c>
    </row>
    <row r="12068" spans="1:2" x14ac:dyDescent="0.25">
      <c r="A12068">
        <f ca="1">28474.3208543324*((RANDBETWEEN(1620,2416)))</f>
        <v>65234669.077275515</v>
      </c>
      <c r="B12068">
        <v>148120305.6822736</v>
      </c>
    </row>
    <row r="12069" spans="1:2" x14ac:dyDescent="0.25">
      <c r="A12069">
        <f ca="1">27326.1863500075*((RANDBETWEEN(1620,2416)))</f>
        <v>60664133.697016731</v>
      </c>
      <c r="B12069">
        <v>170064359.38282201</v>
      </c>
    </row>
    <row r="12070" spans="1:2" x14ac:dyDescent="0.25">
      <c r="A12070">
        <f ca="1">27068.1168548692*((RANDBETWEEN(1620,2416)))</f>
        <v>49291040.792716853</v>
      </c>
      <c r="B12070">
        <v>167278293.32853892</v>
      </c>
    </row>
    <row r="12071" spans="1:2" x14ac:dyDescent="0.25">
      <c r="A12071">
        <f ca="1">26113.2398531694*((RANDBETWEEN(1620,2416)))</f>
        <v>44496960.709800676</v>
      </c>
      <c r="B12071">
        <v>164407090.92023966</v>
      </c>
    </row>
    <row r="12072" spans="1:2" x14ac:dyDescent="0.25">
      <c r="A12072">
        <f ca="1">27235.8576454156*((RANDBETWEEN(1620,2416)))</f>
        <v>56950178.336564034</v>
      </c>
      <c r="B12072">
        <v>193068875.66140735</v>
      </c>
    </row>
    <row r="12073" spans="1:2" x14ac:dyDescent="0.25">
      <c r="A12073">
        <f ca="1">32246.2512553051*((RANDBETWEEN(1620,2416)))</f>
        <v>62009541.163951673</v>
      </c>
      <c r="B12073">
        <v>170936589.08666188</v>
      </c>
    </row>
    <row r="12074" spans="1:2" x14ac:dyDescent="0.25">
      <c r="A12074">
        <f ca="1">27994.0509964958*((RANDBETWEEN(1620,2416)))</f>
        <v>66261918.708705492</v>
      </c>
      <c r="B12074">
        <v>161489352.9261409</v>
      </c>
    </row>
    <row r="12075" spans="1:2" x14ac:dyDescent="0.25">
      <c r="A12075">
        <f ca="1">28916.0218905269*((RANDBETWEEN(1620,2416)))</f>
        <v>67171918.851693988</v>
      </c>
      <c r="B12075">
        <v>149052282.52943921</v>
      </c>
    </row>
    <row r="12076" spans="1:2" x14ac:dyDescent="0.25">
      <c r="A12076">
        <f ca="1">27383.2862847989*((RANDBETWEEN(1620,2416)))</f>
        <v>61721927.285936713</v>
      </c>
      <c r="B12076">
        <v>168045338.22021714</v>
      </c>
    </row>
    <row r="12077" spans="1:2" x14ac:dyDescent="0.25">
      <c r="A12077">
        <f ca="1">25547.1307131623*((RANDBETWEEN(1620,2416)))</f>
        <v>61287566.580876403</v>
      </c>
      <c r="B12077">
        <v>144768853.22193134</v>
      </c>
    </row>
    <row r="12078" spans="1:2" x14ac:dyDescent="0.25">
      <c r="A12078">
        <f ca="1">26211.8431526239*((RANDBETWEEN(1620,2416)))</f>
        <v>53419736.345047526</v>
      </c>
      <c r="B12078">
        <v>183786396.64460045</v>
      </c>
    </row>
    <row r="12079" spans="1:2" x14ac:dyDescent="0.25">
      <c r="A12079">
        <f ca="1">25341.6473799179*((RANDBETWEEN(1620,2416)))</f>
        <v>54028392.213985056</v>
      </c>
      <c r="B12079">
        <v>149992935.35401708</v>
      </c>
    </row>
    <row r="12080" spans="1:2" x14ac:dyDescent="0.25">
      <c r="A12080">
        <f ca="1">27858.5877803549*((RANDBETWEEN(1620,2416)))</f>
        <v>57137963.537507869</v>
      </c>
      <c r="B12080">
        <v>169658242.21275315</v>
      </c>
    </row>
    <row r="12081" spans="1:2" x14ac:dyDescent="0.25">
      <c r="A12081">
        <f ca="1">27123.4278529307*((RANDBETWEEN(1620,2416)))</f>
        <v>50476699.23430407</v>
      </c>
      <c r="B12081">
        <v>197127743.96451044</v>
      </c>
    </row>
    <row r="12082" spans="1:2" x14ac:dyDescent="0.25">
      <c r="A12082">
        <f ca="1">27399.7869854941*((RANDBETWEEN(1620,2416)))</f>
        <v>52689790.373105235</v>
      </c>
      <c r="B12082">
        <v>161082282.71613881</v>
      </c>
    </row>
    <row r="12083" spans="1:2" x14ac:dyDescent="0.25">
      <c r="A12083">
        <f ca="1">28090.0820804577*((RANDBETWEEN(1620,2416)))</f>
        <v>55702632.765547693</v>
      </c>
      <c r="B12083">
        <v>176497548.86087623</v>
      </c>
    </row>
    <row r="12084" spans="1:2" x14ac:dyDescent="0.25">
      <c r="A12084">
        <f ca="1">31621.1634710088*((RANDBETWEEN(1620,2416)))</f>
        <v>70515194.540349662</v>
      </c>
      <c r="B12084">
        <v>188720682.56953424</v>
      </c>
    </row>
    <row r="12085" spans="1:2" x14ac:dyDescent="0.25">
      <c r="A12085">
        <f ca="1">28820.0359900694*((RANDBETWEEN(1620,2416)))</f>
        <v>69456286.736067146</v>
      </c>
      <c r="B12085">
        <v>159602667.39270633</v>
      </c>
    </row>
    <row r="12086" spans="1:2" x14ac:dyDescent="0.25">
      <c r="A12086">
        <f ca="1">27339.3828198097*((RANDBETWEEN(1620,2416)))</f>
        <v>65149749.259606488</v>
      </c>
      <c r="B12086">
        <v>193424414.7359187</v>
      </c>
    </row>
    <row r="12087" spans="1:2" x14ac:dyDescent="0.25">
      <c r="A12087">
        <f ca="1">27475.9101856631*((RANDBETWEEN(1620,2416)))</f>
        <v>50583150.651805751</v>
      </c>
      <c r="B12087">
        <v>173754748.59127924</v>
      </c>
    </row>
    <row r="12088" spans="1:2" x14ac:dyDescent="0.25">
      <c r="A12088">
        <f ca="1">31218.0272968682*((RANDBETWEEN(1620,2416)))</f>
        <v>72987747.820077881</v>
      </c>
      <c r="B12088">
        <v>199610401.36306345</v>
      </c>
    </row>
    <row r="12089" spans="1:2" x14ac:dyDescent="0.25">
      <c r="A12089">
        <f ca="1">31166.7445244555*((RANDBETWEEN(1620,2416)))</f>
        <v>66790333.515908219</v>
      </c>
      <c r="B12089">
        <v>187286188.83511439</v>
      </c>
    </row>
    <row r="12090" spans="1:2" x14ac:dyDescent="0.25">
      <c r="A12090">
        <f ca="1">31626.207232369*((RANDBETWEEN(1620,2416)))</f>
        <v>52531130.212964877</v>
      </c>
      <c r="B12090">
        <v>155273095.94768715</v>
      </c>
    </row>
    <row r="12091" spans="1:2" x14ac:dyDescent="0.25">
      <c r="A12091">
        <f ca="1">29666.1320116606*((RANDBETWEEN(1620,2416)))</f>
        <v>65591817.877781659</v>
      </c>
      <c r="B12091">
        <v>152071664.43738073</v>
      </c>
    </row>
    <row r="12092" spans="1:2" x14ac:dyDescent="0.25">
      <c r="A12092">
        <f ca="1">26810.2921206123*((RANDBETWEEN(1620,2416)))</f>
        <v>55443684.105426311</v>
      </c>
      <c r="B12092">
        <v>151579453.29022995</v>
      </c>
    </row>
    <row r="12093" spans="1:2" x14ac:dyDescent="0.25">
      <c r="A12093">
        <f ca="1">27494.1240462029*((RANDBETWEEN(1620,2416)))</f>
        <v>63208991.182220429</v>
      </c>
      <c r="B12093">
        <v>186393410.96926665</v>
      </c>
    </row>
    <row r="12094" spans="1:2" x14ac:dyDescent="0.25">
      <c r="A12094">
        <f ca="1">27905.6014869818*((RANDBETWEEN(1620,2416)))</f>
        <v>53160170.832700402</v>
      </c>
      <c r="B12094">
        <v>202258474.48730949</v>
      </c>
    </row>
    <row r="12095" spans="1:2" x14ac:dyDescent="0.25">
      <c r="A12095">
        <f ca="1">27626.2691712256*((RANDBETWEEN(1620,2416)))</f>
        <v>54617134.151512958</v>
      </c>
      <c r="B12095">
        <v>165428489.39446267</v>
      </c>
    </row>
    <row r="12096" spans="1:2" x14ac:dyDescent="0.25">
      <c r="A12096">
        <f ca="1">28273.5351754*((RANDBETWEEN(1620,2416)))</f>
        <v>60250903.45877742</v>
      </c>
      <c r="B12096">
        <v>192322083.06502366</v>
      </c>
    </row>
    <row r="12097" spans="1:2" x14ac:dyDescent="0.25">
      <c r="A12097">
        <f ca="1">32546.6549662777*((RANDBETWEEN(1620,2416)))</f>
        <v>62945230.704781033</v>
      </c>
      <c r="B12097">
        <v>160986506.12430021</v>
      </c>
    </row>
    <row r="12098" spans="1:2" x14ac:dyDescent="0.25">
      <c r="A12098">
        <f ca="1">34033.9039659864*((RANDBETWEEN(1620,2416)))</f>
        <v>61056823.714979611</v>
      </c>
      <c r="B12098">
        <v>183873513.56985494</v>
      </c>
    </row>
    <row r="12099" spans="1:2" x14ac:dyDescent="0.25">
      <c r="A12099">
        <f ca="1">26437.3923172835*((RANDBETWEEN(1620,2416)))</f>
        <v>45842438.278169639</v>
      </c>
      <c r="B12099">
        <v>182460201.4763349</v>
      </c>
    </row>
    <row r="12100" spans="1:2" x14ac:dyDescent="0.25">
      <c r="A12100">
        <f ca="1">26225.1841532004*((RANDBETWEEN(1620,2416)))</f>
        <v>55046661.53756766</v>
      </c>
      <c r="B12100">
        <v>166303404.05304074</v>
      </c>
    </row>
    <row r="12101" spans="1:2" x14ac:dyDescent="0.25">
      <c r="A12101">
        <f ca="1">27183.0898075348*((RANDBETWEEN(1620,2416)))</f>
        <v>62058994.030601971</v>
      </c>
      <c r="B12101">
        <v>156169843.67191449</v>
      </c>
    </row>
    <row r="12102" spans="1:2" x14ac:dyDescent="0.25">
      <c r="A12102">
        <f ca="1">30340.4700528845*((RANDBETWEEN(1620,2416)))</f>
        <v>62592389.719100781</v>
      </c>
      <c r="B12102">
        <v>193707317.10169691</v>
      </c>
    </row>
    <row r="12103" spans="1:2" x14ac:dyDescent="0.25">
      <c r="A12103">
        <f ca="1">27247.9648936109*((RANDBETWEEN(1620,2416)))</f>
        <v>50109007.439350426</v>
      </c>
      <c r="B12103">
        <v>183476301.34068274</v>
      </c>
    </row>
    <row r="12104" spans="1:2" x14ac:dyDescent="0.25">
      <c r="A12104">
        <f ca="1">26031.6843883402*((RANDBETWEEN(1620,2416)))</f>
        <v>47768140.852604203</v>
      </c>
      <c r="B12104">
        <v>144840825.73887941</v>
      </c>
    </row>
    <row r="12105" spans="1:2" x14ac:dyDescent="0.25">
      <c r="A12105">
        <f ca="1">26344.6712863729*((RANDBETWEEN(1620,2416)))</f>
        <v>46103174.75115265</v>
      </c>
      <c r="B12105">
        <v>143606431.55819422</v>
      </c>
    </row>
    <row r="12106" spans="1:2" x14ac:dyDescent="0.25">
      <c r="A12106">
        <f ca="1">27631.970848686*((RANDBETWEEN(1620,2416)))</f>
        <v>59740320.974859267</v>
      </c>
      <c r="B12106">
        <v>163044706.2997613</v>
      </c>
    </row>
    <row r="12107" spans="1:2" x14ac:dyDescent="0.25">
      <c r="A12107">
        <f ca="1">25536.5459975298*((RANDBETWEEN(1620,2416)))</f>
        <v>43054616.551835231</v>
      </c>
      <c r="B12107">
        <v>177683016.61680931</v>
      </c>
    </row>
    <row r="12108" spans="1:2" x14ac:dyDescent="0.25">
      <c r="A12108">
        <f ca="1">29481.2166180281*((RANDBETWEEN(1620,2416)))</f>
        <v>61881073.681240916</v>
      </c>
      <c r="B12108">
        <v>149881052.60983717</v>
      </c>
    </row>
    <row r="12109" spans="1:2" x14ac:dyDescent="0.25">
      <c r="A12109">
        <f ca="1">26401.3203074338*((RANDBETWEEN(1620,2416)))</f>
        <v>45489474.889708422</v>
      </c>
      <c r="B12109">
        <v>147244066.24535975</v>
      </c>
    </row>
    <row r="12110" spans="1:2" x14ac:dyDescent="0.25">
      <c r="A12110">
        <f ca="1">27492.6733227857*((RANDBETWEEN(1620,2416)))</f>
        <v>53940625.059305601</v>
      </c>
      <c r="B12110">
        <v>161831960.50846034</v>
      </c>
    </row>
    <row r="12111" spans="1:2" x14ac:dyDescent="0.25">
      <c r="A12111">
        <f ca="1">26174.6483840331*((RANDBETWEEN(1620,2416)))</f>
        <v>59050006.754378639</v>
      </c>
      <c r="B12111">
        <v>151120704.89217937</v>
      </c>
    </row>
    <row r="12112" spans="1:2" x14ac:dyDescent="0.25">
      <c r="A12112">
        <f ca="1">26671.8411525215*((RANDBETWEEN(1620,2416)))</f>
        <v>49262890.608707123</v>
      </c>
      <c r="B12112">
        <v>161239486.23925358</v>
      </c>
    </row>
    <row r="12113" spans="1:2" x14ac:dyDescent="0.25">
      <c r="A12113">
        <f ca="1">31765.4169633638*((RANDBETWEEN(1620,2416)))</f>
        <v>62260217.248192959</v>
      </c>
      <c r="B12113">
        <v>167486008.02340174</v>
      </c>
    </row>
    <row r="12114" spans="1:2" x14ac:dyDescent="0.25">
      <c r="A12114">
        <f ca="1">26524.4723910888*((RANDBETWEEN(1620,2416)))</f>
        <v>60767566.247984506</v>
      </c>
      <c r="B12114">
        <v>200308690.73167098</v>
      </c>
    </row>
    <row r="12115" spans="1:2" x14ac:dyDescent="0.25">
      <c r="A12115">
        <f ca="1">27003.2105284933*((RANDBETWEEN(1620,2416)))</f>
        <v>57543841.636219181</v>
      </c>
      <c r="B12115">
        <v>179228916.40521407</v>
      </c>
    </row>
    <row r="12116" spans="1:2" x14ac:dyDescent="0.25">
      <c r="A12116">
        <f ca="1">29255.3651782648*((RANDBETWEEN(1620,2416)))</f>
        <v>60558605.919008069</v>
      </c>
      <c r="B12116">
        <v>150023601.41191936</v>
      </c>
    </row>
    <row r="12117" spans="1:2" x14ac:dyDescent="0.25">
      <c r="A12117">
        <f ca="1">28323.4004743717*((RANDBETWEEN(1620,2416)))</f>
        <v>53106375.889447026</v>
      </c>
      <c r="B12117">
        <v>154096537.85266846</v>
      </c>
    </row>
    <row r="12118" spans="1:2" x14ac:dyDescent="0.25">
      <c r="A12118">
        <f ca="1">27434.7119257184*((RANDBETWEEN(1620,2416)))</f>
        <v>47928441.734230071</v>
      </c>
      <c r="B12118">
        <v>171659013.34576216</v>
      </c>
    </row>
    <row r="12119" spans="1:2" x14ac:dyDescent="0.25">
      <c r="A12119">
        <f ca="1">27074.783796628*((RANDBETWEEN(1620,2416)))</f>
        <v>64140162.814211719</v>
      </c>
      <c r="B12119">
        <v>157569365.20716906</v>
      </c>
    </row>
    <row r="12120" spans="1:2" x14ac:dyDescent="0.25">
      <c r="A12120">
        <f ca="1">27534.3246030953*((RANDBETWEEN(1620,2416)))</f>
        <v>58124959.237134159</v>
      </c>
      <c r="B12120">
        <v>192255664.50085127</v>
      </c>
    </row>
    <row r="12121" spans="1:2" x14ac:dyDescent="0.25">
      <c r="A12121">
        <f ca="1">27880.975278118*((RANDBETWEEN(1620,2416)))</f>
        <v>61338145.611859635</v>
      </c>
      <c r="B12121">
        <v>158674396.80736044</v>
      </c>
    </row>
    <row r="12122" spans="1:2" x14ac:dyDescent="0.25">
      <c r="A12122">
        <f ca="1">26076.3475248959*((RANDBETWEEN(1620,2416)))</f>
        <v>53143596.255737782</v>
      </c>
      <c r="B12122">
        <v>201631496.90458634</v>
      </c>
    </row>
    <row r="12123" spans="1:2" x14ac:dyDescent="0.25">
      <c r="A12123">
        <f ca="1">26105.1378318814*((RANDBETWEEN(1620,2416)))</f>
        <v>49991338.948052816</v>
      </c>
      <c r="B12123">
        <v>143153844.11925226</v>
      </c>
    </row>
    <row r="12124" spans="1:2" x14ac:dyDescent="0.25">
      <c r="A12124">
        <f ca="1">30343.1555305125*((RANDBETWEEN(1620,2416)))</f>
        <v>60777340.527616471</v>
      </c>
      <c r="B12124">
        <v>193737622.61312163</v>
      </c>
    </row>
    <row r="12125" spans="1:2" x14ac:dyDescent="0.25">
      <c r="A12125">
        <f ca="1">26141.3291931759*((RANDBETWEEN(1620,2416)))</f>
        <v>52308799.715545021</v>
      </c>
      <c r="B12125">
        <v>144209548.35515904</v>
      </c>
    </row>
    <row r="12126" spans="1:2" x14ac:dyDescent="0.25">
      <c r="A12126">
        <f ca="1">31912.6227146482*((RANDBETWEEN(1620,2416)))</f>
        <v>62165789.048134685</v>
      </c>
      <c r="B12126">
        <v>200390414.0817934</v>
      </c>
    </row>
    <row r="12127" spans="1:2" x14ac:dyDescent="0.25">
      <c r="A12127">
        <f ca="1">26261.8125961983*((RANDBETWEEN(1620,2416)))</f>
        <v>53127646.88210918</v>
      </c>
      <c r="B12127">
        <v>151685543.94055122</v>
      </c>
    </row>
    <row r="12128" spans="1:2" x14ac:dyDescent="0.25">
      <c r="A12128">
        <f ca="1">26363.0756698982*((RANDBETWEEN(1620,2416)))</f>
        <v>47058090.070768304</v>
      </c>
      <c r="B12128">
        <v>162377004.44295469</v>
      </c>
    </row>
    <row r="12129" spans="1:2" x14ac:dyDescent="0.25">
      <c r="A12129">
        <f ca="1">25979.5284045338*((RANDBETWEEN(1620,2416)))</f>
        <v>44009321.11728026</v>
      </c>
      <c r="B12129">
        <v>186703000.87822297</v>
      </c>
    </row>
    <row r="12130" spans="1:2" x14ac:dyDescent="0.25">
      <c r="A12130">
        <f ca="1">28186.0995509006*((RANDBETWEEN(1620,2416)))</f>
        <v>62093977.310633972</v>
      </c>
      <c r="B12130">
        <v>171129322.49901989</v>
      </c>
    </row>
    <row r="12131" spans="1:2" x14ac:dyDescent="0.25">
      <c r="A12131">
        <f ca="1">28196.4065519401*((RANDBETWEEN(1620,2416)))</f>
        <v>49456497.092103019</v>
      </c>
      <c r="B12131">
        <v>165686396.08651239</v>
      </c>
    </row>
    <row r="12132" spans="1:2" x14ac:dyDescent="0.25">
      <c r="A12132">
        <f ca="1">26206.7706747548*((RANDBETWEEN(1620,2416)))</f>
        <v>55610767.371829741</v>
      </c>
      <c r="B12132">
        <v>144836556.44565332</v>
      </c>
    </row>
    <row r="12133" spans="1:2" x14ac:dyDescent="0.25">
      <c r="A12133">
        <f ca="1">26339.1095728177*((RANDBETWEEN(1620,2416)))</f>
        <v>52230454.282897443</v>
      </c>
      <c r="B12133">
        <v>160024506.73813048</v>
      </c>
    </row>
    <row r="12134" spans="1:2" x14ac:dyDescent="0.25">
      <c r="A12134">
        <f ca="1">28289.9699531673*((RANDBETWEEN(1620,2416)))</f>
        <v>61587264.588045292</v>
      </c>
      <c r="B12134">
        <v>167908652.56821322</v>
      </c>
    </row>
    <row r="12135" spans="1:2" x14ac:dyDescent="0.25">
      <c r="A12135">
        <f ca="1">26261.7771353952*((RANDBETWEEN(1620,2416)))</f>
        <v>44802591.792984203</v>
      </c>
      <c r="B12135">
        <v>158617984.86474416</v>
      </c>
    </row>
    <row r="12136" spans="1:2" x14ac:dyDescent="0.25">
      <c r="A12136">
        <f ca="1">26015.1666337896*((RANDBETWEEN(1620,2416)))</f>
        <v>46931360.607356519</v>
      </c>
      <c r="B12136">
        <v>145540137.02358189</v>
      </c>
    </row>
    <row r="12137" spans="1:2" x14ac:dyDescent="0.25">
      <c r="A12137">
        <f ca="1">28525.8641577647*((RANDBETWEEN(1620,2416)))</f>
        <v>56310055.847427428</v>
      </c>
      <c r="B12137">
        <v>160322470.40533137</v>
      </c>
    </row>
    <row r="12138" spans="1:2" x14ac:dyDescent="0.25">
      <c r="A12138">
        <f ca="1">26882.438346212*((RANDBETWEEN(1620,2416)))</f>
        <v>49409921.680337593</v>
      </c>
      <c r="B12138">
        <v>143917267.41078791</v>
      </c>
    </row>
    <row r="12139" spans="1:2" x14ac:dyDescent="0.25">
      <c r="A12139">
        <f ca="1">27752.8770316387*((RANDBETWEEN(1620,2416)))</f>
        <v>53146759.515588112</v>
      </c>
      <c r="B12139">
        <v>161814367.75886902</v>
      </c>
    </row>
    <row r="12140" spans="1:2" x14ac:dyDescent="0.25">
      <c r="A12140">
        <f ca="1">27309.0042929623*((RANDBETWEEN(1620,2416)))</f>
        <v>54891098.628854282</v>
      </c>
      <c r="B12140">
        <v>189533781.19445831</v>
      </c>
    </row>
    <row r="12141" spans="1:2" x14ac:dyDescent="0.25">
      <c r="A12141">
        <f ca="1">27095.3106806351*((RANDBETWEEN(1620,2416)))</f>
        <v>57414963.332265742</v>
      </c>
      <c r="B12141">
        <v>156155841.67746425</v>
      </c>
    </row>
    <row r="12142" spans="1:2" x14ac:dyDescent="0.25">
      <c r="A12142">
        <f ca="1">32436.5269375564*((RANDBETWEEN(1620,2416)))</f>
        <v>75122996.387380511</v>
      </c>
      <c r="B12142">
        <v>197551460.60974318</v>
      </c>
    </row>
    <row r="12143" spans="1:2" x14ac:dyDescent="0.25">
      <c r="A12143">
        <f ca="1">29025.2885807639*((RANDBETWEEN(1620,2416)))</f>
        <v>66438885.561368525</v>
      </c>
      <c r="B12143">
        <v>183800881.50371093</v>
      </c>
    </row>
    <row r="12144" spans="1:2" x14ac:dyDescent="0.25">
      <c r="A12144">
        <f ca="1">28441.3263354249*((RANDBETWEEN(1620,2416)))</f>
        <v>56000971.55445157</v>
      </c>
      <c r="B12144">
        <v>163546220.86902392</v>
      </c>
    </row>
    <row r="12145" spans="1:2" x14ac:dyDescent="0.25">
      <c r="A12145">
        <f ca="1">27254.8635933378*((RANDBETWEEN(1620,2416)))</f>
        <v>56363057.911022581</v>
      </c>
      <c r="B12145">
        <v>143213575.69409645</v>
      </c>
    </row>
    <row r="12146" spans="1:2" x14ac:dyDescent="0.25">
      <c r="A12146">
        <f ca="1">24827.2636452728*((RANDBETWEEN(1620,2416)))</f>
        <v>57028224.593191549</v>
      </c>
      <c r="B12146">
        <v>151219348.11275518</v>
      </c>
    </row>
    <row r="12147" spans="1:2" x14ac:dyDescent="0.25">
      <c r="A12147">
        <f ca="1">27573.1737885694*((RANDBETWEEN(1620,2416)))</f>
        <v>52085725.286607616</v>
      </c>
      <c r="B12147">
        <v>155735381.63373002</v>
      </c>
    </row>
    <row r="12148" spans="1:2" x14ac:dyDescent="0.25">
      <c r="A12148">
        <f ca="1">25267.2815441127*((RANDBETWEEN(1620,2416)))</f>
        <v>54526793.57219521</v>
      </c>
      <c r="B12148">
        <v>149175310.66904631</v>
      </c>
    </row>
    <row r="12149" spans="1:2" x14ac:dyDescent="0.25">
      <c r="A12149">
        <f ca="1">28296.8992791388*((RANDBETWEEN(1620,2416)))</f>
        <v>59564972.982587203</v>
      </c>
      <c r="B12149">
        <v>196578080.57976544</v>
      </c>
    </row>
    <row r="12150" spans="1:2" x14ac:dyDescent="0.25">
      <c r="A12150">
        <f ca="1">31835.3077475072*((RANDBETWEEN(1620,2416)))</f>
        <v>62620050.339346625</v>
      </c>
      <c r="B12150">
        <v>158041434.42978805</v>
      </c>
    </row>
    <row r="12151" spans="1:2" x14ac:dyDescent="0.25">
      <c r="A12151">
        <f ca="1">27027.1279472452*((RANDBETWEEN(1620,2416)))</f>
        <v>61351580.440246642</v>
      </c>
      <c r="B12151">
        <v>159695376.65526068</v>
      </c>
    </row>
    <row r="12152" spans="1:2" x14ac:dyDescent="0.25">
      <c r="A12152">
        <f ca="1">25746.9540181584*((RANDBETWEEN(1620,2416)))</f>
        <v>61766942.689561963</v>
      </c>
      <c r="B12152">
        <v>166646993.31179762</v>
      </c>
    </row>
    <row r="12153" spans="1:2" x14ac:dyDescent="0.25">
      <c r="A12153">
        <f ca="1">29604.2594333997*((RANDBETWEEN(1620,2416)))</f>
        <v>70162094.857157305</v>
      </c>
      <c r="B12153">
        <v>175620608.04991734</v>
      </c>
    </row>
    <row r="12154" spans="1:2" x14ac:dyDescent="0.25">
      <c r="A12154">
        <f ca="1">30036.152668992*((RANDBETWEEN(1620,2416)))</f>
        <v>54245291.720199481</v>
      </c>
      <c r="B12154">
        <v>174696086.96247861</v>
      </c>
    </row>
    <row r="12155" spans="1:2" x14ac:dyDescent="0.25">
      <c r="A12155">
        <f ca="1">27436.2788949538*((RANDBETWEEN(1620,2416)))</f>
        <v>61704191.234751187</v>
      </c>
      <c r="B12155">
        <v>166198412.04706168</v>
      </c>
    </row>
    <row r="12156" spans="1:2" x14ac:dyDescent="0.25">
      <c r="A12156">
        <f ca="1">29877.9731342414*((RANDBETWEEN(1620,2416)))</f>
        <v>62474841.823698767</v>
      </c>
      <c r="B12156">
        <v>157161326.7923702</v>
      </c>
    </row>
    <row r="12157" spans="1:2" x14ac:dyDescent="0.25">
      <c r="A12157">
        <f ca="1">26161.5733846051*((RANDBETWEEN(1620,2416)))</f>
        <v>58706570.675053753</v>
      </c>
      <c r="B12157">
        <v>143345636.81173116</v>
      </c>
    </row>
    <row r="12158" spans="1:2" x14ac:dyDescent="0.25">
      <c r="A12158">
        <f ca="1">26851.9792553034*((RANDBETWEEN(1620,2416)))</f>
        <v>62028072.079750918</v>
      </c>
      <c r="B12158">
        <v>177802501.65708452</v>
      </c>
    </row>
    <row r="12159" spans="1:2" x14ac:dyDescent="0.25">
      <c r="A12159">
        <f ca="1">25961.6485101868*((RANDBETWEEN(1620,2416)))</f>
        <v>61477183.672122367</v>
      </c>
      <c r="B12159">
        <v>150832999.87684277</v>
      </c>
    </row>
    <row r="12160" spans="1:2" x14ac:dyDescent="0.25">
      <c r="A12160">
        <f ca="1">32731.6459128823*((RANDBETWEEN(1620,2416)))</f>
        <v>74202641.28450422</v>
      </c>
      <c r="B12160">
        <v>186279327.23412257</v>
      </c>
    </row>
    <row r="12161" spans="1:2" x14ac:dyDescent="0.25">
      <c r="A12161">
        <f ca="1">26908.4020794778*((RANDBETWEEN(1620,2416)))</f>
        <v>62723485.247262791</v>
      </c>
      <c r="B12161">
        <v>193830007.06631637</v>
      </c>
    </row>
    <row r="12162" spans="1:2" x14ac:dyDescent="0.25">
      <c r="A12162">
        <f ca="1">30847.4596261704*((RANDBETWEEN(1620,2416)))</f>
        <v>63206444.774023123</v>
      </c>
      <c r="B12162">
        <v>144840801.01904124</v>
      </c>
    </row>
    <row r="12163" spans="1:2" x14ac:dyDescent="0.25">
      <c r="A12163">
        <f ca="1">26254.2104128817*((RANDBETWEEN(1620,2416)))</f>
        <v>61959936.574400701</v>
      </c>
      <c r="B12163">
        <v>183927646.54393893</v>
      </c>
    </row>
    <row r="12164" spans="1:2" x14ac:dyDescent="0.25">
      <c r="A12164">
        <f ca="1">27123.4349639241*((RANDBETWEEN(1620,2416)))</f>
        <v>46082716.003706977</v>
      </c>
      <c r="B12164">
        <v>167448434.3404555</v>
      </c>
    </row>
    <row r="12165" spans="1:2" x14ac:dyDescent="0.25">
      <c r="A12165">
        <f ca="1">27274.4814803177*((RANDBETWEEN(1620,2416)))</f>
        <v>51385123.10891854</v>
      </c>
      <c r="B12165">
        <v>194384416.7955268</v>
      </c>
    </row>
    <row r="12166" spans="1:2" x14ac:dyDescent="0.25">
      <c r="A12166">
        <f ca="1">28412.7163628926*((RANDBETWEEN(1620,2416)))</f>
        <v>54438764.551302217</v>
      </c>
      <c r="B12166">
        <v>195109733.19191822</v>
      </c>
    </row>
    <row r="12167" spans="1:2" x14ac:dyDescent="0.25">
      <c r="A12167">
        <f ca="1">27191.6701893856*((RANDBETWEEN(1620,2416)))</f>
        <v>44268039.068319783</v>
      </c>
      <c r="B12167">
        <v>181847401.62662777</v>
      </c>
    </row>
    <row r="12168" spans="1:2" x14ac:dyDescent="0.25">
      <c r="A12168">
        <f ca="1">30695.6846770626*((RANDBETWEEN(1620,2416)))</f>
        <v>72625989.945930138</v>
      </c>
      <c r="B12168">
        <v>185880225.45384914</v>
      </c>
    </row>
    <row r="12169" spans="1:2" x14ac:dyDescent="0.25">
      <c r="A12169">
        <f ca="1">26683.90961234*((RANDBETWEEN(1620,2416)))</f>
        <v>50272485.709648564</v>
      </c>
      <c r="B12169">
        <v>172256497.39468372</v>
      </c>
    </row>
    <row r="12170" spans="1:2" x14ac:dyDescent="0.25">
      <c r="A12170">
        <f ca="1">27471.8488064768*((RANDBETWEEN(1620,2416)))</f>
        <v>64998394.276124194</v>
      </c>
      <c r="B12170">
        <v>166318990.14360288</v>
      </c>
    </row>
    <row r="12171" spans="1:2" x14ac:dyDescent="0.25">
      <c r="A12171">
        <f ca="1">27698.3895177117*((RANDBETWEEN(1620,2416)))</f>
        <v>63540105.553630628</v>
      </c>
      <c r="B12171">
        <v>177247169.90640965</v>
      </c>
    </row>
    <row r="12172" spans="1:2" x14ac:dyDescent="0.25">
      <c r="A12172">
        <f ca="1">28280.6765621385*((RANDBETWEEN(1620,2416)))</f>
        <v>49095254.511872515</v>
      </c>
      <c r="B12172">
        <v>143979294.52140975</v>
      </c>
    </row>
    <row r="12173" spans="1:2" x14ac:dyDescent="0.25">
      <c r="A12173">
        <f ca="1">25965.6108620252*((RANDBETWEEN(1620,2416)))</f>
        <v>45206128.510785915</v>
      </c>
      <c r="B12173">
        <v>145739222.45189285</v>
      </c>
    </row>
    <row r="12174" spans="1:2" x14ac:dyDescent="0.25">
      <c r="A12174">
        <f ca="1">26069.4741303232*((RANDBETWEEN(1620,2416)))</f>
        <v>58447761.0001847</v>
      </c>
      <c r="B12174">
        <v>161472342.89435118</v>
      </c>
    </row>
    <row r="12175" spans="1:2" x14ac:dyDescent="0.25">
      <c r="A12175">
        <f ca="1">28901.6102290657*((RANDBETWEEN(1620,2416)))</f>
        <v>56820565.710343249</v>
      </c>
      <c r="B12175">
        <v>202490138.90597659</v>
      </c>
    </row>
    <row r="12176" spans="1:2" x14ac:dyDescent="0.25">
      <c r="A12176">
        <f ca="1">30958.4381818535*((RANDBETWEEN(1620,2416)))</f>
        <v>60152245.387341395</v>
      </c>
      <c r="B12176">
        <v>189771387.38625717</v>
      </c>
    </row>
    <row r="12177" spans="1:2" x14ac:dyDescent="0.25">
      <c r="A12177">
        <f ca="1">29316.0946372185*((RANDBETWEEN(1620,2416)))</f>
        <v>57928603.003143668</v>
      </c>
      <c r="B12177">
        <v>169300436.83890313</v>
      </c>
    </row>
    <row r="12178" spans="1:2" x14ac:dyDescent="0.25">
      <c r="A12178">
        <f ca="1">27694.6407719505*((RANDBETWEEN(1620,2416)))</f>
        <v>56275510.048603497</v>
      </c>
      <c r="B12178">
        <v>152457545.35226256</v>
      </c>
    </row>
    <row r="12179" spans="1:2" x14ac:dyDescent="0.25">
      <c r="A12179">
        <f ca="1">29059.3888725894*((RANDBETWEEN(1620,2416)))</f>
        <v>47337744.473448105</v>
      </c>
      <c r="B12179">
        <v>190959680.51366261</v>
      </c>
    </row>
    <row r="12180" spans="1:2" x14ac:dyDescent="0.25">
      <c r="A12180">
        <f ca="1">30614.4618840041*((RANDBETWEEN(1620,2416)))</f>
        <v>53514079.373239167</v>
      </c>
      <c r="B12180">
        <v>149514567.61926511</v>
      </c>
    </row>
    <row r="12181" spans="1:2" x14ac:dyDescent="0.25">
      <c r="A12181">
        <f ca="1">25874.1571399471*((RANDBETWEEN(1620,2416)))</f>
        <v>54490974.936728552</v>
      </c>
      <c r="B12181">
        <v>171548812.99096838</v>
      </c>
    </row>
    <row r="12182" spans="1:2" x14ac:dyDescent="0.25">
      <c r="A12182">
        <f ca="1">25829.2913487958*((RANDBETWEEN(1620,2416)))</f>
        <v>56462830.888467774</v>
      </c>
      <c r="B12182">
        <v>149577144.08550733</v>
      </c>
    </row>
    <row r="12183" spans="1:2" x14ac:dyDescent="0.25">
      <c r="A12183">
        <f ca="1">27329.6231646701*((RANDBETWEEN(1620,2416)))</f>
        <v>52992139.3162954</v>
      </c>
      <c r="B12183">
        <v>151673355.07312375</v>
      </c>
    </row>
    <row r="12184" spans="1:2" x14ac:dyDescent="0.25">
      <c r="A12184">
        <f ca="1">26442.0641815054*((RANDBETWEEN(1620,2416)))</f>
        <v>54999493.49753122</v>
      </c>
      <c r="B12184">
        <v>173823282.63616228</v>
      </c>
    </row>
    <row r="12185" spans="1:2" x14ac:dyDescent="0.25">
      <c r="A12185">
        <f ca="1">29321.6608448854*((RANDBETWEEN(1620,2416)))</f>
        <v>67469141.604081422</v>
      </c>
      <c r="B12185">
        <v>159421637.73745078</v>
      </c>
    </row>
    <row r="12186" spans="1:2" x14ac:dyDescent="0.25">
      <c r="A12186">
        <f ca="1">26622.1214993091*((RANDBETWEEN(1620,2416)))</f>
        <v>46668578.988288879</v>
      </c>
      <c r="B12186">
        <v>181303537.87959138</v>
      </c>
    </row>
    <row r="12187" spans="1:2" x14ac:dyDescent="0.25">
      <c r="A12187">
        <f ca="1">26100.7164118322*((RANDBETWEEN(1620,2416)))</f>
        <v>58961518.374328882</v>
      </c>
      <c r="B12187">
        <v>145836947.56406942</v>
      </c>
    </row>
    <row r="12188" spans="1:2" x14ac:dyDescent="0.25">
      <c r="A12188">
        <f ca="1">28820.4739148696*((RANDBETWEEN(1620,2416)))</f>
        <v>66517653.795518935</v>
      </c>
      <c r="B12188">
        <v>191043976.16202158</v>
      </c>
    </row>
    <row r="12189" spans="1:2" x14ac:dyDescent="0.25">
      <c r="A12189">
        <f ca="1">27482.7927961396*((RANDBETWEEN(1620,2416)))</f>
        <v>45731367.212776318</v>
      </c>
      <c r="B12189">
        <v>159534427.21550485</v>
      </c>
    </row>
    <row r="12190" spans="1:2" x14ac:dyDescent="0.25">
      <c r="A12190">
        <f ca="1">29506.8247632552*((RANDBETWEEN(1620,2416)))</f>
        <v>53702421.06912449</v>
      </c>
      <c r="B12190">
        <v>180290041.28737479</v>
      </c>
    </row>
    <row r="12191" spans="1:2" x14ac:dyDescent="0.25">
      <c r="A12191">
        <f ca="1">25697.3864558188*((RANDBETWEEN(1620,2416)))</f>
        <v>50880825.182521127</v>
      </c>
      <c r="B12191">
        <v>182023161.67935386</v>
      </c>
    </row>
    <row r="12192" spans="1:2" x14ac:dyDescent="0.25">
      <c r="A12192">
        <f ca="1">27965.6198334659*((RANDBETWEEN(1620,2416)))</f>
        <v>59063389.088279903</v>
      </c>
      <c r="B12192">
        <v>181244941.07885411</v>
      </c>
    </row>
    <row r="12193" spans="1:2" x14ac:dyDescent="0.25">
      <c r="A12193">
        <f ca="1">26675.278597325*((RANDBETWEEN(1620,2416)))</f>
        <v>63140384.439868219</v>
      </c>
      <c r="B12193">
        <v>171801415.9937284</v>
      </c>
    </row>
    <row r="12194" spans="1:2" x14ac:dyDescent="0.25">
      <c r="A12194">
        <f ca="1">28903.5540958105*((RANDBETWEEN(1620,2416)))</f>
        <v>50610123.221764147</v>
      </c>
      <c r="B12194">
        <v>161621120.78244904</v>
      </c>
    </row>
    <row r="12195" spans="1:2" x14ac:dyDescent="0.25">
      <c r="A12195">
        <f ca="1">26669.8779526427*((RANDBETWEEN(1620,2416)))</f>
        <v>48139129.704520017</v>
      </c>
      <c r="B12195">
        <v>196805304.85130119</v>
      </c>
    </row>
    <row r="12196" spans="1:2" x14ac:dyDescent="0.25">
      <c r="A12196">
        <f ca="1">29388.7491684957*((RANDBETWEEN(1620,2416)))</f>
        <v>61422485.762156077</v>
      </c>
      <c r="B12196">
        <v>164619478.03996041</v>
      </c>
    </row>
    <row r="12197" spans="1:2" x14ac:dyDescent="0.25">
      <c r="A12197">
        <f ca="1">26772.7209999422*((RANDBETWEEN(1620,2416)))</f>
        <v>59114167.967872411</v>
      </c>
      <c r="B12197">
        <v>165273633.30211192</v>
      </c>
    </row>
    <row r="12198" spans="1:2" x14ac:dyDescent="0.25">
      <c r="A12198">
        <f ca="1">26027.3988560791*((RANDBETWEEN(1620,2416)))</f>
        <v>61736990.08661969</v>
      </c>
      <c r="B12198">
        <v>152773149.00737566</v>
      </c>
    </row>
    <row r="12199" spans="1:2" x14ac:dyDescent="0.25">
      <c r="A12199">
        <f ca="1">27348.1159458107*((RANDBETWEEN(1620,2416)))</f>
        <v>57595132.181877255</v>
      </c>
      <c r="B12199">
        <v>149758581.19039875</v>
      </c>
    </row>
    <row r="12200" spans="1:2" x14ac:dyDescent="0.25">
      <c r="A12200">
        <f ca="1">26133.2754468591*((RANDBETWEEN(1620,2416)))</f>
        <v>63059593.653270938</v>
      </c>
      <c r="B12200">
        <v>159432796.04715094</v>
      </c>
    </row>
    <row r="12201" spans="1:2" x14ac:dyDescent="0.25">
      <c r="A12201">
        <f ca="1">30242.1681043637*((RANDBETWEEN(1620,2416)))</f>
        <v>55070988.118046269</v>
      </c>
      <c r="B12201">
        <v>192409873.27491778</v>
      </c>
    </row>
    <row r="12202" spans="1:2" x14ac:dyDescent="0.25">
      <c r="A12202">
        <f ca="1">27205.5151797428*((RANDBETWEEN(1620,2416)))</f>
        <v>64368248.915271468</v>
      </c>
      <c r="B12202">
        <v>147374340.00391918</v>
      </c>
    </row>
    <row r="12203" spans="1:2" x14ac:dyDescent="0.25">
      <c r="A12203">
        <f ca="1">27698.6049104695*((RANDBETWEEN(1620,2416)))</f>
        <v>47946285.100022785</v>
      </c>
      <c r="B12203">
        <v>200105230.42067075</v>
      </c>
    </row>
    <row r="12204" spans="1:2" x14ac:dyDescent="0.25">
      <c r="A12204">
        <f ca="1">30497.9054033781*((RANDBETWEEN(1620,2416)))</f>
        <v>49925071.145329952</v>
      </c>
      <c r="B12204">
        <v>190146931.57726991</v>
      </c>
    </row>
    <row r="12205" spans="1:2" x14ac:dyDescent="0.25">
      <c r="A12205">
        <f ca="1">27700.8353869984*((RANDBETWEEN(1620,2416)))</f>
        <v>60803333.674461566</v>
      </c>
      <c r="B12205">
        <v>161574783.2577095</v>
      </c>
    </row>
    <row r="12206" spans="1:2" x14ac:dyDescent="0.25">
      <c r="A12206">
        <f ca="1">27288.8432859628*((RANDBETWEEN(1620,2416)))</f>
        <v>46882232.765284032</v>
      </c>
      <c r="B12206">
        <v>172952581.06736219</v>
      </c>
    </row>
    <row r="12207" spans="1:2" x14ac:dyDescent="0.25">
      <c r="A12207">
        <f ca="1">24792.3136811326*((RANDBETWEEN(1620,2416)))</f>
        <v>54939767.117389917</v>
      </c>
      <c r="B12207">
        <v>162104915.34673244</v>
      </c>
    </row>
    <row r="12208" spans="1:2" x14ac:dyDescent="0.25">
      <c r="A12208">
        <f ca="1">26464.4015871348*((RANDBETWEEN(1620,2416)))</f>
        <v>57374822.640908182</v>
      </c>
      <c r="B12208">
        <v>146083486.01509595</v>
      </c>
    </row>
    <row r="12209" spans="1:2" x14ac:dyDescent="0.25">
      <c r="A12209">
        <f ca="1">32035.3145370021*((RANDBETWEEN(1620,2416)))</f>
        <v>70093268.206960544</v>
      </c>
      <c r="B12209">
        <v>160927331.63801539</v>
      </c>
    </row>
    <row r="12210" spans="1:2" x14ac:dyDescent="0.25">
      <c r="A12210">
        <f ca="1">26777.3174430619*((RANDBETWEEN(1620,2416)))</f>
        <v>48118839.445182234</v>
      </c>
      <c r="B12210">
        <v>171795492.3525604</v>
      </c>
    </row>
    <row r="12211" spans="1:2" x14ac:dyDescent="0.25">
      <c r="A12211">
        <f ca="1">31999.3102115996*((RANDBETWEEN(1620,2416)))</f>
        <v>53534845.984006211</v>
      </c>
      <c r="B12211">
        <v>181235837.97824493</v>
      </c>
    </row>
    <row r="12212" spans="1:2" x14ac:dyDescent="0.25">
      <c r="A12212">
        <f ca="1">29796.2501866429*((RANDBETWEEN(1620,2416)))</f>
        <v>52500992.828864872</v>
      </c>
      <c r="B12212">
        <v>158248681.55488771</v>
      </c>
    </row>
    <row r="12213" spans="1:2" x14ac:dyDescent="0.25">
      <c r="A12213">
        <f ca="1">26146.0303370267*((RANDBETWEEN(1620,2416)))</f>
        <v>60580352.290890835</v>
      </c>
      <c r="B12213">
        <v>191867864.70516253</v>
      </c>
    </row>
    <row r="12214" spans="1:2" x14ac:dyDescent="0.25">
      <c r="A12214">
        <f ca="1">25972.9195041549*((RANDBETWEEN(1620,2416)))</f>
        <v>56906666.633603282</v>
      </c>
      <c r="B12214">
        <v>160916407.24181134</v>
      </c>
    </row>
    <row r="12215" spans="1:2" x14ac:dyDescent="0.25">
      <c r="A12215">
        <f ca="1">30330.0599123109*((RANDBETWEEN(1620,2416)))</f>
        <v>65573589.530416258</v>
      </c>
      <c r="B12215">
        <v>197464094.2123028</v>
      </c>
    </row>
    <row r="12216" spans="1:2" x14ac:dyDescent="0.25">
      <c r="A12216">
        <f ca="1">25867.7808392302*((RANDBETWEEN(1620,2416)))</f>
        <v>52847876.254547253</v>
      </c>
      <c r="B12216">
        <v>149628013.85467115</v>
      </c>
    </row>
    <row r="12217" spans="1:2" x14ac:dyDescent="0.25">
      <c r="A12217">
        <f ca="1">27996.1928355169*((RANDBETWEEN(1620,2416)))</f>
        <v>61815593.780821353</v>
      </c>
      <c r="B12217">
        <v>157625166.40569043</v>
      </c>
    </row>
    <row r="12218" spans="1:2" x14ac:dyDescent="0.25">
      <c r="A12218">
        <f ca="1">31924.1425885766*((RANDBETWEEN(1620,2416)))</f>
        <v>69881948.126394108</v>
      </c>
      <c r="B12218">
        <v>189060007.66346586</v>
      </c>
    </row>
    <row r="12219" spans="1:2" x14ac:dyDescent="0.25">
      <c r="A12219">
        <f ca="1">27440.2827914163*((RANDBETWEEN(1620,2416)))</f>
        <v>62508964.198846288</v>
      </c>
      <c r="B12219">
        <v>163465157.02288991</v>
      </c>
    </row>
    <row r="12220" spans="1:2" x14ac:dyDescent="0.25">
      <c r="A12220">
        <f ca="1">27571.2312759518*((RANDBETWEEN(1620,2416)))</f>
        <v>60877278.657301582</v>
      </c>
      <c r="B12220">
        <v>186862906.45571524</v>
      </c>
    </row>
    <row r="12221" spans="1:2" x14ac:dyDescent="0.25">
      <c r="A12221">
        <f ca="1">28207.6187269552*((RANDBETWEEN(1620,2416)))</f>
        <v>47219553.748922966</v>
      </c>
      <c r="B12221">
        <v>163113893.05464256</v>
      </c>
    </row>
    <row r="12222" spans="1:2" x14ac:dyDescent="0.25">
      <c r="A12222">
        <f ca="1">26976.9221002885*((RANDBETWEEN(1620,2416)))</f>
        <v>54493382.642582707</v>
      </c>
      <c r="B12222">
        <v>147302772.66504797</v>
      </c>
    </row>
    <row r="12223" spans="1:2" x14ac:dyDescent="0.25">
      <c r="A12223">
        <f ca="1">26955.276131813*((RANDBETWEEN(1620,2416)))</f>
        <v>59355518.042252317</v>
      </c>
      <c r="B12223">
        <v>163747834.68714049</v>
      </c>
    </row>
    <row r="12224" spans="1:2" x14ac:dyDescent="0.25">
      <c r="A12224">
        <f ca="1">25894.8172227909*((RANDBETWEEN(1620,2416)))</f>
        <v>51245843.283903129</v>
      </c>
      <c r="B12224">
        <v>145978865.09506857</v>
      </c>
    </row>
    <row r="12225" spans="1:2" x14ac:dyDescent="0.25">
      <c r="A12225">
        <f ca="1">26179.8511170551*((RANDBETWEEN(1620,2416)))</f>
        <v>46626314.839475133</v>
      </c>
      <c r="B12225">
        <v>146457983.31629813</v>
      </c>
    </row>
    <row r="12226" spans="1:2" x14ac:dyDescent="0.25">
      <c r="A12226">
        <f ca="1">25843.3761348147*((RANDBETWEEN(1620,2416)))</f>
        <v>55072234.543290146</v>
      </c>
      <c r="B12226">
        <v>151440662.21821725</v>
      </c>
    </row>
    <row r="12227" spans="1:2" x14ac:dyDescent="0.25">
      <c r="A12227">
        <f ca="1">25536.6974075298*((RANDBETWEEN(1620,2416)))</f>
        <v>47651477.362450652</v>
      </c>
      <c r="B12227">
        <v>154520185.82230306</v>
      </c>
    </row>
    <row r="12228" spans="1:2" x14ac:dyDescent="0.25">
      <c r="A12228">
        <f ca="1">26693.4473127926*((RANDBETWEEN(1620,2416)))</f>
        <v>56563414.855807565</v>
      </c>
      <c r="B12228">
        <v>145426155.23273155</v>
      </c>
    </row>
    <row r="12229" spans="1:2" x14ac:dyDescent="0.25">
      <c r="A12229">
        <f ca="1">28111.6751016936*((RANDBETWEEN(1620,2416)))</f>
        <v>57375928.882556707</v>
      </c>
      <c r="B12229">
        <v>165871299.93640208</v>
      </c>
    </row>
    <row r="12230" spans="1:2" x14ac:dyDescent="0.25">
      <c r="A12230">
        <f ca="1">27321.1731529144*((RANDBETWEEN(1620,2416)))</f>
        <v>53248966.475030087</v>
      </c>
      <c r="B12230">
        <v>157586918.29235211</v>
      </c>
    </row>
    <row r="12231" spans="1:2" x14ac:dyDescent="0.25">
      <c r="A12231">
        <f ca="1">32299.6426376017*((RANDBETWEEN(1620,2416)))</f>
        <v>75161268.417699143</v>
      </c>
      <c r="B12231">
        <v>185114396.44162261</v>
      </c>
    </row>
    <row r="12232" spans="1:2" x14ac:dyDescent="0.25">
      <c r="A12232">
        <f ca="1">28275.3898373433*((RANDBETWEEN(1620,2416)))</f>
        <v>65683730.592148431</v>
      </c>
      <c r="B12232">
        <v>178756080.11725882</v>
      </c>
    </row>
    <row r="12233" spans="1:2" x14ac:dyDescent="0.25">
      <c r="A12233">
        <f ca="1">26013.4186638346*((RANDBETWEEN(1620,2416)))</f>
        <v>46980234.106885344</v>
      </c>
      <c r="B12233">
        <v>163213371.67456254</v>
      </c>
    </row>
    <row r="12234" spans="1:2" x14ac:dyDescent="0.25">
      <c r="A12234">
        <f ca="1">30173.2176410804*((RANDBETWEEN(1620,2416)))</f>
        <v>70213077.450794145</v>
      </c>
      <c r="B12234">
        <v>201828656.58758441</v>
      </c>
    </row>
    <row r="12235" spans="1:2" x14ac:dyDescent="0.25">
      <c r="A12235">
        <f ca="1">29494.3674986022*((RANDBETWEEN(1620,2416)))</f>
        <v>55242950.324881874</v>
      </c>
      <c r="B12235">
        <v>186739015.96025851</v>
      </c>
    </row>
    <row r="12236" spans="1:2" x14ac:dyDescent="0.25">
      <c r="A12236">
        <f ca="1">25907.0842410465*((RANDBETWEEN(1620,2416)))</f>
        <v>55026646.927982666</v>
      </c>
      <c r="B12236">
        <v>144860560.02443352</v>
      </c>
    </row>
    <row r="12237" spans="1:2" x14ac:dyDescent="0.25">
      <c r="A12237">
        <f ca="1">29678.9239580632*((RANDBETWEEN(1620,2416)))</f>
        <v>63423860.498381063</v>
      </c>
      <c r="B12237">
        <v>147084234.80373237</v>
      </c>
    </row>
    <row r="12238" spans="1:2" x14ac:dyDescent="0.25">
      <c r="A12238">
        <f ca="1">33613.7361574817*((RANDBETWEEN(1620,2416)))</f>
        <v>81177172.82031852</v>
      </c>
      <c r="B12238">
        <v>178345699.98358855</v>
      </c>
    </row>
    <row r="12239" spans="1:2" x14ac:dyDescent="0.25">
      <c r="A12239">
        <f ca="1">27720.5023040522*((RANDBETWEEN(1620,2416)))</f>
        <v>60569297.534354053</v>
      </c>
      <c r="B12239">
        <v>143068802.12015688</v>
      </c>
    </row>
    <row r="12240" spans="1:2" x14ac:dyDescent="0.25">
      <c r="A12240">
        <f ca="1">31023.7251129572*((RANDBETWEEN(1620,2416)))</f>
        <v>59069172.615070418</v>
      </c>
      <c r="B12240">
        <v>189408492.22537804</v>
      </c>
    </row>
    <row r="12241" spans="1:2" x14ac:dyDescent="0.25">
      <c r="A12241">
        <f ca="1">29040.6518496101*((RANDBETWEEN(1620,2416)))</f>
        <v>55467645.032755315</v>
      </c>
      <c r="B12241">
        <v>172818974.51860303</v>
      </c>
    </row>
    <row r="12242" spans="1:2" x14ac:dyDescent="0.25">
      <c r="A12242">
        <f ca="1">26801.5757386885*((RANDBETWEEN(1620,2416)))</f>
        <v>45750289.78594134</v>
      </c>
      <c r="B12242">
        <v>160256959.20489332</v>
      </c>
    </row>
    <row r="12243" spans="1:2" x14ac:dyDescent="0.25">
      <c r="A12243">
        <f ca="1">30401.5027060426*((RANDBETWEEN(1620,2416)))</f>
        <v>63721549.671865292</v>
      </c>
      <c r="B12243">
        <v>198590352.88875431</v>
      </c>
    </row>
    <row r="12244" spans="1:2" x14ac:dyDescent="0.25">
      <c r="A12244">
        <f ca="1">27911.0876075863*((RANDBETWEEN(1620,2416)))</f>
        <v>61962614.488841623</v>
      </c>
      <c r="B12244">
        <v>151372017.15246204</v>
      </c>
    </row>
    <row r="12245" spans="1:2" x14ac:dyDescent="0.25">
      <c r="A12245">
        <f ca="1">25930.0013437701*((RANDBETWEEN(1620,2416)))</f>
        <v>54582652.82863602</v>
      </c>
      <c r="B12245">
        <v>153303207.48050165</v>
      </c>
    </row>
    <row r="12246" spans="1:2" x14ac:dyDescent="0.25">
      <c r="A12246">
        <f ca="1">30112.8749475309*((RANDBETWEEN(1620,2416)))</f>
        <v>68476677.630685315</v>
      </c>
      <c r="B12246">
        <v>161634696.96332711</v>
      </c>
    </row>
    <row r="12247" spans="1:2" x14ac:dyDescent="0.25">
      <c r="A12247">
        <f ca="1">27146.5609790491*((RANDBETWEEN(1620,2416)))</f>
        <v>62165624.642022446</v>
      </c>
      <c r="B12247">
        <v>166681066.4750143</v>
      </c>
    </row>
    <row r="12248" spans="1:2" x14ac:dyDescent="0.25">
      <c r="A12248">
        <f ca="1">28578.2528413538*((RANDBETWEEN(1620,2416)))</f>
        <v>58471105.313409947</v>
      </c>
      <c r="B12248">
        <v>198881352.49790177</v>
      </c>
    </row>
    <row r="12249" spans="1:2" x14ac:dyDescent="0.25">
      <c r="A12249">
        <f ca="1">29538.389917581*((RANDBETWEEN(1620,2416)))</f>
        <v>64984457.81867826</v>
      </c>
      <c r="B12249">
        <v>143203122.20811927</v>
      </c>
    </row>
    <row r="12250" spans="1:2" x14ac:dyDescent="0.25">
      <c r="A12250">
        <f ca="1">28230.4206730491*((RANDBETWEEN(1620,2416)))</f>
        <v>56940758.497539997</v>
      </c>
      <c r="B12250">
        <v>171861251.38764954</v>
      </c>
    </row>
    <row r="12251" spans="1:2" x14ac:dyDescent="0.25">
      <c r="A12251">
        <f ca="1">32020.2999847814*((RANDBETWEEN(1620,2416)))</f>
        <v>71917593.765818954</v>
      </c>
      <c r="B12251">
        <v>196149304.7623882</v>
      </c>
    </row>
    <row r="12252" spans="1:2" x14ac:dyDescent="0.25">
      <c r="A12252">
        <f ca="1">30868.4129216062*((RANDBETWEEN(1620,2416)))</f>
        <v>69176113.357319579</v>
      </c>
      <c r="B12252">
        <v>158997012.65655628</v>
      </c>
    </row>
    <row r="12253" spans="1:2" x14ac:dyDescent="0.25">
      <c r="A12253">
        <f ca="1">26646.7788763146*((RANDBETWEEN(1620,2416)))</f>
        <v>55478593.620487064</v>
      </c>
      <c r="B12253">
        <v>190585760.43344757</v>
      </c>
    </row>
    <row r="12254" spans="1:2" x14ac:dyDescent="0.25">
      <c r="A12254">
        <f ca="1">30575.2225873521*((RANDBETWEEN(1620,2416)))</f>
        <v>56441860.896252051</v>
      </c>
      <c r="B12254">
        <v>183005116.28341419</v>
      </c>
    </row>
    <row r="12255" spans="1:2" x14ac:dyDescent="0.25">
      <c r="A12255">
        <f ca="1">33093.5347359392*((RANDBETWEEN(1620,2416)))</f>
        <v>65161169.895064265</v>
      </c>
      <c r="B12255">
        <v>171421145.71878263</v>
      </c>
    </row>
    <row r="12256" spans="1:2" x14ac:dyDescent="0.25">
      <c r="A12256">
        <f ca="1">27238.5508501324*((RANDBETWEEN(1620,2416)))</f>
        <v>60905399.700896099</v>
      </c>
      <c r="B12256">
        <v>191418003.27143231</v>
      </c>
    </row>
    <row r="12257" spans="1:2" x14ac:dyDescent="0.25">
      <c r="A12257">
        <f ca="1">31465.8468592705*((RANDBETWEEN(1620,2416)))</f>
        <v>66896390.422809169</v>
      </c>
      <c r="B12257">
        <v>183228936.34131655</v>
      </c>
    </row>
    <row r="12258" spans="1:2" x14ac:dyDescent="0.25">
      <c r="A12258">
        <f ca="1">33428.1269976566*((RANDBETWEEN(1620,2416)))</f>
        <v>77085260.856596231</v>
      </c>
      <c r="B12258">
        <v>195643534.46370459</v>
      </c>
    </row>
    <row r="12259" spans="1:2" x14ac:dyDescent="0.25">
      <c r="A12259">
        <f ca="1">27388.731969972*((RANDBETWEEN(1620,2416)))</f>
        <v>49135385.15412984</v>
      </c>
      <c r="B12259">
        <v>170417410.0340302</v>
      </c>
    </row>
    <row r="12260" spans="1:2" x14ac:dyDescent="0.25">
      <c r="A12260">
        <f ca="1">28584.1572448558*((RANDBETWEEN(1620,2416)))</f>
        <v>65572056.719699256</v>
      </c>
      <c r="B12260">
        <v>171200217.04927847</v>
      </c>
    </row>
    <row r="12261" spans="1:2" x14ac:dyDescent="0.25">
      <c r="A12261">
        <f ca="1">28935.9095173427*((RANDBETWEEN(1620,2416)))</f>
        <v>63659000.938153833</v>
      </c>
      <c r="B12261">
        <v>159587054.42792425</v>
      </c>
    </row>
    <row r="12262" spans="1:2" x14ac:dyDescent="0.25">
      <c r="A12262">
        <f ca="1">26969.1763362252*((RANDBETWEEN(1620,2416)))</f>
        <v>60303078.287799515</v>
      </c>
      <c r="B12262">
        <v>144489450.50933763</v>
      </c>
    </row>
    <row r="12263" spans="1:2" x14ac:dyDescent="0.25">
      <c r="A12263">
        <f ca="1">27547.1577428996*((RANDBETWEEN(1620,2416)))</f>
        <v>49942996.987877049</v>
      </c>
      <c r="B12263">
        <v>148703671.02162224</v>
      </c>
    </row>
    <row r="12264" spans="1:2" x14ac:dyDescent="0.25">
      <c r="A12264">
        <f ca="1">27672.6130795335*((RANDBETWEEN(1620,2416)))</f>
        <v>57614380.431588843</v>
      </c>
      <c r="B12264">
        <v>200607641.98639685</v>
      </c>
    </row>
    <row r="12265" spans="1:2" x14ac:dyDescent="0.25">
      <c r="A12265">
        <f ca="1">30758.8268686409*((RANDBETWEEN(1620,2416)))</f>
        <v>61425377.256675884</v>
      </c>
      <c r="B12265">
        <v>167099957.28023201</v>
      </c>
    </row>
    <row r="12266" spans="1:2" x14ac:dyDescent="0.25">
      <c r="A12266">
        <f ca="1">26682.0780708547*((RANDBETWEEN(1620,2416)))</f>
        <v>46987139.482775062</v>
      </c>
      <c r="B12266">
        <v>147138731.37090153</v>
      </c>
    </row>
    <row r="12267" spans="1:2" x14ac:dyDescent="0.25">
      <c r="A12267">
        <f ca="1">31075.4039719514*((RANDBETWEEN(1620,2416)))</f>
        <v>56495084.421007656</v>
      </c>
      <c r="B12267">
        <v>146792934.74690068</v>
      </c>
    </row>
    <row r="12268" spans="1:2" x14ac:dyDescent="0.25">
      <c r="A12268">
        <f ca="1">27546.0660664852*((RANDBETWEEN(1620,2416)))</f>
        <v>60325884.68560265</v>
      </c>
      <c r="B12268">
        <v>146627169.44816539</v>
      </c>
    </row>
    <row r="12269" spans="1:2" x14ac:dyDescent="0.25">
      <c r="A12269">
        <f ca="1">26006.3010798005*((RANDBETWEEN(1620,2416)))</f>
        <v>43248478.695708185</v>
      </c>
      <c r="B12269">
        <v>153912580.28995103</v>
      </c>
    </row>
    <row r="12270" spans="1:2" x14ac:dyDescent="0.25">
      <c r="A12270">
        <f ca="1">30051.7331129117*((RANDBETWEEN(1620,2416)))</f>
        <v>63258898.202679135</v>
      </c>
      <c r="B12270">
        <v>154507041.32128322</v>
      </c>
    </row>
    <row r="12271" spans="1:2" x14ac:dyDescent="0.25">
      <c r="A12271">
        <f ca="1">26889.6944049414*((RANDBETWEEN(1620,2416)))</f>
        <v>61765628.048150368</v>
      </c>
      <c r="B12271">
        <v>144553746.40508994</v>
      </c>
    </row>
    <row r="12272" spans="1:2" x14ac:dyDescent="0.25">
      <c r="A12272">
        <f ca="1">28582.9033873445*((RANDBETWEEN(1620,2416)))</f>
        <v>48305106.724612229</v>
      </c>
      <c r="B12272">
        <v>165707691.01462016</v>
      </c>
    </row>
    <row r="12273" spans="1:2" x14ac:dyDescent="0.25">
      <c r="A12273">
        <f ca="1">26853.8529297644*((RANDBETWEEN(1620,2416)))</f>
        <v>50780635.890184544</v>
      </c>
      <c r="B12273">
        <v>153151953.48306215</v>
      </c>
    </row>
    <row r="12274" spans="1:2" x14ac:dyDescent="0.25">
      <c r="A12274">
        <f ca="1">26861.9740568168*((RANDBETWEEN(1620,2416)))</f>
        <v>50205029.512190685</v>
      </c>
      <c r="B12274">
        <v>161902237.81101322</v>
      </c>
    </row>
    <row r="12275" spans="1:2" x14ac:dyDescent="0.25">
      <c r="A12275">
        <f ca="1">27906.9577884196*((RANDBETWEEN(1620,2416)))</f>
        <v>64186002.913365021</v>
      </c>
      <c r="B12275">
        <v>158324570.970824</v>
      </c>
    </row>
    <row r="12276" spans="1:2" x14ac:dyDescent="0.25">
      <c r="A12276">
        <f ca="1">25168.9102350321*((RANDBETWEEN(1620,2416)))</f>
        <v>45731909.897053316</v>
      </c>
      <c r="B12276">
        <v>143830574.2313416</v>
      </c>
    </row>
    <row r="12277" spans="1:2" x14ac:dyDescent="0.25">
      <c r="A12277">
        <f ca="1">27471.609990583*((RANDBETWEEN(1620,2416)))</f>
        <v>44861139.114622034</v>
      </c>
      <c r="B12277">
        <v>199299076.36612767</v>
      </c>
    </row>
    <row r="12278" spans="1:2" x14ac:dyDescent="0.25">
      <c r="A12278">
        <f ca="1">28178.2512997377*((RANDBETWEEN(1620,2416)))</f>
        <v>48663839.994646966</v>
      </c>
      <c r="B12278">
        <v>157859415.10385752</v>
      </c>
    </row>
    <row r="12279" spans="1:2" x14ac:dyDescent="0.25">
      <c r="A12279">
        <f ca="1">28140.8441539755*((RANDBETWEEN(1620,2416)))</f>
        <v>51469603.957621239</v>
      </c>
      <c r="B12279">
        <v>192883105.92150396</v>
      </c>
    </row>
    <row r="12280" spans="1:2" x14ac:dyDescent="0.25">
      <c r="A12280">
        <f ca="1">26751.3136364765*((RANDBETWEEN(1620,2416)))</f>
        <v>64176401.41390717</v>
      </c>
      <c r="B12280">
        <v>176101581.2872996</v>
      </c>
    </row>
    <row r="12281" spans="1:2" x14ac:dyDescent="0.25">
      <c r="A12281">
        <f ca="1">26102.5527557697*((RANDBETWEEN(1620,2416)))</f>
        <v>55102488.867429748</v>
      </c>
      <c r="B12281">
        <v>163174531.53063282</v>
      </c>
    </row>
    <row r="12282" spans="1:2" x14ac:dyDescent="0.25">
      <c r="A12282">
        <f ca="1">28381.1047832513*((RANDBETWEEN(1620,2416)))</f>
        <v>63034433.723601148</v>
      </c>
      <c r="B12282">
        <v>174682576.30443239</v>
      </c>
    </row>
    <row r="12283" spans="1:2" x14ac:dyDescent="0.25">
      <c r="A12283">
        <f ca="1">26897.2149527179*((RANDBETWEEN(1620,2416)))</f>
        <v>50620558.541015007</v>
      </c>
      <c r="B12283">
        <v>163310738.44526219</v>
      </c>
    </row>
    <row r="12284" spans="1:2" x14ac:dyDescent="0.25">
      <c r="A12284">
        <f ca="1">30708.5303091494*((RANDBETWEEN(1620,2416)))</f>
        <v>63843034.512721695</v>
      </c>
      <c r="B12284">
        <v>199012503.72430056</v>
      </c>
    </row>
    <row r="12285" spans="1:2" x14ac:dyDescent="0.25">
      <c r="A12285">
        <f ca="1">26121.9789041222*((RANDBETWEEN(1620,2416)))</f>
        <v>50180321.474818833</v>
      </c>
      <c r="B12285">
        <v>145790184.78867638</v>
      </c>
    </row>
    <row r="12286" spans="1:2" x14ac:dyDescent="0.25">
      <c r="A12286">
        <f ca="1">29643.3036784627*((RANDBETWEEN(1620,2416)))</f>
        <v>68120311.853107288</v>
      </c>
      <c r="B12286">
        <v>182611856.0039275</v>
      </c>
    </row>
    <row r="12287" spans="1:2" x14ac:dyDescent="0.25">
      <c r="A12287">
        <f ca="1">26640.9896536305*((RANDBETWEEN(1620,2416)))</f>
        <v>48619806.117875651</v>
      </c>
      <c r="B12287">
        <v>174670878.30501613</v>
      </c>
    </row>
    <row r="12288" spans="1:2" x14ac:dyDescent="0.25">
      <c r="A12288">
        <f ca="1">32737.3830281789*((RANDBETWEEN(1620,2416)))</f>
        <v>66653311.845372252</v>
      </c>
      <c r="B12288">
        <v>154209547.03986651</v>
      </c>
    </row>
    <row r="12289" spans="1:2" x14ac:dyDescent="0.25">
      <c r="A12289">
        <f ca="1">27523.6030706307*((RANDBETWEEN(1620,2416)))</f>
        <v>61790488.89356596</v>
      </c>
      <c r="B12289">
        <v>174709307.37345144</v>
      </c>
    </row>
    <row r="12290" spans="1:2" x14ac:dyDescent="0.25">
      <c r="A12290">
        <f ca="1">27531.6642979013*((RANDBETWEEN(1620,2416)))</f>
        <v>55944341.853335381</v>
      </c>
      <c r="B12290">
        <v>163113192.9479374</v>
      </c>
    </row>
    <row r="12291" spans="1:2" x14ac:dyDescent="0.25">
      <c r="A12291">
        <f ca="1">32490.7580839171*((RANDBETWEEN(1620,2416)))</f>
        <v>55201797.984575205</v>
      </c>
      <c r="B12291">
        <v>194947444.72548974</v>
      </c>
    </row>
    <row r="12292" spans="1:2" x14ac:dyDescent="0.25">
      <c r="A12292">
        <f ca="1">31183.2870014255*((RANDBETWEEN(1620,2416)))</f>
        <v>72033392.973292872</v>
      </c>
      <c r="B12292">
        <v>183812916.52672127</v>
      </c>
    </row>
    <row r="12293" spans="1:2" x14ac:dyDescent="0.25">
      <c r="A12293">
        <f ca="1">28946.5862990086*((RANDBETWEEN(1620,2416)))</f>
        <v>60845724.400516003</v>
      </c>
      <c r="B12293">
        <v>171138604.61880755</v>
      </c>
    </row>
    <row r="12294" spans="1:2" x14ac:dyDescent="0.25">
      <c r="A12294">
        <f ca="1">31244.0351089899*((RANDBETWEEN(1620,2416)))</f>
        <v>59426154.77729883</v>
      </c>
      <c r="B12294">
        <v>146290721.9047046</v>
      </c>
    </row>
    <row r="12295" spans="1:2" x14ac:dyDescent="0.25">
      <c r="A12295">
        <f ca="1">26402.7235041982*((RANDBETWEEN(1620,2416)))</f>
        <v>46970445.113968588</v>
      </c>
      <c r="B12295">
        <v>148636125.22966662</v>
      </c>
    </row>
    <row r="12296" spans="1:2" x14ac:dyDescent="0.25">
      <c r="A12296">
        <f ca="1">28350.3073019518*((RANDBETWEEN(1620,2416)))</f>
        <v>59705747.177910477</v>
      </c>
      <c r="B12296">
        <v>195182849.94060373</v>
      </c>
    </row>
    <row r="12297" spans="1:2" x14ac:dyDescent="0.25">
      <c r="A12297">
        <f ca="1">27523.7208364028*((RANDBETWEEN(1620,2416)))</f>
        <v>65451408.148965873</v>
      </c>
      <c r="B12297">
        <v>201319042.99151188</v>
      </c>
    </row>
    <row r="12298" spans="1:2" x14ac:dyDescent="0.25">
      <c r="A12298">
        <f ca="1">26279.7106244017*((RANDBETWEEN(1620,2416)))</f>
        <v>48249548.70640143</v>
      </c>
      <c r="B12298">
        <v>174332516.22279635</v>
      </c>
    </row>
    <row r="12299" spans="1:2" x14ac:dyDescent="0.25">
      <c r="A12299">
        <f ca="1">29188.57216377*((RANDBETWEEN(1620,2416)))</f>
        <v>63952161.610820048</v>
      </c>
      <c r="B12299">
        <v>194341112.12951964</v>
      </c>
    </row>
    <row r="12300" spans="1:2" x14ac:dyDescent="0.25">
      <c r="A12300">
        <f ca="1">32025.6709405401*((RANDBETWEEN(1620,2416)))</f>
        <v>73594991.821361035</v>
      </c>
      <c r="B12300">
        <v>199115756.80868566</v>
      </c>
    </row>
    <row r="12301" spans="1:2" x14ac:dyDescent="0.25">
      <c r="A12301">
        <f ca="1">28983.2960212241*((RANDBETWEEN(1620,2416)))</f>
        <v>59154907.17931845</v>
      </c>
      <c r="B12301">
        <v>169328670.35141641</v>
      </c>
    </row>
    <row r="12302" spans="1:2" x14ac:dyDescent="0.25">
      <c r="A12302">
        <f ca="1">25808.2553752891*((RANDBETWEEN(1620,2416)))</f>
        <v>53965061.989729531</v>
      </c>
      <c r="B12302">
        <v>144235751.26931226</v>
      </c>
    </row>
    <row r="12303" spans="1:2" x14ac:dyDescent="0.25">
      <c r="A12303">
        <f ca="1">28995.2429704286*((RANDBETWEEN(1620,2416)))</f>
        <v>51524546.758451693</v>
      </c>
      <c r="B12303">
        <v>182020268.94730744</v>
      </c>
    </row>
    <row r="12304" spans="1:2" x14ac:dyDescent="0.25">
      <c r="A12304">
        <f ca="1">26695.1389472187*((RANDBETWEEN(1620,2416)))</f>
        <v>61478904.995444618</v>
      </c>
      <c r="B12304">
        <v>155751198.2664659</v>
      </c>
    </row>
    <row r="12305" spans="1:2" x14ac:dyDescent="0.25">
      <c r="A12305">
        <f ca="1">27929.2133402973*((RANDBETWEEN(1620,2416)))</f>
        <v>48904052.558860488</v>
      </c>
      <c r="B12305">
        <v>185738525.81640092</v>
      </c>
    </row>
    <row r="12306" spans="1:2" x14ac:dyDescent="0.25">
      <c r="A12306">
        <f ca="1">26542.5614322942*((RANDBETWEEN(1620,2416)))</f>
        <v>53217835.671749808</v>
      </c>
      <c r="B12306">
        <v>190017314.17091277</v>
      </c>
    </row>
    <row r="12307" spans="1:2" x14ac:dyDescent="0.25">
      <c r="A12307">
        <f ca="1">26166.8925470121*((RANDBETWEEN(1620,2416)))</f>
        <v>59163344.048794396</v>
      </c>
      <c r="B12307">
        <v>151228615.77885219</v>
      </c>
    </row>
    <row r="12308" spans="1:2" x14ac:dyDescent="0.25">
      <c r="A12308">
        <f ca="1">28166.0639089602*((RANDBETWEEN(1620,2416)))</f>
        <v>60641535.595991284</v>
      </c>
      <c r="B12308">
        <v>179446756.58741403</v>
      </c>
    </row>
    <row r="12309" spans="1:2" x14ac:dyDescent="0.25">
      <c r="A12309">
        <f ca="1">25929.6581408247*((RANDBETWEEN(1620,2416)))</f>
        <v>61868164.324007683</v>
      </c>
      <c r="B12309">
        <v>150731350.94829661</v>
      </c>
    </row>
    <row r="12310" spans="1:2" x14ac:dyDescent="0.25">
      <c r="A12310">
        <f ca="1">28736.4433449701*((RANDBETWEEN(1620,2416)))</f>
        <v>48047333.272789992</v>
      </c>
      <c r="B12310">
        <v>163245665.21867782</v>
      </c>
    </row>
    <row r="12311" spans="1:2" x14ac:dyDescent="0.25">
      <c r="A12311">
        <f ca="1">29685.5843157181*((RANDBETWEEN(1620,2416)))</f>
        <v>58599343.439227551</v>
      </c>
      <c r="B12311">
        <v>177591386.7854265</v>
      </c>
    </row>
    <row r="12312" spans="1:2" x14ac:dyDescent="0.25">
      <c r="A12312">
        <f ca="1">29002.9889230708*((RANDBETWEEN(1620,2416)))</f>
        <v>57251900.134141728</v>
      </c>
      <c r="B12312">
        <v>150784739.26943934</v>
      </c>
    </row>
    <row r="12313" spans="1:2" x14ac:dyDescent="0.25">
      <c r="A12313">
        <f ca="1">26652.38986986*((RANDBETWEEN(1620,2416)))</f>
        <v>51439112.448829733</v>
      </c>
      <c r="B12313">
        <v>155419360.82380736</v>
      </c>
    </row>
    <row r="12314" spans="1:2" x14ac:dyDescent="0.25">
      <c r="A12314">
        <f ca="1">25921.4090553909*((RANDBETWEEN(1620,2416)))</f>
        <v>44196002.43944151</v>
      </c>
      <c r="B12314">
        <v>145487875.66460139</v>
      </c>
    </row>
    <row r="12315" spans="1:2" x14ac:dyDescent="0.25">
      <c r="A12315">
        <f ca="1">26235.0894213922*((RANDBETWEEN(1620,2416)))</f>
        <v>48429975.071889915</v>
      </c>
      <c r="B12315">
        <v>144370910.11465606</v>
      </c>
    </row>
    <row r="12316" spans="1:2" x14ac:dyDescent="0.25">
      <c r="A12316">
        <f ca="1">29240.566730209*((RANDBETWEEN(1620,2416)))</f>
        <v>55703279.621048152</v>
      </c>
      <c r="B12316">
        <v>176618677.39881656</v>
      </c>
    </row>
    <row r="12317" spans="1:2" x14ac:dyDescent="0.25">
      <c r="A12317">
        <f ca="1">27485.828250114*((RANDBETWEEN(1620,2416)))</f>
        <v>55136571.469728604</v>
      </c>
      <c r="B12317">
        <v>155884769.16015172</v>
      </c>
    </row>
    <row r="12318" spans="1:2" x14ac:dyDescent="0.25">
      <c r="A12318">
        <f ca="1">28778.9703714618*((RANDBETWEEN(1620,2416)))</f>
        <v>57960846.328124076</v>
      </c>
      <c r="B12318">
        <v>166709152.11051592</v>
      </c>
    </row>
    <row r="12319" spans="1:2" x14ac:dyDescent="0.25">
      <c r="A12319">
        <f ca="1">30756.7029051073*((RANDBETWEEN(1620,2416)))</f>
        <v>64158482.260053828</v>
      </c>
      <c r="B12319">
        <v>154372882.31969109</v>
      </c>
    </row>
    <row r="12320" spans="1:2" x14ac:dyDescent="0.25">
      <c r="A12320">
        <f ca="1">26621.9134189124*((RANDBETWEEN(1620,2416)))</f>
        <v>50262172.534906611</v>
      </c>
      <c r="B12320">
        <v>181705604.38814938</v>
      </c>
    </row>
    <row r="12321" spans="1:2" x14ac:dyDescent="0.25">
      <c r="A12321">
        <f ca="1">25846.991703956*((RANDBETWEEN(1620,2416)))</f>
        <v>42906006.228567027</v>
      </c>
      <c r="B12321">
        <v>189696159.95689344</v>
      </c>
    </row>
    <row r="12322" spans="1:2" x14ac:dyDescent="0.25">
      <c r="A12322">
        <f ca="1">26324.8009026727*((RANDBETWEEN(1620,2416)))</f>
        <v>58046185.990393244</v>
      </c>
      <c r="B12322">
        <v>157527456.12011689</v>
      </c>
    </row>
    <row r="12323" spans="1:2" x14ac:dyDescent="0.25">
      <c r="A12323">
        <f ca="1">26300.598755049*((RANDBETWEEN(1620,2416)))</f>
        <v>48445702.9068003</v>
      </c>
      <c r="B12323">
        <v>145020697.92026755</v>
      </c>
    </row>
    <row r="12324" spans="1:2" x14ac:dyDescent="0.25">
      <c r="A12324">
        <f ca="1">27612.4614574713*((RANDBETWEEN(1620,2416)))</f>
        <v>53954749.687898964</v>
      </c>
      <c r="B12324">
        <v>143119396.53206244</v>
      </c>
    </row>
    <row r="12325" spans="1:2" x14ac:dyDescent="0.25">
      <c r="A12325">
        <f ca="1">25491.6776596976*((RANDBETWEEN(1620,2416)))</f>
        <v>60466259.408802778</v>
      </c>
      <c r="B12325">
        <v>165913880.18236914</v>
      </c>
    </row>
    <row r="12326" spans="1:2" x14ac:dyDescent="0.25">
      <c r="A12326">
        <f ca="1">32188.4714536227*((RANDBETWEEN(1620,2416)))</f>
        <v>68915517.382206142</v>
      </c>
      <c r="B12326">
        <v>150417453.79389575</v>
      </c>
    </row>
    <row r="12327" spans="1:2" x14ac:dyDescent="0.25">
      <c r="A12327">
        <f ca="1">31040.5639326922*((RANDBETWEEN(1620,2416)))</f>
        <v>67854672.756865069</v>
      </c>
      <c r="B12327">
        <v>178585557.94778022</v>
      </c>
    </row>
    <row r="12328" spans="1:2" x14ac:dyDescent="0.25">
      <c r="A12328">
        <f ca="1">30508.1912684496*((RANDBETWEEN(1620,2416)))</f>
        <v>53602892.058665976</v>
      </c>
      <c r="B12328">
        <v>162571209.85581776</v>
      </c>
    </row>
    <row r="12329" spans="1:2" x14ac:dyDescent="0.25">
      <c r="A12329">
        <f ca="1">26422.5648423239*((RANDBETWEEN(1620,2416)))</f>
        <v>60269870.405340821</v>
      </c>
      <c r="B12329">
        <v>156888917.37909925</v>
      </c>
    </row>
    <row r="12330" spans="1:2" x14ac:dyDescent="0.25">
      <c r="A12330">
        <f ca="1">26108.8940696646*((RANDBETWEEN(1620,2416)))</f>
        <v>51408412.423169516</v>
      </c>
      <c r="B12330">
        <v>199094929.10768121</v>
      </c>
    </row>
    <row r="12331" spans="1:2" x14ac:dyDescent="0.25">
      <c r="A12331">
        <f ca="1">26788.7055761973*((RANDBETWEEN(1620,2416)))</f>
        <v>63649964.449044757</v>
      </c>
      <c r="B12331">
        <v>160760634.17536169</v>
      </c>
    </row>
    <row r="12332" spans="1:2" x14ac:dyDescent="0.25">
      <c r="A12332">
        <f ca="1">30568.8511901799*((RANDBETWEEN(1620,2416)))</f>
        <v>69482998.755278945</v>
      </c>
      <c r="B12332">
        <v>156819583.35720903</v>
      </c>
    </row>
    <row r="12333" spans="1:2" x14ac:dyDescent="0.25">
      <c r="A12333">
        <f ca="1">25200.5178080341*((RANDBETWEEN(1620,2416)))</f>
        <v>53777905.002344787</v>
      </c>
      <c r="B12333">
        <v>166530549.8341617</v>
      </c>
    </row>
    <row r="12334" spans="1:2" x14ac:dyDescent="0.25">
      <c r="A12334">
        <f ca="1">27186.5962973563*((RANDBETWEEN(1620,2416)))</f>
        <v>62991343.620974548</v>
      </c>
      <c r="B12334">
        <v>173425375.45366371</v>
      </c>
    </row>
    <row r="12335" spans="1:2" x14ac:dyDescent="0.25">
      <c r="A12335">
        <f ca="1">27170.9666335559*((RANDBETWEEN(1620,2416)))</f>
        <v>60998820.092332922</v>
      </c>
      <c r="B12335">
        <v>192902389.29262972</v>
      </c>
    </row>
    <row r="12336" spans="1:2" x14ac:dyDescent="0.25">
      <c r="A12336">
        <f ca="1">27659.0490932217*((RANDBETWEEN(1620,2416)))</f>
        <v>65192378.712723583</v>
      </c>
      <c r="B12336">
        <v>173367415.86697233</v>
      </c>
    </row>
    <row r="12337" spans="1:2" x14ac:dyDescent="0.25">
      <c r="A12337">
        <f ca="1">26824.1750262234*((RANDBETWEEN(1620,2416)))</f>
        <v>61481009.160104074</v>
      </c>
      <c r="B12337">
        <v>159663612.16157597</v>
      </c>
    </row>
    <row r="12338" spans="1:2" x14ac:dyDescent="0.25">
      <c r="A12338">
        <f ca="1">27504.6354441409*((RANDBETWEEN(1620,2416)))</f>
        <v>47335477.599366456</v>
      </c>
      <c r="B12338">
        <v>158952236.59315711</v>
      </c>
    </row>
    <row r="12339" spans="1:2" x14ac:dyDescent="0.25">
      <c r="A12339">
        <f ca="1">26658.0414072862*((RANDBETWEEN(1620,2416)))</f>
        <v>47158075.249489211</v>
      </c>
      <c r="B12339">
        <v>162883661.95233536</v>
      </c>
    </row>
    <row r="12340" spans="1:2" x14ac:dyDescent="0.25">
      <c r="A12340">
        <f ca="1">31470.7885187851*((RANDBETWEEN(1620,2416)))</f>
        <v>59416848.72346624</v>
      </c>
      <c r="B12340">
        <v>144441190.08971584</v>
      </c>
    </row>
    <row r="12341" spans="1:2" x14ac:dyDescent="0.25">
      <c r="A12341">
        <f ca="1">28858.8460388672*((RANDBETWEEN(1620,2416)))</f>
        <v>58496880.920783781</v>
      </c>
      <c r="B12341">
        <v>188327990.24028665</v>
      </c>
    </row>
    <row r="12342" spans="1:2" x14ac:dyDescent="0.25">
      <c r="A12342">
        <f ca="1">26418.5723316741*((RANDBETWEEN(1620,2416)))</f>
        <v>48980033.102923699</v>
      </c>
      <c r="B12342">
        <v>175900176.3380295</v>
      </c>
    </row>
    <row r="12343" spans="1:2" x14ac:dyDescent="0.25">
      <c r="A12343">
        <f ca="1">27100.6482502843*((RANDBETWEEN(1620,2416)))</f>
        <v>61111961.80439119</v>
      </c>
      <c r="B12343">
        <v>152549217.11329526</v>
      </c>
    </row>
    <row r="12344" spans="1:2" x14ac:dyDescent="0.25">
      <c r="A12344">
        <f ca="1">25646.434200083*((RANDBETWEEN(1620,2416)))</f>
        <v>55293712.135379031</v>
      </c>
      <c r="B12344">
        <v>145632467.30699098</v>
      </c>
    </row>
    <row r="12345" spans="1:2" x14ac:dyDescent="0.25">
      <c r="A12345">
        <f ca="1">27241.4942008739*((RANDBETWEEN(1620,2416)))</f>
        <v>49416070.480385192</v>
      </c>
      <c r="B12345">
        <v>152850312.93507361</v>
      </c>
    </row>
    <row r="12346" spans="1:2" x14ac:dyDescent="0.25">
      <c r="A12346">
        <f ca="1">29533.9664462588*((RANDBETWEEN(1620,2416)))</f>
        <v>50060073.126408666</v>
      </c>
      <c r="B12346">
        <v>146145147.31376502</v>
      </c>
    </row>
    <row r="12347" spans="1:2" x14ac:dyDescent="0.25">
      <c r="A12347">
        <f ca="1">31480.261961701*((RANDBETWEEN(1620,2416)))</f>
        <v>61323550.301393479</v>
      </c>
      <c r="B12347">
        <v>188438383.97484672</v>
      </c>
    </row>
    <row r="12348" spans="1:2" x14ac:dyDescent="0.25">
      <c r="A12348">
        <f ca="1">27007.3814342925*((RANDBETWEEN(1620,2416)))</f>
        <v>47181895.365708984</v>
      </c>
      <c r="B12348">
        <v>152526013.21433502</v>
      </c>
    </row>
    <row r="12349" spans="1:2" x14ac:dyDescent="0.25">
      <c r="A12349">
        <f ca="1">25707.541539094*((RANDBETWEEN(1620,2416)))</f>
        <v>52726167.696681716</v>
      </c>
      <c r="B12349">
        <v>142953141.20147568</v>
      </c>
    </row>
    <row r="12350" spans="1:2" x14ac:dyDescent="0.25">
      <c r="A12350">
        <f ca="1">29203.9786417903*((RANDBETWEEN(1620,2416)))</f>
        <v>50143231.327953972</v>
      </c>
      <c r="B12350">
        <v>143000590.59580249</v>
      </c>
    </row>
    <row r="12351" spans="1:2" x14ac:dyDescent="0.25">
      <c r="A12351">
        <f ca="1">26053.3865204703*((RANDBETWEEN(1620,2416)))</f>
        <v>47260843.148133114</v>
      </c>
      <c r="B12351">
        <v>147203847.18146485</v>
      </c>
    </row>
    <row r="12352" spans="1:2" x14ac:dyDescent="0.25">
      <c r="A12352">
        <f ca="1">27689.6911681097*((RANDBETWEEN(1620,2416)))</f>
        <v>48373890.470687687</v>
      </c>
      <c r="B12352">
        <v>198325643.71035534</v>
      </c>
    </row>
    <row r="12353" spans="1:2" x14ac:dyDescent="0.25">
      <c r="A12353">
        <f ca="1">27575.2100811446*((RANDBETWEEN(1620,2416)))</f>
        <v>62209673.943062268</v>
      </c>
      <c r="B12353">
        <v>192349829.8681528</v>
      </c>
    </row>
    <row r="12354" spans="1:2" x14ac:dyDescent="0.25">
      <c r="A12354">
        <f ca="1">27267.5020575302*((RANDBETWEEN(1620,2416)))</f>
        <v>52053661.427825198</v>
      </c>
      <c r="B12354">
        <v>189922690.84380603</v>
      </c>
    </row>
    <row r="12355" spans="1:2" x14ac:dyDescent="0.25">
      <c r="A12355">
        <f ca="1">28660.8549567981*((RANDBETWEEN(1620,2416)))</f>
        <v>65748001.270894945</v>
      </c>
      <c r="B12355">
        <v>175041218.78398225</v>
      </c>
    </row>
    <row r="12356" spans="1:2" x14ac:dyDescent="0.25">
      <c r="A12356">
        <f ca="1">25503.1598972664*((RANDBETWEEN(1620,2416)))</f>
        <v>53786164.223334759</v>
      </c>
      <c r="B12356">
        <v>146156291.50786343</v>
      </c>
    </row>
    <row r="12357" spans="1:2" x14ac:dyDescent="0.25">
      <c r="A12357">
        <f ca="1">27161.7623140009*((RANDBETWEEN(1620,2416)))</f>
        <v>52503686.552963711</v>
      </c>
      <c r="B12357">
        <v>165226613.03755668</v>
      </c>
    </row>
    <row r="12358" spans="1:2" x14ac:dyDescent="0.25">
      <c r="A12358">
        <f ca="1">30947.3709298186*((RANDBETWEEN(1620,2416)))</f>
        <v>73097690.136231542</v>
      </c>
      <c r="B12358">
        <v>164192647.3899878</v>
      </c>
    </row>
    <row r="12359" spans="1:2" x14ac:dyDescent="0.25">
      <c r="A12359">
        <f ca="1">31374.1271751182*((RANDBETWEEN(1620,2416)))</f>
        <v>54841974.302106552</v>
      </c>
      <c r="B12359">
        <v>190015094.07062963</v>
      </c>
    </row>
    <row r="12360" spans="1:2" x14ac:dyDescent="0.25">
      <c r="A12360">
        <f ca="1">26789.5000883465*((RANDBETWEEN(1620,2416)))</f>
        <v>54436264.179520138</v>
      </c>
      <c r="B12360">
        <v>156532342.54631674</v>
      </c>
    </row>
    <row r="12361" spans="1:2" x14ac:dyDescent="0.25">
      <c r="A12361">
        <f ca="1">26536.2228810132*((RANDBETWEEN(1620,2416)))</f>
        <v>59122704.578897499</v>
      </c>
      <c r="B12361">
        <v>162754239.40736496</v>
      </c>
    </row>
    <row r="12362" spans="1:2" x14ac:dyDescent="0.25">
      <c r="A12362">
        <f ca="1">25915.097168494*((RANDBETWEEN(1620,2416)))</f>
        <v>44703542.615652166</v>
      </c>
      <c r="B12362">
        <v>161196673.90756029</v>
      </c>
    </row>
    <row r="12363" spans="1:2" x14ac:dyDescent="0.25">
      <c r="A12363">
        <f ca="1">27073.7441563303*((RANDBETWEEN(1620,2416)))</f>
        <v>63108897.62840604</v>
      </c>
      <c r="B12363">
        <v>185461561.11109895</v>
      </c>
    </row>
    <row r="12364" spans="1:2" x14ac:dyDescent="0.25">
      <c r="A12364">
        <f ca="1">32974.3048744272*((RANDBETWEEN(1620,2416)))</f>
        <v>78544794.210885644</v>
      </c>
      <c r="B12364">
        <v>178577963.96328503</v>
      </c>
    </row>
    <row r="12365" spans="1:2" x14ac:dyDescent="0.25">
      <c r="A12365">
        <f ca="1">28177.0009881639*((RANDBETWEEN(1620,2416)))</f>
        <v>49084335.7213815</v>
      </c>
      <c r="B12365">
        <v>195416547.13281661</v>
      </c>
    </row>
    <row r="12366" spans="1:2" x14ac:dyDescent="0.25">
      <c r="A12366">
        <f ca="1">26903.2884968639*((RANDBETWEEN(1620,2416)))</f>
        <v>62846081.928674109</v>
      </c>
      <c r="B12366">
        <v>156352684.88933155</v>
      </c>
    </row>
    <row r="12367" spans="1:2" x14ac:dyDescent="0.25">
      <c r="A12367">
        <f ca="1">27033.7186648553*((RANDBETWEEN(1620,2416)))</f>
        <v>55473190.70028311</v>
      </c>
      <c r="B12367">
        <v>166154479.51668024</v>
      </c>
    </row>
    <row r="12368" spans="1:2" x14ac:dyDescent="0.25">
      <c r="A12368">
        <f ca="1">27145.2238014883*((RANDBETWEEN(1620,2416)))</f>
        <v>65039956.228365853</v>
      </c>
      <c r="B12368">
        <v>167437186.65009755</v>
      </c>
    </row>
    <row r="12369" spans="1:2" x14ac:dyDescent="0.25">
      <c r="A12369">
        <f ca="1">26337.5081768838*((RANDBETWEEN(1620,2416)))</f>
        <v>61445406.576669849</v>
      </c>
      <c r="B12369">
        <v>175783387.48868018</v>
      </c>
    </row>
    <row r="12370" spans="1:2" x14ac:dyDescent="0.25">
      <c r="A12370">
        <f ca="1">26220.4364572292*((RANDBETWEEN(1620,2416)))</f>
        <v>56164174.891385026</v>
      </c>
      <c r="B12370">
        <v>160853546.24010867</v>
      </c>
    </row>
    <row r="12371" spans="1:2" x14ac:dyDescent="0.25">
      <c r="A12371">
        <f ca="1">30324.7410861972*((RANDBETWEEN(1620,2416)))</f>
        <v>58162853.403326236</v>
      </c>
      <c r="B12371">
        <v>180846556.1994001</v>
      </c>
    </row>
    <row r="12372" spans="1:2" x14ac:dyDescent="0.25">
      <c r="A12372">
        <f ca="1">27669.9302079187*((RANDBETWEEN(1620,2416)))</f>
        <v>56585007.275193736</v>
      </c>
      <c r="B12372">
        <v>153388278.19332036</v>
      </c>
    </row>
    <row r="12373" spans="1:2" x14ac:dyDescent="0.25">
      <c r="A12373">
        <f ca="1">26684.5185332295*((RANDBETWEEN(1620,2416)))</f>
        <v>46911383.581417471</v>
      </c>
      <c r="B12373">
        <v>152767301.75731802</v>
      </c>
    </row>
    <row r="12374" spans="1:2" x14ac:dyDescent="0.25">
      <c r="A12374">
        <f ca="1">31712.9401026474*((RANDBETWEEN(1620,2416)))</f>
        <v>59398336.812258594</v>
      </c>
      <c r="B12374">
        <v>180136108.49508169</v>
      </c>
    </row>
    <row r="12375" spans="1:2" x14ac:dyDescent="0.25">
      <c r="A12375">
        <f ca="1">26271.6581923235*((RANDBETWEEN(1620,2416)))</f>
        <v>50625485.336607352</v>
      </c>
      <c r="B12375">
        <v>156670323.55092743</v>
      </c>
    </row>
    <row r="12376" spans="1:2" x14ac:dyDescent="0.25">
      <c r="A12376">
        <f ca="1">26899.0296897941*((RANDBETWEEN(1620,2416)))</f>
        <v>62325051.791252926</v>
      </c>
      <c r="B12376">
        <v>179214307.87013203</v>
      </c>
    </row>
    <row r="12377" spans="1:2" x14ac:dyDescent="0.25">
      <c r="A12377">
        <f ca="1">28388.964802082*((RANDBETWEEN(1620,2416)))</f>
        <v>54194533.807174511</v>
      </c>
      <c r="B12377">
        <v>164494104.37814355</v>
      </c>
    </row>
    <row r="12378" spans="1:2" x14ac:dyDescent="0.25">
      <c r="A12378">
        <f ca="1">25573.3175817825*((RANDBETWEEN(1620,2416)))</f>
        <v>44753305.768119335</v>
      </c>
      <c r="B12378">
        <v>146894914.89701408</v>
      </c>
    </row>
    <row r="12379" spans="1:2" x14ac:dyDescent="0.25">
      <c r="A12379">
        <f ca="1">24253.8271272527*((RANDBETWEEN(1620,2416)))</f>
        <v>41401282.90622028</v>
      </c>
      <c r="B12379">
        <v>164042265.49599767</v>
      </c>
    </row>
    <row r="12380" spans="1:2" x14ac:dyDescent="0.25">
      <c r="A12380">
        <f ca="1">25026.9868037933*((RANDBETWEEN(1620,2416)))</f>
        <v>43647064.985815592</v>
      </c>
      <c r="B12380">
        <v>154129442.08512402</v>
      </c>
    </row>
    <row r="12381" spans="1:2" x14ac:dyDescent="0.25">
      <c r="A12381">
        <f ca="1">26853.8509035763*((RANDBETWEEN(1620,2416)))</f>
        <v>50512093.549626932</v>
      </c>
      <c r="B12381">
        <v>160147128.02278206</v>
      </c>
    </row>
    <row r="12382" spans="1:2" x14ac:dyDescent="0.25">
      <c r="A12382">
        <f ca="1">25611.72950237*((RANDBETWEEN(1620,2416)))</f>
        <v>43309434.5885076</v>
      </c>
      <c r="B12382">
        <v>188997412.83803904</v>
      </c>
    </row>
    <row r="12383" spans="1:2" x14ac:dyDescent="0.25">
      <c r="A12383">
        <f ca="1">31802.2299000899*((RANDBETWEEN(1620,2416)))</f>
        <v>54540824.278654195</v>
      </c>
      <c r="B12383">
        <v>192626506.82774872</v>
      </c>
    </row>
    <row r="12384" spans="1:2" x14ac:dyDescent="0.25">
      <c r="A12384">
        <f ca="1">27792.2010750241*((RANDBETWEEN(1620,2416)))</f>
        <v>46218430.387765042</v>
      </c>
      <c r="B12384">
        <v>142923255.22151786</v>
      </c>
    </row>
    <row r="12385" spans="1:2" x14ac:dyDescent="0.25">
      <c r="A12385">
        <f ca="1">27405.0460734317*((RANDBETWEEN(1620,2416)))</f>
        <v>60345911.453696601</v>
      </c>
      <c r="B12385">
        <v>177999714.93954408</v>
      </c>
    </row>
    <row r="12386" spans="1:2" x14ac:dyDescent="0.25">
      <c r="A12386">
        <f ca="1">31180.8705596311*((RANDBETWEEN(1620,2416)))</f>
        <v>74116929.320243061</v>
      </c>
      <c r="B12386">
        <v>175076891.70283473</v>
      </c>
    </row>
    <row r="12387" spans="1:2" x14ac:dyDescent="0.25">
      <c r="A12387">
        <f ca="1">27790.467737685*((RANDBETWEEN(1620,2416)))</f>
        <v>54246993.023961104</v>
      </c>
      <c r="B12387">
        <v>164414624.81114689</v>
      </c>
    </row>
    <row r="12388" spans="1:2" x14ac:dyDescent="0.25">
      <c r="A12388">
        <f ca="1">28332.4574360086*((RANDBETWEEN(1620,2416)))</f>
        <v>62671395.848450959</v>
      </c>
      <c r="B12388">
        <v>163708201.65077353</v>
      </c>
    </row>
    <row r="12389" spans="1:2" x14ac:dyDescent="0.25">
      <c r="A12389">
        <f ca="1">26419.2316656116*((RANDBETWEEN(1620,2416)))</f>
        <v>55586063.424446732</v>
      </c>
      <c r="B12389">
        <v>144414888.51466861</v>
      </c>
    </row>
    <row r="12390" spans="1:2" x14ac:dyDescent="0.25">
      <c r="A12390">
        <f ca="1">26507.2603141305*((RANDBETWEEN(1620,2416)))</f>
        <v>52404853.641036049</v>
      </c>
      <c r="B12390">
        <v>170941960.47483623</v>
      </c>
    </row>
    <row r="12391" spans="1:2" x14ac:dyDescent="0.25">
      <c r="A12391">
        <f ca="1">26357.8625914625*((RANDBETWEEN(1620,2416)))</f>
        <v>52004062.892955534</v>
      </c>
      <c r="B12391">
        <v>159938518.85052407</v>
      </c>
    </row>
    <row r="12392" spans="1:2" x14ac:dyDescent="0.25">
      <c r="A12392">
        <f ca="1">26990.558375206*((RANDBETWEEN(1620,2416)))</f>
        <v>60027001.826458044</v>
      </c>
      <c r="B12392">
        <v>176553242.93495268</v>
      </c>
    </row>
    <row r="12393" spans="1:2" x14ac:dyDescent="0.25">
      <c r="A12393">
        <f ca="1">31659.0901042042*((RANDBETWEEN(1620,2416)))</f>
        <v>75981816.250090003</v>
      </c>
      <c r="B12393">
        <v>197188617.03659868</v>
      </c>
    </row>
    <row r="12394" spans="1:2" x14ac:dyDescent="0.25">
      <c r="A12394">
        <f ca="1">29406.0668296273*((RANDBETWEEN(1620,2416)))</f>
        <v>60341249.134395137</v>
      </c>
      <c r="B12394">
        <v>148299077.60212794</v>
      </c>
    </row>
    <row r="12395" spans="1:2" x14ac:dyDescent="0.25">
      <c r="A12395">
        <f ca="1">30552.2434660765*((RANDBETWEEN(1620,2416)))</f>
        <v>50288992.745161943</v>
      </c>
      <c r="B12395">
        <v>144608439.35256249</v>
      </c>
    </row>
    <row r="12396" spans="1:2" x14ac:dyDescent="0.25">
      <c r="A12396">
        <f ca="1">26239.8034291014*((RANDBETWEEN(1620,2416)))</f>
        <v>48727314.967841342</v>
      </c>
      <c r="B12396">
        <v>153582603.63745672</v>
      </c>
    </row>
    <row r="12397" spans="1:2" x14ac:dyDescent="0.25">
      <c r="A12397">
        <f ca="1">26808.6139845022*((RANDBETWEEN(1620,2416)))</f>
        <v>50400194.290864147</v>
      </c>
      <c r="B12397">
        <v>143353328.68803683</v>
      </c>
    </row>
    <row r="12398" spans="1:2" x14ac:dyDescent="0.25">
      <c r="A12398">
        <f ca="1">27343.7745646839*((RANDBETWEEN(1620,2416)))</f>
        <v>48781293.823396057</v>
      </c>
      <c r="B12398">
        <v>181642257.31056535</v>
      </c>
    </row>
    <row r="12399" spans="1:2" x14ac:dyDescent="0.25">
      <c r="A12399">
        <f ca="1">30245.2008369528*((RANDBETWEEN(1620,2416)))</f>
        <v>61669964.506546818</v>
      </c>
      <c r="B12399">
        <v>152448181.85065088</v>
      </c>
    </row>
    <row r="12400" spans="1:2" x14ac:dyDescent="0.25">
      <c r="A12400">
        <f ca="1">28433.2390683945*((RANDBETWEEN(1620,2416)))</f>
        <v>58003807.699524745</v>
      </c>
      <c r="B12400">
        <v>157907836.04200822</v>
      </c>
    </row>
    <row r="12401" spans="1:2" x14ac:dyDescent="0.25">
      <c r="A12401">
        <f ca="1">28788.4747518971*((RANDBETWEEN(1620,2416)))</f>
        <v>68718089.232778475</v>
      </c>
      <c r="B12401">
        <v>157971990.35777542</v>
      </c>
    </row>
    <row r="12402" spans="1:2" x14ac:dyDescent="0.25">
      <c r="A12402">
        <f ca="1">32164.5277913078*((RANDBETWEEN(1620,2416)))</f>
        <v>74428717.309086174</v>
      </c>
      <c r="B12402">
        <v>201171477.56240976</v>
      </c>
    </row>
    <row r="12403" spans="1:2" x14ac:dyDescent="0.25">
      <c r="A12403">
        <f ca="1">29714.3094699007*((RANDBETWEEN(1620,2416)))</f>
        <v>63856051.050816551</v>
      </c>
      <c r="B12403">
        <v>174692714.43740684</v>
      </c>
    </row>
    <row r="12404" spans="1:2" x14ac:dyDescent="0.25">
      <c r="A12404">
        <f ca="1">32550.5156770237*((RANDBETWEEN(1620,2416)))</f>
        <v>58232872.546195313</v>
      </c>
      <c r="B12404">
        <v>153325324.64608166</v>
      </c>
    </row>
    <row r="12405" spans="1:2" x14ac:dyDescent="0.25">
      <c r="A12405">
        <f ca="1">26866.5899814742*((RANDBETWEEN(1620,2416)))</f>
        <v>47983729.706912853</v>
      </c>
      <c r="B12405">
        <v>167107814.3171221</v>
      </c>
    </row>
    <row r="12406" spans="1:2" x14ac:dyDescent="0.25">
      <c r="A12406">
        <f ca="1">32003.0085134913*((RANDBETWEEN(1620,2416)))</f>
        <v>76871226.449406043</v>
      </c>
      <c r="B12406">
        <v>202676164.3364183</v>
      </c>
    </row>
    <row r="12407" spans="1:2" x14ac:dyDescent="0.25">
      <c r="A12407">
        <f ca="1">28313.9331249869*((RANDBETWEEN(1620,2416)))</f>
        <v>52097636.94997596</v>
      </c>
      <c r="B12407">
        <v>178212707.6301308</v>
      </c>
    </row>
    <row r="12408" spans="1:2" x14ac:dyDescent="0.25">
      <c r="A12408">
        <f ca="1">31191.7347306971*((RANDBETWEEN(1620,2416)))</f>
        <v>71553839.472219184</v>
      </c>
      <c r="B12408">
        <v>203604213.39378375</v>
      </c>
    </row>
    <row r="12409" spans="1:2" x14ac:dyDescent="0.25">
      <c r="A12409">
        <f ca="1">31141.5853463487*((RANDBETWEEN(1620,2416)))</f>
        <v>50823067.285241157</v>
      </c>
      <c r="B12409">
        <v>162504061.53400382</v>
      </c>
    </row>
    <row r="12410" spans="1:2" x14ac:dyDescent="0.25">
      <c r="A12410">
        <f ca="1">29990.9603186661*((RANDBETWEEN(1620,2416)))</f>
        <v>70448765.788546711</v>
      </c>
      <c r="B12410">
        <v>155430664.89802852</v>
      </c>
    </row>
    <row r="12411" spans="1:2" x14ac:dyDescent="0.25">
      <c r="A12411">
        <f ca="1">26990.7660507537*((RANDBETWEEN(1620,2416)))</f>
        <v>56788571.770785861</v>
      </c>
      <c r="B12411">
        <v>187015112.56799245</v>
      </c>
    </row>
    <row r="12412" spans="1:2" x14ac:dyDescent="0.25">
      <c r="A12412">
        <f ca="1">25511.0003492101*((RANDBETWEEN(1620,2416)))</f>
        <v>61328444.839501053</v>
      </c>
      <c r="B12412">
        <v>145811215.76203725</v>
      </c>
    </row>
    <row r="12413" spans="1:2" x14ac:dyDescent="0.25">
      <c r="A12413">
        <f ca="1">27254.0395409031*((RANDBETWEEN(1620,2416)))</f>
        <v>63392895.972140633</v>
      </c>
      <c r="B12413">
        <v>161137485.44372123</v>
      </c>
    </row>
    <row r="12414" spans="1:2" x14ac:dyDescent="0.25">
      <c r="A12414">
        <f ca="1">27508.228428542*((RANDBETWEEN(1620,2416)))</f>
        <v>60793184.827077851</v>
      </c>
      <c r="B12414">
        <v>154453976.84156954</v>
      </c>
    </row>
    <row r="12415" spans="1:2" x14ac:dyDescent="0.25">
      <c r="A12415">
        <f ca="1">29423.9554582271*((RANDBETWEEN(1620,2416)))</f>
        <v>48667222.327907577</v>
      </c>
      <c r="B12415">
        <v>188942923.07062703</v>
      </c>
    </row>
    <row r="12416" spans="1:2" x14ac:dyDescent="0.25">
      <c r="A12416">
        <f ca="1">24986.6448329242*((RANDBETWEEN(1620,2416)))</f>
        <v>55095551.856597833</v>
      </c>
      <c r="B12416">
        <v>184637856.33923057</v>
      </c>
    </row>
    <row r="12417" spans="1:2" x14ac:dyDescent="0.25">
      <c r="A12417">
        <f ca="1">30698.9144075989*((RANDBETWEEN(1620,2416)))</f>
        <v>63209064.765246183</v>
      </c>
      <c r="B12417">
        <v>197304676.26430184</v>
      </c>
    </row>
    <row r="12418" spans="1:2" x14ac:dyDescent="0.25">
      <c r="A12418">
        <f ca="1">27036.5606981109*((RANDBETWEEN(1620,2416)))</f>
        <v>51045026.598033324</v>
      </c>
      <c r="B12418">
        <v>155911245.99045932</v>
      </c>
    </row>
    <row r="12419" spans="1:2" x14ac:dyDescent="0.25">
      <c r="A12419">
        <f ca="1">27482.8968043375*((RANDBETWEEN(1620,2416)))</f>
        <v>60105095.311086036</v>
      </c>
      <c r="B12419">
        <v>143665529.05814099</v>
      </c>
    </row>
    <row r="12420" spans="1:2" x14ac:dyDescent="0.25">
      <c r="A12420">
        <f ca="1">25893.1938329386*((RANDBETWEEN(1620,2416)))</f>
        <v>44976477.687814325</v>
      </c>
      <c r="B12420">
        <v>143133544.46265179</v>
      </c>
    </row>
    <row r="12421" spans="1:2" x14ac:dyDescent="0.25">
      <c r="A12421">
        <f ca="1">28491.0524160437*((RANDBETWEEN(1620,2416)))</f>
        <v>53791106.961490445</v>
      </c>
      <c r="B12421">
        <v>174128927.478562</v>
      </c>
    </row>
    <row r="12422" spans="1:2" x14ac:dyDescent="0.25">
      <c r="A12422">
        <f ca="1">27060.5347374319*((RANDBETWEEN(1620,2416)))</f>
        <v>60534416.207635239</v>
      </c>
      <c r="B12422">
        <v>144726863.3854827</v>
      </c>
    </row>
    <row r="12423" spans="1:2" x14ac:dyDescent="0.25">
      <c r="A12423">
        <f ca="1">26529.1747883427*((RANDBETWEEN(1620,2416)))</f>
        <v>43375200.778940335</v>
      </c>
      <c r="B12423">
        <v>183907952.49312961</v>
      </c>
    </row>
    <row r="12424" spans="1:2" x14ac:dyDescent="0.25">
      <c r="A12424">
        <f ca="1">29451.7012058672*((RANDBETWEEN(1620,2416)))</f>
        <v>51363766.903032482</v>
      </c>
      <c r="B12424">
        <v>156848498.62185046</v>
      </c>
    </row>
    <row r="12425" spans="1:2" x14ac:dyDescent="0.25">
      <c r="A12425">
        <f ca="1">27264.6569713975*((RANDBETWEEN(1620,2416)))</f>
        <v>50821320.594684877</v>
      </c>
      <c r="B12425">
        <v>166681957.55356109</v>
      </c>
    </row>
    <row r="12426" spans="1:2" x14ac:dyDescent="0.25">
      <c r="A12426">
        <f ca="1">26954.3577723372*((RANDBETWEEN(1620,2416)))</f>
        <v>57278010.266216502</v>
      </c>
      <c r="B12426">
        <v>179408757.81701753</v>
      </c>
    </row>
    <row r="12427" spans="1:2" x14ac:dyDescent="0.25">
      <c r="A12427">
        <f ca="1">30919.7169180248*((RANDBETWEEN(1620,2416)))</f>
        <v>61870353.552967682</v>
      </c>
      <c r="B12427">
        <v>159998286.86238506</v>
      </c>
    </row>
    <row r="12428" spans="1:2" x14ac:dyDescent="0.25">
      <c r="A12428">
        <f ca="1">27719.7057017313*((RANDBETWEEN(1620,2416)))</f>
        <v>53942547.295569032</v>
      </c>
      <c r="B12428">
        <v>167626344.16944367</v>
      </c>
    </row>
    <row r="12429" spans="1:2" x14ac:dyDescent="0.25">
      <c r="A12429">
        <f ca="1">26996.5067485324*((RANDBETWEEN(1620,2416)))</f>
        <v>51509334.876199871</v>
      </c>
      <c r="B12429">
        <v>169384239.30288637</v>
      </c>
    </row>
    <row r="12430" spans="1:2" x14ac:dyDescent="0.25">
      <c r="A12430">
        <f ca="1">26955.9041734781*((RANDBETWEEN(1620,2416)))</f>
        <v>54477882.334599182</v>
      </c>
      <c r="B12430">
        <v>196146893.70426902</v>
      </c>
    </row>
    <row r="12431" spans="1:2" x14ac:dyDescent="0.25">
      <c r="A12431">
        <f ca="1">26904.8712358399*((RANDBETWEEN(1620,2416)))</f>
        <v>63603115.60152553</v>
      </c>
      <c r="B12431">
        <v>162619929.70983762</v>
      </c>
    </row>
    <row r="12432" spans="1:2" x14ac:dyDescent="0.25">
      <c r="A12432">
        <f ca="1">26258.2864626637*((RANDBETWEEN(1620,2416)))</f>
        <v>48919187.679942451</v>
      </c>
      <c r="B12432">
        <v>198924485.77646878</v>
      </c>
    </row>
    <row r="12433" spans="1:2" x14ac:dyDescent="0.25">
      <c r="A12433">
        <f ca="1">29323.4065377067*((RANDBETWEEN(1620,2416)))</f>
        <v>60699451.533052944</v>
      </c>
      <c r="B12433">
        <v>172372815.68830627</v>
      </c>
    </row>
    <row r="12434" spans="1:2" x14ac:dyDescent="0.25">
      <c r="A12434">
        <f ca="1">31543.038694896*((RANDBETWEEN(1620,2416)))</f>
        <v>73810710.546056569</v>
      </c>
      <c r="B12434">
        <v>147300163.64895457</v>
      </c>
    </row>
    <row r="12435" spans="1:2" x14ac:dyDescent="0.25">
      <c r="A12435">
        <f ca="1">26426.4024465004*((RANDBETWEEN(1620,2416)))</f>
        <v>48941697.330918752</v>
      </c>
      <c r="B12435">
        <v>147756431.8850033</v>
      </c>
    </row>
    <row r="12436" spans="1:2" x14ac:dyDescent="0.25">
      <c r="A12436">
        <f ca="1">31403.3931516133*((RANDBETWEEN(1620,2416)))</f>
        <v>66041335.797842763</v>
      </c>
      <c r="B12436">
        <v>160854851.40667561</v>
      </c>
    </row>
    <row r="12437" spans="1:2" x14ac:dyDescent="0.25">
      <c r="A12437">
        <f ca="1">26123.9182421596*((RANDBETWEEN(1620,2416)))</f>
        <v>58230213.76177381</v>
      </c>
      <c r="B12437">
        <v>169086461.28217101</v>
      </c>
    </row>
    <row r="12438" spans="1:2" x14ac:dyDescent="0.25">
      <c r="A12438">
        <f ca="1">26790.9797853503*((RANDBETWEEN(1620,2416)))</f>
        <v>54653598.762114689</v>
      </c>
      <c r="B12438">
        <v>145371031.43408972</v>
      </c>
    </row>
    <row r="12439" spans="1:2" x14ac:dyDescent="0.25">
      <c r="A12439">
        <f ca="1">31502.8365897107*((RANDBETWEEN(1620,2416)))</f>
        <v>67857110.014236763</v>
      </c>
      <c r="B12439">
        <v>166478635.76868176</v>
      </c>
    </row>
    <row r="12440" spans="1:2" x14ac:dyDescent="0.25">
      <c r="A12440">
        <f ca="1">29794.324770459*((RANDBETWEEN(1620,2416)))</f>
        <v>54672585.953792334</v>
      </c>
      <c r="B12440">
        <v>178557338.30246425</v>
      </c>
    </row>
    <row r="12441" spans="1:2" x14ac:dyDescent="0.25">
      <c r="A12441">
        <f ca="1">25599.4845059298*((RANDBETWEEN(1620,2416)))</f>
        <v>57035651.479211614</v>
      </c>
      <c r="B12441">
        <v>151124791.48262799</v>
      </c>
    </row>
    <row r="12442" spans="1:2" x14ac:dyDescent="0.25">
      <c r="A12442">
        <f ca="1">27083.1503266128*((RANDBETWEEN(1620,2416)))</f>
        <v>60720423.032265924</v>
      </c>
      <c r="B12442">
        <v>192016724.98699027</v>
      </c>
    </row>
    <row r="12443" spans="1:2" x14ac:dyDescent="0.25">
      <c r="A12443">
        <f ca="1">26913.4805295952*((RANDBETWEEN(1620,2416)))</f>
        <v>47717600.978972323</v>
      </c>
      <c r="B12443">
        <v>182738701.2075519</v>
      </c>
    </row>
    <row r="12444" spans="1:2" x14ac:dyDescent="0.25">
      <c r="A12444">
        <f ca="1">26159.8006293828*((RANDBETWEEN(1620,2416)))</f>
        <v>59565866.033104748</v>
      </c>
      <c r="B12444">
        <v>156206735.02728635</v>
      </c>
    </row>
    <row r="12445" spans="1:2" x14ac:dyDescent="0.25">
      <c r="A12445">
        <f ca="1">33482.177980703*((RANDBETWEEN(1620,2416)))</f>
        <v>57321488.702963464</v>
      </c>
      <c r="B12445">
        <v>173660305.42495316</v>
      </c>
    </row>
    <row r="12446" spans="1:2" x14ac:dyDescent="0.25">
      <c r="A12446">
        <f ca="1">27569.3422778835*((RANDBETWEEN(1620,2416)))</f>
        <v>52933137.17353633</v>
      </c>
      <c r="B12446">
        <v>162811396.45002794</v>
      </c>
    </row>
    <row r="12447" spans="1:2" x14ac:dyDescent="0.25">
      <c r="A12447">
        <f ca="1">25654.3987902384*((RANDBETWEEN(1620,2416)))</f>
        <v>53617693.47159823</v>
      </c>
      <c r="B12447">
        <v>145062241.94312975</v>
      </c>
    </row>
    <row r="12448" spans="1:2" x14ac:dyDescent="0.25">
      <c r="A12448">
        <f ca="1">29912.8003532353*((RANDBETWEEN(1620,2416)))</f>
        <v>62637403.93967478</v>
      </c>
      <c r="B12448">
        <v>188457714.75438488</v>
      </c>
    </row>
    <row r="12449" spans="1:2" x14ac:dyDescent="0.25">
      <c r="A12449">
        <f ca="1">30067.304022079*((RANDBETWEEN(1620,2416)))</f>
        <v>65155847.815845296</v>
      </c>
      <c r="B12449">
        <v>190816029.15726221</v>
      </c>
    </row>
    <row r="12450" spans="1:2" x14ac:dyDescent="0.25">
      <c r="A12450">
        <f ca="1">25577.2980645227*((RANDBETWEEN(1620,2416)))</f>
        <v>54326181.08904624</v>
      </c>
      <c r="B12450">
        <v>190203620.28278232</v>
      </c>
    </row>
    <row r="12451" spans="1:2" x14ac:dyDescent="0.25">
      <c r="A12451">
        <f ca="1">29514.456244127*((RANDBETWEEN(1620,2416)))</f>
        <v>57966392.063465394</v>
      </c>
      <c r="B12451">
        <v>178224739.1768018</v>
      </c>
    </row>
    <row r="12452" spans="1:2" x14ac:dyDescent="0.25">
      <c r="A12452">
        <f ca="1">28572.5503676062*((RANDBETWEEN(1620,2416)))</f>
        <v>48973351.330076993</v>
      </c>
      <c r="B12452">
        <v>150875900.05158502</v>
      </c>
    </row>
    <row r="12453" spans="1:2" x14ac:dyDescent="0.25">
      <c r="A12453">
        <f ca="1">26813.3415053611*((RANDBETWEEN(1620,2416)))</f>
        <v>45260920.461049564</v>
      </c>
      <c r="B12453">
        <v>175989720.91283381</v>
      </c>
    </row>
    <row r="12454" spans="1:2" x14ac:dyDescent="0.25">
      <c r="A12454">
        <f ca="1">29391.8840565292*((RANDBETWEEN(1620,2416)))</f>
        <v>55815187.823348954</v>
      </c>
      <c r="B12454">
        <v>148142409.92000335</v>
      </c>
    </row>
    <row r="12455" spans="1:2" x14ac:dyDescent="0.25">
      <c r="A12455">
        <f ca="1">31556.8090276917*((RANDBETWEEN(1620,2416)))</f>
        <v>64439004.034546442</v>
      </c>
      <c r="B12455">
        <v>156004259.01747185</v>
      </c>
    </row>
    <row r="12456" spans="1:2" x14ac:dyDescent="0.25">
      <c r="A12456">
        <f ca="1">28440.6598387738*((RANDBETWEEN(1620,2416)))</f>
        <v>61460265.911590084</v>
      </c>
      <c r="B12456">
        <v>161277229.56071308</v>
      </c>
    </row>
    <row r="12457" spans="1:2" x14ac:dyDescent="0.25">
      <c r="A12457">
        <f ca="1">28633.0530246229*((RANDBETWEEN(1620,2416)))</f>
        <v>64653433.72959853</v>
      </c>
      <c r="B12457">
        <v>179689029.16178542</v>
      </c>
    </row>
    <row r="12458" spans="1:2" x14ac:dyDescent="0.25">
      <c r="A12458">
        <f ca="1">26812.5344744279*((RANDBETWEEN(1620,2416)))</f>
        <v>49844501.587961413</v>
      </c>
      <c r="B12458">
        <v>149834587.67501986</v>
      </c>
    </row>
    <row r="12459" spans="1:2" x14ac:dyDescent="0.25">
      <c r="A12459">
        <f ca="1">31256.5506395846*((RANDBETWEEN(1620,2416)))</f>
        <v>60950273.747189976</v>
      </c>
      <c r="B12459">
        <v>179289558.62871334</v>
      </c>
    </row>
    <row r="12460" spans="1:2" x14ac:dyDescent="0.25">
      <c r="A12460">
        <f ca="1">29894.4493113809*((RANDBETWEEN(1620,2416)))</f>
        <v>64990532.80294212</v>
      </c>
      <c r="B12460">
        <v>198244265.3763614</v>
      </c>
    </row>
    <row r="12461" spans="1:2" x14ac:dyDescent="0.25">
      <c r="A12461">
        <f ca="1">27485.5114665991*((RANDBETWEEN(1620,2416)))</f>
        <v>60468125.226517931</v>
      </c>
      <c r="B12461">
        <v>158813317.14346468</v>
      </c>
    </row>
    <row r="12462" spans="1:2" x14ac:dyDescent="0.25">
      <c r="A12462">
        <f ca="1">25796.0962223557*((RANDBETWEEN(1620,2416)))</f>
        <v>50405572.018483102</v>
      </c>
      <c r="B12462">
        <v>147541173.44671762</v>
      </c>
    </row>
    <row r="12463" spans="1:2" x14ac:dyDescent="0.25">
      <c r="A12463">
        <f ca="1">29984.8456437162*((RANDBETWEEN(1620,2416)))</f>
        <v>53852782.776114359</v>
      </c>
      <c r="B12463">
        <v>174156427.57265571</v>
      </c>
    </row>
    <row r="12464" spans="1:2" x14ac:dyDescent="0.25">
      <c r="A12464">
        <f ca="1">34290.5066026945*((RANDBETWEEN(1620,2416)))</f>
        <v>59699771.995291084</v>
      </c>
      <c r="B12464">
        <v>179587912.37869158</v>
      </c>
    </row>
    <row r="12465" spans="1:2" x14ac:dyDescent="0.25">
      <c r="A12465">
        <f ca="1">26790.1870375477*((RANDBETWEEN(1620,2416)))</f>
        <v>62046073.178960487</v>
      </c>
      <c r="B12465">
        <v>178582283.15531409</v>
      </c>
    </row>
    <row r="12466" spans="1:2" x14ac:dyDescent="0.25">
      <c r="A12466">
        <f ca="1">26647.1329945137*((RANDBETWEEN(1620,2416)))</f>
        <v>47165425.400289282</v>
      </c>
      <c r="B12466">
        <v>149515363.75533974</v>
      </c>
    </row>
    <row r="12467" spans="1:2" x14ac:dyDescent="0.25">
      <c r="A12467">
        <f ca="1">25947.818736325*((RANDBETWEEN(1620,2416)))</f>
        <v>57007357.763705999</v>
      </c>
      <c r="B12467">
        <v>170525191.33172193</v>
      </c>
    </row>
    <row r="12468" spans="1:2" x14ac:dyDescent="0.25">
      <c r="A12468">
        <f ca="1">28796.5610281362*((RANDBETWEEN(1620,2416)))</f>
        <v>53100858.535883226</v>
      </c>
      <c r="B12468">
        <v>145822156.5594433</v>
      </c>
    </row>
    <row r="12469" spans="1:2" x14ac:dyDescent="0.25">
      <c r="A12469">
        <f ca="1">32143.9771208001*((RANDBETWEEN(1620,2416)))</f>
        <v>63870082.539029822</v>
      </c>
      <c r="B12469">
        <v>168450721.88478994</v>
      </c>
    </row>
    <row r="12470" spans="1:2" x14ac:dyDescent="0.25">
      <c r="A12470">
        <f ca="1">29570.1769473431*((RANDBETWEEN(1620,2416)))</f>
        <v>56508608.146372572</v>
      </c>
      <c r="B12470">
        <v>166479994.98321867</v>
      </c>
    </row>
    <row r="12471" spans="1:2" x14ac:dyDescent="0.25">
      <c r="A12471">
        <f ca="1">26006.7101820978*((RANDBETWEEN(1620,2416)))</f>
        <v>59139258.954090334</v>
      </c>
      <c r="B12471">
        <v>156759625.07422975</v>
      </c>
    </row>
    <row r="12472" spans="1:2" x14ac:dyDescent="0.25">
      <c r="A12472">
        <f ca="1">25593.4296127269*((RANDBETWEEN(1620,2416)))</f>
        <v>48653109.693793856</v>
      </c>
      <c r="B12472">
        <v>199802937.10568064</v>
      </c>
    </row>
    <row r="12473" spans="1:2" x14ac:dyDescent="0.25">
      <c r="A12473">
        <f ca="1">28126.1445437354*((RANDBETWEEN(1620,2416)))</f>
        <v>64858889.317853801</v>
      </c>
      <c r="B12473">
        <v>198718056.61145756</v>
      </c>
    </row>
    <row r="12474" spans="1:2" x14ac:dyDescent="0.25">
      <c r="A12474">
        <f ca="1">25614.3133665046*((RANDBETWEEN(1620,2416)))</f>
        <v>55608674.318681479</v>
      </c>
      <c r="B12474">
        <v>179025488.31185859</v>
      </c>
    </row>
    <row r="12475" spans="1:2" x14ac:dyDescent="0.25">
      <c r="A12475">
        <f ca="1">27427.4368368645*((RANDBETWEEN(1620,2416)))</f>
        <v>57926746.599457756</v>
      </c>
      <c r="B12475">
        <v>202689854.26764101</v>
      </c>
    </row>
    <row r="12476" spans="1:2" x14ac:dyDescent="0.25">
      <c r="A12476">
        <f ca="1">32480.0516861417*((RANDBETWEEN(1620,2416)))</f>
        <v>73242516.552249447</v>
      </c>
      <c r="B12476">
        <v>202270278.30174178</v>
      </c>
    </row>
    <row r="12477" spans="1:2" x14ac:dyDescent="0.25">
      <c r="A12477">
        <f ca="1">28155.0195744045*((RANDBETWEEN(1620,2416)))</f>
        <v>58815835.890931085</v>
      </c>
      <c r="B12477">
        <v>153854062.3755247</v>
      </c>
    </row>
    <row r="12478" spans="1:2" x14ac:dyDescent="0.25">
      <c r="A12478">
        <f ca="1">34215.8548607504*((RANDBETWEEN(1620,2416)))</f>
        <v>62717661.95975557</v>
      </c>
      <c r="B12478">
        <v>194272165.37424502</v>
      </c>
    </row>
    <row r="12479" spans="1:2" x14ac:dyDescent="0.25">
      <c r="A12479">
        <f ca="1">28192.1498261151*((RANDBETWEEN(1620,2416)))</f>
        <v>49533607.244484276</v>
      </c>
      <c r="B12479">
        <v>164230883.91561681</v>
      </c>
    </row>
    <row r="12480" spans="1:2" x14ac:dyDescent="0.25">
      <c r="A12480">
        <f ca="1">26278.1933949211*((RANDBETWEEN(1620,2416)))</f>
        <v>47931424.752336159</v>
      </c>
      <c r="B12480">
        <v>149036434.37616679</v>
      </c>
    </row>
    <row r="12481" spans="1:2" x14ac:dyDescent="0.25">
      <c r="A12481">
        <f ca="1">28819.4962500098*((RANDBETWEEN(1620,2416)))</f>
        <v>65939007.420022361</v>
      </c>
      <c r="B12481">
        <v>159955829.83239093</v>
      </c>
    </row>
    <row r="12482" spans="1:2" x14ac:dyDescent="0.25">
      <c r="A12482">
        <f ca="1">30319.2471750222*((RANDBETWEEN(1620,2416)))</f>
        <v>69703949.255375937</v>
      </c>
      <c r="B12482">
        <v>195944844.03978202</v>
      </c>
    </row>
    <row r="12483" spans="1:2" x14ac:dyDescent="0.25">
      <c r="A12483">
        <f ca="1">28087.0524275067*((RANDBETWEEN(1620,2416)))</f>
        <v>48618687.752014093</v>
      </c>
      <c r="B12483">
        <v>201063092.72921225</v>
      </c>
    </row>
    <row r="12484" spans="1:2" x14ac:dyDescent="0.25">
      <c r="A12484">
        <f ca="1">32909.1428285002*((RANDBETWEEN(1620,2416)))</f>
        <v>63613373.087490849</v>
      </c>
      <c r="B12484">
        <v>152229108.36116204</v>
      </c>
    </row>
    <row r="12485" spans="1:2" x14ac:dyDescent="0.25">
      <c r="A12485">
        <f ca="1">28235.6202625683*((RANDBETWEEN(1620,2416)))</f>
        <v>62880726.324739531</v>
      </c>
      <c r="B12485">
        <v>173981072.55957264</v>
      </c>
    </row>
    <row r="12486" spans="1:2" x14ac:dyDescent="0.25">
      <c r="A12486">
        <f ca="1">26527.3479397695*((RANDBETWEEN(1620,2416)))</f>
        <v>44247616.363535531</v>
      </c>
      <c r="B12486">
        <v>143620645.78078729</v>
      </c>
    </row>
    <row r="12487" spans="1:2" x14ac:dyDescent="0.25">
      <c r="A12487">
        <f ca="1">27311.0110548125*((RANDBETWEEN(1620,2416)))</f>
        <v>51699743.9267601</v>
      </c>
      <c r="B12487">
        <v>151780438.34238029</v>
      </c>
    </row>
    <row r="12488" spans="1:2" x14ac:dyDescent="0.25">
      <c r="A12488">
        <f ca="1">25158.9896023685*((RANDBETWEEN(1620,2416)))</f>
        <v>52230062.41451703</v>
      </c>
      <c r="B12488">
        <v>144712861.40673259</v>
      </c>
    </row>
    <row r="12489" spans="1:2" x14ac:dyDescent="0.25">
      <c r="A12489">
        <f ca="1">27593.4780836091*((RANDBETWEEN(1620,2416)))</f>
        <v>64458364.803310893</v>
      </c>
      <c r="B12489">
        <v>185125044.61048868</v>
      </c>
    </row>
    <row r="12490" spans="1:2" x14ac:dyDescent="0.25">
      <c r="A12490">
        <f ca="1">26520.3727293941*((RANDBETWEEN(1620,2416)))</f>
        <v>62853283.368663967</v>
      </c>
      <c r="B12490">
        <v>175702643.60130051</v>
      </c>
    </row>
    <row r="12491" spans="1:2" x14ac:dyDescent="0.25">
      <c r="A12491">
        <f ca="1">24980.2178501307*((RANDBETWEEN(1620,2416)))</f>
        <v>53782409.031331427</v>
      </c>
      <c r="B12491">
        <v>143787991.65274647</v>
      </c>
    </row>
    <row r="12492" spans="1:2" x14ac:dyDescent="0.25">
      <c r="A12492">
        <f ca="1">27428.0168246711*((RANDBETWEEN(1620,2416)))</f>
        <v>53374920.740809925</v>
      </c>
      <c r="B12492">
        <v>157455826.81312034</v>
      </c>
    </row>
    <row r="12493" spans="1:2" x14ac:dyDescent="0.25">
      <c r="A12493">
        <f ca="1">31158.7178220141*((RANDBETWEEN(1620,2416)))</f>
        <v>64000006.406417057</v>
      </c>
      <c r="B12493">
        <v>188718854.12249961</v>
      </c>
    </row>
    <row r="12494" spans="1:2" x14ac:dyDescent="0.25">
      <c r="A12494">
        <f ca="1">31687.7004301336*((RANDBETWEEN(1620,2416)))</f>
        <v>73673903.500060573</v>
      </c>
      <c r="B12494">
        <v>189596483.67294532</v>
      </c>
    </row>
    <row r="12495" spans="1:2" x14ac:dyDescent="0.25">
      <c r="A12495">
        <f ca="1">27813.0809021148*((RANDBETWEEN(1620,2416)))</f>
        <v>60104067.829470046</v>
      </c>
      <c r="B12495">
        <v>177865529.25127128</v>
      </c>
    </row>
    <row r="12496" spans="1:2" x14ac:dyDescent="0.25">
      <c r="A12496">
        <f ca="1">26245.8828208942*((RANDBETWEEN(1620,2416)))</f>
        <v>55956222.174146429</v>
      </c>
      <c r="B12496">
        <v>155630120.64063656</v>
      </c>
    </row>
    <row r="12497" spans="1:2" x14ac:dyDescent="0.25">
      <c r="A12497">
        <f ca="1">26224.3246489879*((RANDBETWEEN(1620,2416)))</f>
        <v>62964603.482220024</v>
      </c>
      <c r="B12497">
        <v>143696048.9640429</v>
      </c>
    </row>
    <row r="12498" spans="1:2" x14ac:dyDescent="0.25">
      <c r="A12498">
        <f ca="1">31095.0940635187*((RANDBETWEEN(1620,2416)))</f>
        <v>58583157.215669319</v>
      </c>
      <c r="B12498">
        <v>163657546.95737192</v>
      </c>
    </row>
    <row r="12499" spans="1:2" x14ac:dyDescent="0.25">
      <c r="A12499">
        <f ca="1">28420.9306153703*((RANDBETWEEN(1620,2416)))</f>
        <v>59200798.471816368</v>
      </c>
      <c r="B12499">
        <v>197917601.70635986</v>
      </c>
    </row>
    <row r="12500" spans="1:2" x14ac:dyDescent="0.25">
      <c r="A12500">
        <f ca="1">28702.2036274226*((RANDBETWEEN(1620,2416)))</f>
        <v>50257558.5516169</v>
      </c>
      <c r="B12500">
        <v>149785468.72121364</v>
      </c>
    </row>
    <row r="12501" spans="1:2" x14ac:dyDescent="0.25">
      <c r="A12501">
        <f ca="1">33288.5842327027*((RANDBETWEEN(1620,2416)))</f>
        <v>65878108.196518712</v>
      </c>
      <c r="B12501">
        <v>155072956.29952163</v>
      </c>
    </row>
    <row r="12502" spans="1:2" x14ac:dyDescent="0.25">
      <c r="A12502">
        <f ca="1">27532.2595587751*((RANDBETWEEN(1620,2416)))</f>
        <v>51843244.749173552</v>
      </c>
      <c r="B12502">
        <v>167523761.67232102</v>
      </c>
    </row>
    <row r="12503" spans="1:2" x14ac:dyDescent="0.25">
      <c r="A12503">
        <f ca="1">30631.6647851565*((RANDBETWEEN(1620,2416)))</f>
        <v>61293961.235098213</v>
      </c>
      <c r="B12503">
        <v>165083570.09930143</v>
      </c>
    </row>
    <row r="12504" spans="1:2" x14ac:dyDescent="0.25">
      <c r="A12504">
        <f ca="1">27960.2631629641*((RANDBETWEEN(1620,2416)))</f>
        <v>52928778.167491011</v>
      </c>
      <c r="B12504">
        <v>152604066.28334758</v>
      </c>
    </row>
    <row r="12505" spans="1:2" x14ac:dyDescent="0.25">
      <c r="A12505">
        <f ca="1">26759.3163710771*((RANDBETWEEN(1620,2416)))</f>
        <v>48835752.377215646</v>
      </c>
      <c r="B12505">
        <v>146132064.67988592</v>
      </c>
    </row>
    <row r="12506" spans="1:2" x14ac:dyDescent="0.25">
      <c r="A12506">
        <f ca="1">26607.3785549963*((RANDBETWEEN(1620,2416)))</f>
        <v>51777958.668022834</v>
      </c>
      <c r="B12506">
        <v>147621418.63101453</v>
      </c>
    </row>
    <row r="12507" spans="1:2" x14ac:dyDescent="0.25">
      <c r="A12507">
        <f ca="1">26171.5409068389*((RANDBETWEEN(1620,2416)))</f>
        <v>45355280.391551852</v>
      </c>
      <c r="B12507">
        <v>144993449.93514276</v>
      </c>
    </row>
    <row r="12508" spans="1:2" x14ac:dyDescent="0.25">
      <c r="A12508">
        <f ca="1">30729.5452252056*((RANDBETWEEN(1620,2416)))</f>
        <v>59092915.46807044</v>
      </c>
      <c r="B12508">
        <v>194001806.5297918</v>
      </c>
    </row>
    <row r="12509" spans="1:2" x14ac:dyDescent="0.25">
      <c r="A12509">
        <f ca="1">29520.3075374408*((RANDBETWEEN(1620,2416)))</f>
        <v>58774932.30704473</v>
      </c>
      <c r="B12509">
        <v>164491393.95757276</v>
      </c>
    </row>
    <row r="12510" spans="1:2" x14ac:dyDescent="0.25">
      <c r="A12510">
        <f ca="1">26479.7651147317*((RANDBETWEEN(1620,2416)))</f>
        <v>48563889.220417976</v>
      </c>
      <c r="B12510">
        <v>194213436.76281038</v>
      </c>
    </row>
    <row r="12511" spans="1:2" x14ac:dyDescent="0.25">
      <c r="A12511">
        <f ca="1">28701.711402521*((RANDBETWEEN(1620,2416)))</f>
        <v>55336899.58406055</v>
      </c>
      <c r="B12511">
        <v>155067777.26618439</v>
      </c>
    </row>
    <row r="12512" spans="1:2" x14ac:dyDescent="0.25">
      <c r="A12512">
        <f ca="1">29670.1408127756*((RANDBETWEEN(1620,2416)))</f>
        <v>70021532.318150431</v>
      </c>
      <c r="B12512">
        <v>167869286.35927412</v>
      </c>
    </row>
    <row r="12513" spans="1:2" x14ac:dyDescent="0.25">
      <c r="A12513">
        <f ca="1">31670.6219331802*((RANDBETWEEN(1620,2416)))</f>
        <v>57197143.211323403</v>
      </c>
      <c r="B12513">
        <v>196469580.17229494</v>
      </c>
    </row>
    <row r="12514" spans="1:2" x14ac:dyDescent="0.25">
      <c r="A12514">
        <f ca="1">27775.3109646239*((RANDBETWEEN(1620,2416)))</f>
        <v>50439964.711757064</v>
      </c>
      <c r="B12514">
        <v>163886538.18860644</v>
      </c>
    </row>
    <row r="12515" spans="1:2" x14ac:dyDescent="0.25">
      <c r="A12515">
        <f ca="1">27137.7792124441*((RANDBETWEEN(1620,2416)))</f>
        <v>55062554.022049084</v>
      </c>
      <c r="B12515">
        <v>170246376.12597328</v>
      </c>
    </row>
    <row r="12516" spans="1:2" x14ac:dyDescent="0.25">
      <c r="A12516">
        <f ca="1">25853.2370265345*((RANDBETWEEN(1620,2416)))</f>
        <v>56489322.902977869</v>
      </c>
      <c r="B12516">
        <v>146502748.51124552</v>
      </c>
    </row>
    <row r="12517" spans="1:2" x14ac:dyDescent="0.25">
      <c r="A12517">
        <f ca="1">27348.6637738881*((RANDBETWEEN(1620,2416)))</f>
        <v>59620087.027076006</v>
      </c>
      <c r="B12517">
        <v>150777109.70637193</v>
      </c>
    </row>
    <row r="12518" spans="1:2" x14ac:dyDescent="0.25">
      <c r="A12518">
        <f ca="1">30883.8999797161*((RANDBETWEEN(1620,2416)))</f>
        <v>66400384.956389576</v>
      </c>
      <c r="B12518">
        <v>195866162.97329804</v>
      </c>
    </row>
    <row r="12519" spans="1:2" x14ac:dyDescent="0.25">
      <c r="A12519">
        <f ca="1">28986.6910287231*((RANDBETWEEN(1620,2416)))</f>
        <v>53074631.27359198</v>
      </c>
      <c r="B12519">
        <v>192017026.38756704</v>
      </c>
    </row>
    <row r="12520" spans="1:2" x14ac:dyDescent="0.25">
      <c r="A12520">
        <f ca="1">27657.633318417*((RANDBETWEEN(1620,2416)))</f>
        <v>59685172.701143853</v>
      </c>
      <c r="B12520">
        <v>148726780.94958684</v>
      </c>
    </row>
    <row r="12521" spans="1:2" x14ac:dyDescent="0.25">
      <c r="A12521">
        <f ca="1">26417.9900100041*((RANDBETWEEN(1620,2416)))</f>
        <v>57591218.221808948</v>
      </c>
      <c r="B12521">
        <v>145323308.39680758</v>
      </c>
    </row>
    <row r="12522" spans="1:2" x14ac:dyDescent="0.25">
      <c r="A12522">
        <f ca="1">29907.6558690415*((RANDBETWEEN(1620,2416)))</f>
        <v>64929520.891689025</v>
      </c>
      <c r="B12522">
        <v>186758587.09114489</v>
      </c>
    </row>
    <row r="12523" spans="1:2" x14ac:dyDescent="0.25">
      <c r="A12523">
        <f ca="1">31989.3134056478*((RANDBETWEEN(1620,2416)))</f>
        <v>65674060.421794869</v>
      </c>
      <c r="B12523">
        <v>190306273.3040424</v>
      </c>
    </row>
    <row r="12524" spans="1:2" x14ac:dyDescent="0.25">
      <c r="A12524">
        <f ca="1">27218.3169647567*((RANDBETWEEN(1620,2416)))</f>
        <v>53184591.349134572</v>
      </c>
      <c r="B12524">
        <v>168098644.61918598</v>
      </c>
    </row>
    <row r="12525" spans="1:2" x14ac:dyDescent="0.25">
      <c r="A12525">
        <f ca="1">27613.2670380978*((RANDBETWEEN(1620,2416)))</f>
        <v>65305376.545101292</v>
      </c>
      <c r="B12525">
        <v>197377281.40874457</v>
      </c>
    </row>
    <row r="12526" spans="1:2" x14ac:dyDescent="0.25">
      <c r="A12526">
        <f ca="1">25803.1385451969*((RANDBETWEEN(1620,2416)))</f>
        <v>44768445.375916675</v>
      </c>
      <c r="B12526">
        <v>155315994.99438581</v>
      </c>
    </row>
    <row r="12527" spans="1:2" x14ac:dyDescent="0.25">
      <c r="A12527">
        <f ca="1">27139.0780498089*((RANDBETWEEN(1620,2416)))</f>
        <v>64265336.821947552</v>
      </c>
      <c r="B12527">
        <v>152285978.69598493</v>
      </c>
    </row>
    <row r="12528" spans="1:2" x14ac:dyDescent="0.25">
      <c r="A12528">
        <f ca="1">26959.1436766129*((RANDBETWEEN(1620,2416)))</f>
        <v>51195413.841887884</v>
      </c>
      <c r="B12528">
        <v>173155949.2680499</v>
      </c>
    </row>
    <row r="12529" spans="1:2" x14ac:dyDescent="0.25">
      <c r="A12529">
        <f ca="1">25600.1976428347*((RANDBETWEEN(1620,2416)))</f>
        <v>50816392.321026906</v>
      </c>
      <c r="B12529">
        <v>146838878.13735038</v>
      </c>
    </row>
    <row r="12530" spans="1:2" x14ac:dyDescent="0.25">
      <c r="A12530">
        <f ca="1">27357.1951907739*((RANDBETWEEN(1620,2416)))</f>
        <v>51705098.910562739</v>
      </c>
      <c r="B12530">
        <v>149393977.64912748</v>
      </c>
    </row>
    <row r="12531" spans="1:2" x14ac:dyDescent="0.25">
      <c r="A12531">
        <f ca="1">27705.208992157*((RANDBETWEEN(1620,2416)))</f>
        <v>45658184.419074811</v>
      </c>
      <c r="B12531">
        <v>158438251.52474204</v>
      </c>
    </row>
    <row r="12532" spans="1:2" x14ac:dyDescent="0.25">
      <c r="A12532">
        <f ca="1">25950.701340246*((RANDBETWEEN(1620,2416)))</f>
        <v>43700981.056974187</v>
      </c>
      <c r="B12532">
        <v>170205761.41436705</v>
      </c>
    </row>
    <row r="12533" spans="1:2" x14ac:dyDescent="0.25">
      <c r="A12533">
        <f ca="1">26932.5240619068*((RANDBETWEEN(1620,2416)))</f>
        <v>51414188.434180044</v>
      </c>
      <c r="B12533">
        <v>146089068.32856789</v>
      </c>
    </row>
    <row r="12534" spans="1:2" x14ac:dyDescent="0.25">
      <c r="A12534">
        <f ca="1">33163.862291556*((RANDBETWEEN(1620,2416)))</f>
        <v>65166989.402907595</v>
      </c>
      <c r="B12534">
        <v>146483759.54303741</v>
      </c>
    </row>
    <row r="12535" spans="1:2" x14ac:dyDescent="0.25">
      <c r="A12535">
        <f ca="1">27703.6025915477*((RANDBETWEEN(1620,2416)))</f>
        <v>59147191.532954417</v>
      </c>
      <c r="B12535">
        <v>181803528.692781</v>
      </c>
    </row>
    <row r="12536" spans="1:2" x14ac:dyDescent="0.25">
      <c r="A12536">
        <f ca="1">29508.4471625862*((RANDBETWEEN(1620,2416)))</f>
        <v>51757816.323176138</v>
      </c>
      <c r="B12536">
        <v>152761429.82811594</v>
      </c>
    </row>
    <row r="12537" spans="1:2" x14ac:dyDescent="0.25">
      <c r="A12537">
        <f ca="1">27103.0058419215*((RANDBETWEEN(1620,2416)))</f>
        <v>44801268.656696282</v>
      </c>
      <c r="B12537">
        <v>151751230.82404298</v>
      </c>
    </row>
    <row r="12538" spans="1:2" x14ac:dyDescent="0.25">
      <c r="A12538">
        <f ca="1">31189.7265601509*((RANDBETWEEN(1620,2416)))</f>
        <v>63814180.542068779</v>
      </c>
      <c r="B12538">
        <v>178075082.74064541</v>
      </c>
    </row>
    <row r="12539" spans="1:2" x14ac:dyDescent="0.25">
      <c r="A12539">
        <f ca="1">27560.9325444632*((RANDBETWEEN(1620,2416)))</f>
        <v>66201359.971800484</v>
      </c>
      <c r="B12539">
        <v>176236113.18335307</v>
      </c>
    </row>
    <row r="12540" spans="1:2" x14ac:dyDescent="0.25">
      <c r="A12540">
        <f ca="1">27720.6887388751*((RANDBETWEEN(1620,2416)))</f>
        <v>50728860.392141357</v>
      </c>
      <c r="B12540">
        <v>151360562.20254916</v>
      </c>
    </row>
    <row r="12541" spans="1:2" x14ac:dyDescent="0.25">
      <c r="A12541">
        <f ca="1">28197.142053438*((RANDBETWEEN(1620,2416)))</f>
        <v>61751741.097029127</v>
      </c>
      <c r="B12541">
        <v>157645357.4702332</v>
      </c>
    </row>
    <row r="12542" spans="1:2" x14ac:dyDescent="0.25">
      <c r="A12542">
        <f ca="1">27630.3818337416*((RANDBETWEEN(1620,2416)))</f>
        <v>47690039.045038082</v>
      </c>
      <c r="B12542">
        <v>155932078.18472487</v>
      </c>
    </row>
    <row r="12543" spans="1:2" x14ac:dyDescent="0.25">
      <c r="A12543">
        <f ca="1">27418.3552785938*((RANDBETWEEN(1620,2416)))</f>
        <v>53904486.477715388</v>
      </c>
      <c r="B12543">
        <v>153871263.36747319</v>
      </c>
    </row>
    <row r="12544" spans="1:2" x14ac:dyDescent="0.25">
      <c r="A12544">
        <f ca="1">27074.98798936*((RANDBETWEEN(1620,2416)))</f>
        <v>58617348.99696444</v>
      </c>
      <c r="B12544">
        <v>197685813.18051118</v>
      </c>
    </row>
    <row r="12545" spans="1:2" x14ac:dyDescent="0.25">
      <c r="A12545">
        <f ca="1">27121.8236558648*((RANDBETWEEN(1620,2416)))</f>
        <v>49144744.464427002</v>
      </c>
      <c r="B12545">
        <v>158068916.54563475</v>
      </c>
    </row>
    <row r="12546" spans="1:2" x14ac:dyDescent="0.25">
      <c r="A12546">
        <f ca="1">27292.8856123415*((RANDBETWEEN(1620,2416)))</f>
        <v>57096716.701018445</v>
      </c>
      <c r="B12546">
        <v>154943181.69327024</v>
      </c>
    </row>
    <row r="12547" spans="1:2" x14ac:dyDescent="0.25">
      <c r="A12547">
        <f ca="1">27352.1986125615*((RANDBETWEEN(1620,2416)))</f>
        <v>44529379.341250077</v>
      </c>
      <c r="B12547">
        <v>182762002.82638034</v>
      </c>
    </row>
    <row r="12548" spans="1:2" x14ac:dyDescent="0.25">
      <c r="A12548">
        <f ca="1">29487.1851792693*((RANDBETWEEN(1620,2416)))</f>
        <v>53076933.32268478</v>
      </c>
      <c r="B12548">
        <v>194290123.28918156</v>
      </c>
    </row>
    <row r="12549" spans="1:2" x14ac:dyDescent="0.25">
      <c r="A12549">
        <f ca="1">32959.4453348223*((RANDBETWEEN(1620,2416)))</f>
        <v>68819321.859108984</v>
      </c>
      <c r="B12549">
        <v>156318775.70485556</v>
      </c>
    </row>
    <row r="12550" spans="1:2" x14ac:dyDescent="0.25">
      <c r="A12550">
        <f ca="1">26325.8308967733*((RANDBETWEEN(1620,2416)))</f>
        <v>42674171.883669488</v>
      </c>
      <c r="B12550">
        <v>149979491.89791742</v>
      </c>
    </row>
    <row r="12551" spans="1:2" x14ac:dyDescent="0.25">
      <c r="A12551">
        <f ca="1">27518.6598464856*((RANDBETWEEN(1620,2416)))</f>
        <v>64366145.380929857</v>
      </c>
      <c r="B12551">
        <v>178152618.12114805</v>
      </c>
    </row>
    <row r="12552" spans="1:2" x14ac:dyDescent="0.25">
      <c r="A12552">
        <f ca="1">29590.150604866*((RANDBETWEEN(1620,2416)))</f>
        <v>60215956.480902374</v>
      </c>
      <c r="B12552">
        <v>157170551.04533744</v>
      </c>
    </row>
    <row r="12553" spans="1:2" x14ac:dyDescent="0.25">
      <c r="A12553">
        <f ca="1">31824.660377428*((RANDBETWEEN(1620,2416)))</f>
        <v>60976049.283152051</v>
      </c>
      <c r="B12553">
        <v>194875346.02004144</v>
      </c>
    </row>
    <row r="12554" spans="1:2" x14ac:dyDescent="0.25">
      <c r="A12554">
        <f ca="1">32168.1748203963*((RANDBETWEEN(1620,2416)))</f>
        <v>62181081.92782601</v>
      </c>
      <c r="B12554">
        <v>154802348.11741644</v>
      </c>
    </row>
    <row r="12555" spans="1:2" x14ac:dyDescent="0.25">
      <c r="A12555">
        <f ca="1">32179.3191195936*((RANDBETWEEN(1620,2416)))</f>
        <v>72532185.295563892</v>
      </c>
      <c r="B12555">
        <v>143041583.35292089</v>
      </c>
    </row>
    <row r="12556" spans="1:2" x14ac:dyDescent="0.25">
      <c r="A12556">
        <f ca="1">26780.7116801366*((RANDBETWEEN(1620,2416)))</f>
        <v>48740895.257848635</v>
      </c>
      <c r="B12556">
        <v>151877665.1997897</v>
      </c>
    </row>
    <row r="12557" spans="1:2" x14ac:dyDescent="0.25">
      <c r="A12557">
        <f ca="1">27132.4774332886*((RANDBETWEEN(1620,2416)))</f>
        <v>55160326.621875696</v>
      </c>
      <c r="B12557">
        <v>146009913.51786792</v>
      </c>
    </row>
    <row r="12558" spans="1:2" x14ac:dyDescent="0.25">
      <c r="A12558">
        <f ca="1">28342.7380250619*((RANDBETWEEN(1620,2416)))</f>
        <v>52150637.966113918</v>
      </c>
      <c r="B12558">
        <v>151310137.19533062</v>
      </c>
    </row>
    <row r="12559" spans="1:2" x14ac:dyDescent="0.25">
      <c r="A12559">
        <f ca="1">26908.5607488832*((RANDBETWEEN(1620,2416)))</f>
        <v>44964205.011383764</v>
      </c>
      <c r="B12559">
        <v>144456134.3947686</v>
      </c>
    </row>
    <row r="12560" spans="1:2" x14ac:dyDescent="0.25">
      <c r="A12560">
        <f ca="1">30704.4022481629*((RANDBETWEEN(1620,2416)))</f>
        <v>69422653.483096302</v>
      </c>
      <c r="B12560">
        <v>158489563.08562425</v>
      </c>
    </row>
    <row r="12561" spans="1:2" x14ac:dyDescent="0.25">
      <c r="A12561">
        <f ca="1">29409.7232361307*((RANDBETWEEN(1620,2416)))</f>
        <v>53084550.441215985</v>
      </c>
      <c r="B12561">
        <v>158292806.002323</v>
      </c>
    </row>
    <row r="12562" spans="1:2" x14ac:dyDescent="0.25">
      <c r="A12562">
        <f ca="1">28537.7204796499*((RANDBETWEEN(1620,2416)))</f>
        <v>57474969.046014898</v>
      </c>
      <c r="B12562">
        <v>155770258.82231858</v>
      </c>
    </row>
    <row r="12563" spans="1:2" x14ac:dyDescent="0.25">
      <c r="A12563">
        <f ca="1">27129.4754078615*((RANDBETWEEN(1620,2416)))</f>
        <v>52142851.733909741</v>
      </c>
      <c r="B12563">
        <v>194340009.06213641</v>
      </c>
    </row>
    <row r="12564" spans="1:2" x14ac:dyDescent="0.25">
      <c r="A12564">
        <f ca="1">29513.9220770851*((RANDBETWEEN(1620,2416)))</f>
        <v>62717084.413805865</v>
      </c>
      <c r="B12564">
        <v>147080610.63432604</v>
      </c>
    </row>
    <row r="12565" spans="1:2" x14ac:dyDescent="0.25">
      <c r="A12565">
        <f ca="1">26198.6235964058*((RANDBETWEEN(1620,2416)))</f>
        <v>43777900.029594041</v>
      </c>
      <c r="B12565">
        <v>146462957.31894732</v>
      </c>
    </row>
    <row r="12566" spans="1:2" x14ac:dyDescent="0.25">
      <c r="A12566">
        <f ca="1">30515.6669104441*((RANDBETWEEN(1620,2416)))</f>
        <v>57888220.129112467</v>
      </c>
      <c r="B12566">
        <v>158734554.34317058</v>
      </c>
    </row>
    <row r="12567" spans="1:2" x14ac:dyDescent="0.25">
      <c r="A12567">
        <f ca="1">27741.7885706801*((RANDBETWEEN(1620,2416)))</f>
        <v>61891930.301187314</v>
      </c>
      <c r="B12567">
        <v>153380697.73586828</v>
      </c>
    </row>
    <row r="12568" spans="1:2" x14ac:dyDescent="0.25">
      <c r="A12568">
        <f ca="1">27226.1382680272*((RANDBETWEEN(1620,2416)))</f>
        <v>48598656.808428593</v>
      </c>
      <c r="B12568">
        <v>195162174.05558771</v>
      </c>
    </row>
    <row r="12569" spans="1:2" x14ac:dyDescent="0.25">
      <c r="A12569">
        <f ca="1">29764.4252118348*((RANDBETWEEN(1620,2416)))</f>
        <v>51849628.719016284</v>
      </c>
      <c r="B12569">
        <v>145693878.26682329</v>
      </c>
    </row>
    <row r="12570" spans="1:2" x14ac:dyDescent="0.25">
      <c r="A12570">
        <f ca="1">31924.3082954752*((RANDBETWEEN(1620,2416)))</f>
        <v>57846846.631401002</v>
      </c>
      <c r="B12570">
        <v>189817210.2500039</v>
      </c>
    </row>
    <row r="12571" spans="1:2" x14ac:dyDescent="0.25">
      <c r="A12571">
        <f ca="1">29934.6372625231*((RANDBETWEEN(1620,2416)))</f>
        <v>67442737.752464637</v>
      </c>
      <c r="B12571">
        <v>191452774.08052984</v>
      </c>
    </row>
    <row r="12572" spans="1:2" x14ac:dyDescent="0.25">
      <c r="A12572">
        <f ca="1">27745.6117727719*((RANDBETWEEN(1620,2416)))</f>
        <v>60402196.829324417</v>
      </c>
      <c r="B12572">
        <v>156980480.87091744</v>
      </c>
    </row>
    <row r="12573" spans="1:2" x14ac:dyDescent="0.25">
      <c r="A12573">
        <f ca="1">30327.6314690209*((RANDBETWEEN(1620,2416)))</f>
        <v>56652015.584130988</v>
      </c>
      <c r="B12573">
        <v>173220301.77328062</v>
      </c>
    </row>
    <row r="12574" spans="1:2" x14ac:dyDescent="0.25">
      <c r="A12574">
        <f ca="1">24882.4296951784*((RANDBETWEEN(1620,2416)))</f>
        <v>54392991.313659929</v>
      </c>
      <c r="B12574">
        <v>184273844.99122748</v>
      </c>
    </row>
    <row r="12575" spans="1:2" x14ac:dyDescent="0.25">
      <c r="A12575">
        <f ca="1">27331.6030615855*((RANDBETWEEN(1620,2416)))</f>
        <v>56849734.368097737</v>
      </c>
      <c r="B12575">
        <v>158215298.62719339</v>
      </c>
    </row>
    <row r="12576" spans="1:2" x14ac:dyDescent="0.25">
      <c r="A12576">
        <f ca="1">29952.813758629*((RANDBETWEEN(1620,2416)))</f>
        <v>60115297.213568382</v>
      </c>
      <c r="B12576">
        <v>189946774.07554281</v>
      </c>
    </row>
    <row r="12577" spans="1:2" x14ac:dyDescent="0.25">
      <c r="A12577">
        <f ca="1">24995.9481622441*((RANDBETWEEN(1620,2416)))</f>
        <v>46567451.426260769</v>
      </c>
      <c r="B12577">
        <v>145161611.29354867</v>
      </c>
    </row>
    <row r="12578" spans="1:2" x14ac:dyDescent="0.25">
      <c r="A12578">
        <f ca="1">27918.8205188637*((RANDBETWEEN(1620,2416)))</f>
        <v>46121891.497162864</v>
      </c>
      <c r="B12578">
        <v>160729233.26681086</v>
      </c>
    </row>
    <row r="12579" spans="1:2" x14ac:dyDescent="0.25">
      <c r="A12579">
        <f ca="1">26859.962021795*((RANDBETWEEN(1620,2416)))</f>
        <v>58554717.207513109</v>
      </c>
      <c r="B12579">
        <v>198238883.29805356</v>
      </c>
    </row>
    <row r="12580" spans="1:2" x14ac:dyDescent="0.25">
      <c r="A12580">
        <f ca="1">26870.0318049639*((RANDBETWEEN(1620,2416)))</f>
        <v>53928153.832562558</v>
      </c>
      <c r="B12580">
        <v>162902228.69944233</v>
      </c>
    </row>
    <row r="12581" spans="1:2" x14ac:dyDescent="0.25">
      <c r="A12581">
        <f ca="1">26522.0775859058*((RANDBETWEEN(1620,2416)))</f>
        <v>56545069.413151138</v>
      </c>
      <c r="B12581">
        <v>157546688.82400197</v>
      </c>
    </row>
    <row r="12582" spans="1:2" x14ac:dyDescent="0.25">
      <c r="A12582">
        <f ca="1">26767.3414636974*((RANDBETWEEN(1620,2416)))</f>
        <v>53159940.146903023</v>
      </c>
      <c r="B12582">
        <v>166955733.02028632</v>
      </c>
    </row>
    <row r="12583" spans="1:2" x14ac:dyDescent="0.25">
      <c r="A12583">
        <f ca="1">26717.6050580607*((RANDBETWEEN(1620,2416)))</f>
        <v>58912319.153023854</v>
      </c>
      <c r="B12583">
        <v>192195347.05335104</v>
      </c>
    </row>
    <row r="12584" spans="1:2" x14ac:dyDescent="0.25">
      <c r="A12584">
        <f ca="1">25791.3181504372*((RANDBETWEEN(1620,2416)))</f>
        <v>52485332.436139613</v>
      </c>
      <c r="B12584">
        <v>171844249.22085685</v>
      </c>
    </row>
    <row r="12585" spans="1:2" x14ac:dyDescent="0.25">
      <c r="A12585">
        <f ca="1">25876.6096107824*((RANDBETWEEN(1620,2416)))</f>
        <v>58895163.474140726</v>
      </c>
      <c r="B12585">
        <v>148634108.89982277</v>
      </c>
    </row>
    <row r="12586" spans="1:2" x14ac:dyDescent="0.25">
      <c r="A12586">
        <f ca="1">27176.607891303*((RANDBETWEEN(1620,2416)))</f>
        <v>61419133.834344879</v>
      </c>
      <c r="B12586">
        <v>154255557.34577236</v>
      </c>
    </row>
    <row r="12587" spans="1:2" x14ac:dyDescent="0.25">
      <c r="A12587">
        <f ca="1">26722.670386713*((RANDBETWEEN(1620,2416)))</f>
        <v>63893904.89463082</v>
      </c>
      <c r="B12587">
        <v>156318816.11796978</v>
      </c>
    </row>
    <row r="12588" spans="1:2" x14ac:dyDescent="0.25">
      <c r="A12588">
        <f ca="1">27784.7102897011*((RANDBETWEEN(1620,2416)))</f>
        <v>45983695.529455394</v>
      </c>
      <c r="B12588">
        <v>156517879.42334157</v>
      </c>
    </row>
    <row r="12589" spans="1:2" x14ac:dyDescent="0.25">
      <c r="A12589">
        <f ca="1">27745.0553488101*((RANDBETWEEN(1620,2416)))</f>
        <v>64063332.800402567</v>
      </c>
      <c r="B12589">
        <v>196655165.06207848</v>
      </c>
    </row>
    <row r="12590" spans="1:2" x14ac:dyDescent="0.25">
      <c r="A12590">
        <f ca="1">26791.7697682778*((RANDBETWEEN(1620,2416)))</f>
        <v>50904362.559727788</v>
      </c>
      <c r="B12590">
        <v>156126105.64445403</v>
      </c>
    </row>
    <row r="12591" spans="1:2" x14ac:dyDescent="0.25">
      <c r="A12591">
        <f ca="1">26503.8732981539*((RANDBETWEEN(1620,2416)))</f>
        <v>57301374.070608668</v>
      </c>
      <c r="B12591">
        <v>153070153.70376331</v>
      </c>
    </row>
    <row r="12592" spans="1:2" x14ac:dyDescent="0.25">
      <c r="A12592">
        <f ca="1">31390.7332188389*((RANDBETWEEN(1620,2416)))</f>
        <v>67992328.152005076</v>
      </c>
      <c r="B12592">
        <v>181105960.83774036</v>
      </c>
    </row>
    <row r="12593" spans="1:2" x14ac:dyDescent="0.25">
      <c r="A12593">
        <f ca="1">28586.7711580616*((RANDBETWEEN(1620,2416)))</f>
        <v>63405458.428580552</v>
      </c>
      <c r="B12593">
        <v>143309849.05056059</v>
      </c>
    </row>
    <row r="12594" spans="1:2" x14ac:dyDescent="0.25">
      <c r="A12594">
        <f ca="1">33140.0836405308*((RANDBETWEEN(1620,2416)))</f>
        <v>69395335.143271446</v>
      </c>
      <c r="B12594">
        <v>167926967.79929829</v>
      </c>
    </row>
    <row r="12595" spans="1:2" x14ac:dyDescent="0.25">
      <c r="A12595">
        <f ca="1">28287.509384048*((RANDBETWEEN(1620,2416)))</f>
        <v>61355607.854000159</v>
      </c>
      <c r="B12595">
        <v>158068445.72029042</v>
      </c>
    </row>
    <row r="12596" spans="1:2" x14ac:dyDescent="0.25">
      <c r="A12596">
        <f ca="1">26724.5175085464*((RANDBETWEEN(1620,2416)))</f>
        <v>61386216.717131019</v>
      </c>
      <c r="B12596">
        <v>173104907.76007912</v>
      </c>
    </row>
    <row r="12597" spans="1:2" x14ac:dyDescent="0.25">
      <c r="A12597">
        <f ca="1">25752.3700134732*((RANDBETWEEN(1620,2416)))</f>
        <v>49624817.01596278</v>
      </c>
      <c r="B12597">
        <v>145221912.82669669</v>
      </c>
    </row>
    <row r="12598" spans="1:2" x14ac:dyDescent="0.25">
      <c r="A12598">
        <f ca="1">26051.9414999641*((RANDBETWEEN(1620,2416)))</f>
        <v>58721076.140919164</v>
      </c>
      <c r="B12598">
        <v>159815435.35533261</v>
      </c>
    </row>
    <row r="12599" spans="1:2" x14ac:dyDescent="0.25">
      <c r="A12599">
        <f ca="1">25550.3691123*((RANDBETWEEN(1620,2416)))</f>
        <v>56798470.536642842</v>
      </c>
      <c r="B12599">
        <v>143022041.38219267</v>
      </c>
    </row>
    <row r="12600" spans="1:2" x14ac:dyDescent="0.25">
      <c r="A12600">
        <f ca="1">26608.6289841248*((RANDBETWEEN(1620,2416)))</f>
        <v>58432549.249138057</v>
      </c>
      <c r="B12600">
        <v>154484120.3303082</v>
      </c>
    </row>
    <row r="12601" spans="1:2" x14ac:dyDescent="0.25">
      <c r="A12601">
        <f ca="1">26665.5511377266*((RANDBETWEEN(1620,2416)))</f>
        <v>45544761.343237102</v>
      </c>
      <c r="B12601">
        <v>150835905.61027479</v>
      </c>
    </row>
    <row r="12602" spans="1:2" x14ac:dyDescent="0.25">
      <c r="A12602">
        <f ca="1">28097.8946380517*((RANDBETWEEN(1620,2416)))</f>
        <v>53273608.233745955</v>
      </c>
      <c r="B12602">
        <v>159519362.23019621</v>
      </c>
    </row>
    <row r="12603" spans="1:2" x14ac:dyDescent="0.25">
      <c r="A12603">
        <f ca="1">27285.5231023448*((RANDBETWEEN(1620,2416)))</f>
        <v>65376113.353218116</v>
      </c>
      <c r="B12603">
        <v>143799110.58392853</v>
      </c>
    </row>
    <row r="12604" spans="1:2" x14ac:dyDescent="0.25">
      <c r="A12604">
        <f ca="1">26619.4382718694*((RANDBETWEEN(1620,2416)))</f>
        <v>64179465.673477076</v>
      </c>
      <c r="B12604">
        <v>153690061.54676199</v>
      </c>
    </row>
    <row r="12605" spans="1:2" x14ac:dyDescent="0.25">
      <c r="A12605">
        <f ca="1">30741.0150815407*((RANDBETWEEN(1620,2416)))</f>
        <v>56040870.493648753</v>
      </c>
      <c r="B12605">
        <v>147956064.00780758</v>
      </c>
    </row>
    <row r="12606" spans="1:2" x14ac:dyDescent="0.25">
      <c r="A12606">
        <f ca="1">26599.0648242437*((RANDBETWEEN(1620,2416)))</f>
        <v>59581905.206305854</v>
      </c>
      <c r="B12606">
        <v>181460038.53923756</v>
      </c>
    </row>
    <row r="12607" spans="1:2" x14ac:dyDescent="0.25">
      <c r="A12607">
        <f ca="1">27504.0328927915*((RANDBETWEEN(1620,2416)))</f>
        <v>56328259.364436932</v>
      </c>
      <c r="B12607">
        <v>188450653.71502054</v>
      </c>
    </row>
    <row r="12608" spans="1:2" x14ac:dyDescent="0.25">
      <c r="A12608">
        <f ca="1">26215.9542087214*((RANDBETWEEN(1620,2416)))</f>
        <v>53559194.448417768</v>
      </c>
      <c r="B12608">
        <v>178137621.76273969</v>
      </c>
    </row>
    <row r="12609" spans="1:2" x14ac:dyDescent="0.25">
      <c r="A12609">
        <f ca="1">27084.9193435547*((RANDBETWEEN(1620,2416)))</f>
        <v>54278178.364483677</v>
      </c>
      <c r="B12609">
        <v>179220341.39039326</v>
      </c>
    </row>
    <row r="12610" spans="1:2" x14ac:dyDescent="0.25">
      <c r="A12610">
        <f ca="1">31065.1954523905*((RANDBETWEEN(1620,2416)))</f>
        <v>70797580.435997874</v>
      </c>
      <c r="B12610">
        <v>203497367.32714483</v>
      </c>
    </row>
    <row r="12611" spans="1:2" x14ac:dyDescent="0.25">
      <c r="A12611">
        <f ca="1">28343.3970166395*((RANDBETWEEN(1620,2416)))</f>
        <v>57140288.385545217</v>
      </c>
      <c r="B12611">
        <v>172559329.76959249</v>
      </c>
    </row>
    <row r="12612" spans="1:2" x14ac:dyDescent="0.25">
      <c r="A12612">
        <f ca="1">26680.1402410731*((RANDBETWEEN(1620,2416)))</f>
        <v>59843554.560726993</v>
      </c>
      <c r="B12612">
        <v>154796778.38668454</v>
      </c>
    </row>
    <row r="12613" spans="1:2" x14ac:dyDescent="0.25">
      <c r="A12613">
        <f ca="1">26545.3030059408*((RANDBETWEEN(1620,2416)))</f>
        <v>54789505.404261753</v>
      </c>
      <c r="B12613">
        <v>169502815.82948959</v>
      </c>
    </row>
    <row r="12614" spans="1:2" x14ac:dyDescent="0.25">
      <c r="A12614">
        <f ca="1">25728.6600309229*((RANDBETWEEN(1620,2416)))</f>
        <v>53953000.08484526</v>
      </c>
      <c r="B12614">
        <v>156642942.09701306</v>
      </c>
    </row>
    <row r="12615" spans="1:2" x14ac:dyDescent="0.25">
      <c r="A12615">
        <f ca="1">26918.0994276733*((RANDBETWEEN(1620,2416)))</f>
        <v>54939840.931881256</v>
      </c>
      <c r="B12615">
        <v>201790766.51856029</v>
      </c>
    </row>
    <row r="12616" spans="1:2" x14ac:dyDescent="0.25">
      <c r="A12616">
        <f ca="1">27300.5251085368*((RANDBETWEEN(1620,2416)))</f>
        <v>46219789.008752756</v>
      </c>
      <c r="B12616">
        <v>191414460.44038248</v>
      </c>
    </row>
    <row r="12617" spans="1:2" x14ac:dyDescent="0.25">
      <c r="A12617">
        <f ca="1">28607.5235845031*((RANDBETWEEN(1620,2416)))</f>
        <v>65711481.673603624</v>
      </c>
      <c r="B12617">
        <v>147549237.35198149</v>
      </c>
    </row>
    <row r="12618" spans="1:2" x14ac:dyDescent="0.25">
      <c r="A12618">
        <f ca="1">27019.9848685689*((RANDBETWEEN(1620,2416)))</f>
        <v>55796268.753594786</v>
      </c>
      <c r="B12618">
        <v>158415383.91751224</v>
      </c>
    </row>
    <row r="12619" spans="1:2" x14ac:dyDescent="0.25">
      <c r="A12619">
        <f ca="1">28469.8042991481*((RANDBETWEEN(1620,2416)))</f>
        <v>68242120.905058056</v>
      </c>
      <c r="B12619">
        <v>181187821.51531857</v>
      </c>
    </row>
    <row r="12620" spans="1:2" x14ac:dyDescent="0.25">
      <c r="A12620">
        <f ca="1">27538.8335959663*((RANDBETWEEN(1620,2416)))</f>
        <v>54747201.188781038</v>
      </c>
      <c r="B12620">
        <v>154476388.64340118</v>
      </c>
    </row>
    <row r="12621" spans="1:2" x14ac:dyDescent="0.25">
      <c r="A12621">
        <f ca="1">26675.6982209627*((RANDBETWEEN(1620,2416)))</f>
        <v>46335687.809812166</v>
      </c>
      <c r="B12621">
        <v>160878204.8410579</v>
      </c>
    </row>
    <row r="12622" spans="1:2" x14ac:dyDescent="0.25">
      <c r="A12622">
        <f ca="1">25891.0556114367*((RANDBETWEEN(1620,2416)))</f>
        <v>57193341.845663615</v>
      </c>
      <c r="B12622">
        <v>144619321.27178454</v>
      </c>
    </row>
    <row r="12623" spans="1:2" x14ac:dyDescent="0.25">
      <c r="A12623">
        <f ca="1">33026.1719702701*((RANDBETWEEN(1620,2416)))</f>
        <v>55649099.769905142</v>
      </c>
      <c r="B12623">
        <v>158700005.82860079</v>
      </c>
    </row>
    <row r="12624" spans="1:2" x14ac:dyDescent="0.25">
      <c r="A12624">
        <f ca="1">26028.0376858968*((RANDBETWEEN(1620,2416)))</f>
        <v>59812430.602190889</v>
      </c>
      <c r="B12624">
        <v>194631335.74223164</v>
      </c>
    </row>
    <row r="12625" spans="1:2" x14ac:dyDescent="0.25">
      <c r="A12625">
        <f ca="1">26407.5061753344*((RANDBETWEEN(1620,2416)))</f>
        <v>59786593.980957128</v>
      </c>
      <c r="B12625">
        <v>143751625.80416009</v>
      </c>
    </row>
    <row r="12626" spans="1:2" x14ac:dyDescent="0.25">
      <c r="A12626">
        <f ca="1">27280.8351898106*((RANDBETWEEN(1620,2416)))</f>
        <v>52379203.564436346</v>
      </c>
      <c r="B12626">
        <v>168918344.15934172</v>
      </c>
    </row>
    <row r="12627" spans="1:2" x14ac:dyDescent="0.25">
      <c r="A12627">
        <f ca="1">27566.9644703852*((RANDBETWEEN(1620,2416)))</f>
        <v>53121540.534432366</v>
      </c>
      <c r="B12627">
        <v>189542094.64186993</v>
      </c>
    </row>
    <row r="12628" spans="1:2" x14ac:dyDescent="0.25">
      <c r="A12628">
        <f ca="1">31396.1845552087*((RANDBETWEEN(1620,2416)))</f>
        <v>56104981.800158016</v>
      </c>
      <c r="B12628">
        <v>172202193.49997991</v>
      </c>
    </row>
    <row r="12629" spans="1:2" x14ac:dyDescent="0.25">
      <c r="A12629">
        <f ca="1">26520.9959968264*((RANDBETWEEN(1620,2416)))</f>
        <v>55534965.617354468</v>
      </c>
      <c r="B12629">
        <v>166857584.3192718</v>
      </c>
    </row>
    <row r="12630" spans="1:2" x14ac:dyDescent="0.25">
      <c r="A12630">
        <f ca="1">26225.2353741053*((RANDBETWEEN(1620,2416)))</f>
        <v>53027425.926440865</v>
      </c>
      <c r="B12630">
        <v>150117769.52600065</v>
      </c>
    </row>
    <row r="12631" spans="1:2" x14ac:dyDescent="0.25">
      <c r="A12631">
        <f ca="1">27288.850988502*((RANDBETWEEN(1620,2416)))</f>
        <v>62164002.551807612</v>
      </c>
      <c r="B12631">
        <v>180002056.01155508</v>
      </c>
    </row>
    <row r="12632" spans="1:2" x14ac:dyDescent="0.25">
      <c r="A12632">
        <f ca="1">27962.8926643259*((RANDBETWEEN(1620,2416)))</f>
        <v>54387826.232113883</v>
      </c>
      <c r="B12632">
        <v>176884635.79041946</v>
      </c>
    </row>
    <row r="12633" spans="1:2" x14ac:dyDescent="0.25">
      <c r="A12633">
        <f ca="1">32711.7650991281*((RANDBETWEEN(1620,2416)))</f>
        <v>69577924.365845531</v>
      </c>
      <c r="B12633">
        <v>198125729.27540806</v>
      </c>
    </row>
    <row r="12634" spans="1:2" x14ac:dyDescent="0.25">
      <c r="A12634">
        <f ca="1">34401.2270325056*((RANDBETWEEN(1620,2416)))</f>
        <v>67426404.98371093</v>
      </c>
      <c r="B12634">
        <v>180705957.5828107</v>
      </c>
    </row>
    <row r="12635" spans="1:2" x14ac:dyDescent="0.25">
      <c r="A12635">
        <f ca="1">27311.5836339701*((RANDBETWEEN(1620,2416)))</f>
        <v>47030547.01769647</v>
      </c>
      <c r="B12635">
        <v>163952141.14768422</v>
      </c>
    </row>
    <row r="12636" spans="1:2" x14ac:dyDescent="0.25">
      <c r="A12636">
        <f ca="1">27078.5976099595*((RANDBETWEEN(1620,2416)))</f>
        <v>51368099.666093081</v>
      </c>
      <c r="B12636">
        <v>145012734.53743711</v>
      </c>
    </row>
    <row r="12637" spans="1:2" x14ac:dyDescent="0.25">
      <c r="A12637">
        <f ca="1">27308.7841080749*((RANDBETWEEN(1620,2416)))</f>
        <v>49565443.156156026</v>
      </c>
      <c r="B12637">
        <v>187485452.76858869</v>
      </c>
    </row>
    <row r="12638" spans="1:2" x14ac:dyDescent="0.25">
      <c r="A12638">
        <f ca="1">26686.9432781966*((RANDBETWEEN(1620,2416)))</f>
        <v>59645318.226769462</v>
      </c>
      <c r="B12638">
        <v>183619000.50356811</v>
      </c>
    </row>
    <row r="12639" spans="1:2" x14ac:dyDescent="0.25">
      <c r="A12639">
        <f ca="1">26037.2873826845*((RANDBETWEEN(1620,2416)))</f>
        <v>62775899.879652321</v>
      </c>
      <c r="B12639">
        <v>144077011.15373629</v>
      </c>
    </row>
    <row r="12640" spans="1:2" x14ac:dyDescent="0.25">
      <c r="A12640">
        <f ca="1">32518.6709215328*((RANDBETWEEN(1620,2416)))</f>
        <v>66468163.363613062</v>
      </c>
      <c r="B12640">
        <v>151721103.98561007</v>
      </c>
    </row>
    <row r="12641" spans="1:2" x14ac:dyDescent="0.25">
      <c r="A12641">
        <f ca="1">26977.3495565102*((RANDBETWEEN(1620,2416)))</f>
        <v>54871928.997941732</v>
      </c>
      <c r="B12641">
        <v>146184716.48060107</v>
      </c>
    </row>
    <row r="12642" spans="1:2" x14ac:dyDescent="0.25">
      <c r="A12642">
        <f ca="1">29824.1376851906*((RANDBETWEEN(1620,2416)))</f>
        <v>60304406.399455443</v>
      </c>
      <c r="B12642">
        <v>175467223.46445695</v>
      </c>
    </row>
    <row r="12643" spans="1:2" x14ac:dyDescent="0.25">
      <c r="A12643">
        <f ca="1">26739.7111572829*((RANDBETWEEN(1620,2416)))</f>
        <v>56420790.541866913</v>
      </c>
      <c r="B12643">
        <v>172572869.94612828</v>
      </c>
    </row>
    <row r="12644" spans="1:2" x14ac:dyDescent="0.25">
      <c r="A12644">
        <f ca="1">28558.6331381094*((RANDBETWEEN(1620,2416)))</f>
        <v>68226574.566943511</v>
      </c>
      <c r="B12644">
        <v>185497296.89347932</v>
      </c>
    </row>
    <row r="12645" spans="1:2" x14ac:dyDescent="0.25">
      <c r="A12645">
        <f ca="1">31357.2722819361*((RANDBETWEEN(1620,2416)))</f>
        <v>74912523.481545433</v>
      </c>
      <c r="B12645">
        <v>192945331.28883487</v>
      </c>
    </row>
    <row r="12646" spans="1:2" x14ac:dyDescent="0.25">
      <c r="A12646">
        <f ca="1">28007.0180313275*((RANDBETWEEN(1620,2416)))</f>
        <v>46323607.823815607</v>
      </c>
      <c r="B12646">
        <v>154124112.53975701</v>
      </c>
    </row>
    <row r="12647" spans="1:2" x14ac:dyDescent="0.25">
      <c r="A12647">
        <f ca="1">25957.0585046088*((RANDBETWEEN(1620,2416)))</f>
        <v>61180786.895362824</v>
      </c>
      <c r="B12647">
        <v>159545015.08999547</v>
      </c>
    </row>
    <row r="12648" spans="1:2" x14ac:dyDescent="0.25">
      <c r="A12648">
        <f ca="1">30206.2966417868*((RANDBETWEEN(1620,2416)))</f>
        <v>53314113.57275372</v>
      </c>
      <c r="B12648">
        <v>154476420.01380533</v>
      </c>
    </row>
    <row r="12649" spans="1:2" x14ac:dyDescent="0.25">
      <c r="A12649">
        <f ca="1">29113.4728153881*((RANDBETWEEN(1620,2416)))</f>
        <v>55140917.512345031</v>
      </c>
      <c r="B12649">
        <v>168957087.65747789</v>
      </c>
    </row>
    <row r="12650" spans="1:2" x14ac:dyDescent="0.25">
      <c r="A12650">
        <f ca="1">25307.2467542869*((RANDBETWEEN(1620,2416)))</f>
        <v>50133655.820242397</v>
      </c>
      <c r="B12650">
        <v>143569173.03460628</v>
      </c>
    </row>
    <row r="12651" spans="1:2" x14ac:dyDescent="0.25">
      <c r="A12651">
        <f ca="1">28622.5056050529*((RANDBETWEEN(1620,2416)))</f>
        <v>57130521.187685527</v>
      </c>
      <c r="B12651">
        <v>164959043.91220611</v>
      </c>
    </row>
    <row r="12652" spans="1:2" x14ac:dyDescent="0.25">
      <c r="A12652">
        <f ca="1">28332.2630841401*((RANDBETWEEN(1620,2416)))</f>
        <v>46578240.510326304</v>
      </c>
      <c r="B12652">
        <v>157952502.09435865</v>
      </c>
    </row>
    <row r="12653" spans="1:2" x14ac:dyDescent="0.25">
      <c r="A12653">
        <f ca="1">29944.9211490219*((RANDBETWEEN(1620,2416)))</f>
        <v>60099456.74608691</v>
      </c>
      <c r="B12653">
        <v>176914751.60262862</v>
      </c>
    </row>
    <row r="12654" spans="1:2" x14ac:dyDescent="0.25">
      <c r="A12654">
        <f ca="1">26946.0055892013*((RANDBETWEEN(1620,2416)))</f>
        <v>49984840.36796838</v>
      </c>
      <c r="B12654">
        <v>199892315.72990337</v>
      </c>
    </row>
    <row r="12655" spans="1:2" x14ac:dyDescent="0.25">
      <c r="A12655">
        <f ca="1">31084.3099907339*((RANDBETWEEN(1620,2416)))</f>
        <v>57972238.132718772</v>
      </c>
      <c r="B12655">
        <v>183369605.42020673</v>
      </c>
    </row>
    <row r="12656" spans="1:2" x14ac:dyDescent="0.25">
      <c r="A12656">
        <f ca="1">28974.2261092292*((RANDBETWEEN(1620,2416)))</f>
        <v>56789483.174089305</v>
      </c>
      <c r="B12656">
        <v>175919154.28662145</v>
      </c>
    </row>
    <row r="12657" spans="1:2" x14ac:dyDescent="0.25">
      <c r="A12657">
        <f ca="1">24783.9960842334*((RANDBETWEEN(1620,2416)))</f>
        <v>42603689.268797293</v>
      </c>
      <c r="B12657">
        <v>188154734.9033075</v>
      </c>
    </row>
    <row r="12658" spans="1:2" x14ac:dyDescent="0.25">
      <c r="A12658">
        <f ca="1">27030.8969268872*((RANDBETWEEN(1620,2416)))</f>
        <v>51034333.397963099</v>
      </c>
      <c r="B12658">
        <v>181873458.84483814</v>
      </c>
    </row>
    <row r="12659" spans="1:2" x14ac:dyDescent="0.25">
      <c r="A12659">
        <f ca="1">28684.2262566694*((RANDBETWEEN(1620,2416)))</f>
        <v>63105297.764672741</v>
      </c>
      <c r="B12659">
        <v>154939858.07919303</v>
      </c>
    </row>
    <row r="12660" spans="1:2" x14ac:dyDescent="0.25">
      <c r="A12660">
        <f ca="1">26471.5303901322*((RANDBETWEEN(1620,2416)))</f>
        <v>50190021.619690716</v>
      </c>
      <c r="B12660">
        <v>156689416.28600657</v>
      </c>
    </row>
    <row r="12661" spans="1:2" x14ac:dyDescent="0.25">
      <c r="A12661">
        <f ca="1">27379.8622716353*((RANDBETWEEN(1620,2416)))</f>
        <v>61878488.733895697</v>
      </c>
      <c r="B12661">
        <v>175001847.496279</v>
      </c>
    </row>
    <row r="12662" spans="1:2" x14ac:dyDescent="0.25">
      <c r="A12662">
        <f ca="1">26671.2754260265*((RANDBETWEEN(1620,2416)))</f>
        <v>61583974.958695114</v>
      </c>
      <c r="B12662">
        <v>164256091.45280683</v>
      </c>
    </row>
    <row r="12663" spans="1:2" x14ac:dyDescent="0.25">
      <c r="A12663">
        <f ca="1">27269.2270332297*((RANDBETWEEN(1620,2416)))</f>
        <v>65391606.425684839</v>
      </c>
      <c r="B12663">
        <v>192064888.42948627</v>
      </c>
    </row>
    <row r="12664" spans="1:2" x14ac:dyDescent="0.25">
      <c r="A12664">
        <f ca="1">27930.377933757*((RANDBETWEEN(1620,2416)))</f>
        <v>61055806.163192786</v>
      </c>
      <c r="B12664">
        <v>159740168.62085465</v>
      </c>
    </row>
    <row r="12665" spans="1:2" x14ac:dyDescent="0.25">
      <c r="A12665">
        <f ca="1">26473.91959549*((RANDBETWEEN(1620,2416)))</f>
        <v>48076637.985409826</v>
      </c>
      <c r="B12665">
        <v>147946507.73004633</v>
      </c>
    </row>
    <row r="12666" spans="1:2" x14ac:dyDescent="0.25">
      <c r="A12666">
        <f ca="1">31394.8636337525*((RANDBETWEEN(1620,2416)))</f>
        <v>74186062.766557112</v>
      </c>
      <c r="B12666">
        <v>187836050.77829018</v>
      </c>
    </row>
    <row r="12667" spans="1:2" x14ac:dyDescent="0.25">
      <c r="A12667">
        <f ca="1">29165.43638095*((RANDBETWEEN(1620,2416)))</f>
        <v>65943051.657327943</v>
      </c>
      <c r="B12667">
        <v>184168484.46014759</v>
      </c>
    </row>
    <row r="12668" spans="1:2" x14ac:dyDescent="0.25">
      <c r="A12668">
        <f ca="1">27183.5810698627*((RANDBETWEEN(1620,2416)))</f>
        <v>55481688.963589713</v>
      </c>
      <c r="B12668">
        <v>201084505.75394863</v>
      </c>
    </row>
    <row r="12669" spans="1:2" x14ac:dyDescent="0.25">
      <c r="A12669">
        <f ca="1">27831.1070373953*((RANDBETWEEN(1620,2416)))</f>
        <v>49372383.884339303</v>
      </c>
      <c r="B12669">
        <v>161921792.50974342</v>
      </c>
    </row>
    <row r="12670" spans="1:2" x14ac:dyDescent="0.25">
      <c r="A12670">
        <f ca="1">31416.2059992801*((RANDBETWEEN(1620,2416)))</f>
        <v>62926660.616557986</v>
      </c>
      <c r="B12670">
        <v>165810731.96753073</v>
      </c>
    </row>
    <row r="12671" spans="1:2" x14ac:dyDescent="0.25">
      <c r="A12671">
        <f ca="1">25422.9706543299*((RANDBETWEEN(1620,2416)))</f>
        <v>56083073.263451815</v>
      </c>
      <c r="B12671">
        <v>156462728.2611599</v>
      </c>
    </row>
    <row r="12672" spans="1:2" x14ac:dyDescent="0.25">
      <c r="A12672">
        <f ca="1">26415.9419009281*((RANDBETWEEN(1620,2416)))</f>
        <v>49978962.076556005</v>
      </c>
      <c r="B12672">
        <v>156449984.92672408</v>
      </c>
    </row>
    <row r="12673" spans="1:2" x14ac:dyDescent="0.25">
      <c r="A12673">
        <f ca="1">26635.9500223057*((RANDBETWEEN(1620,2416)))</f>
        <v>51940102.543496117</v>
      </c>
      <c r="B12673">
        <v>173788738.18782583</v>
      </c>
    </row>
    <row r="12674" spans="1:2" x14ac:dyDescent="0.25">
      <c r="A12674">
        <f ca="1">29225.9716869862*((RANDBETWEEN(1620,2416)))</f>
        <v>65144690.890292235</v>
      </c>
      <c r="B12674">
        <v>169896662.42349023</v>
      </c>
    </row>
    <row r="12675" spans="1:2" x14ac:dyDescent="0.25">
      <c r="A12675">
        <f ca="1">28141.3326974761*((RANDBETWEEN(1620,2416)))</f>
        <v>48881494.895515911</v>
      </c>
      <c r="B12675">
        <v>194286690.9173432</v>
      </c>
    </row>
    <row r="12676" spans="1:2" x14ac:dyDescent="0.25">
      <c r="A12676">
        <f ca="1">28973.5348100089*((RANDBETWEEN(1620,2416)))</f>
        <v>64900717.974419832</v>
      </c>
      <c r="B12676">
        <v>178023136.98963502</v>
      </c>
    </row>
    <row r="12677" spans="1:2" x14ac:dyDescent="0.25">
      <c r="A12677">
        <f ca="1">28062.6190627776*((RANDBETWEEN(1620,2416)))</f>
        <v>49249896.455174774</v>
      </c>
      <c r="B12677">
        <v>149515861.20624536</v>
      </c>
    </row>
    <row r="12678" spans="1:2" x14ac:dyDescent="0.25">
      <c r="A12678">
        <f ca="1">27855.742490067*((RANDBETWEEN(1620,2416)))</f>
        <v>46909070.353272758</v>
      </c>
      <c r="B12678">
        <v>154190889.60551533</v>
      </c>
    </row>
    <row r="12679" spans="1:2" x14ac:dyDescent="0.25">
      <c r="A12679">
        <f ca="1">27320.1632073904*((RANDBETWEEN(1620,2416)))</f>
        <v>55569211.96383217</v>
      </c>
      <c r="B12679">
        <v>149060948.98931283</v>
      </c>
    </row>
    <row r="12680" spans="1:2" x14ac:dyDescent="0.25">
      <c r="A12680">
        <f ca="1">30401.4304656208*((RANDBETWEEN(1620,2416)))</f>
        <v>56789872.109779604</v>
      </c>
      <c r="B12680">
        <v>190199658.93274191</v>
      </c>
    </row>
    <row r="12681" spans="1:2" x14ac:dyDescent="0.25">
      <c r="A12681">
        <f ca="1">26883.5183957469*((RANDBETWEEN(1620,2416)))</f>
        <v>64036540.818669051</v>
      </c>
      <c r="B12681">
        <v>158807647.6347523</v>
      </c>
    </row>
    <row r="12682" spans="1:2" x14ac:dyDescent="0.25">
      <c r="A12682">
        <f ca="1">26800.7820792174*((RANDBETWEEN(1620,2416)))</f>
        <v>64643486.37507236</v>
      </c>
      <c r="B12682">
        <v>166098793.60938287</v>
      </c>
    </row>
    <row r="12683" spans="1:2" x14ac:dyDescent="0.25">
      <c r="A12683">
        <f ca="1">27375.0653220312*((RANDBETWEEN(1620,2416)))</f>
        <v>49138242.253046051</v>
      </c>
      <c r="B12683">
        <v>152073620.20969984</v>
      </c>
    </row>
    <row r="12684" spans="1:2" x14ac:dyDescent="0.25">
      <c r="A12684">
        <f ca="1">28543.0772276416*((RANDBETWEEN(1620,2416)))</f>
        <v>65278017.61961627</v>
      </c>
      <c r="B12684">
        <v>158243713.31336418</v>
      </c>
    </row>
    <row r="12685" spans="1:2" x14ac:dyDescent="0.25">
      <c r="A12685">
        <f ca="1">26654.2352450367*((RANDBETWEEN(1620,2416)))</f>
        <v>46698220.149304353</v>
      </c>
      <c r="B12685">
        <v>144897707.64145735</v>
      </c>
    </row>
    <row r="12686" spans="1:2" x14ac:dyDescent="0.25">
      <c r="A12686">
        <f ca="1">29572.8483577884*((RANDBETWEEN(1620,2416)))</f>
        <v>57253034.42067837</v>
      </c>
      <c r="B12686">
        <v>196078491.86903134</v>
      </c>
    </row>
    <row r="12687" spans="1:2" x14ac:dyDescent="0.25">
      <c r="A12687">
        <f ca="1">27005.8129804829*((RANDBETWEEN(1620,2416)))</f>
        <v>48259387.796122953</v>
      </c>
      <c r="B12687">
        <v>161415181.39248663</v>
      </c>
    </row>
    <row r="12688" spans="1:2" x14ac:dyDescent="0.25">
      <c r="A12688">
        <f ca="1">28266.697438776*((RANDBETWEEN(1620,2416)))</f>
        <v>47798985.368970186</v>
      </c>
      <c r="B12688">
        <v>153290024.00438464</v>
      </c>
    </row>
    <row r="12689" spans="1:2" x14ac:dyDescent="0.25">
      <c r="A12689">
        <f ca="1">27326.4187925115*((RANDBETWEEN(1620,2416)))</f>
        <v>57440132.301859275</v>
      </c>
      <c r="B12689">
        <v>151570963.79111478</v>
      </c>
    </row>
    <row r="12690" spans="1:2" x14ac:dyDescent="0.25">
      <c r="A12690">
        <f ca="1">28341.1418426197*((RANDBETWEEN(1620,2416)))</f>
        <v>53848169.500977494</v>
      </c>
      <c r="B12690">
        <v>174429460.1591042</v>
      </c>
    </row>
    <row r="12691" spans="1:2" x14ac:dyDescent="0.25">
      <c r="A12691">
        <f ca="1">27881.5747791682*((RANDBETWEEN(1620,2416)))</f>
        <v>63542108.921724305</v>
      </c>
      <c r="B12691">
        <v>153804325.19522476</v>
      </c>
    </row>
    <row r="12692" spans="1:2" x14ac:dyDescent="0.25">
      <c r="A12692">
        <f ca="1">25424.3155369034*((RANDBETWEEN(1620,2416)))</f>
        <v>43348457.990420304</v>
      </c>
      <c r="B12692">
        <v>165050694.46418852</v>
      </c>
    </row>
    <row r="12693" spans="1:2" x14ac:dyDescent="0.25">
      <c r="A12693">
        <f ca="1">28697.7991914124*((RANDBETWEEN(1620,2416)))</f>
        <v>49101934.416506611</v>
      </c>
      <c r="B12693">
        <v>179421385.43839079</v>
      </c>
    </row>
    <row r="12694" spans="1:2" x14ac:dyDescent="0.25">
      <c r="A12694">
        <f ca="1">33387.9374525998*((RANDBETWEEN(1620,2416)))</f>
        <v>78227937.451441377</v>
      </c>
      <c r="B12694">
        <v>201323412.08708674</v>
      </c>
    </row>
    <row r="12695" spans="1:2" x14ac:dyDescent="0.25">
      <c r="A12695">
        <f ca="1">29547.5136593636*((RANDBETWEEN(1620,2416)))</f>
        <v>62079326.198322959</v>
      </c>
      <c r="B12695">
        <v>170437568.97217959</v>
      </c>
    </row>
    <row r="12696" spans="1:2" x14ac:dyDescent="0.25">
      <c r="A12696">
        <f ca="1">25883.3470177928*((RANDBETWEEN(1620,2416)))</f>
        <v>52931444.651386254</v>
      </c>
      <c r="B12696">
        <v>150987508.7864387</v>
      </c>
    </row>
    <row r="12697" spans="1:2" x14ac:dyDescent="0.25">
      <c r="A12697">
        <f ca="1">29987.8528753431*((RANDBETWEEN(1620,2416)))</f>
        <v>69421879.406419322</v>
      </c>
      <c r="B12697">
        <v>187008051.60326421</v>
      </c>
    </row>
    <row r="12698" spans="1:2" x14ac:dyDescent="0.25">
      <c r="A12698">
        <f ca="1">25741.1366433342*((RANDBETWEEN(1620,2416)))</f>
        <v>56398830.385545187</v>
      </c>
      <c r="B12698">
        <v>169349557.50765675</v>
      </c>
    </row>
    <row r="12699" spans="1:2" x14ac:dyDescent="0.25">
      <c r="A12699">
        <f ca="1">26357.7084694918*((RANDBETWEEN(1620,2416)))</f>
        <v>57011723.419510663</v>
      </c>
      <c r="B12699">
        <v>162185766.36862826</v>
      </c>
    </row>
    <row r="12700" spans="1:2" x14ac:dyDescent="0.25">
      <c r="A12700">
        <f ca="1">26561.3143176809*((RANDBETWEEN(1620,2416)))</f>
        <v>49589973.831110254</v>
      </c>
      <c r="B12700">
        <v>161277827.00670928</v>
      </c>
    </row>
    <row r="12701" spans="1:2" x14ac:dyDescent="0.25">
      <c r="A12701">
        <f ca="1">26932.4173686957*((RANDBETWEEN(1620,2416)))</f>
        <v>61998424.78273759</v>
      </c>
      <c r="B12701">
        <v>148861984.84392479</v>
      </c>
    </row>
    <row r="12702" spans="1:2" x14ac:dyDescent="0.25">
      <c r="A12702">
        <f ca="1">29617.8836925917*((RANDBETWEEN(1620,2416)))</f>
        <v>55355824.621453851</v>
      </c>
      <c r="B12702">
        <v>143660481.07634553</v>
      </c>
    </row>
    <row r="12703" spans="1:2" x14ac:dyDescent="0.25">
      <c r="A12703">
        <f ca="1">28293.1583280744*((RANDBETWEEN(1620,2416)))</f>
        <v>65300609.421195939</v>
      </c>
      <c r="B12703">
        <v>156757959.20403484</v>
      </c>
    </row>
    <row r="12704" spans="1:2" x14ac:dyDescent="0.25">
      <c r="A12704">
        <f ca="1">26853.3857635497*((RANDBETWEEN(1620,2416)))</f>
        <v>44576620.367492512</v>
      </c>
      <c r="B12704">
        <v>148863594.36508915</v>
      </c>
    </row>
    <row r="12705" spans="1:2" x14ac:dyDescent="0.25">
      <c r="A12705">
        <f ca="1">26297.8536973337*((RANDBETWEEN(1620,2416)))</f>
        <v>48887710.023343273</v>
      </c>
      <c r="B12705">
        <v>183124131.98263934</v>
      </c>
    </row>
    <row r="12706" spans="1:2" x14ac:dyDescent="0.25">
      <c r="A12706">
        <f ca="1">27093.0787940185*((RANDBETWEEN(1620,2416)))</f>
        <v>59469307.952870585</v>
      </c>
      <c r="B12706">
        <v>149915429.6992203</v>
      </c>
    </row>
    <row r="12707" spans="1:2" x14ac:dyDescent="0.25">
      <c r="A12707">
        <f ca="1">27754.7927970074*((RANDBETWEEN(1620,2416)))</f>
        <v>64196835.739478044</v>
      </c>
      <c r="B12707">
        <v>200834630.43370563</v>
      </c>
    </row>
    <row r="12708" spans="1:2" x14ac:dyDescent="0.25">
      <c r="A12708">
        <f ca="1">30775.3648804512*((RANDBETWEEN(1620,2416)))</f>
        <v>70044730.467906818</v>
      </c>
      <c r="B12708">
        <v>194978059.50348854</v>
      </c>
    </row>
    <row r="12709" spans="1:2" x14ac:dyDescent="0.25">
      <c r="A12709">
        <f ca="1">27409.4303189122*((RANDBETWEEN(1620,2416)))</f>
        <v>48542101.094793499</v>
      </c>
      <c r="B12709">
        <v>176648254.60899785</v>
      </c>
    </row>
    <row r="12710" spans="1:2" x14ac:dyDescent="0.25">
      <c r="A12710">
        <f ca="1">27748.5256297859*((RANDBETWEEN(1620,2416)))</f>
        <v>63488626.640950061</v>
      </c>
      <c r="B12710">
        <v>162559948.85298559</v>
      </c>
    </row>
    <row r="12711" spans="1:2" x14ac:dyDescent="0.25">
      <c r="A12711">
        <f ca="1">27886.2953322778*((RANDBETWEEN(1620,2416)))</f>
        <v>54629252.555932246</v>
      </c>
      <c r="B12711">
        <v>190247775.39129105</v>
      </c>
    </row>
    <row r="12712" spans="1:2" x14ac:dyDescent="0.25">
      <c r="A12712">
        <f ca="1">28304.9873565455*((RANDBETWEEN(1620,2416)))</f>
        <v>62893681.906244159</v>
      </c>
      <c r="B12712">
        <v>157442519.07089949</v>
      </c>
    </row>
    <row r="12713" spans="1:2" x14ac:dyDescent="0.25">
      <c r="A12713">
        <f ca="1">31982.3240169493*((RANDBETWEEN(1620,2416)))</f>
        <v>63708789.441762984</v>
      </c>
      <c r="B12713">
        <v>157618193.6442185</v>
      </c>
    </row>
    <row r="12714" spans="1:2" x14ac:dyDescent="0.25">
      <c r="A12714">
        <f ca="1">30241.7401717784*((RANDBETWEEN(1620,2416)))</f>
        <v>55916977.577618413</v>
      </c>
      <c r="B12714">
        <v>177057862.60921022</v>
      </c>
    </row>
    <row r="12715" spans="1:2" x14ac:dyDescent="0.25">
      <c r="A12715">
        <f ca="1">27291.8954826381*((RANDBETWEEN(1620,2416)))</f>
        <v>54474623.383345589</v>
      </c>
      <c r="B12715">
        <v>159176330.06721655</v>
      </c>
    </row>
    <row r="12716" spans="1:2" x14ac:dyDescent="0.25">
      <c r="A12716">
        <f ca="1">26785.5738454563*((RANDBETWEEN(1620,2416)))</f>
        <v>64097878.212176979</v>
      </c>
      <c r="B12716">
        <v>149161451.84661037</v>
      </c>
    </row>
    <row r="12717" spans="1:2" x14ac:dyDescent="0.25">
      <c r="A12717">
        <f ca="1">26867.5544081626*((RANDBETWEEN(1620,2416)))</f>
        <v>45647974.939468294</v>
      </c>
      <c r="B12717">
        <v>172270117.32890555</v>
      </c>
    </row>
    <row r="12718" spans="1:2" x14ac:dyDescent="0.25">
      <c r="A12718">
        <f ca="1">29203.6937186819*((RANDBETWEEN(1620,2416)))</f>
        <v>65795921.94819022</v>
      </c>
      <c r="B12718">
        <v>201423720.22363138</v>
      </c>
    </row>
    <row r="12719" spans="1:2" x14ac:dyDescent="0.25">
      <c r="A12719">
        <f ca="1">27206.8006605651*((RANDBETWEEN(1620,2416)))</f>
        <v>60072615.858527832</v>
      </c>
      <c r="B12719">
        <v>169605543.53849447</v>
      </c>
    </row>
    <row r="12720" spans="1:2" x14ac:dyDescent="0.25">
      <c r="A12720">
        <f ca="1">30084.8083270282*((RANDBETWEEN(1620,2416)))</f>
        <v>56017913.104926445</v>
      </c>
      <c r="B12720">
        <v>173649338.81106511</v>
      </c>
    </row>
    <row r="12721" spans="1:2" x14ac:dyDescent="0.25">
      <c r="A12721">
        <f ca="1">29450.3506436229*((RANDBETWEEN(1620,2416)))</f>
        <v>58694548.832740456</v>
      </c>
      <c r="B12721">
        <v>184037247.79752487</v>
      </c>
    </row>
    <row r="12722" spans="1:2" x14ac:dyDescent="0.25">
      <c r="A12722">
        <f ca="1">31882.9139062069*((RANDBETWEEN(1620,2416)))</f>
        <v>57612425.428515904</v>
      </c>
      <c r="B12722">
        <v>180571634.7761142</v>
      </c>
    </row>
    <row r="12723" spans="1:2" x14ac:dyDescent="0.25">
      <c r="A12723">
        <f ca="1">27437.8869248362*((RANDBETWEEN(1620,2416)))</f>
        <v>53037435.425708465</v>
      </c>
      <c r="B12723">
        <v>172920712.28062069</v>
      </c>
    </row>
    <row r="12724" spans="1:2" x14ac:dyDescent="0.25">
      <c r="A12724">
        <f ca="1">27641.9256328368*((RANDBETWEEN(1620,2416)))</f>
        <v>65096734.865330733</v>
      </c>
      <c r="B12724">
        <v>186431279.09914789</v>
      </c>
    </row>
    <row r="12725" spans="1:2" x14ac:dyDescent="0.25">
      <c r="A12725">
        <f ca="1">26600.8072714806*((RANDBETWEEN(1620,2416)))</f>
        <v>53866634.724748231</v>
      </c>
      <c r="B12725">
        <v>147190369.68413115</v>
      </c>
    </row>
    <row r="12726" spans="1:2" x14ac:dyDescent="0.25">
      <c r="A12726">
        <f ca="1">28617.127512819*((RANDBETWEEN(1620,2416)))</f>
        <v>53571262.703997254</v>
      </c>
      <c r="B12726">
        <v>143764030.25809398</v>
      </c>
    </row>
    <row r="12727" spans="1:2" x14ac:dyDescent="0.25">
      <c r="A12727">
        <f ca="1">28261.6925181188*((RANDBETWEEN(1620,2416)))</f>
        <v>49571008.676780306</v>
      </c>
      <c r="B12727">
        <v>149031706.98364937</v>
      </c>
    </row>
    <row r="12728" spans="1:2" x14ac:dyDescent="0.25">
      <c r="A12728">
        <f ca="1">27417.6897173438*((RANDBETWEEN(1620,2416)))</f>
        <v>50804979.046238087</v>
      </c>
      <c r="B12728">
        <v>146107577.0995231</v>
      </c>
    </row>
    <row r="12729" spans="1:2" x14ac:dyDescent="0.25">
      <c r="A12729">
        <f ca="1">30812.422222284*((RANDBETWEEN(1620,2416)))</f>
        <v>52381117.777882807</v>
      </c>
      <c r="B12729">
        <v>153510363.07184005</v>
      </c>
    </row>
    <row r="12730" spans="1:2" x14ac:dyDescent="0.25">
      <c r="A12730">
        <f ca="1">27095.511863477*((RANDBETWEEN(1620,2416)))</f>
        <v>56439951.21162264</v>
      </c>
      <c r="B12730">
        <v>156482865.64778602</v>
      </c>
    </row>
    <row r="12731" spans="1:2" x14ac:dyDescent="0.25">
      <c r="A12731">
        <f ca="1">29566.0907907982*((RANDBETWEEN(1620,2416)))</f>
        <v>71017750.079497173</v>
      </c>
      <c r="B12731">
        <v>188302638.27379787</v>
      </c>
    </row>
    <row r="12732" spans="1:2" x14ac:dyDescent="0.25">
      <c r="A12732">
        <f ca="1">25690.146043303*((RANDBETWEEN(1620,2416)))</f>
        <v>58034039.911821462</v>
      </c>
      <c r="B12732">
        <v>147654408.5453839</v>
      </c>
    </row>
    <row r="12733" spans="1:2" x14ac:dyDescent="0.25">
      <c r="A12733">
        <f ca="1">28665.7233776838*((RANDBETWEEN(1620,2416)))</f>
        <v>68511078.872664317</v>
      </c>
      <c r="B12733">
        <v>156714373.75347579</v>
      </c>
    </row>
    <row r="12734" spans="1:2" x14ac:dyDescent="0.25">
      <c r="A12734">
        <f ca="1">30730.4464374822*((RANDBETWEEN(1620,2416)))</f>
        <v>52487602.515219517</v>
      </c>
      <c r="B12734">
        <v>175649404.63808927</v>
      </c>
    </row>
    <row r="12735" spans="1:2" x14ac:dyDescent="0.25">
      <c r="A12735">
        <f ca="1">25685.9837143937*((RANDBETWEEN(1620,2416)))</f>
        <v>42202071.242748827</v>
      </c>
      <c r="B12735">
        <v>143909898.73131606</v>
      </c>
    </row>
    <row r="12736" spans="1:2" x14ac:dyDescent="0.25">
      <c r="A12736">
        <f ca="1">28682.1709465356*((RANDBETWEEN(1620,2416)))</f>
        <v>47698450.284088723</v>
      </c>
      <c r="B12736">
        <v>160551962.83173758</v>
      </c>
    </row>
    <row r="12737" spans="1:2" x14ac:dyDescent="0.25">
      <c r="A12737">
        <f ca="1">27642.4579411685*((RANDBETWEEN(1620,2416)))</f>
        <v>52382457.798514351</v>
      </c>
      <c r="B12737">
        <v>168555128.85650501</v>
      </c>
    </row>
    <row r="12738" spans="1:2" x14ac:dyDescent="0.25">
      <c r="A12738">
        <f ca="1">29910.2634291315*((RANDBETWEEN(1620,2416)))</f>
        <v>58534385.530810289</v>
      </c>
      <c r="B12738">
        <v>187968016.77148613</v>
      </c>
    </row>
    <row r="12739" spans="1:2" x14ac:dyDescent="0.25">
      <c r="A12739">
        <f ca="1">33070.1611029622*((RANDBETWEEN(1620,2416)))</f>
        <v>67661549.616660744</v>
      </c>
      <c r="B12739">
        <v>194145941.22803256</v>
      </c>
    </row>
    <row r="12740" spans="1:2" x14ac:dyDescent="0.25">
      <c r="A12740">
        <f ca="1">28073.2210940557*((RANDBETWEEN(1620,2416)))</f>
        <v>48482452.829434231</v>
      </c>
      <c r="B12740">
        <v>198518344.49261573</v>
      </c>
    </row>
    <row r="12741" spans="1:2" x14ac:dyDescent="0.25">
      <c r="A12741">
        <f ca="1">26004.6529106414*((RANDBETWEEN(1620,2416)))</f>
        <v>49044775.389469594</v>
      </c>
      <c r="B12741">
        <v>172018685.66585267</v>
      </c>
    </row>
    <row r="12742" spans="1:2" x14ac:dyDescent="0.25">
      <c r="A12742">
        <f ca="1">27123.8885923069*((RANDBETWEEN(1620,2416)))</f>
        <v>48199150.028529525</v>
      </c>
      <c r="B12742">
        <v>166755427.31626302</v>
      </c>
    </row>
    <row r="12743" spans="1:2" x14ac:dyDescent="0.25">
      <c r="A12743">
        <f ca="1">30181.3142837261*((RANDBETWEEN(1620,2416)))</f>
        <v>70533731.481068</v>
      </c>
      <c r="B12743">
        <v>176168264.80621457</v>
      </c>
    </row>
    <row r="12744" spans="1:2" x14ac:dyDescent="0.25">
      <c r="A12744">
        <f ca="1">29060.2680616029*((RANDBETWEEN(1620,2416)))</f>
        <v>60677839.712626852</v>
      </c>
      <c r="B12744">
        <v>162863279.33428106</v>
      </c>
    </row>
    <row r="12745" spans="1:2" x14ac:dyDescent="0.25">
      <c r="A12745">
        <f ca="1">25598.104421243*((RANDBETWEEN(1620,2416)))</f>
        <v>58312481.871591628</v>
      </c>
      <c r="B12745">
        <v>149207564.5674352</v>
      </c>
    </row>
    <row r="12746" spans="1:2" x14ac:dyDescent="0.25">
      <c r="A12746">
        <f ca="1">30631.5583944526*((RANDBETWEEN(1620,2416)))</f>
        <v>59547749.518815793</v>
      </c>
      <c r="B12746">
        <v>153285320.01082554</v>
      </c>
    </row>
    <row r="12747" spans="1:2" x14ac:dyDescent="0.25">
      <c r="A12747">
        <f ca="1">27182.65770476*((RANDBETWEEN(1620,2416)))</f>
        <v>46264883.413501523</v>
      </c>
      <c r="B12747">
        <v>168162912.79386985</v>
      </c>
    </row>
    <row r="12748" spans="1:2" x14ac:dyDescent="0.25">
      <c r="A12748">
        <f ca="1">28257.2527322815*((RANDBETWEEN(1620,2416)))</f>
        <v>51484714.478216887</v>
      </c>
      <c r="B12748">
        <v>170675501.15940276</v>
      </c>
    </row>
    <row r="12749" spans="1:2" x14ac:dyDescent="0.25">
      <c r="A12749">
        <f ca="1">27046.7233091471*((RANDBETWEEN(1620,2416)))</f>
        <v>52903390.792691819</v>
      </c>
      <c r="B12749">
        <v>163899480.6783157</v>
      </c>
    </row>
    <row r="12750" spans="1:2" x14ac:dyDescent="0.25">
      <c r="A12750">
        <f ca="1">28341.0855345526*((RANDBETWEEN(1620,2416)))</f>
        <v>57334016.036399968</v>
      </c>
      <c r="B12750">
        <v>153736275.57038838</v>
      </c>
    </row>
    <row r="12751" spans="1:2" x14ac:dyDescent="0.25">
      <c r="A12751">
        <f ca="1">27736.6265236661*((RANDBETWEEN(1620,2416)))</f>
        <v>63516874.739195459</v>
      </c>
      <c r="B12751">
        <v>185828251.58161548</v>
      </c>
    </row>
    <row r="12752" spans="1:2" x14ac:dyDescent="0.25">
      <c r="A12752">
        <f ca="1">26203.7205661327*((RANDBETWEEN(1620,2416)))</f>
        <v>53219756.469815433</v>
      </c>
      <c r="B12752">
        <v>152233392.23133707</v>
      </c>
    </row>
    <row r="12753" spans="1:2" x14ac:dyDescent="0.25">
      <c r="A12753">
        <f ca="1">29172.1858452904*((RANDBETWEEN(1620,2416)))</f>
        <v>56010596.82295756</v>
      </c>
      <c r="B12753">
        <v>199274560.6209057</v>
      </c>
    </row>
    <row r="12754" spans="1:2" x14ac:dyDescent="0.25">
      <c r="A12754">
        <f ca="1">29031.3022384915*((RANDBETWEEN(1620,2416)))</f>
        <v>66046212.592568226</v>
      </c>
      <c r="B12754">
        <v>180993286.60053694</v>
      </c>
    </row>
    <row r="12755" spans="1:2" x14ac:dyDescent="0.25">
      <c r="A12755">
        <f ca="1">27289.3394597975*((RANDBETWEEN(1620,2416)))</f>
        <v>62165115.28941875</v>
      </c>
      <c r="B12755">
        <v>181681864.64979196</v>
      </c>
    </row>
    <row r="12756" spans="1:2" x14ac:dyDescent="0.25">
      <c r="A12756">
        <f ca="1">26972.1791322895*((RANDBETWEEN(1620,2416)))</f>
        <v>54942328.89247375</v>
      </c>
      <c r="B12756">
        <v>154252808.25204763</v>
      </c>
    </row>
    <row r="12757" spans="1:2" x14ac:dyDescent="0.25">
      <c r="A12757">
        <f ca="1">25120.10027151*((RANDBETWEEN(1620,2416)))</f>
        <v>48280832.721842192</v>
      </c>
      <c r="B12757">
        <v>154908405.10736066</v>
      </c>
    </row>
    <row r="12758" spans="1:2" x14ac:dyDescent="0.25">
      <c r="A12758">
        <f ca="1">27240.9454295545*((RANDBETWEEN(1620,2416)))</f>
        <v>56170829.475741453</v>
      </c>
      <c r="B12758">
        <v>166820908.07663468</v>
      </c>
    </row>
    <row r="12759" spans="1:2" x14ac:dyDescent="0.25">
      <c r="A12759">
        <f ca="1">26244.3649406948*((RANDBETWEEN(1620,2416)))</f>
        <v>56057963.513324082</v>
      </c>
      <c r="B12759">
        <v>174564249.82508972</v>
      </c>
    </row>
    <row r="12760" spans="1:2" x14ac:dyDescent="0.25">
      <c r="A12760">
        <f ca="1">31587.3087289662*((RANDBETWEEN(1620,2416)))</f>
        <v>61532077.404026076</v>
      </c>
      <c r="B12760">
        <v>155177164.37014204</v>
      </c>
    </row>
    <row r="12761" spans="1:2" x14ac:dyDescent="0.25">
      <c r="A12761">
        <f ca="1">31712.5010425691*((RANDBETWEEN(1620,2416)))</f>
        <v>51469389.192089647</v>
      </c>
      <c r="B12761">
        <v>178345970.60418496</v>
      </c>
    </row>
    <row r="12762" spans="1:2" x14ac:dyDescent="0.25">
      <c r="A12762">
        <f ca="1">27300.9487168694*((RANDBETWEEN(1620,2416)))</f>
        <v>56867876.177238919</v>
      </c>
      <c r="B12762">
        <v>145308319.472846</v>
      </c>
    </row>
    <row r="12763" spans="1:2" x14ac:dyDescent="0.25">
      <c r="A12763">
        <f ca="1">29899.6408113955*((RANDBETWEEN(1620,2416)))</f>
        <v>48706514.881763235</v>
      </c>
      <c r="B12763">
        <v>151815927.56423005</v>
      </c>
    </row>
    <row r="12764" spans="1:2" x14ac:dyDescent="0.25">
      <c r="A12764">
        <f ca="1">26632.2269722045*((RANDBETWEEN(1620,2416)))</f>
        <v>45168256.944858901</v>
      </c>
      <c r="B12764">
        <v>184524325.69093156</v>
      </c>
    </row>
    <row r="12765" spans="1:2" x14ac:dyDescent="0.25">
      <c r="A12765">
        <f ca="1">27129.6237633643*((RANDBETWEEN(1620,2416)))</f>
        <v>64704152.675623767</v>
      </c>
      <c r="B12765">
        <v>160852891.3756015</v>
      </c>
    </row>
    <row r="12766" spans="1:2" x14ac:dyDescent="0.25">
      <c r="A12766">
        <f ca="1">26775.4747960494*((RANDBETWEEN(1620,2416)))</f>
        <v>60325144.715499304</v>
      </c>
      <c r="B12766">
        <v>173202950.45068917</v>
      </c>
    </row>
    <row r="12767" spans="1:2" x14ac:dyDescent="0.25">
      <c r="A12767">
        <f ca="1">27169.2287905342*((RANDBETWEEN(1620,2416)))</f>
        <v>49909873.288211346</v>
      </c>
      <c r="B12767">
        <v>181087764.12160295</v>
      </c>
    </row>
    <row r="12768" spans="1:2" x14ac:dyDescent="0.25">
      <c r="A12768">
        <f ca="1">26042.9334940606*((RANDBETWEEN(1620,2416)))</f>
        <v>62711383.853698</v>
      </c>
      <c r="B12768">
        <v>153056874.00505823</v>
      </c>
    </row>
    <row r="12769" spans="1:2" x14ac:dyDescent="0.25">
      <c r="A12769">
        <f ca="1">28923.8116110628*((RANDBETWEEN(1620,2416)))</f>
        <v>68578357.329829842</v>
      </c>
      <c r="B12769">
        <v>187764927.70679</v>
      </c>
    </row>
    <row r="12770" spans="1:2" x14ac:dyDescent="0.25">
      <c r="A12770">
        <f ca="1">26416.1286306882*((RANDBETWEEN(1620,2416)))</f>
        <v>44220599.327772096</v>
      </c>
      <c r="B12770">
        <v>147068689.30626869</v>
      </c>
    </row>
    <row r="12771" spans="1:2" x14ac:dyDescent="0.25">
      <c r="A12771">
        <f ca="1">28433.4856044647*((RANDBETWEEN(1620,2416)))</f>
        <v>63946909.124441005</v>
      </c>
      <c r="B12771">
        <v>161003577.02013782</v>
      </c>
    </row>
    <row r="12772" spans="1:2" x14ac:dyDescent="0.25">
      <c r="A12772">
        <f ca="1">30835.551327866*((RANDBETWEEN(1620,2416)))</f>
        <v>67622364.062010124</v>
      </c>
      <c r="B12772">
        <v>188956740.81603754</v>
      </c>
    </row>
    <row r="12773" spans="1:2" x14ac:dyDescent="0.25">
      <c r="A12773">
        <f ca="1">29234.3012600694*((RANDBETWEEN(1620,2416)))</f>
        <v>55223595.080271125</v>
      </c>
      <c r="B12773">
        <v>153267852.98445165</v>
      </c>
    </row>
    <row r="12774" spans="1:2" x14ac:dyDescent="0.25">
      <c r="A12774">
        <f ca="1">28529.7062607246*((RANDBETWEEN(1620,2416)))</f>
        <v>46845777.680109851</v>
      </c>
      <c r="B12774">
        <v>168877930.71936953</v>
      </c>
    </row>
    <row r="12775" spans="1:2" x14ac:dyDescent="0.25">
      <c r="A12775">
        <f ca="1">28312.045989478*((RANDBETWEEN(1620,2416)))</f>
        <v>67920598.328757614</v>
      </c>
      <c r="B12775">
        <v>149269553.48112255</v>
      </c>
    </row>
    <row r="12776" spans="1:2" x14ac:dyDescent="0.25">
      <c r="A12776">
        <f ca="1">28881.8211643905*((RANDBETWEEN(1620,2416)))</f>
        <v>61142815.405014761</v>
      </c>
      <c r="B12776">
        <v>180198949.38243368</v>
      </c>
    </row>
    <row r="12777" spans="1:2" x14ac:dyDescent="0.25">
      <c r="A12777">
        <f ca="1">32042.7126326547*((RANDBETWEEN(1620,2416)))</f>
        <v>74114794.31933026</v>
      </c>
      <c r="B12777">
        <v>187508349.26240584</v>
      </c>
    </row>
    <row r="12778" spans="1:2" x14ac:dyDescent="0.25">
      <c r="A12778">
        <f ca="1">26189.9851023025*((RANDBETWEEN(1620,2416)))</f>
        <v>60865525.377751037</v>
      </c>
      <c r="B12778">
        <v>156706233.66046351</v>
      </c>
    </row>
    <row r="12779" spans="1:2" x14ac:dyDescent="0.25">
      <c r="A12779">
        <f ca="1">32557.5940933876*((RANDBETWEEN(1620,2416)))</f>
        <v>61338507.271942317</v>
      </c>
      <c r="B12779">
        <v>148186506.95471838</v>
      </c>
    </row>
    <row r="12780" spans="1:2" x14ac:dyDescent="0.25">
      <c r="A12780">
        <f ca="1">26338.8775338902*((RANDBETWEEN(1620,2416)))</f>
        <v>63213306.081336573</v>
      </c>
      <c r="B12780">
        <v>143042379.78518334</v>
      </c>
    </row>
    <row r="12781" spans="1:2" x14ac:dyDescent="0.25">
      <c r="A12781">
        <f ca="1">26821.1724593085*((RANDBETWEEN(1620,2416)))</f>
        <v>61071809.689845555</v>
      </c>
      <c r="B12781">
        <v>184937120.43764192</v>
      </c>
    </row>
    <row r="12782" spans="1:2" x14ac:dyDescent="0.25">
      <c r="A12782">
        <f ca="1">26892.1089906226*((RANDBETWEEN(1620,2416)))</f>
        <v>56016263.027466856</v>
      </c>
      <c r="B12782">
        <v>171796037.90029639</v>
      </c>
    </row>
    <row r="12783" spans="1:2" x14ac:dyDescent="0.25">
      <c r="A12783">
        <f ca="1">26077.1728989116*((RANDBETWEEN(1620,2416)))</f>
        <v>43496724.395384595</v>
      </c>
      <c r="B12783">
        <v>146496156.24590042</v>
      </c>
    </row>
    <row r="12784" spans="1:2" x14ac:dyDescent="0.25">
      <c r="A12784">
        <f ca="1">27556.9525482176*((RANDBETWEEN(1620,2416)))</f>
        <v>65888673.542788357</v>
      </c>
      <c r="B12784">
        <v>151363433.32788265</v>
      </c>
    </row>
    <row r="12785" spans="1:2" x14ac:dyDescent="0.25">
      <c r="A12785">
        <f ca="1">30038.1459656495*((RANDBETWEEN(1620,2416)))</f>
        <v>66053882.97846321</v>
      </c>
      <c r="B12785">
        <v>184563576.51329166</v>
      </c>
    </row>
    <row r="12786" spans="1:2" x14ac:dyDescent="0.25">
      <c r="A12786">
        <f ca="1">27305.5332070772*((RANDBETWEEN(1620,2416)))</f>
        <v>62038171.446479321</v>
      </c>
      <c r="B12786">
        <v>155370384.38617179</v>
      </c>
    </row>
    <row r="12787" spans="1:2" x14ac:dyDescent="0.25">
      <c r="A12787">
        <f ca="1">31581.6650828231*((RANDBETWEEN(1620,2416)))</f>
        <v>67647926.607407033</v>
      </c>
      <c r="B12787">
        <v>196528282.65070182</v>
      </c>
    </row>
    <row r="12788" spans="1:2" x14ac:dyDescent="0.25">
      <c r="A12788">
        <f ca="1">27568.2486002684*((RANDBETWEEN(1620,2416)))</f>
        <v>65998387.149042442</v>
      </c>
      <c r="B12788">
        <v>156273016.36589479</v>
      </c>
    </row>
    <row r="12789" spans="1:2" x14ac:dyDescent="0.25">
      <c r="A12789">
        <f ca="1">28788.0202862148*((RANDBETWEEN(1620,2416)))</f>
        <v>58612409.302733287</v>
      </c>
      <c r="B12789">
        <v>191527214.25063136</v>
      </c>
    </row>
    <row r="12790" spans="1:2" x14ac:dyDescent="0.25">
      <c r="A12790">
        <f ca="1">30879.4384959841*((RANDBETWEEN(1620,2416)))</f>
        <v>66915743.220797628</v>
      </c>
      <c r="B12790">
        <v>158058837.80805063</v>
      </c>
    </row>
    <row r="12791" spans="1:2" x14ac:dyDescent="0.25">
      <c r="A12791">
        <f ca="1">31722.3399966867*((RANDBETWEEN(1620,2416)))</f>
        <v>57607769.433983132</v>
      </c>
      <c r="B12791">
        <v>153842463.51584914</v>
      </c>
    </row>
    <row r="12792" spans="1:2" x14ac:dyDescent="0.25">
      <c r="A12792">
        <f ca="1">29650.4352517216*((RANDBETWEEN(1620,2416)))</f>
        <v>52659173.007057518</v>
      </c>
      <c r="B12792">
        <v>171656586.25657558</v>
      </c>
    </row>
    <row r="12793" spans="1:2" x14ac:dyDescent="0.25">
      <c r="A12793">
        <f ca="1">26756.3107028624*((RANDBETWEEN(1620,2416)))</f>
        <v>61245195.198851995</v>
      </c>
      <c r="B12793">
        <v>154327383.91682073</v>
      </c>
    </row>
    <row r="12794" spans="1:2" x14ac:dyDescent="0.25">
      <c r="A12794">
        <f ca="1">28640.4910899562*((RANDBETWEEN(1620,2416)))</f>
        <v>49175723.201454736</v>
      </c>
      <c r="B12794">
        <v>174029867.32122472</v>
      </c>
    </row>
    <row r="12795" spans="1:2" x14ac:dyDescent="0.25">
      <c r="A12795">
        <f ca="1">30360.4092139611*((RANDBETWEEN(1620,2416)))</f>
        <v>66458935.769360811</v>
      </c>
      <c r="B12795">
        <v>201327471.87081987</v>
      </c>
    </row>
    <row r="12796" spans="1:2" x14ac:dyDescent="0.25">
      <c r="A12796">
        <f ca="1">28356.4249745224*((RANDBETWEEN(1620,2416)))</f>
        <v>56797919.223968461</v>
      </c>
      <c r="B12796">
        <v>182767368.39482009</v>
      </c>
    </row>
    <row r="12797" spans="1:2" x14ac:dyDescent="0.25">
      <c r="A12797">
        <f ca="1">30558.9089960967*((RANDBETWEEN(1620,2416)))</f>
        <v>69949342.692065254</v>
      </c>
      <c r="B12797">
        <v>152817441.16308507</v>
      </c>
    </row>
    <row r="12798" spans="1:2" x14ac:dyDescent="0.25">
      <c r="A12798">
        <f ca="1">27393.0212384901*((RANDBETWEEN(1620,2416)))</f>
        <v>58949781.70523075</v>
      </c>
      <c r="B12798">
        <v>187822093.42701852</v>
      </c>
    </row>
    <row r="12799" spans="1:2" x14ac:dyDescent="0.25">
      <c r="A12799">
        <f ca="1">31469.4164428056*((RANDBETWEEN(1620,2416)))</f>
        <v>74267822.805021271</v>
      </c>
      <c r="B12799">
        <v>163009434.1173932</v>
      </c>
    </row>
    <row r="12800" spans="1:2" x14ac:dyDescent="0.25">
      <c r="A12800">
        <f ca="1">25773.4901673195*((RANDBETWEEN(1620,2416)))</f>
        <v>46650017.202848218</v>
      </c>
      <c r="B12800">
        <v>151087883.34857142</v>
      </c>
    </row>
    <row r="12801" spans="1:2" x14ac:dyDescent="0.25">
      <c r="A12801">
        <f ca="1">28166.4729684875*((RANDBETWEEN(1620,2416)))</f>
        <v>49150495.330010749</v>
      </c>
      <c r="B12801">
        <v>195445839.52374804</v>
      </c>
    </row>
    <row r="12802" spans="1:2" x14ac:dyDescent="0.25">
      <c r="A12802">
        <f ca="1">28577.3530689958*((RANDBETWEEN(1620,2416)))</f>
        <v>57440479.668681622</v>
      </c>
      <c r="B12802">
        <v>185433133.57357001</v>
      </c>
    </row>
    <row r="12803" spans="1:2" x14ac:dyDescent="0.25">
      <c r="A12803">
        <f ca="1">26246.4949094802*((RANDBETWEEN(1620,2416)))</f>
        <v>62807862.318386123</v>
      </c>
      <c r="B12803">
        <v>183199090.06878376</v>
      </c>
    </row>
    <row r="12804" spans="1:2" x14ac:dyDescent="0.25">
      <c r="A12804">
        <f ca="1">28814.6512192354*((RANDBETWEEN(1620,2416)))</f>
        <v>51405337.775115892</v>
      </c>
      <c r="B12804">
        <v>156725330.8932668</v>
      </c>
    </row>
    <row r="12805" spans="1:2" x14ac:dyDescent="0.25">
      <c r="A12805">
        <f ca="1">25335.5487246055*((RANDBETWEEN(1620,2416)))</f>
        <v>55763542.742856696</v>
      </c>
      <c r="B12805">
        <v>159227717.95914954</v>
      </c>
    </row>
    <row r="12806" spans="1:2" x14ac:dyDescent="0.25">
      <c r="A12806">
        <f ca="1">28364.9316823041*((RANDBETWEEN(1620,2416)))</f>
        <v>54063559.786471553</v>
      </c>
      <c r="B12806">
        <v>170990920.42093673</v>
      </c>
    </row>
    <row r="12807" spans="1:2" x14ac:dyDescent="0.25">
      <c r="A12807">
        <f ca="1">25870.1404297806*((RANDBETWEEN(1620,2416)))</f>
        <v>44548381.820082255</v>
      </c>
      <c r="B12807">
        <v>160797861.39119112</v>
      </c>
    </row>
    <row r="12808" spans="1:2" x14ac:dyDescent="0.25">
      <c r="A12808">
        <f ca="1">28608.9218497*((RANDBETWEEN(1620,2416)))</f>
        <v>58619680.870035306</v>
      </c>
      <c r="B12808">
        <v>159670776.25626802</v>
      </c>
    </row>
    <row r="12809" spans="1:2" x14ac:dyDescent="0.25">
      <c r="A12809">
        <f ca="1">32139.318144606*((RANDBETWEEN(1620,2416)))</f>
        <v>65660626.969430052</v>
      </c>
      <c r="B12809">
        <v>168845506.34712899</v>
      </c>
    </row>
    <row r="12810" spans="1:2" x14ac:dyDescent="0.25">
      <c r="A12810">
        <f ca="1">25261.9721988471*((RANDBETWEEN(1620,2416)))</f>
        <v>51711257.091040082</v>
      </c>
      <c r="B12810">
        <v>172647589.66443586</v>
      </c>
    </row>
    <row r="12811" spans="1:2" x14ac:dyDescent="0.25">
      <c r="A12811">
        <f ca="1">27812.2878540203*((RANDBETWEEN(1620,2416)))</f>
        <v>64774818.412013248</v>
      </c>
      <c r="B12811">
        <v>167646100.79056233</v>
      </c>
    </row>
    <row r="12812" spans="1:2" x14ac:dyDescent="0.25">
      <c r="A12812">
        <f ca="1">28909.7838815813*((RANDBETWEEN(1620,2416)))</f>
        <v>55102048.078294002</v>
      </c>
      <c r="B12812">
        <v>189535445.04743743</v>
      </c>
    </row>
    <row r="12813" spans="1:2" x14ac:dyDescent="0.25">
      <c r="A12813">
        <f ca="1">27557.6287215255*((RANDBETWEEN(1620,2416)))</f>
        <v>50788709.733771488</v>
      </c>
      <c r="B12813">
        <v>171787540.27618802</v>
      </c>
    </row>
    <row r="12814" spans="1:2" x14ac:dyDescent="0.25">
      <c r="A12814">
        <f ca="1">28399.1505096022*((RANDBETWEEN(1620,2416)))</f>
        <v>62364534.519086473</v>
      </c>
      <c r="B12814">
        <v>185899083.19834062</v>
      </c>
    </row>
    <row r="12815" spans="1:2" x14ac:dyDescent="0.25">
      <c r="A12815">
        <f ca="1">25565.473725648*((RANDBETWEEN(1620,2416)))</f>
        <v>54812375.667789355</v>
      </c>
      <c r="B12815">
        <v>186162449.90340084</v>
      </c>
    </row>
    <row r="12816" spans="1:2" x14ac:dyDescent="0.25">
      <c r="A12816">
        <f ca="1">30811.537683685*((RANDBETWEEN(1620,2416)))</f>
        <v>55984563.971255563</v>
      </c>
      <c r="B12816">
        <v>200418332.17546099</v>
      </c>
    </row>
    <row r="12817" spans="1:2" x14ac:dyDescent="0.25">
      <c r="A12817">
        <f ca="1">31722.8370785985*((RANDBETWEEN(1620,2416)))</f>
        <v>56847324.04484845</v>
      </c>
      <c r="B12817">
        <v>191423995.75933158</v>
      </c>
    </row>
    <row r="12818" spans="1:2" x14ac:dyDescent="0.25">
      <c r="A12818">
        <f ca="1">26912.3978871126*((RANDBETWEEN(1620,2416)))</f>
        <v>50218534.457352102</v>
      </c>
      <c r="B12818">
        <v>149408968.23028827</v>
      </c>
    </row>
    <row r="12819" spans="1:2" x14ac:dyDescent="0.25">
      <c r="A12819">
        <f ca="1">32126.9932961935*((RANDBETWEEN(1620,2416)))</f>
        <v>55322682.456045143</v>
      </c>
      <c r="B12819">
        <v>199420107.62994552</v>
      </c>
    </row>
    <row r="12820" spans="1:2" x14ac:dyDescent="0.25">
      <c r="A12820">
        <f ca="1">33534.9822424549*((RANDBETWEEN(1620,2416)))</f>
        <v>58350869.101871476</v>
      </c>
      <c r="B12820">
        <v>195360379.27275199</v>
      </c>
    </row>
    <row r="12821" spans="1:2" x14ac:dyDescent="0.25">
      <c r="A12821">
        <f ca="1">26530.4545576655*((RANDBETWEEN(1620,2416)))</f>
        <v>50540515.932352751</v>
      </c>
      <c r="B12821">
        <v>155250157.13656074</v>
      </c>
    </row>
    <row r="12822" spans="1:2" x14ac:dyDescent="0.25">
      <c r="A12822">
        <f ca="1">26096.4869950272*((RANDBETWEEN(1620,2416)))</f>
        <v>44207448.969576113</v>
      </c>
      <c r="B12822">
        <v>148672417.00687835</v>
      </c>
    </row>
    <row r="12823" spans="1:2" x14ac:dyDescent="0.25">
      <c r="A12823">
        <f ca="1">26919.6771123923*((RANDBETWEEN(1620,2416)))</f>
        <v>64176510.235943146</v>
      </c>
      <c r="B12823">
        <v>173824601.99950069</v>
      </c>
    </row>
    <row r="12824" spans="1:2" x14ac:dyDescent="0.25">
      <c r="A12824">
        <f ca="1">27132.4135073338*((RANDBETWEEN(1620,2416)))</f>
        <v>45039806.422174163</v>
      </c>
      <c r="B12824">
        <v>178003014.87452129</v>
      </c>
    </row>
    <row r="12825" spans="1:2" x14ac:dyDescent="0.25">
      <c r="A12825">
        <f ca="1">28157.6640424078*((RANDBETWEEN(1620,2416)))</f>
        <v>45981465.381251931</v>
      </c>
      <c r="B12825">
        <v>187344108.78365472</v>
      </c>
    </row>
    <row r="12826" spans="1:2" x14ac:dyDescent="0.25">
      <c r="A12826">
        <f ca="1">27770.272947359*((RANDBETWEEN(1620,2416)))</f>
        <v>50069802.124088295</v>
      </c>
      <c r="B12826">
        <v>186129474.95384848</v>
      </c>
    </row>
    <row r="12827" spans="1:2" x14ac:dyDescent="0.25">
      <c r="A12827">
        <f ca="1">30143.1740562894*((RANDBETWEEN(1620,2416)))</f>
        <v>67852284.800707415</v>
      </c>
      <c r="B12827">
        <v>179352069.73735458</v>
      </c>
    </row>
    <row r="12828" spans="1:2" x14ac:dyDescent="0.25">
      <c r="A12828">
        <f ca="1">29099.2004642412*((RANDBETWEEN(1620,2416)))</f>
        <v>66375276.258934252</v>
      </c>
      <c r="B12828">
        <v>159878704.21932992</v>
      </c>
    </row>
    <row r="12829" spans="1:2" x14ac:dyDescent="0.25">
      <c r="A12829">
        <f ca="1">27735.906896057*((RANDBETWEEN(1620,2416)))</f>
        <v>56608985.974852398</v>
      </c>
      <c r="B12829">
        <v>187266494.53194565</v>
      </c>
    </row>
    <row r="12830" spans="1:2" x14ac:dyDescent="0.25">
      <c r="A12830">
        <f ca="1">31043.5040253709*((RANDBETWEEN(1620,2416)))</f>
        <v>57771960.991215184</v>
      </c>
      <c r="B12830">
        <v>171894437.7878314</v>
      </c>
    </row>
    <row r="12831" spans="1:2" x14ac:dyDescent="0.25">
      <c r="A12831">
        <f ca="1">27890.8152071082*((RANDBETWEEN(1620,2416)))</f>
        <v>45936172.64610716</v>
      </c>
      <c r="B12831">
        <v>190823294.44760033</v>
      </c>
    </row>
    <row r="12832" spans="1:2" x14ac:dyDescent="0.25">
      <c r="A12832">
        <f ca="1">27553.374519951*((RANDBETWEEN(1620,2416)))</f>
        <v>54638341.673062876</v>
      </c>
      <c r="B12832">
        <v>161916368.42308667</v>
      </c>
    </row>
    <row r="12833" spans="1:2" x14ac:dyDescent="0.25">
      <c r="A12833">
        <f ca="1">26737.967770134*((RANDBETWEEN(1620,2416)))</f>
        <v>47379678.888677455</v>
      </c>
      <c r="B12833">
        <v>154026263.16551876</v>
      </c>
    </row>
    <row r="12834" spans="1:2" x14ac:dyDescent="0.25">
      <c r="A12834">
        <f ca="1">26635.0591950583*((RANDBETWEEN(1620,2416)))</f>
        <v>62778834.52275233</v>
      </c>
      <c r="B12834">
        <v>162948817.70652628</v>
      </c>
    </row>
    <row r="12835" spans="1:2" x14ac:dyDescent="0.25">
      <c r="A12835">
        <f ca="1">26686.6328756687*((RANDBETWEEN(1620,2416)))</f>
        <v>55187956.78688278</v>
      </c>
      <c r="B12835">
        <v>182312435.32876804</v>
      </c>
    </row>
    <row r="12836" spans="1:2" x14ac:dyDescent="0.25">
      <c r="A12836">
        <f ca="1">27501.0715512581*((RANDBETWEEN(1620,2416)))</f>
        <v>59374813.479166299</v>
      </c>
      <c r="B12836">
        <v>168761505.74831823</v>
      </c>
    </row>
    <row r="12837" spans="1:2" x14ac:dyDescent="0.25">
      <c r="A12837">
        <f ca="1">27198.9468993313*((RANDBETWEEN(1620,2416)))</f>
        <v>52874752.77230002</v>
      </c>
      <c r="B12837">
        <v>159499466.49683338</v>
      </c>
    </row>
    <row r="12838" spans="1:2" x14ac:dyDescent="0.25">
      <c r="A12838">
        <f ca="1">26203.8813457323*((RANDBETWEEN(1620,2416)))</f>
        <v>51962296.708587229</v>
      </c>
      <c r="B12838">
        <v>155197073.07218552</v>
      </c>
    </row>
    <row r="12839" spans="1:2" x14ac:dyDescent="0.25">
      <c r="A12839">
        <f ca="1">26613.6280144722*((RANDBETWEEN(1620,2416)))</f>
        <v>46893212.561499968</v>
      </c>
      <c r="B12839">
        <v>186486257.62201473</v>
      </c>
    </row>
    <row r="12840" spans="1:2" x14ac:dyDescent="0.25">
      <c r="A12840">
        <f ca="1">26566.3611316754*((RANDBETWEEN(1620,2416)))</f>
        <v>59402383.49042616</v>
      </c>
      <c r="B12840">
        <v>147983895.79655448</v>
      </c>
    </row>
    <row r="12841" spans="1:2" x14ac:dyDescent="0.25">
      <c r="A12841">
        <f ca="1">25899.0595177912*((RANDBETWEEN(1620,2416)))</f>
        <v>42785246.32339114</v>
      </c>
      <c r="B12841">
        <v>196237019.07661217</v>
      </c>
    </row>
    <row r="12842" spans="1:2" x14ac:dyDescent="0.25">
      <c r="A12842">
        <f ca="1">27535.3709965098*((RANDBETWEEN(1620,2416)))</f>
        <v>63276282.549979523</v>
      </c>
      <c r="B12842">
        <v>164155398.40961567</v>
      </c>
    </row>
    <row r="12843" spans="1:2" x14ac:dyDescent="0.25">
      <c r="A12843">
        <f ca="1">26092.2988271382*((RANDBETWEEN(1620,2416)))</f>
        <v>51219182.597672254</v>
      </c>
      <c r="B12843">
        <v>166033279.86923468</v>
      </c>
    </row>
    <row r="12844" spans="1:2" x14ac:dyDescent="0.25">
      <c r="A12844">
        <f ca="1">26822.0081980962*((RANDBETWEEN(1620,2416)))</f>
        <v>55602022.994653396</v>
      </c>
      <c r="B12844">
        <v>159875046.1024223</v>
      </c>
    </row>
    <row r="12845" spans="1:2" x14ac:dyDescent="0.25">
      <c r="A12845">
        <f ca="1">29907.5002870572*((RANDBETWEEN(1620,2416)))</f>
        <v>55927025.536797039</v>
      </c>
      <c r="B12845">
        <v>182782033.42573369</v>
      </c>
    </row>
    <row r="12846" spans="1:2" x14ac:dyDescent="0.25">
      <c r="A12846">
        <f ca="1">30197.2703667233*((RANDBETWEEN(1620,2416)))</f>
        <v>57254024.615307435</v>
      </c>
      <c r="B12846">
        <v>148128148.07938704</v>
      </c>
    </row>
    <row r="12847" spans="1:2" x14ac:dyDescent="0.25">
      <c r="A12847">
        <f ca="1">26832.2422420944*((RANDBETWEEN(1620,2416)))</f>
        <v>54013303.633335963</v>
      </c>
      <c r="B12847">
        <v>163808697.08601868</v>
      </c>
    </row>
    <row r="12848" spans="1:2" x14ac:dyDescent="0.25">
      <c r="A12848">
        <f ca="1">26441.4453394987*((RANDBETWEEN(1620,2416)))</f>
        <v>63723883.268191814</v>
      </c>
      <c r="B12848">
        <v>161701548.65634757</v>
      </c>
    </row>
    <row r="12849" spans="1:2" x14ac:dyDescent="0.25">
      <c r="A12849">
        <f ca="1">28807.9465544631*((RANDBETWEEN(1620,2416)))</f>
        <v>47994038.959735602</v>
      </c>
      <c r="B12849">
        <v>193384564.25822771</v>
      </c>
    </row>
    <row r="12850" spans="1:2" x14ac:dyDescent="0.25">
      <c r="A12850">
        <f ca="1">27520.5018034267*((RANDBETWEEN(1620,2416)))</f>
        <v>58288422.819657683</v>
      </c>
      <c r="B12850">
        <v>184227978.89321899</v>
      </c>
    </row>
    <row r="12851" spans="1:2" x14ac:dyDescent="0.25">
      <c r="A12851">
        <f ca="1">30817.2603123665*((RANDBETWEEN(1620,2416)))</f>
        <v>50601941.432905719</v>
      </c>
      <c r="B12851">
        <v>194524775.07318044</v>
      </c>
    </row>
    <row r="12852" spans="1:2" x14ac:dyDescent="0.25">
      <c r="A12852">
        <f ca="1">28295.432909568*((RANDBETWEEN(1620,2416)))</f>
        <v>52572914.345977329</v>
      </c>
      <c r="B12852">
        <v>146477515.94451308</v>
      </c>
    </row>
    <row r="12853" spans="1:2" x14ac:dyDescent="0.25">
      <c r="A12853">
        <f ca="1">28361.3191812644*((RANDBETWEEN(1620,2416)))</f>
        <v>49008359.545224853</v>
      </c>
      <c r="B12853">
        <v>146375234.3061747</v>
      </c>
    </row>
    <row r="12854" spans="1:2" x14ac:dyDescent="0.25">
      <c r="A12854">
        <f ca="1">26346.9316562409*((RANDBETWEEN(1620,2416)))</f>
        <v>53062720.355669148</v>
      </c>
      <c r="B12854">
        <v>201751214.87587771</v>
      </c>
    </row>
    <row r="12855" spans="1:2" x14ac:dyDescent="0.25">
      <c r="A12855">
        <f ca="1">33914.5287880835*((RANDBETWEEN(1620,2416)))</f>
        <v>56128545.144278266</v>
      </c>
      <c r="B12855">
        <v>183908743.16843271</v>
      </c>
    </row>
    <row r="12856" spans="1:2" x14ac:dyDescent="0.25">
      <c r="A12856">
        <f ca="1">26453.0319290955*((RANDBETWEEN(1620,2416)))</f>
        <v>57932139.924719244</v>
      </c>
      <c r="B12856">
        <v>150526076.25147343</v>
      </c>
    </row>
    <row r="12857" spans="1:2" x14ac:dyDescent="0.25">
      <c r="A12857">
        <f ca="1">27158.6807876451*((RANDBETWEEN(1620,2416)))</f>
        <v>56164151.868850134</v>
      </c>
      <c r="B12857">
        <v>165117773.82859975</v>
      </c>
    </row>
    <row r="12858" spans="1:2" x14ac:dyDescent="0.25">
      <c r="A12858">
        <f ca="1">27635.0376397977*((RANDBETWEEN(1620,2416)))</f>
        <v>60106206.86655999</v>
      </c>
      <c r="B12858">
        <v>151136591.60119694</v>
      </c>
    </row>
    <row r="12859" spans="1:2" x14ac:dyDescent="0.25">
      <c r="A12859">
        <f ca="1">29534.392190805*((RANDBETWEEN(1620,2416)))</f>
        <v>56263017.123483561</v>
      </c>
      <c r="B12859">
        <v>182939658.47624731</v>
      </c>
    </row>
    <row r="12860" spans="1:2" x14ac:dyDescent="0.25">
      <c r="A12860">
        <f ca="1">28108.8717239847*((RANDBETWEEN(1620,2416)))</f>
        <v>62598457.329313949</v>
      </c>
      <c r="B12860">
        <v>145606054.432944</v>
      </c>
    </row>
    <row r="12861" spans="1:2" x14ac:dyDescent="0.25">
      <c r="A12861">
        <f ca="1">28589.9789626578*((RANDBETWEEN(1620,2416)))</f>
        <v>52376841.459589183</v>
      </c>
      <c r="B12861">
        <v>178495459.96155435</v>
      </c>
    </row>
    <row r="12862" spans="1:2" x14ac:dyDescent="0.25">
      <c r="A12862">
        <f ca="1">25029.2741459602*((RANDBETWEEN(1620,2416)))</f>
        <v>50734338.693861343</v>
      </c>
      <c r="B12862">
        <v>177606121.1686711</v>
      </c>
    </row>
    <row r="12863" spans="1:2" x14ac:dyDescent="0.25">
      <c r="A12863">
        <f ca="1">26538.5429327655*((RANDBETWEEN(1620,2416)))</f>
        <v>50157846.142926715</v>
      </c>
      <c r="B12863">
        <v>200569424.54017574</v>
      </c>
    </row>
    <row r="12864" spans="1:2" x14ac:dyDescent="0.25">
      <c r="A12864">
        <f ca="1">26749.7520757014*((RANDBETWEEN(1620,2416)))</f>
        <v>64306403.989986286</v>
      </c>
      <c r="B12864">
        <v>152347251.09817535</v>
      </c>
    </row>
    <row r="12865" spans="1:2" x14ac:dyDescent="0.25">
      <c r="A12865">
        <f ca="1">33944.6457809896*((RANDBETWEEN(1620,2416)))</f>
        <v>74610331.426615283</v>
      </c>
      <c r="B12865">
        <v>194482742.5122444</v>
      </c>
    </row>
    <row r="12866" spans="1:2" x14ac:dyDescent="0.25">
      <c r="A12866">
        <f ca="1">26247.625626775*((RANDBETWEEN(1620,2416)))</f>
        <v>47875669.143237665</v>
      </c>
      <c r="B12866">
        <v>153349591.7192508</v>
      </c>
    </row>
    <row r="12867" spans="1:2" x14ac:dyDescent="0.25">
      <c r="A12867">
        <f ca="1">28164.4797328476*((RANDBETWEEN(1620,2416)))</f>
        <v>67735573.757498577</v>
      </c>
      <c r="B12867">
        <v>153907394.96584439</v>
      </c>
    </row>
    <row r="12868" spans="1:2" x14ac:dyDescent="0.25">
      <c r="A12868">
        <f ca="1">26507.319663822*((RANDBETWEEN(1620,2416)))</f>
        <v>64041684.307794005</v>
      </c>
      <c r="B12868">
        <v>144386418.91332507</v>
      </c>
    </row>
    <row r="12869" spans="1:2" x14ac:dyDescent="0.25">
      <c r="A12869">
        <f ca="1">27330.1511539808*((RANDBETWEEN(1620,2416)))</f>
        <v>51817966.587947652</v>
      </c>
      <c r="B12869">
        <v>169236867.24182475</v>
      </c>
    </row>
    <row r="12870" spans="1:2" x14ac:dyDescent="0.25">
      <c r="A12870">
        <f ca="1">26888.680879258*((RANDBETWEEN(1620,2416)))</f>
        <v>63403509.513290316</v>
      </c>
      <c r="B12870">
        <v>172954567.9924387</v>
      </c>
    </row>
    <row r="12871" spans="1:2" x14ac:dyDescent="0.25">
      <c r="A12871">
        <f ca="1">26062.3241122451*((RANDBETWEEN(1620,2416)))</f>
        <v>43471956.619224757</v>
      </c>
      <c r="B12871">
        <v>160137950.84285015</v>
      </c>
    </row>
    <row r="12872" spans="1:2" x14ac:dyDescent="0.25">
      <c r="A12872">
        <f ca="1">28194.9723400647*((RANDBETWEEN(1620,2416)))</f>
        <v>58983882.135415345</v>
      </c>
      <c r="B12872">
        <v>172240170.57622758</v>
      </c>
    </row>
    <row r="12873" spans="1:2" x14ac:dyDescent="0.25">
      <c r="A12873">
        <f ca="1">27444.230542097*((RANDBETWEEN(1620,2416)))</f>
        <v>53324139.943294555</v>
      </c>
      <c r="B12873">
        <v>178613597.31412941</v>
      </c>
    </row>
    <row r="12874" spans="1:2" x14ac:dyDescent="0.25">
      <c r="A12874">
        <f ca="1">29158.9365013703*((RANDBETWEEN(1620,2416)))</f>
        <v>69310792.063757196</v>
      </c>
      <c r="B12874">
        <v>162608592.78592631</v>
      </c>
    </row>
    <row r="12875" spans="1:2" x14ac:dyDescent="0.25">
      <c r="A12875">
        <f ca="1">27864.8685002766*((RANDBETWEEN(1620,2416)))</f>
        <v>62389440.5721194</v>
      </c>
      <c r="B12875">
        <v>168212831.47978383</v>
      </c>
    </row>
    <row r="12876" spans="1:2" x14ac:dyDescent="0.25">
      <c r="A12876">
        <f ca="1">28553.7958877026*((RANDBETWEEN(1620,2416)))</f>
        <v>53309936.922340833</v>
      </c>
      <c r="B12876">
        <v>169455998.3248648</v>
      </c>
    </row>
    <row r="12877" spans="1:2" x14ac:dyDescent="0.25">
      <c r="A12877">
        <f ca="1">26228.4215384168*((RANDBETWEEN(1620,2416)))</f>
        <v>52115873.596834145</v>
      </c>
      <c r="B12877">
        <v>151448357.46006042</v>
      </c>
    </row>
    <row r="12878" spans="1:2" x14ac:dyDescent="0.25">
      <c r="A12878">
        <f ca="1">27523.5766715535*((RANDBETWEEN(1620,2416)))</f>
        <v>63496891.381273925</v>
      </c>
      <c r="B12878">
        <v>181746032.55254495</v>
      </c>
    </row>
    <row r="12879" spans="1:2" x14ac:dyDescent="0.25">
      <c r="A12879">
        <f ca="1">27046.5045711055*((RANDBETWEEN(1620,2416)))</f>
        <v>48818940.750845477</v>
      </c>
      <c r="B12879">
        <v>178461383.52886468</v>
      </c>
    </row>
    <row r="12880" spans="1:2" x14ac:dyDescent="0.25">
      <c r="A12880">
        <f ca="1">27743.9148590967*((RANDBETWEEN(1620,2416)))</f>
        <v>55293622.314179674</v>
      </c>
      <c r="B12880">
        <v>190633321.49019092</v>
      </c>
    </row>
    <row r="12881" spans="1:2" x14ac:dyDescent="0.25">
      <c r="A12881">
        <f ca="1">29447.7859548061*((RANDBETWEEN(1620,2416)))</f>
        <v>69997387.214574084</v>
      </c>
      <c r="B12881">
        <v>147338296.24992293</v>
      </c>
    </row>
    <row r="12882" spans="1:2" x14ac:dyDescent="0.25">
      <c r="A12882">
        <f ca="1">30431.1227571333*((RANDBETWEEN(1620,2416)))</f>
        <v>55962834.750368118</v>
      </c>
      <c r="B12882">
        <v>170655899.54240847</v>
      </c>
    </row>
    <row r="12883" spans="1:2" x14ac:dyDescent="0.25">
      <c r="A12883">
        <f ca="1">26405.9172785772*((RANDBETWEEN(1620,2416)))</f>
        <v>59782996.718698792</v>
      </c>
      <c r="B12883">
        <v>157956300.09330776</v>
      </c>
    </row>
    <row r="12884" spans="1:2" x14ac:dyDescent="0.25">
      <c r="A12884">
        <f ca="1">27781.1639515158*((RANDBETWEEN(1620,2416)))</f>
        <v>63507740.793165162</v>
      </c>
      <c r="B12884">
        <v>179690833.95584008</v>
      </c>
    </row>
    <row r="12885" spans="1:2" x14ac:dyDescent="0.25">
      <c r="A12885">
        <f ca="1">26603.7375002185*((RANDBETWEEN(1620,2416)))</f>
        <v>47487671.437890038</v>
      </c>
      <c r="B12885">
        <v>157670826.92593431</v>
      </c>
    </row>
    <row r="12886" spans="1:2" x14ac:dyDescent="0.25">
      <c r="A12886">
        <f ca="1">29153.2786542951*((RANDBETWEEN(1620,2416)))</f>
        <v>68889197.460099369</v>
      </c>
      <c r="B12886">
        <v>190491393.04133189</v>
      </c>
    </row>
    <row r="12887" spans="1:2" x14ac:dyDescent="0.25">
      <c r="A12887">
        <f ca="1">28996.4224348194*((RANDBETWEEN(1620,2416)))</f>
        <v>68634531.903217494</v>
      </c>
      <c r="B12887">
        <v>198981548.49940166</v>
      </c>
    </row>
    <row r="12888" spans="1:2" x14ac:dyDescent="0.25">
      <c r="A12888">
        <f ca="1">30197.703042959*((RANDBETWEEN(1620,2416)))</f>
        <v>66042376.554951288</v>
      </c>
      <c r="B12888">
        <v>190843280.38595659</v>
      </c>
    </row>
    <row r="12889" spans="1:2" x14ac:dyDescent="0.25">
      <c r="A12889">
        <f ca="1">28022.3315966207*((RANDBETWEEN(1620,2416)))</f>
        <v>49207214.283665888</v>
      </c>
      <c r="B12889">
        <v>172151800.04396117</v>
      </c>
    </row>
    <row r="12890" spans="1:2" x14ac:dyDescent="0.25">
      <c r="A12890">
        <f ca="1">28435.0436190258*((RANDBETWEEN(1620,2416)))</f>
        <v>54396238.443196401</v>
      </c>
      <c r="B12890">
        <v>198809651.16311106</v>
      </c>
    </row>
    <row r="12891" spans="1:2" x14ac:dyDescent="0.25">
      <c r="A12891">
        <f ca="1">25671.4749656486*((RANDBETWEEN(1620,2416)))</f>
        <v>47800286.386037715</v>
      </c>
      <c r="B12891">
        <v>181478682.75500369</v>
      </c>
    </row>
    <row r="12892" spans="1:2" x14ac:dyDescent="0.25">
      <c r="A12892">
        <f ca="1">33037.1281457266*((RANDBETWEEN(1620,2416)))</f>
        <v>53982667.390117243</v>
      </c>
      <c r="B12892">
        <v>192172258.77575377</v>
      </c>
    </row>
    <row r="12893" spans="1:2" x14ac:dyDescent="0.25">
      <c r="A12893">
        <f ca="1">32538.9293781992*((RANDBETWEEN(1620,2416)))</f>
        <v>66704805.225308314</v>
      </c>
      <c r="B12893">
        <v>185350025.37675986</v>
      </c>
    </row>
    <row r="12894" spans="1:2" x14ac:dyDescent="0.25">
      <c r="A12894">
        <f ca="1">28753.5556185655*((RANDBETWEEN(1620,2416)))</f>
        <v>57708386.126461051</v>
      </c>
      <c r="B12894">
        <v>167125896.44542742</v>
      </c>
    </row>
    <row r="12895" spans="1:2" x14ac:dyDescent="0.25">
      <c r="A12895">
        <f ca="1">25746.1399356539*((RANDBETWEEN(1620,2416)))</f>
        <v>61353051.466663316</v>
      </c>
      <c r="B12895">
        <v>145918202.07947764</v>
      </c>
    </row>
    <row r="12896" spans="1:2" x14ac:dyDescent="0.25">
      <c r="A12896">
        <f ca="1">27607.7702877482*((RANDBETWEEN(1620,2416)))</f>
        <v>46905601.718884178</v>
      </c>
      <c r="B12896">
        <v>160173667.02456814</v>
      </c>
    </row>
    <row r="12897" spans="1:2" x14ac:dyDescent="0.25">
      <c r="A12897">
        <f ca="1">26902.550860825*((RANDBETWEEN(1620,2416)))</f>
        <v>60880472.598046973</v>
      </c>
      <c r="B12897">
        <v>144625771.36748555</v>
      </c>
    </row>
    <row r="12898" spans="1:2" x14ac:dyDescent="0.25">
      <c r="A12898">
        <f ca="1">28139.815337738*((RANDBETWEEN(1620,2416)))</f>
        <v>47246749.952062041</v>
      </c>
      <c r="B12898">
        <v>184945820.64650086</v>
      </c>
    </row>
    <row r="12899" spans="1:2" x14ac:dyDescent="0.25">
      <c r="A12899">
        <f ca="1">31451.4318872365*((RANDBETWEEN(1620,2416)))</f>
        <v>70388304.563635379</v>
      </c>
      <c r="B12899">
        <v>169763950.18308052</v>
      </c>
    </row>
    <row r="12900" spans="1:2" x14ac:dyDescent="0.25">
      <c r="A12900">
        <f ca="1">26534.3028801844*((RANDBETWEEN(1620,2416)))</f>
        <v>52060302.250921719</v>
      </c>
      <c r="B12900">
        <v>149925872.48812073</v>
      </c>
    </row>
    <row r="12901" spans="1:2" x14ac:dyDescent="0.25">
      <c r="A12901">
        <f ca="1">33210.6689403561*((RANDBETWEEN(1620,2416)))</f>
        <v>67450868.617863312</v>
      </c>
      <c r="B12901">
        <v>202216718.52432141</v>
      </c>
    </row>
    <row r="12902" spans="1:2" x14ac:dyDescent="0.25">
      <c r="A12902">
        <f ca="1">27119.779245241*((RANDBETWEEN(1620,2416)))</f>
        <v>61073742.860282712</v>
      </c>
      <c r="B12902">
        <v>147689997.03490496</v>
      </c>
    </row>
    <row r="12903" spans="1:2" x14ac:dyDescent="0.25">
      <c r="A12903">
        <f ca="1">28443.9825114691*((RANDBETWEEN(1620,2416)))</f>
        <v>48866761.954703972</v>
      </c>
      <c r="B12903">
        <v>176082731.77861169</v>
      </c>
    </row>
    <row r="12904" spans="1:2" x14ac:dyDescent="0.25">
      <c r="A12904">
        <f ca="1">27139.9231011072*((RANDBETWEEN(1620,2416)))</f>
        <v>49286100.351610616</v>
      </c>
      <c r="B12904">
        <v>194787137.36125124</v>
      </c>
    </row>
    <row r="12905" spans="1:2" x14ac:dyDescent="0.25">
      <c r="A12905">
        <f ca="1">31834.128003069*((RANDBETWEEN(1620,2416)))</f>
        <v>63413582.982113399</v>
      </c>
      <c r="B12905">
        <v>196041736.97520977</v>
      </c>
    </row>
    <row r="12906" spans="1:2" x14ac:dyDescent="0.25">
      <c r="A12906">
        <f ca="1">25873.3707277222*((RANDBETWEEN(1620,2416)))</f>
        <v>48020976.070652477</v>
      </c>
      <c r="B12906">
        <v>164629003.29555348</v>
      </c>
    </row>
    <row r="12907" spans="1:2" x14ac:dyDescent="0.25">
      <c r="A12907">
        <f ca="1">27607.1533758059*((RANDBETWEEN(1620,2416)))</f>
        <v>54993449.524605334</v>
      </c>
      <c r="B12907">
        <v>151447486.5430454</v>
      </c>
    </row>
    <row r="12908" spans="1:2" x14ac:dyDescent="0.25">
      <c r="A12908">
        <f ca="1">27454.6579727286*((RANDBETWEEN(1620,2416)))</f>
        <v>52877671.255475372</v>
      </c>
      <c r="B12908">
        <v>185145392.38499185</v>
      </c>
    </row>
    <row r="12909" spans="1:2" x14ac:dyDescent="0.25">
      <c r="A12909">
        <f ca="1">28026.1892669479*((RANDBETWEEN(1620,2416)))</f>
        <v>50755428.76244273</v>
      </c>
      <c r="B12909">
        <v>151636570.29191515</v>
      </c>
    </row>
    <row r="12910" spans="1:2" x14ac:dyDescent="0.25">
      <c r="A12910">
        <f ca="1">30601.3489757753*((RANDBETWEEN(1620,2416)))</f>
        <v>56275880.766450815</v>
      </c>
      <c r="B12910">
        <v>202884679.03856757</v>
      </c>
    </row>
    <row r="12911" spans="1:2" x14ac:dyDescent="0.25">
      <c r="A12911">
        <f ca="1">33137.4890906445*((RANDBETWEEN(1620,2416)))</f>
        <v>55074506.8686511</v>
      </c>
      <c r="B12911">
        <v>176897788.86808825</v>
      </c>
    </row>
    <row r="12912" spans="1:2" x14ac:dyDescent="0.25">
      <c r="A12912">
        <f ca="1">27818.5432560041*((RANDBETWEEN(1620,2416)))</f>
        <v>49266640.106383249</v>
      </c>
      <c r="B12912">
        <v>157986241.09477556</v>
      </c>
    </row>
    <row r="12913" spans="1:2" x14ac:dyDescent="0.25">
      <c r="A12913">
        <f ca="1">29203.7329036655*((RANDBETWEEN(1620,2416)))</f>
        <v>70001347.770086244</v>
      </c>
      <c r="B12913">
        <v>184627456.11013132</v>
      </c>
    </row>
    <row r="12914" spans="1:2" x14ac:dyDescent="0.25">
      <c r="A12914">
        <f ca="1">33570.2734855193*((RANDBETWEEN(1620,2416)))</f>
        <v>80702937.459188297</v>
      </c>
      <c r="B12914">
        <v>185141195.38498172</v>
      </c>
    </row>
    <row r="12915" spans="1:2" x14ac:dyDescent="0.25">
      <c r="A12915">
        <f ca="1">28675.7820599823*((RANDBETWEEN(1620,2416)))</f>
        <v>46540794.283351339</v>
      </c>
      <c r="B12915">
        <v>155713469.44577616</v>
      </c>
    </row>
    <row r="12916" spans="1:2" x14ac:dyDescent="0.25">
      <c r="A12916">
        <f ca="1">30400.3880275247*((RANDBETWEEN(1620,2416)))</f>
        <v>65999242.407756142</v>
      </c>
      <c r="B12916">
        <v>175900186.91333967</v>
      </c>
    </row>
    <row r="12917" spans="1:2" x14ac:dyDescent="0.25">
      <c r="A12917">
        <f ca="1">26852.4447364669*((RANDBETWEEN(1620,2416)))</f>
        <v>46669548.951979503</v>
      </c>
      <c r="B12917">
        <v>190196637.20663494</v>
      </c>
    </row>
    <row r="12918" spans="1:2" x14ac:dyDescent="0.25">
      <c r="A12918">
        <f ca="1">27465.9603576442*((RANDBETWEEN(1620,2416)))</f>
        <v>48697147.714103177</v>
      </c>
      <c r="B12918">
        <v>192991481.78811315</v>
      </c>
    </row>
    <row r="12919" spans="1:2" x14ac:dyDescent="0.25">
      <c r="A12919">
        <f ca="1">26905.3459377687*((RANDBETWEEN(1620,2416)))</f>
        <v>54886905.713048227</v>
      </c>
      <c r="B12919">
        <v>160640081.10718572</v>
      </c>
    </row>
    <row r="12920" spans="1:2" x14ac:dyDescent="0.25">
      <c r="A12920">
        <f ca="1">31480.4921319071*((RANDBETWEEN(1620,2416)))</f>
        <v>65164618.71304775</v>
      </c>
      <c r="B12920">
        <v>187831755.01405543</v>
      </c>
    </row>
    <row r="12921" spans="1:2" x14ac:dyDescent="0.25">
      <c r="A12921">
        <f ca="1">26955.7046435221*((RANDBETWEEN(1620,2416)))</f>
        <v>56229599.886386998</v>
      </c>
      <c r="B12921">
        <v>176545455.70918533</v>
      </c>
    </row>
    <row r="12922" spans="1:2" x14ac:dyDescent="0.25">
      <c r="A12922">
        <f ca="1">26515.9048267581*((RANDBETWEEN(1620,2416)))</f>
        <v>58043315.665773578</v>
      </c>
      <c r="B12922">
        <v>144008653.57644686</v>
      </c>
    </row>
    <row r="12923" spans="1:2" x14ac:dyDescent="0.25">
      <c r="A12923">
        <f ca="1">27552.7942537006*((RANDBETWEEN(1620,2416)))</f>
        <v>66236917.385896139</v>
      </c>
      <c r="B12923">
        <v>154699290.24644002</v>
      </c>
    </row>
    <row r="12924" spans="1:2" x14ac:dyDescent="0.25">
      <c r="A12924">
        <f ca="1">26436.6159732656*((RANDBETWEEN(1620,2416)))</f>
        <v>58107681.909237847</v>
      </c>
      <c r="B12924">
        <v>164183996.29943246</v>
      </c>
    </row>
    <row r="12925" spans="1:2" x14ac:dyDescent="0.25">
      <c r="A12925">
        <f ca="1">29635.2707940892*((RANDBETWEEN(1620,2416)))</f>
        <v>65316136.830172598</v>
      </c>
      <c r="B12925">
        <v>200035921.56424829</v>
      </c>
    </row>
    <row r="12926" spans="1:2" x14ac:dyDescent="0.25">
      <c r="A12926">
        <f ca="1">26545.3169626244*((RANDBETWEEN(1620,2416)))</f>
        <v>60045506.969456308</v>
      </c>
      <c r="B12926">
        <v>158322504.22622189</v>
      </c>
    </row>
    <row r="12927" spans="1:2" x14ac:dyDescent="0.25">
      <c r="A12927">
        <f ca="1">34728.0984237493*((RANDBETWEEN(1620,2416)))</f>
        <v>77964580.961317256</v>
      </c>
      <c r="B12927">
        <v>146087217.88276398</v>
      </c>
    </row>
    <row r="12928" spans="1:2" x14ac:dyDescent="0.25">
      <c r="A12928">
        <f ca="1">31467.8613968437*((RANDBETWEEN(1620,2416)))</f>
        <v>66648930.438514888</v>
      </c>
      <c r="B12928">
        <v>183572024.0342297</v>
      </c>
    </row>
    <row r="12929" spans="1:2" x14ac:dyDescent="0.25">
      <c r="A12929">
        <f ca="1">30282.8305215141*((RANDBETWEEN(1620,2416)))</f>
        <v>71316065.878165632</v>
      </c>
      <c r="B12929">
        <v>151687909.68739522</v>
      </c>
    </row>
    <row r="12930" spans="1:2" x14ac:dyDescent="0.25">
      <c r="A12930">
        <f ca="1">29794.1312911271*((RANDBETWEEN(1620,2416)))</f>
        <v>48862375.317448378</v>
      </c>
      <c r="B12930">
        <v>178034217.70453089</v>
      </c>
    </row>
    <row r="12931" spans="1:2" x14ac:dyDescent="0.25">
      <c r="A12931">
        <f ca="1">27784.0977190138*((RANDBETWEEN(1620,2416)))</f>
        <v>52539728.786655024</v>
      </c>
      <c r="B12931">
        <v>190007184.6405715</v>
      </c>
    </row>
    <row r="12932" spans="1:2" x14ac:dyDescent="0.25">
      <c r="A12932">
        <f ca="1">27406.7229197265*((RANDBETWEEN(1620,2416)))</f>
        <v>47715104.603243865</v>
      </c>
      <c r="B12932">
        <v>150968976.20493907</v>
      </c>
    </row>
    <row r="12933" spans="1:2" x14ac:dyDescent="0.25">
      <c r="A12933">
        <f ca="1">24870.1423034179*((RANDBETWEEN(1620,2416)))</f>
        <v>47054309.23806674</v>
      </c>
      <c r="B12933">
        <v>150964153.59351355</v>
      </c>
    </row>
    <row r="12934" spans="1:2" x14ac:dyDescent="0.25">
      <c r="A12934">
        <f ca="1">28553.4132317308*((RANDBETWEEN(1620,2416)))</f>
        <v>65844170.91237133</v>
      </c>
      <c r="B12934">
        <v>197541458.93262911</v>
      </c>
    </row>
    <row r="12935" spans="1:2" x14ac:dyDescent="0.25">
      <c r="A12935">
        <f ca="1">30629.2659651409*((RANDBETWEEN(1620,2416)))</f>
        <v>59267629.642547615</v>
      </c>
      <c r="B12935">
        <v>174959259.11534703</v>
      </c>
    </row>
    <row r="12936" spans="1:2" x14ac:dyDescent="0.25">
      <c r="A12936">
        <f ca="1">26922.228300574*((RANDBETWEEN(1620,2416)))</f>
        <v>57290501.823621556</v>
      </c>
      <c r="B12936">
        <v>156116873.62944353</v>
      </c>
    </row>
    <row r="12937" spans="1:2" x14ac:dyDescent="0.25">
      <c r="A12937">
        <f ca="1">31128.6173488775*((RANDBETWEEN(1620,2416)))</f>
        <v>65494610.902038321</v>
      </c>
      <c r="B12937">
        <v>162542118.45127207</v>
      </c>
    </row>
    <row r="12938" spans="1:2" x14ac:dyDescent="0.25">
      <c r="A12938">
        <f ca="1">27473.5712977656*((RANDBETWEEN(1620,2416)))</f>
        <v>53051466.175985366</v>
      </c>
      <c r="B12938">
        <v>165998156.32844794</v>
      </c>
    </row>
    <row r="12939" spans="1:2" x14ac:dyDescent="0.25">
      <c r="A12939">
        <f ca="1">30124.4901552828*((RANDBETWEEN(1620,2416)))</f>
        <v>54344580.240130164</v>
      </c>
      <c r="B12939">
        <v>148356993.7195527</v>
      </c>
    </row>
    <row r="12940" spans="1:2" x14ac:dyDescent="0.25">
      <c r="A12940">
        <f ca="1">27186.3224566352*((RANDBETWEEN(1620,2416)))</f>
        <v>57879680.510176264</v>
      </c>
      <c r="B12940">
        <v>157038726.60705885</v>
      </c>
    </row>
    <row r="12941" spans="1:2" x14ac:dyDescent="0.25">
      <c r="A12941">
        <f ca="1">26047.4154170709*((RANDBETWEEN(1620,2416)))</f>
        <v>47901196.951993391</v>
      </c>
      <c r="B12941">
        <v>160666850.43546662</v>
      </c>
    </row>
    <row r="12942" spans="1:2" x14ac:dyDescent="0.25">
      <c r="A12942">
        <f ca="1">28688.8951405686*((RANDBETWEEN(1620,2416)))</f>
        <v>47652254.82848452</v>
      </c>
      <c r="B12942">
        <v>171941924.86880714</v>
      </c>
    </row>
    <row r="12943" spans="1:2" x14ac:dyDescent="0.25">
      <c r="A12943">
        <f ca="1">26798.6582602261*((RANDBETWEEN(1620,2416)))</f>
        <v>61556518.023739398</v>
      </c>
      <c r="B12943">
        <v>167122523.33318147</v>
      </c>
    </row>
    <row r="12944" spans="1:2" x14ac:dyDescent="0.25">
      <c r="A12944">
        <f ca="1">31019.2627506323*((RANDBETWEEN(1620,2416)))</f>
        <v>71406342.851955593</v>
      </c>
      <c r="B12944">
        <v>200691917.56302518</v>
      </c>
    </row>
    <row r="12945" spans="1:2" x14ac:dyDescent="0.25">
      <c r="A12945">
        <f ca="1">28495.1721552343*((RANDBETWEEN(1620,2416)))</f>
        <v>65082973.202555075</v>
      </c>
      <c r="B12945">
        <v>189747053.61505288</v>
      </c>
    </row>
    <row r="12946" spans="1:2" x14ac:dyDescent="0.25">
      <c r="A12946">
        <f ca="1">27744.7232633184*((RANDBETWEEN(1620,2416)))</f>
        <v>46777603.421954893</v>
      </c>
      <c r="B12946">
        <v>166467249.18699658</v>
      </c>
    </row>
    <row r="12947" spans="1:2" x14ac:dyDescent="0.25">
      <c r="A12947">
        <f ca="1">33109.1876060426*((RANDBETWEEN(1620,2416)))</f>
        <v>71681391.167082146</v>
      </c>
      <c r="B12947">
        <v>160745069.46547434</v>
      </c>
    </row>
    <row r="12948" spans="1:2" x14ac:dyDescent="0.25">
      <c r="A12948">
        <f ca="1">28183.1644281243*((RANDBETWEEN(1620,2416)))</f>
        <v>51039710.77933313</v>
      </c>
      <c r="B12948">
        <v>155700968.67565233</v>
      </c>
    </row>
    <row r="12949" spans="1:2" x14ac:dyDescent="0.25">
      <c r="A12949">
        <f ca="1">31498.5934282367*((RANDBETWEEN(1620,2416)))</f>
        <v>59784330.326793194</v>
      </c>
      <c r="B12949">
        <v>164795518.94090462</v>
      </c>
    </row>
    <row r="12950" spans="1:2" x14ac:dyDescent="0.25">
      <c r="A12950">
        <f ca="1">25693.1216505736*((RANDBETWEEN(1620,2416)))</f>
        <v>54983280.332227446</v>
      </c>
      <c r="B12950">
        <v>145379271.65796489</v>
      </c>
    </row>
    <row r="12951" spans="1:2" x14ac:dyDescent="0.25">
      <c r="A12951">
        <f ca="1">30697.8685047624*((RANDBETWEEN(1620,2416)))</f>
        <v>56146401.495210506</v>
      </c>
      <c r="B12951">
        <v>199667368.34293535</v>
      </c>
    </row>
    <row r="12952" spans="1:2" x14ac:dyDescent="0.25">
      <c r="A12952">
        <f ca="1">28939.4894536853*((RANDBETWEEN(1620,2416)))</f>
        <v>50962440.927939817</v>
      </c>
      <c r="B12952">
        <v>172286118.32239816</v>
      </c>
    </row>
    <row r="12953" spans="1:2" x14ac:dyDescent="0.25">
      <c r="A12953">
        <f ca="1">30475.97016325*((RANDBETWEEN(1620,2416)))</f>
        <v>52113908.97915744</v>
      </c>
      <c r="B12953">
        <v>200587869.64238408</v>
      </c>
    </row>
    <row r="12954" spans="1:2" x14ac:dyDescent="0.25">
      <c r="A12954">
        <f ca="1">28054.4037892611*((RANDBETWEEN(1620,2416)))</f>
        <v>48057193.691004239</v>
      </c>
      <c r="B12954">
        <v>151647347.94250503</v>
      </c>
    </row>
    <row r="12955" spans="1:2" x14ac:dyDescent="0.25">
      <c r="A12955">
        <f ca="1">27209.075954596*((RANDBETWEEN(1620,2416)))</f>
        <v>53356997.946962722</v>
      </c>
      <c r="B12955">
        <v>151099231.25619924</v>
      </c>
    </row>
    <row r="12956" spans="1:2" x14ac:dyDescent="0.25">
      <c r="A12956">
        <f ca="1">26346.6038326952*((RANDBETWEEN(1620,2416)))</f>
        <v>62362411.271989562</v>
      </c>
      <c r="B12956">
        <v>144402466.16625798</v>
      </c>
    </row>
    <row r="12957" spans="1:2" x14ac:dyDescent="0.25">
      <c r="A12957">
        <f ca="1">27470.5693694029*((RANDBETWEEN(1620,2416)))</f>
        <v>45298968.890145443</v>
      </c>
      <c r="B12957">
        <v>143633427.4808076</v>
      </c>
    </row>
    <row r="12958" spans="1:2" x14ac:dyDescent="0.25">
      <c r="A12958">
        <f ca="1">28956.2282997727*((RANDBETWEEN(1620,2416)))</f>
        <v>56783163.695854284</v>
      </c>
      <c r="B12958">
        <v>181930573.95285898</v>
      </c>
    </row>
    <row r="12959" spans="1:2" x14ac:dyDescent="0.25">
      <c r="A12959">
        <f ca="1">28460.5967648694*((RANDBETWEEN(1620,2416)))</f>
        <v>51143692.386470288</v>
      </c>
      <c r="B12959">
        <v>148984463.53515553</v>
      </c>
    </row>
    <row r="12960" spans="1:2" x14ac:dyDescent="0.25">
      <c r="A12960">
        <f ca="1">27426.2956528032*((RANDBETWEEN(1620,2416)))</f>
        <v>66234504.00151971</v>
      </c>
      <c r="B12960">
        <v>192833711.2447691</v>
      </c>
    </row>
    <row r="12961" spans="1:2" x14ac:dyDescent="0.25">
      <c r="A12961">
        <f ca="1">30695.4733018974*((RANDBETWEEN(1620,2416)))</f>
        <v>70169851.968137443</v>
      </c>
      <c r="B12961">
        <v>163058346.93784878</v>
      </c>
    </row>
    <row r="12962" spans="1:2" x14ac:dyDescent="0.25">
      <c r="A12962">
        <f ca="1">26535.0163957356*((RANDBETWEEN(1620,2416)))</f>
        <v>56254234.758959413</v>
      </c>
      <c r="B12962">
        <v>150725325.15169743</v>
      </c>
    </row>
    <row r="12963" spans="1:2" x14ac:dyDescent="0.25">
      <c r="A12963">
        <f ca="1">28265.1127291867*((RANDBETWEEN(1620,2416)))</f>
        <v>49831393.741556101</v>
      </c>
      <c r="B12963">
        <v>168686704.62790662</v>
      </c>
    </row>
    <row r="12964" spans="1:2" x14ac:dyDescent="0.25">
      <c r="A12964">
        <f ca="1">27244.4171256211*((RANDBETWEEN(1620,2416)))</f>
        <v>62525937.303300343</v>
      </c>
      <c r="B12964">
        <v>165662529.48506367</v>
      </c>
    </row>
    <row r="12965" spans="1:2" x14ac:dyDescent="0.25">
      <c r="A12965">
        <f ca="1">26493.3253920089*((RANDBETWEEN(1620,2416)))</f>
        <v>63160087.734549202</v>
      </c>
      <c r="B12965">
        <v>152588959.1654495</v>
      </c>
    </row>
    <row r="12966" spans="1:2" x14ac:dyDescent="0.25">
      <c r="A12966">
        <f ca="1">26605.4393490936*((RANDBETWEEN(1620,2416)))</f>
        <v>44909981.621269934</v>
      </c>
      <c r="B12966">
        <v>150918403.85510597</v>
      </c>
    </row>
    <row r="12967" spans="1:2" x14ac:dyDescent="0.25">
      <c r="A12967">
        <f ca="1">27133.4891255022*((RANDBETWEEN(1620,2416)))</f>
        <v>48053409.241264366</v>
      </c>
      <c r="B12967">
        <v>159983962.78331861</v>
      </c>
    </row>
    <row r="12968" spans="1:2" x14ac:dyDescent="0.25">
      <c r="A12968">
        <f ca="1">28510.5015884315*((RANDBETWEEN(1620,2416)))</f>
        <v>63806502.554909751</v>
      </c>
      <c r="B12968">
        <v>174557545.31078249</v>
      </c>
    </row>
    <row r="12969" spans="1:2" x14ac:dyDescent="0.25">
      <c r="A12969">
        <f ca="1">26016.1227027679*((RANDBETWEEN(1620,2416)))</f>
        <v>60253340.179610386</v>
      </c>
      <c r="B12969">
        <v>145128718.00612378</v>
      </c>
    </row>
    <row r="12970" spans="1:2" x14ac:dyDescent="0.25">
      <c r="A12970">
        <f ca="1">27588.7742507696*((RANDBETWEEN(1620,2416)))</f>
        <v>59922817.672671624</v>
      </c>
      <c r="B12970">
        <v>154478519.75374556</v>
      </c>
    </row>
    <row r="12971" spans="1:2" x14ac:dyDescent="0.25">
      <c r="A12971">
        <f ca="1">28834.5200064179*((RANDBETWEEN(1620,2416)))</f>
        <v>60667830.093503185</v>
      </c>
      <c r="B12971">
        <v>203470479.31398055</v>
      </c>
    </row>
    <row r="12972" spans="1:2" x14ac:dyDescent="0.25">
      <c r="A12972">
        <f ca="1">28037.6757866962*((RANDBETWEEN(1620,2416)))</f>
        <v>56187502.276539132</v>
      </c>
      <c r="B12972">
        <v>191018801.62446123</v>
      </c>
    </row>
    <row r="12973" spans="1:2" x14ac:dyDescent="0.25">
      <c r="A12973">
        <f ca="1">27425.0382364396*((RANDBETWEEN(1620,2416)))</f>
        <v>62556512.217318781</v>
      </c>
      <c r="B12973">
        <v>151487070.29416162</v>
      </c>
    </row>
    <row r="12974" spans="1:2" x14ac:dyDescent="0.25">
      <c r="A12974">
        <f ca="1">26058.8603059385*((RANDBETWEEN(1620,2416)))</f>
        <v>43961297.336118281</v>
      </c>
      <c r="B12974">
        <v>194957772.77629334</v>
      </c>
    </row>
    <row r="12975" spans="1:2" x14ac:dyDescent="0.25">
      <c r="A12975">
        <f ca="1">28001.9501397542*((RANDBETWEEN(1620,2416)))</f>
        <v>63228403.415564954</v>
      </c>
      <c r="B12975">
        <v>189445712.85756022</v>
      </c>
    </row>
    <row r="12976" spans="1:2" x14ac:dyDescent="0.25">
      <c r="A12976">
        <f ca="1">26508.8641455984*((RANDBETWEEN(1620,2416)))</f>
        <v>47689446.597931571</v>
      </c>
      <c r="B12976">
        <v>165700289.04304543</v>
      </c>
    </row>
    <row r="12977" spans="1:2" x14ac:dyDescent="0.25">
      <c r="A12977">
        <f ca="1">25966.0911673202*((RANDBETWEEN(1620,2416)))</f>
        <v>60215365.417015515</v>
      </c>
      <c r="B12977">
        <v>151824317.15924722</v>
      </c>
    </row>
    <row r="12978" spans="1:2" x14ac:dyDescent="0.25">
      <c r="A12978">
        <f ca="1">30361.1181661215*((RANDBETWEEN(1620,2416)))</f>
        <v>55651929.598500714</v>
      </c>
      <c r="B12978">
        <v>163867956.76539916</v>
      </c>
    </row>
    <row r="12979" spans="1:2" x14ac:dyDescent="0.25">
      <c r="A12979">
        <f ca="1">28865.6159580757*((RANDBETWEEN(1620,2416)))</f>
        <v>54931267.168218084</v>
      </c>
      <c r="B12979">
        <v>172612561.4745892</v>
      </c>
    </row>
    <row r="12980" spans="1:2" x14ac:dyDescent="0.25">
      <c r="A12980">
        <f ca="1">31184.000658065*((RANDBETWEEN(1620,2416)))</f>
        <v>62212081.312839635</v>
      </c>
      <c r="B12980">
        <v>177001832.80085349</v>
      </c>
    </row>
    <row r="12981" spans="1:2" x14ac:dyDescent="0.25">
      <c r="A12981">
        <f ca="1">26510.7550816394*((RANDBETWEEN(1620,2416)))</f>
        <v>54983306.039320111</v>
      </c>
      <c r="B12981">
        <v>164667985.24042958</v>
      </c>
    </row>
    <row r="12982" spans="1:2" x14ac:dyDescent="0.25">
      <c r="A12982">
        <f ca="1">31578.7484333942*((RANDBETWEEN(1620,2416)))</f>
        <v>69031144.075399742</v>
      </c>
      <c r="B12982">
        <v>143180446.64140165</v>
      </c>
    </row>
    <row r="12983" spans="1:2" x14ac:dyDescent="0.25">
      <c r="A12983">
        <f ca="1">29154.4724548039*((RANDBETWEEN(1620,2416)))</f>
        <v>67317676.898142219</v>
      </c>
      <c r="B12983">
        <v>193054172.46467355</v>
      </c>
    </row>
    <row r="12984" spans="1:2" x14ac:dyDescent="0.25">
      <c r="A12984">
        <f ca="1">27710.9318256615*((RANDBETWEEN(1620,2416)))</f>
        <v>57888136.583806932</v>
      </c>
      <c r="B12984">
        <v>156051589.01390281</v>
      </c>
    </row>
    <row r="12985" spans="1:2" x14ac:dyDescent="0.25">
      <c r="A12985">
        <f ca="1">27587.4392710911*((RANDBETWEEN(1620,2416)))</f>
        <v>49547040.930879608</v>
      </c>
      <c r="B12985">
        <v>158705544.6688813</v>
      </c>
    </row>
    <row r="12986" spans="1:2" x14ac:dyDescent="0.25">
      <c r="A12986">
        <f ca="1">26225.1596494083*((RANDBETWEEN(1620,2416)))</f>
        <v>45841579.06716574</v>
      </c>
      <c r="B12986">
        <v>156858047.64853537</v>
      </c>
    </row>
    <row r="12987" spans="1:2" x14ac:dyDescent="0.25">
      <c r="A12987">
        <f ca="1">28695.7120198125*((RANDBETWEEN(1620,2416)))</f>
        <v>65397527.693152688</v>
      </c>
      <c r="B12987">
        <v>189637821.86524785</v>
      </c>
    </row>
    <row r="12988" spans="1:2" x14ac:dyDescent="0.25">
      <c r="A12988">
        <f ca="1">29394.6366235103*((RANDBETWEEN(1620,2416)))</f>
        <v>69136185.338496447</v>
      </c>
      <c r="B12988">
        <v>154104841.3435663</v>
      </c>
    </row>
    <row r="12989" spans="1:2" x14ac:dyDescent="0.25">
      <c r="A12989">
        <f ca="1">25120.7607647962*((RANDBETWEEN(1620,2416)))</f>
        <v>58255044.213562302</v>
      </c>
      <c r="B12989">
        <v>153837711.02270594</v>
      </c>
    </row>
    <row r="12990" spans="1:2" x14ac:dyDescent="0.25">
      <c r="A12990">
        <f ca="1">28061.3062640725*((RANDBETWEEN(1620,2416)))</f>
        <v>64400697.876046345</v>
      </c>
      <c r="B12990">
        <v>152428134.48523071</v>
      </c>
    </row>
    <row r="12991" spans="1:2" x14ac:dyDescent="0.25">
      <c r="A12991">
        <f ca="1">28052.6826964884*((RANDBETWEEN(1620,2416)))</f>
        <v>65587172.144389868</v>
      </c>
      <c r="B12991">
        <v>189089316.1935834</v>
      </c>
    </row>
    <row r="12992" spans="1:2" x14ac:dyDescent="0.25">
      <c r="A12992">
        <f ca="1">30339.3385394674*((RANDBETWEEN(1620,2416)))</f>
        <v>71145748.875051171</v>
      </c>
      <c r="B12992">
        <v>174113375.41380924</v>
      </c>
    </row>
    <row r="12993" spans="1:2" x14ac:dyDescent="0.25">
      <c r="A12993">
        <f ca="1">27828.6351109209*((RANDBETWEEN(1620,2416)))</f>
        <v>59859394.123590894</v>
      </c>
      <c r="B12993">
        <v>173888885.68177944</v>
      </c>
    </row>
    <row r="12994" spans="1:2" x14ac:dyDescent="0.25">
      <c r="A12994">
        <f ca="1">27484.7099133194*((RANDBETWEEN(1620,2416)))</f>
        <v>56920834.230484404</v>
      </c>
      <c r="B12994">
        <v>144715639.98707256</v>
      </c>
    </row>
    <row r="12995" spans="1:2" x14ac:dyDescent="0.25">
      <c r="A12995">
        <f ca="1">31713.598739818*((RANDBETWEEN(1620,2416)))</f>
        <v>63363770.282156289</v>
      </c>
      <c r="B12995">
        <v>179437518.5680128</v>
      </c>
    </row>
    <row r="12996" spans="1:2" x14ac:dyDescent="0.25">
      <c r="A12996">
        <f ca="1">28521.0816003471*((RANDBETWEEN(1620,2416)))</f>
        <v>52307663.655036643</v>
      </c>
      <c r="B12996">
        <v>192063059.66597986</v>
      </c>
    </row>
    <row r="12997" spans="1:2" x14ac:dyDescent="0.25">
      <c r="A12997">
        <f ca="1">26791.2950555903*((RANDBETWEEN(1620,2416)))</f>
        <v>62852378.200414926</v>
      </c>
      <c r="B12997">
        <v>151881712.7160131</v>
      </c>
    </row>
    <row r="12998" spans="1:2" x14ac:dyDescent="0.25">
      <c r="A12998">
        <f ca="1">27641.4602710125*((RANDBETWEEN(1620,2416)))</f>
        <v>59097442.05942481</v>
      </c>
      <c r="B12998">
        <v>182280118.51158088</v>
      </c>
    </row>
    <row r="12999" spans="1:2" x14ac:dyDescent="0.25">
      <c r="A12999">
        <f ca="1">26325.5173788237*((RANDBETWEEN(1620,2416)))</f>
        <v>53309172.692117944</v>
      </c>
      <c r="B12999">
        <v>167871327.45870855</v>
      </c>
    </row>
    <row r="13000" spans="1:2" x14ac:dyDescent="0.25">
      <c r="A13000">
        <f ca="1">26329.4699561381*((RANDBETWEEN(1620,2416)))</f>
        <v>43943885.356794536</v>
      </c>
      <c r="B13000">
        <v>150296598.06252214</v>
      </c>
    </row>
    <row r="13001" spans="1:2" x14ac:dyDescent="0.25">
      <c r="A13001">
        <f ca="1">29948.212620812*((RANDBETWEEN(1620,2416)))</f>
        <v>69509801.492904767</v>
      </c>
      <c r="B13001">
        <v>176809271.15033811</v>
      </c>
    </row>
    <row r="13002" spans="1:2" x14ac:dyDescent="0.25">
      <c r="A13002">
        <f ca="1">29712.273063829*((RANDBETWEEN(1620,2416)))</f>
        <v>70031827.611444995</v>
      </c>
      <c r="B13002">
        <v>165011694.52788761</v>
      </c>
    </row>
    <row r="13003" spans="1:2" x14ac:dyDescent="0.25">
      <c r="A13003">
        <f ca="1">26455.0645883745*((RANDBETWEEN(1620,2416)))</f>
        <v>52116477.239097729</v>
      </c>
      <c r="B13003">
        <v>174951344.88107771</v>
      </c>
    </row>
    <row r="13004" spans="1:2" x14ac:dyDescent="0.25">
      <c r="A13004">
        <f ca="1">27383.2634547725*((RANDBETWEEN(1620,2416)))</f>
        <v>62296924.35960748</v>
      </c>
      <c r="B13004">
        <v>166239397.68500435</v>
      </c>
    </row>
    <row r="13005" spans="1:2" x14ac:dyDescent="0.25">
      <c r="A13005">
        <f ca="1">27029.0743545031*((RANDBETWEEN(1620,2416)))</f>
        <v>51544444.794037379</v>
      </c>
      <c r="B13005">
        <v>154976277.68575957</v>
      </c>
    </row>
    <row r="13006" spans="1:2" x14ac:dyDescent="0.25">
      <c r="A13006">
        <f ca="1">28149.94680694*((RANDBETWEEN(1620,2416)))</f>
        <v>60860184.996604174</v>
      </c>
      <c r="B13006">
        <v>149060803.29193819</v>
      </c>
    </row>
    <row r="13007" spans="1:2" x14ac:dyDescent="0.25">
      <c r="A13007">
        <f ca="1">25235.8450612254*((RANDBETWEEN(1620,2416)))</f>
        <v>47897633.926205881</v>
      </c>
      <c r="B13007">
        <v>175419679.8173303</v>
      </c>
    </row>
    <row r="13008" spans="1:2" x14ac:dyDescent="0.25">
      <c r="A13008">
        <f ca="1">26783.5132112428*((RANDBETWEEN(1620,2416)))</f>
        <v>49147746.742630608</v>
      </c>
      <c r="B13008">
        <v>199907233.96173811</v>
      </c>
    </row>
    <row r="13009" spans="1:2" x14ac:dyDescent="0.25">
      <c r="A13009">
        <f ca="1">27385.6423488102*((RANDBETWEEN(1620,2416)))</f>
        <v>48636900.811486855</v>
      </c>
      <c r="B13009">
        <v>162965091.62048927</v>
      </c>
    </row>
    <row r="13010" spans="1:2" x14ac:dyDescent="0.25">
      <c r="A13010">
        <f ca="1">28262.7526893174*((RANDBETWEEN(1620,2416)))</f>
        <v>58136482.281925976</v>
      </c>
      <c r="B13010">
        <v>145919645.98261625</v>
      </c>
    </row>
    <row r="13011" spans="1:2" x14ac:dyDescent="0.25">
      <c r="A13011">
        <f ca="1">26293.1671378519*((RANDBETWEEN(1620,2416)))</f>
        <v>58633762.7174097</v>
      </c>
      <c r="B13011">
        <v>191342607.11226913</v>
      </c>
    </row>
    <row r="13012" spans="1:2" x14ac:dyDescent="0.25">
      <c r="A13012">
        <f ca="1">28162.5813387997*((RANDBETWEEN(1620,2416)))</f>
        <v>66829805.5169717</v>
      </c>
      <c r="B13012">
        <v>162284952.82839933</v>
      </c>
    </row>
    <row r="13013" spans="1:2" x14ac:dyDescent="0.25">
      <c r="A13013">
        <f ca="1">33472.6712571484*((RANDBETWEEN(1620,2416)))</f>
        <v>78225632.727955863</v>
      </c>
      <c r="B13013">
        <v>171161942.32907504</v>
      </c>
    </row>
    <row r="13014" spans="1:2" x14ac:dyDescent="0.25">
      <c r="A13014">
        <f ca="1">28584.9934853152*((RANDBETWEEN(1620,2416)))</f>
        <v>59056596.540661111</v>
      </c>
      <c r="B13014">
        <v>160243820.69138181</v>
      </c>
    </row>
    <row r="13015" spans="1:2" x14ac:dyDescent="0.25">
      <c r="A13015">
        <f ca="1">26584.4062047163*((RANDBETWEEN(1620,2416)))</f>
        <v>44209867.518443182</v>
      </c>
      <c r="B13015">
        <v>172978930.3928414</v>
      </c>
    </row>
    <row r="13016" spans="1:2" x14ac:dyDescent="0.25">
      <c r="A13016">
        <f ca="1">28400.7677506939*((RANDBETWEEN(1620,2416)))</f>
        <v>65293365.058845319</v>
      </c>
      <c r="B13016">
        <v>159121900.94489941</v>
      </c>
    </row>
    <row r="13017" spans="1:2" x14ac:dyDescent="0.25">
      <c r="A13017">
        <f ca="1">26739.0886822176*((RANDBETWEEN(1620,2416)))</f>
        <v>55162739.951414861</v>
      </c>
      <c r="B13017">
        <v>159832086.84860656</v>
      </c>
    </row>
    <row r="13018" spans="1:2" x14ac:dyDescent="0.25">
      <c r="A13018">
        <f ca="1">33079.5502005046*((RANDBETWEEN(1620,2416)))</f>
        <v>55904439.838852711</v>
      </c>
      <c r="B13018">
        <v>200954957.29727623</v>
      </c>
    </row>
    <row r="13019" spans="1:2" x14ac:dyDescent="0.25">
      <c r="A13019">
        <f ca="1">26811.2567895801*((RANDBETWEEN(1620,2416)))</f>
        <v>55955092.919853643</v>
      </c>
      <c r="B13019">
        <v>182923793.81094822</v>
      </c>
    </row>
    <row r="13020" spans="1:2" x14ac:dyDescent="0.25">
      <c r="A13020">
        <f ca="1">27787.4288360644*((RANDBETWEEN(1620,2416)))</f>
        <v>65300457.764751263</v>
      </c>
      <c r="B13020">
        <v>147103225.69506121</v>
      </c>
    </row>
    <row r="13021" spans="1:2" x14ac:dyDescent="0.25">
      <c r="A13021">
        <f ca="1">25598.7118857833*((RANDBETWEEN(1620,2416)))</f>
        <v>51811792.856825374</v>
      </c>
      <c r="B13021">
        <v>192472655.35371625</v>
      </c>
    </row>
    <row r="13022" spans="1:2" x14ac:dyDescent="0.25">
      <c r="A13022">
        <f ca="1">26269.9716038087*((RANDBETWEEN(1620,2416)))</f>
        <v>46497849.738741376</v>
      </c>
      <c r="B13022">
        <v>175575725.01863125</v>
      </c>
    </row>
    <row r="13023" spans="1:2" x14ac:dyDescent="0.25">
      <c r="A13023">
        <f ca="1">28729.1566645324*((RANDBETWEEN(1620,2416)))</f>
        <v>55476001.51921206</v>
      </c>
      <c r="B13023">
        <v>185386311.67218032</v>
      </c>
    </row>
    <row r="13024" spans="1:2" x14ac:dyDescent="0.25">
      <c r="A13024">
        <f ca="1">27723.560167624*((RANDBETWEEN(1620,2416)))</f>
        <v>50845009.347422458</v>
      </c>
      <c r="B13024">
        <v>147608675.99371856</v>
      </c>
    </row>
    <row r="13025" spans="1:2" x14ac:dyDescent="0.25">
      <c r="A13025">
        <f ca="1">28263.8103683974*((RANDBETWEEN(1620,2416)))</f>
        <v>59325737.963266075</v>
      </c>
      <c r="B13025">
        <v>158459505.32433939</v>
      </c>
    </row>
    <row r="13026" spans="1:2" x14ac:dyDescent="0.25">
      <c r="A13026">
        <f ca="1">25713.8222892959*((RANDBETWEEN(1620,2416)))</f>
        <v>45153471.940003581</v>
      </c>
      <c r="B13026">
        <v>152314100.31735522</v>
      </c>
    </row>
    <row r="13027" spans="1:2" x14ac:dyDescent="0.25">
      <c r="A13027">
        <f ca="1">25312.7837734833*((RANDBETWEEN(1620,2416)))</f>
        <v>51688704.465452984</v>
      </c>
      <c r="B13027">
        <v>151120717.69968146</v>
      </c>
    </row>
    <row r="13028" spans="1:2" x14ac:dyDescent="0.25">
      <c r="A13028">
        <f ca="1">27910.3894045076*((RANDBETWEEN(1620,2416)))</f>
        <v>45549755.508156344</v>
      </c>
      <c r="B13028">
        <v>161116536.09743139</v>
      </c>
    </row>
    <row r="13029" spans="1:2" x14ac:dyDescent="0.25">
      <c r="A13029">
        <f ca="1">26688.3147871541*((RANDBETWEEN(1620,2416)))</f>
        <v>55324876.553770497</v>
      </c>
      <c r="B13029">
        <v>143936078.93473408</v>
      </c>
    </row>
    <row r="13030" spans="1:2" x14ac:dyDescent="0.25">
      <c r="A13030">
        <f ca="1">26839.0980848202*((RANDBETWEEN(1620,2416)))</f>
        <v>50833251.772649534</v>
      </c>
      <c r="B13030">
        <v>172509456.32711792</v>
      </c>
    </row>
    <row r="13031" spans="1:2" x14ac:dyDescent="0.25">
      <c r="A13031">
        <f ca="1">28727.4047378114*((RANDBETWEEN(1620,2416)))</f>
        <v>54696978.620792918</v>
      </c>
      <c r="B13031">
        <v>176592654.99417716</v>
      </c>
    </row>
    <row r="13032" spans="1:2" x14ac:dyDescent="0.25">
      <c r="A13032">
        <f ca="1">33689.0453127723*((RANDBETWEEN(1620,2416)))</f>
        <v>70241659.477130264</v>
      </c>
      <c r="B13032">
        <v>170852015.25725022</v>
      </c>
    </row>
    <row r="13033" spans="1:2" x14ac:dyDescent="0.25">
      <c r="A13033">
        <f ca="1">26938.6440529166*((RANDBETWEEN(1620,2416)))</f>
        <v>56301766.070595756</v>
      </c>
      <c r="B13033">
        <v>150721054.86877239</v>
      </c>
    </row>
    <row r="13034" spans="1:2" x14ac:dyDescent="0.25">
      <c r="A13034">
        <f ca="1">26355.5458637037*((RANDBETWEEN(1620,2416)))</f>
        <v>55979179.414506681</v>
      </c>
      <c r="B13034">
        <v>148076922.35010704</v>
      </c>
    </row>
    <row r="13035" spans="1:2" x14ac:dyDescent="0.25">
      <c r="A13035">
        <f ca="1">31063.774278238*((RANDBETWEEN(1620,2416)))</f>
        <v>72720295.585355192</v>
      </c>
      <c r="B13035">
        <v>144206048.79422462</v>
      </c>
    </row>
    <row r="13036" spans="1:2" x14ac:dyDescent="0.25">
      <c r="A13036">
        <f ca="1">27050.648451437*((RANDBETWEEN(1620,2416)))</f>
        <v>56427652.669697478</v>
      </c>
      <c r="B13036">
        <v>175387802.93855992</v>
      </c>
    </row>
    <row r="13037" spans="1:2" x14ac:dyDescent="0.25">
      <c r="A13037">
        <f ca="1">26576.7421989181*((RANDBETWEEN(1620,2416)))</f>
        <v>60063437.369554937</v>
      </c>
      <c r="B13037">
        <v>143851627.19332463</v>
      </c>
    </row>
    <row r="13038" spans="1:2" x14ac:dyDescent="0.25">
      <c r="A13038">
        <f ca="1">27224.2717273904*((RANDBETWEEN(1620,2416)))</f>
        <v>51317752.206130981</v>
      </c>
      <c r="B13038">
        <v>162559015.45222676</v>
      </c>
    </row>
    <row r="13039" spans="1:2" x14ac:dyDescent="0.25">
      <c r="A13039">
        <f ca="1">26252.3750690885*((RANDBETWEEN(1620,2416)))</f>
        <v>56731382.524300329</v>
      </c>
      <c r="B13039">
        <v>193797192.78944883</v>
      </c>
    </row>
    <row r="13040" spans="1:2" x14ac:dyDescent="0.25">
      <c r="A13040">
        <f ca="1">30275.6911440456*((RANDBETWEEN(1620,2416)))</f>
        <v>51589777.709453732</v>
      </c>
      <c r="B13040">
        <v>192017640.23260799</v>
      </c>
    </row>
    <row r="13041" spans="1:2" x14ac:dyDescent="0.25">
      <c r="A13041">
        <f ca="1">27906.433588382*((RANDBETWEEN(1620,2416)))</f>
        <v>62147627.601326711</v>
      </c>
      <c r="B13041">
        <v>176689380.31749755</v>
      </c>
    </row>
    <row r="13042" spans="1:2" x14ac:dyDescent="0.25">
      <c r="A13042">
        <f ca="1">31755.3079417173*((RANDBETWEEN(1620,2416)))</f>
        <v>59795244.854253754</v>
      </c>
      <c r="B13042">
        <v>184395742.56017509</v>
      </c>
    </row>
    <row r="13043" spans="1:2" x14ac:dyDescent="0.25">
      <c r="A13043">
        <f ca="1">27281.117854868*((RANDBETWEEN(1620,2416)))</f>
        <v>44359097.632015415</v>
      </c>
      <c r="B13043">
        <v>179261287.57303157</v>
      </c>
    </row>
    <row r="13044" spans="1:2" x14ac:dyDescent="0.25">
      <c r="A13044">
        <f ca="1">29663.3057769082*((RANDBETWEEN(1620,2416)))</f>
        <v>54610145.935287997</v>
      </c>
      <c r="B13044">
        <v>185119211.27534634</v>
      </c>
    </row>
    <row r="13045" spans="1:2" x14ac:dyDescent="0.25">
      <c r="A13045">
        <f ca="1">27550.6493725296*((RANDBETWEEN(1620,2416)))</f>
        <v>62044062.38693659</v>
      </c>
      <c r="B13045">
        <v>169795672.36923796</v>
      </c>
    </row>
    <row r="13046" spans="1:2" x14ac:dyDescent="0.25">
      <c r="A13046">
        <f ca="1">25806.3700046769*((RANDBETWEEN(1620,2416)))</f>
        <v>48567588.348801859</v>
      </c>
      <c r="B13046">
        <v>150104943.87551588</v>
      </c>
    </row>
    <row r="13047" spans="1:2" x14ac:dyDescent="0.25">
      <c r="A13047">
        <f ca="1">30556.999622647*((RANDBETWEEN(1620,2416)))</f>
        <v>55277612.317368351</v>
      </c>
      <c r="B13047">
        <v>198342374.90486035</v>
      </c>
    </row>
    <row r="13048" spans="1:2" x14ac:dyDescent="0.25">
      <c r="A13048">
        <f ca="1">28062.8518921917*((RANDBETWEEN(1620,2416)))</f>
        <v>65639010.575836278</v>
      </c>
      <c r="B13048">
        <v>176738023.73517877</v>
      </c>
    </row>
    <row r="13049" spans="1:2" x14ac:dyDescent="0.25">
      <c r="A13049">
        <f ca="1">23902.0827332523*((RANDBETWEEN(1620,2416)))</f>
        <v>55906971.513077073</v>
      </c>
      <c r="B13049">
        <v>144679737.81997043</v>
      </c>
    </row>
    <row r="13050" spans="1:2" x14ac:dyDescent="0.25">
      <c r="A13050">
        <f ca="1">27184.8256298849*((RANDBETWEEN(1620,2416)))</f>
        <v>65107657.38357424</v>
      </c>
      <c r="B13050">
        <v>196830406.65209579</v>
      </c>
    </row>
    <row r="13051" spans="1:2" x14ac:dyDescent="0.25">
      <c r="A13051">
        <f ca="1">25432.1374062316*((RANDBETWEEN(1620,2416)))</f>
        <v>57934409.011395536</v>
      </c>
      <c r="B13051">
        <v>142918787.02598935</v>
      </c>
    </row>
    <row r="13052" spans="1:2" x14ac:dyDescent="0.25">
      <c r="A13052">
        <f ca="1">27031.0997177672*((RANDBETWEEN(1620,2416)))</f>
        <v>57873584.495739587</v>
      </c>
      <c r="B13052">
        <v>157433707.83646685</v>
      </c>
    </row>
    <row r="13053" spans="1:2" x14ac:dyDescent="0.25">
      <c r="A13053">
        <f ca="1">25573.7447211107*((RANDBETWEEN(1620,2416)))</f>
        <v>42810448.663139388</v>
      </c>
      <c r="B13053">
        <v>143684710.60390925</v>
      </c>
    </row>
    <row r="13054" spans="1:2" x14ac:dyDescent="0.25">
      <c r="A13054">
        <f ca="1">28196.7450382823*((RANDBETWEEN(1620,2416)))</f>
        <v>55293817.02007167</v>
      </c>
      <c r="B13054">
        <v>176827679.98963293</v>
      </c>
    </row>
    <row r="13055" spans="1:2" x14ac:dyDescent="0.25">
      <c r="A13055">
        <f ca="1">26527.7419581046*((RANDBETWEEN(1620,2416)))</f>
        <v>53082011.658167332</v>
      </c>
      <c r="B13055">
        <v>143077126.87695909</v>
      </c>
    </row>
    <row r="13056" spans="1:2" x14ac:dyDescent="0.25">
      <c r="A13056">
        <f ca="1">32167.8034664624*((RANDBETWEEN(1620,2416)))</f>
        <v>68099239.938500807</v>
      </c>
      <c r="B13056">
        <v>201203688.01760575</v>
      </c>
    </row>
    <row r="13057" spans="1:2" x14ac:dyDescent="0.25">
      <c r="A13057">
        <f ca="1">28132.8834199404*((RANDBETWEEN(1620,2416)))</f>
        <v>47488307.212859444</v>
      </c>
      <c r="B13057">
        <v>170176361.09494615</v>
      </c>
    </row>
    <row r="13058" spans="1:2" x14ac:dyDescent="0.25">
      <c r="A13058">
        <f ca="1">25291.059910957*((RANDBETWEEN(1620,2416)))</f>
        <v>55311548.0252629</v>
      </c>
      <c r="B13058">
        <v>202187168.66048998</v>
      </c>
    </row>
    <row r="13059" spans="1:2" x14ac:dyDescent="0.25">
      <c r="A13059">
        <f ca="1">32049.7840088004*((RANDBETWEEN(1620,2416)))</f>
        <v>61375336.376852758</v>
      </c>
      <c r="B13059">
        <v>182271260.46822152</v>
      </c>
    </row>
    <row r="13060" spans="1:2" x14ac:dyDescent="0.25">
      <c r="A13060">
        <f ca="1">29004.9064013966*((RANDBETWEEN(1620,2416)))</f>
        <v>66218201.314388461</v>
      </c>
      <c r="B13060">
        <v>189576618.83068049</v>
      </c>
    </row>
    <row r="13061" spans="1:2" x14ac:dyDescent="0.25">
      <c r="A13061">
        <f ca="1">30586.094580489*((RANDBETWEEN(1620,2416)))</f>
        <v>54443248.353270352</v>
      </c>
      <c r="B13061">
        <v>149464716.47613904</v>
      </c>
    </row>
    <row r="13062" spans="1:2" x14ac:dyDescent="0.25">
      <c r="A13062">
        <f ca="1">27949.008864069*((RANDBETWEEN(1620,2416)))</f>
        <v>56708538.985196076</v>
      </c>
      <c r="B13062">
        <v>179512390.77326521</v>
      </c>
    </row>
    <row r="13063" spans="1:2" x14ac:dyDescent="0.25">
      <c r="A13063">
        <f ca="1">27961.1730961528*((RANDBETWEEN(1620,2416)))</f>
        <v>55447006.249671057</v>
      </c>
      <c r="B13063">
        <v>157965489.03970066</v>
      </c>
    </row>
    <row r="13064" spans="1:2" x14ac:dyDescent="0.25">
      <c r="A13064">
        <f ca="1">28199.1547309258*((RANDBETWEEN(1620,2416)))</f>
        <v>57949262.972052582</v>
      </c>
      <c r="B13064">
        <v>177804553.2652007</v>
      </c>
    </row>
    <row r="13065" spans="1:2" x14ac:dyDescent="0.25">
      <c r="A13065">
        <f ca="1">30204.2214388776*((RANDBETWEEN(1620,2416)))</f>
        <v>71674617.474456429</v>
      </c>
      <c r="B13065">
        <v>173130392.64378685</v>
      </c>
    </row>
    <row r="13066" spans="1:2" x14ac:dyDescent="0.25">
      <c r="A13066">
        <f ca="1">27570.3424658748*((RANDBETWEEN(1620,2416)))</f>
        <v>59110814.246835515</v>
      </c>
      <c r="B13066">
        <v>179635149.02533019</v>
      </c>
    </row>
    <row r="13067" spans="1:2" x14ac:dyDescent="0.25">
      <c r="A13067">
        <f ca="1">30591.7331763152*((RANDBETWEEN(1620,2416)))</f>
        <v>62131810.081096113</v>
      </c>
      <c r="B13067">
        <v>172084092.16567153</v>
      </c>
    </row>
    <row r="13068" spans="1:2" x14ac:dyDescent="0.25">
      <c r="A13068">
        <f ca="1">26044.1369005303*((RANDBETWEEN(1620,2416)))</f>
        <v>51541346.926149465</v>
      </c>
      <c r="B13068">
        <v>155436451.8164393</v>
      </c>
    </row>
    <row r="13069" spans="1:2" x14ac:dyDescent="0.25">
      <c r="A13069">
        <f ca="1">26584.8431452807*((RANDBETWEEN(1620,2416)))</f>
        <v>61756590.626487002</v>
      </c>
      <c r="B13069">
        <v>179256440.43231073</v>
      </c>
    </row>
    <row r="13070" spans="1:2" x14ac:dyDescent="0.25">
      <c r="A13070">
        <f ca="1">27949.093287902*((RANDBETWEEN(1620,2416)))</f>
        <v>54053546.418802485</v>
      </c>
      <c r="B13070">
        <v>167000259.16570741</v>
      </c>
    </row>
    <row r="13071" spans="1:2" x14ac:dyDescent="0.25">
      <c r="A13071">
        <f ca="1">26795.2424866143*((RANDBETWEEN(1620,2416)))</f>
        <v>47641941.141200267</v>
      </c>
      <c r="B13071">
        <v>161104928.61664745</v>
      </c>
    </row>
    <row r="13072" spans="1:2" x14ac:dyDescent="0.25">
      <c r="A13072">
        <f ca="1">31004.4828162117*((RANDBETWEEN(1620,2416)))</f>
        <v>51808490.785889767</v>
      </c>
      <c r="B13072">
        <v>165814349.3608582</v>
      </c>
    </row>
    <row r="13073" spans="1:2" x14ac:dyDescent="0.25">
      <c r="A13073">
        <f ca="1">29658.9620226323*((RANDBETWEEN(1620,2416)))</f>
        <v>58339178.298517816</v>
      </c>
      <c r="B13073">
        <v>164998576.93301895</v>
      </c>
    </row>
    <row r="13074" spans="1:2" x14ac:dyDescent="0.25">
      <c r="A13074">
        <f ca="1">26957.2627018711*((RANDBETWEEN(1620,2416)))</f>
        <v>63268695.561291434</v>
      </c>
      <c r="B13074">
        <v>162188843.60079816</v>
      </c>
    </row>
    <row r="13075" spans="1:2" x14ac:dyDescent="0.25">
      <c r="A13075">
        <f ca="1">25305.9137343222*((RANDBETWEEN(1620,2416)))</f>
        <v>57672177.400520198</v>
      </c>
      <c r="B13075">
        <v>146831623.04184854</v>
      </c>
    </row>
    <row r="13076" spans="1:2" x14ac:dyDescent="0.25">
      <c r="A13076">
        <f ca="1">26825.777783228*((RANDBETWEEN(1620,2416)))</f>
        <v>59392272.012066841</v>
      </c>
      <c r="B13076">
        <v>176216221.47362113</v>
      </c>
    </row>
    <row r="13077" spans="1:2" x14ac:dyDescent="0.25">
      <c r="A13077">
        <f ca="1">30230.373073332*((RANDBETWEEN(1620,2416)))</f>
        <v>52570618.774524309</v>
      </c>
      <c r="B13077">
        <v>170117524.97183123</v>
      </c>
    </row>
    <row r="13078" spans="1:2" x14ac:dyDescent="0.25">
      <c r="A13078">
        <f ca="1">27155.9370010253*((RANDBETWEEN(1620,2416)))</f>
        <v>46518120.082756318</v>
      </c>
      <c r="B13078">
        <v>189554804.23490205</v>
      </c>
    </row>
    <row r="13079" spans="1:2" x14ac:dyDescent="0.25">
      <c r="A13079">
        <f ca="1">25178.7078453881*((RANDBETWEEN(1620,2416)))</f>
        <v>51314206.588900939</v>
      </c>
      <c r="B13079">
        <v>144969897.7363162</v>
      </c>
    </row>
    <row r="13080" spans="1:2" x14ac:dyDescent="0.25">
      <c r="A13080">
        <f ca="1">27856.6735086395*((RANDBETWEEN(1620,2416)))</f>
        <v>61674675.148127876</v>
      </c>
      <c r="B13080">
        <v>143628361.88493791</v>
      </c>
    </row>
    <row r="13081" spans="1:2" x14ac:dyDescent="0.25">
      <c r="A13081">
        <f ca="1">27715.7820810444*((RANDBETWEEN(1620,2416)))</f>
        <v>59561215.692164481</v>
      </c>
      <c r="B13081">
        <v>156464487.81444579</v>
      </c>
    </row>
    <row r="13082" spans="1:2" x14ac:dyDescent="0.25">
      <c r="A13082">
        <f ca="1">26658.3615038872*((RANDBETWEEN(1620,2416)))</f>
        <v>56915601.810799137</v>
      </c>
      <c r="B13082">
        <v>158504420.0299364</v>
      </c>
    </row>
    <row r="13083" spans="1:2" x14ac:dyDescent="0.25">
      <c r="A13083">
        <f ca="1">29937.540565609*((RANDBETWEEN(1620,2416)))</f>
        <v>58707517.049159236</v>
      </c>
      <c r="B13083">
        <v>175158492.50501752</v>
      </c>
    </row>
    <row r="13084" spans="1:2" x14ac:dyDescent="0.25">
      <c r="A13084">
        <f ca="1">26829.0102551691*((RANDBETWEEN(1620,2416)))</f>
        <v>61331117.443316661</v>
      </c>
      <c r="B13084">
        <v>145531598.9194504</v>
      </c>
    </row>
    <row r="13085" spans="1:2" x14ac:dyDescent="0.25">
      <c r="A13085">
        <f ca="1">28330.5439795359*((RANDBETWEEN(1620,2416)))</f>
        <v>56576096.327133253</v>
      </c>
      <c r="B13085">
        <v>157190788.66377664</v>
      </c>
    </row>
    <row r="13086" spans="1:2" x14ac:dyDescent="0.25">
      <c r="A13086">
        <f ca="1">27151.6387125892*((RANDBETWEEN(1620,2416)))</f>
        <v>59624998.61284595</v>
      </c>
      <c r="B13086">
        <v>147065383.31765729</v>
      </c>
    </row>
    <row r="13087" spans="1:2" x14ac:dyDescent="0.25">
      <c r="A13087">
        <f ca="1">31117.3112526184*((RANDBETWEEN(1620,2416)))</f>
        <v>52277082.904398955</v>
      </c>
      <c r="B13087">
        <v>184735348.5206193</v>
      </c>
    </row>
    <row r="13088" spans="1:2" x14ac:dyDescent="0.25">
      <c r="A13088">
        <f ca="1">26843.0694974154*((RANDBETWEEN(1620,2416)))</f>
        <v>48559112.720824435</v>
      </c>
      <c r="B13088">
        <v>170493521.14186603</v>
      </c>
    </row>
    <row r="13089" spans="1:2" x14ac:dyDescent="0.25">
      <c r="A13089">
        <f ca="1">28220.0929255083*((RANDBETWEEN(1620,2416)))</f>
        <v>49131181.783309974</v>
      </c>
      <c r="B13089">
        <v>174955769.32192457</v>
      </c>
    </row>
    <row r="13090" spans="1:2" x14ac:dyDescent="0.25">
      <c r="A13090">
        <f ca="1">26312.5850137894*((RANDBETWEEN(1620,2416)))</f>
        <v>50414912.886420466</v>
      </c>
      <c r="B13090">
        <v>152078935.42091066</v>
      </c>
    </row>
    <row r="13091" spans="1:2" x14ac:dyDescent="0.25">
      <c r="A13091">
        <f ca="1">27366.2990750056*((RANDBETWEEN(1620,2416)))</f>
        <v>47945755.979409881</v>
      </c>
      <c r="B13091">
        <v>148388423.60523841</v>
      </c>
    </row>
    <row r="13092" spans="1:2" x14ac:dyDescent="0.25">
      <c r="A13092">
        <f ca="1">27850.1876764927*((RANDBETWEEN(1620,2416)))</f>
        <v>53193858.462100983</v>
      </c>
      <c r="B13092">
        <v>144699707.55380765</v>
      </c>
    </row>
    <row r="13093" spans="1:2" x14ac:dyDescent="0.25">
      <c r="A13093">
        <f ca="1">27364.436275784*((RANDBETWEEN(1620,2416)))</f>
        <v>60639590.787137292</v>
      </c>
      <c r="B13093">
        <v>158139063.65429321</v>
      </c>
    </row>
    <row r="13094" spans="1:2" x14ac:dyDescent="0.25">
      <c r="A13094">
        <f ca="1">30389.2219775078*((RANDBETWEEN(1620,2416)))</f>
        <v>64941767.365934066</v>
      </c>
      <c r="B13094">
        <v>201399934.12471557</v>
      </c>
    </row>
    <row r="13095" spans="1:2" x14ac:dyDescent="0.25">
      <c r="A13095">
        <f ca="1">27786.6780411373*((RANDBETWEEN(1620,2416)))</f>
        <v>61130691.690502122</v>
      </c>
      <c r="B13095">
        <v>189051816.47764358</v>
      </c>
    </row>
    <row r="13096" spans="1:2" x14ac:dyDescent="0.25">
      <c r="A13096">
        <f ca="1">26914.6337497425*((RANDBETWEEN(1620,2416)))</f>
        <v>57516572.323199689</v>
      </c>
      <c r="B13096">
        <v>158679816.97117478</v>
      </c>
    </row>
    <row r="13097" spans="1:2" x14ac:dyDescent="0.25">
      <c r="A13097">
        <f ca="1">28569.5721860896*((RANDBETWEEN(1620,2416)))</f>
        <v>64595802.712748654</v>
      </c>
      <c r="B13097">
        <v>151683996.4613325</v>
      </c>
    </row>
    <row r="13098" spans="1:2" x14ac:dyDescent="0.25">
      <c r="A13098">
        <f ca="1">27332.35566311*((RANDBETWEEN(1620,2416)))</f>
        <v>63903047.540351234</v>
      </c>
      <c r="B13098">
        <v>165500364.67351475</v>
      </c>
    </row>
    <row r="13099" spans="1:2" x14ac:dyDescent="0.25">
      <c r="A13099">
        <f ca="1">25838.8610984492*((RANDBETWEEN(1620,2416)))</f>
        <v>45863978.449747354</v>
      </c>
      <c r="B13099">
        <v>147176303.11218551</v>
      </c>
    </row>
    <row r="13100" spans="1:2" x14ac:dyDescent="0.25">
      <c r="A13100">
        <f ca="1">24714.9815268495*((RANDBETWEEN(1620,2416)))</f>
        <v>59587820.461234033</v>
      </c>
      <c r="B13100">
        <v>156765047.0057348</v>
      </c>
    </row>
    <row r="13101" spans="1:2" x14ac:dyDescent="0.25">
      <c r="A13101">
        <f ca="1">25947.6362671879*((RANDBETWEEN(1620,2416)))</f>
        <v>59523877.596929133</v>
      </c>
      <c r="B13101">
        <v>145601793.45723459</v>
      </c>
    </row>
    <row r="13102" spans="1:2" x14ac:dyDescent="0.25">
      <c r="A13102">
        <f ca="1">26032.6233990524*((RANDBETWEEN(1620,2416)))</f>
        <v>53965628.306235634</v>
      </c>
      <c r="B13102">
        <v>143931014.50366634</v>
      </c>
    </row>
    <row r="13103" spans="1:2" x14ac:dyDescent="0.25">
      <c r="A13103">
        <f ca="1">28497.3244250826*((RANDBETWEEN(1620,2416)))</f>
        <v>48331462.224940069</v>
      </c>
      <c r="B13103">
        <v>187014642.54709828</v>
      </c>
    </row>
    <row r="13104" spans="1:2" x14ac:dyDescent="0.25">
      <c r="A13104">
        <f ca="1">27007.3864369355*((RANDBETWEEN(1620,2416)))</f>
        <v>64655683.130023673</v>
      </c>
      <c r="B13104">
        <v>162245610.66170597</v>
      </c>
    </row>
    <row r="13105" spans="1:2" x14ac:dyDescent="0.25">
      <c r="A13105">
        <f ca="1">28688.3611529814*((RANDBETWEEN(1620,2416)))</f>
        <v>68450429.711013645</v>
      </c>
      <c r="B13105">
        <v>143609881.8939274</v>
      </c>
    </row>
    <row r="13106" spans="1:2" x14ac:dyDescent="0.25">
      <c r="A13106">
        <f ca="1">27764.3068057194*((RANDBETWEEN(1620,2416)))</f>
        <v>51558317.73822093</v>
      </c>
      <c r="B13106">
        <v>175104557.56557736</v>
      </c>
    </row>
    <row r="13107" spans="1:2" x14ac:dyDescent="0.25">
      <c r="A13107">
        <f ca="1">26809.5637753234*((RANDBETWEEN(1620,2416)))</f>
        <v>44074922.846631698</v>
      </c>
      <c r="B13107">
        <v>169974860.89437786</v>
      </c>
    </row>
    <row r="13108" spans="1:2" x14ac:dyDescent="0.25">
      <c r="A13108">
        <f ca="1">30715.940367317*((RANDBETWEEN(1620,2416)))</f>
        <v>70738810.66593115</v>
      </c>
      <c r="B13108">
        <v>182782535.97977093</v>
      </c>
    </row>
    <row r="13109" spans="1:2" x14ac:dyDescent="0.25">
      <c r="A13109">
        <f ca="1">28417.5472465078*((RANDBETWEEN(1620,2416)))</f>
        <v>68315783.580604851</v>
      </c>
      <c r="B13109">
        <v>167315535.92587489</v>
      </c>
    </row>
    <row r="13110" spans="1:2" x14ac:dyDescent="0.25">
      <c r="A13110">
        <f ca="1">27059.2033500846*((RANDBETWEEN(1620,2416)))</f>
        <v>60260845.860638514</v>
      </c>
      <c r="B13110">
        <v>194777313.21460649</v>
      </c>
    </row>
    <row r="13111" spans="1:2" x14ac:dyDescent="0.25">
      <c r="A13111">
        <f ca="1">29150.9381445558*((RANDBETWEEN(1620,2416)))</f>
        <v>51946971.7735985</v>
      </c>
      <c r="B13111">
        <v>192852787.50699034</v>
      </c>
    </row>
    <row r="13112" spans="1:2" x14ac:dyDescent="0.25">
      <c r="A13112">
        <f ca="1">32293.2774537468*((RANDBETWEEN(1620,2416)))</f>
        <v>72595287.716022849</v>
      </c>
      <c r="B13112">
        <v>153897291.19108385</v>
      </c>
    </row>
    <row r="13113" spans="1:2" x14ac:dyDescent="0.25">
      <c r="A13113">
        <f ca="1">26997.6877957231*((RANDBETWEEN(1620,2416)))</f>
        <v>44546184.862943187</v>
      </c>
      <c r="B13113">
        <v>152250713.56755355</v>
      </c>
    </row>
    <row r="13114" spans="1:2" x14ac:dyDescent="0.25">
      <c r="A13114">
        <f ca="1">26551.3451383714*((RANDBETWEEN(1620,2416)))</f>
        <v>49146539.851125546</v>
      </c>
      <c r="B13114">
        <v>192162560.28453016</v>
      </c>
    </row>
    <row r="13115" spans="1:2" x14ac:dyDescent="0.25">
      <c r="A13115">
        <f ca="1">29623.23252958*((RANDBETWEEN(1620,2416)))</f>
        <v>56432257.96884983</v>
      </c>
      <c r="B13115">
        <v>164621887.65210772</v>
      </c>
    </row>
    <row r="13116" spans="1:2" x14ac:dyDescent="0.25">
      <c r="A13116">
        <f ca="1">27624.3743479493*((RANDBETWEEN(1620,2416)))</f>
        <v>47182431.386297397</v>
      </c>
      <c r="B13116">
        <v>152192147.52546299</v>
      </c>
    </row>
    <row r="13117" spans="1:2" x14ac:dyDescent="0.25">
      <c r="A13117">
        <f ca="1">26547.7490011503*((RANDBETWEEN(1620,2416)))</f>
        <v>54821101.687375285</v>
      </c>
      <c r="B13117">
        <v>157589937.18245867</v>
      </c>
    </row>
    <row r="13118" spans="1:2" x14ac:dyDescent="0.25">
      <c r="A13118">
        <f ca="1">29361.889014875*((RANDBETWEEN(1620,2416)))</f>
        <v>56668445.798708707</v>
      </c>
      <c r="B13118">
        <v>168917715.84915775</v>
      </c>
    </row>
    <row r="13119" spans="1:2" x14ac:dyDescent="0.25">
      <c r="A13119">
        <f ca="1">32142.8565743485*((RANDBETWEEN(1620,2416)))</f>
        <v>74185712.973596364</v>
      </c>
      <c r="B13119">
        <v>168783339.31937504</v>
      </c>
    </row>
    <row r="13120" spans="1:2" x14ac:dyDescent="0.25">
      <c r="A13120">
        <f ca="1">26275.4099131072*((RANDBETWEEN(1620,2416)))</f>
        <v>50764091.952123024</v>
      </c>
      <c r="B13120">
        <v>188238929.88628072</v>
      </c>
    </row>
    <row r="13121" spans="1:2" x14ac:dyDescent="0.25">
      <c r="A13121">
        <f ca="1">25997.7404980623*((RANDBETWEEN(1620,2416)))</f>
        <v>61432660.796921156</v>
      </c>
      <c r="B13121">
        <v>161153697.28492415</v>
      </c>
    </row>
    <row r="13122" spans="1:2" x14ac:dyDescent="0.25">
      <c r="A13122">
        <f ca="1">26730.7678179631*((RANDBETWEEN(1620,2416)))</f>
        <v>48195574.375787459</v>
      </c>
      <c r="B13122">
        <v>157460610.18955934</v>
      </c>
    </row>
    <row r="13123" spans="1:2" x14ac:dyDescent="0.25">
      <c r="A13123">
        <f ca="1">30519.9286185845*((RANDBETWEEN(1620,2416)))</f>
        <v>52555317.081202529</v>
      </c>
      <c r="B13123">
        <v>177947696.59638536</v>
      </c>
    </row>
    <row r="13124" spans="1:2" x14ac:dyDescent="0.25">
      <c r="A13124">
        <f ca="1">28885.767121026*((RANDBETWEEN(1620,2416)))</f>
        <v>64213060.310040884</v>
      </c>
      <c r="B13124">
        <v>172485933.27861491</v>
      </c>
    </row>
    <row r="13125" spans="1:2" x14ac:dyDescent="0.25">
      <c r="A13125">
        <f ca="1">27300.8472568625*((RANDBETWEEN(1620,2416)))</f>
        <v>51598601.315470204</v>
      </c>
      <c r="B13125">
        <v>186727787.51347753</v>
      </c>
    </row>
    <row r="13126" spans="1:2" x14ac:dyDescent="0.25">
      <c r="A13126">
        <f ca="1">26536.0672138418*((RANDBETWEEN(1620,2416)))</f>
        <v>54319329.586734064</v>
      </c>
      <c r="B13126">
        <v>157765490.50080276</v>
      </c>
    </row>
    <row r="13127" spans="1:2" x14ac:dyDescent="0.25">
      <c r="A13127">
        <f ca="1">26339.7286998747*((RANDBETWEEN(1620,2416)))</f>
        <v>46515960.883978657</v>
      </c>
      <c r="B13127">
        <v>158736339.85990739</v>
      </c>
    </row>
    <row r="13128" spans="1:2" x14ac:dyDescent="0.25">
      <c r="A13128">
        <f ca="1">26061.6862302517*((RANDBETWEEN(1620,2416)))</f>
        <v>56475674.060955368</v>
      </c>
      <c r="B13128">
        <v>163503522.08789891</v>
      </c>
    </row>
    <row r="13129" spans="1:2" x14ac:dyDescent="0.25">
      <c r="A13129">
        <f ca="1">27438.8468776612*((RANDBETWEEN(1620,2416)))</f>
        <v>51667348.670635954</v>
      </c>
      <c r="B13129">
        <v>181142687.35476601</v>
      </c>
    </row>
    <row r="13130" spans="1:2" x14ac:dyDescent="0.25">
      <c r="A13130">
        <f ca="1">29398.0070482914*((RANDBETWEEN(1620,2416)))</f>
        <v>66939262.048959628</v>
      </c>
      <c r="B13130">
        <v>188427693.47346866</v>
      </c>
    </row>
    <row r="13131" spans="1:2" x14ac:dyDescent="0.25">
      <c r="A13131">
        <f ca="1">27035.4765454154*((RANDBETWEEN(1620,2416)))</f>
        <v>50313021.851018131</v>
      </c>
      <c r="B13131">
        <v>196841798.59826383</v>
      </c>
    </row>
    <row r="13132" spans="1:2" x14ac:dyDescent="0.25">
      <c r="A13132">
        <f ca="1">31037.7495031599*((RANDBETWEEN(1620,2416)))</f>
        <v>71293710.608758196</v>
      </c>
      <c r="B13132">
        <v>182101855.09235203</v>
      </c>
    </row>
    <row r="13133" spans="1:2" x14ac:dyDescent="0.25">
      <c r="A13133">
        <f ca="1">25576.1741782751*((RANDBETWEEN(1620,2416)))</f>
        <v>61792036.814712636</v>
      </c>
      <c r="B13133">
        <v>150769813.70730698</v>
      </c>
    </row>
    <row r="13134" spans="1:2" x14ac:dyDescent="0.25">
      <c r="A13134">
        <f ca="1">26749.1120190159*((RANDBETWEEN(1620,2416)))</f>
        <v>44055787.495319135</v>
      </c>
      <c r="B13134">
        <v>151523590.19496548</v>
      </c>
    </row>
    <row r="13135" spans="1:2" x14ac:dyDescent="0.25">
      <c r="A13135">
        <f ca="1">25733.3947694114*((RANDBETWEEN(1620,2416)))</f>
        <v>42202767.42183464</v>
      </c>
      <c r="B13135">
        <v>153144252.53184327</v>
      </c>
    </row>
    <row r="13136" spans="1:2" x14ac:dyDescent="0.25">
      <c r="A13136">
        <f ca="1">27056.8549464563*((RANDBETWEEN(1620,2416)))</f>
        <v>60580298.225115597</v>
      </c>
      <c r="B13136">
        <v>153594021.962607</v>
      </c>
    </row>
    <row r="13137" spans="1:2" x14ac:dyDescent="0.25">
      <c r="A13137">
        <f ca="1">26796.416959179*((RANDBETWEEN(1620,2416)))</f>
        <v>51529509.812501252</v>
      </c>
      <c r="B13137">
        <v>145249652.74470907</v>
      </c>
    </row>
    <row r="13138" spans="1:2" x14ac:dyDescent="0.25">
      <c r="A13138">
        <f ca="1">30036.8515008114*((RANDBETWEEN(1620,2416)))</f>
        <v>63708162.033221066</v>
      </c>
      <c r="B13138">
        <v>185962687.84174645</v>
      </c>
    </row>
    <row r="13139" spans="1:2" x14ac:dyDescent="0.25">
      <c r="A13139">
        <f ca="1">26453.0417959253*((RANDBETWEEN(1620,2416)))</f>
        <v>56503697.276096344</v>
      </c>
      <c r="B13139">
        <v>158989578.19525722</v>
      </c>
    </row>
    <row r="13140" spans="1:2" x14ac:dyDescent="0.25">
      <c r="A13140">
        <f ca="1">30262.7056092119*((RANDBETWEEN(1620,2416)))</f>
        <v>59859631.695021085</v>
      </c>
      <c r="B13140">
        <v>169911420.26724041</v>
      </c>
    </row>
    <row r="13141" spans="1:2" x14ac:dyDescent="0.25">
      <c r="A13141">
        <f ca="1">26416.0973586193*((RANDBETWEEN(1620,2416)))</f>
        <v>43718641.128514886</v>
      </c>
      <c r="B13141">
        <v>151109314.51233625</v>
      </c>
    </row>
    <row r="13142" spans="1:2" x14ac:dyDescent="0.25">
      <c r="A13142">
        <f ca="1">31979.6605325137*((RANDBETWEEN(1620,2416)))</f>
        <v>76079612.406850144</v>
      </c>
      <c r="B13142">
        <v>144671193.20509982</v>
      </c>
    </row>
    <row r="13143" spans="1:2" x14ac:dyDescent="0.25">
      <c r="A13143">
        <f ca="1">33883.8463719548*((RANDBETWEEN(1620,2416)))</f>
        <v>68038763.514885291</v>
      </c>
      <c r="B13143">
        <v>163644230.67742056</v>
      </c>
    </row>
    <row r="13144" spans="1:2" x14ac:dyDescent="0.25">
      <c r="A13144">
        <f ca="1">26805.5663134728*((RANDBETWEEN(1620,2416)))</f>
        <v>47285018.976965964</v>
      </c>
      <c r="B13144">
        <v>180893594.49501297</v>
      </c>
    </row>
    <row r="13145" spans="1:2" x14ac:dyDescent="0.25">
      <c r="A13145">
        <f ca="1">29178.6499619926*((RANDBETWEEN(1620,2416)))</f>
        <v>61304343.570146382</v>
      </c>
      <c r="B13145">
        <v>200325726.67379051</v>
      </c>
    </row>
    <row r="13146" spans="1:2" x14ac:dyDescent="0.25">
      <c r="A13146">
        <f ca="1">31480.3954194345*((RANDBETWEEN(1620,2416)))</f>
        <v>56822113.73207926</v>
      </c>
      <c r="B13146">
        <v>197148432.19351959</v>
      </c>
    </row>
    <row r="13147" spans="1:2" x14ac:dyDescent="0.25">
      <c r="A13147">
        <f ca="1">28803.2022261119*((RANDBETWEEN(1620,2416)))</f>
        <v>54178823.38731651</v>
      </c>
      <c r="B13147">
        <v>159834235.08509272</v>
      </c>
    </row>
    <row r="13148" spans="1:2" x14ac:dyDescent="0.25">
      <c r="A13148">
        <f ca="1">25053.8948738635*((RANDBETWEEN(1620,2416)))</f>
        <v>58049874.422741622</v>
      </c>
      <c r="B13148">
        <v>171574644.79159614</v>
      </c>
    </row>
    <row r="13149" spans="1:2" x14ac:dyDescent="0.25">
      <c r="A13149">
        <f ca="1">28167.5311867636*((RANDBETWEEN(1620,2416)))</f>
        <v>47462290.049696647</v>
      </c>
      <c r="B13149">
        <v>160930848.08945736</v>
      </c>
    </row>
    <row r="13150" spans="1:2" x14ac:dyDescent="0.25">
      <c r="A13150">
        <f ca="1">27313.5210325584*((RANDBETWEEN(1620,2416)))</f>
        <v>54954804.317507587</v>
      </c>
      <c r="B13150">
        <v>184971104.93052337</v>
      </c>
    </row>
    <row r="13151" spans="1:2" x14ac:dyDescent="0.25">
      <c r="A13151">
        <f ca="1">32831.6881707756*((RANDBETWEEN(1620,2416)))</f>
        <v>61920563.890082762</v>
      </c>
      <c r="B13151">
        <v>177274372.63769418</v>
      </c>
    </row>
    <row r="13152" spans="1:2" x14ac:dyDescent="0.25">
      <c r="A13152">
        <f ca="1">26966.1634735121*((RANDBETWEEN(1620,2416)))</f>
        <v>47972804.819378108</v>
      </c>
      <c r="B13152">
        <v>165551177.66529924</v>
      </c>
    </row>
    <row r="13153" spans="1:2" x14ac:dyDescent="0.25">
      <c r="A13153">
        <f ca="1">25298.8403365043*((RANDBETWEEN(1620,2416)))</f>
        <v>59249884.068092987</v>
      </c>
      <c r="B13153">
        <v>154394017.81594196</v>
      </c>
    </row>
    <row r="13154" spans="1:2" x14ac:dyDescent="0.25">
      <c r="A13154">
        <f ca="1">27296.8292171494*((RANDBETWEEN(1620,2416)))</f>
        <v>58114949.403311141</v>
      </c>
      <c r="B13154">
        <v>162999212.26052374</v>
      </c>
    </row>
    <row r="13155" spans="1:2" x14ac:dyDescent="0.25">
      <c r="A13155">
        <f ca="1">26885.0832989435*((RANDBETWEEN(1620,2416)))</f>
        <v>62507818.670043729</v>
      </c>
      <c r="B13155">
        <v>184556767.7594282</v>
      </c>
    </row>
    <row r="13156" spans="1:2" x14ac:dyDescent="0.25">
      <c r="A13156">
        <f ca="1">26728.3756910275*((RANDBETWEEN(1620,2416)))</f>
        <v>57572921.238473251</v>
      </c>
      <c r="B13156">
        <v>163588787.60375544</v>
      </c>
    </row>
    <row r="13157" spans="1:2" x14ac:dyDescent="0.25">
      <c r="A13157">
        <f ca="1">26660.0762619517*((RANDBETWEEN(1620,2416)))</f>
        <v>53160192.066331692</v>
      </c>
      <c r="B13157">
        <v>166646316.79205412</v>
      </c>
    </row>
    <row r="13158" spans="1:2" x14ac:dyDescent="0.25">
      <c r="A13158">
        <f ca="1">27758.8175811414*((RANDBETWEEN(1620,2416)))</f>
        <v>58543346.27862715</v>
      </c>
      <c r="B13158">
        <v>147539093.39494893</v>
      </c>
    </row>
    <row r="13159" spans="1:2" x14ac:dyDescent="0.25">
      <c r="A13159">
        <f ca="1">30208.5392728223*((RANDBETWEEN(1620,2416)))</f>
        <v>65673364.379115582</v>
      </c>
      <c r="B13159">
        <v>157081383.27892128</v>
      </c>
    </row>
    <row r="13160" spans="1:2" x14ac:dyDescent="0.25">
      <c r="A13160">
        <f ca="1">32602.5943419744*((RANDBETWEEN(1620,2416)))</f>
        <v>61227672.174227871</v>
      </c>
      <c r="B13160">
        <v>175217717.67063057</v>
      </c>
    </row>
    <row r="13161" spans="1:2" x14ac:dyDescent="0.25">
      <c r="A13161">
        <f ca="1">27515.4319848413*((RANDBETWEEN(1620,2416)))</f>
        <v>64523688.00445278</v>
      </c>
      <c r="B13161">
        <v>169405648.42380944</v>
      </c>
    </row>
    <row r="13162" spans="1:2" x14ac:dyDescent="0.25">
      <c r="A13162">
        <f ca="1">29562.38086922*((RANDBETWEEN(1620,2416)))</f>
        <v>63263495.060130723</v>
      </c>
      <c r="B13162">
        <v>180443030.98198146</v>
      </c>
    </row>
    <row r="13163" spans="1:2" x14ac:dyDescent="0.25">
      <c r="A13163">
        <f ca="1">28741.8187382825*((RANDBETWEEN(1620,2416)))</f>
        <v>63289484.861697979</v>
      </c>
      <c r="B13163">
        <v>178187627.27395386</v>
      </c>
    </row>
    <row r="13164" spans="1:2" x14ac:dyDescent="0.25">
      <c r="A13164">
        <f ca="1">28772.9275269132*((RANDBETWEEN(1620,2416)))</f>
        <v>59358549.488021985</v>
      </c>
      <c r="B13164">
        <v>195216522.07004926</v>
      </c>
    </row>
    <row r="13165" spans="1:2" x14ac:dyDescent="0.25">
      <c r="A13165">
        <f ca="1">26582.4557415964*((RANDBETWEEN(1620,2416)))</f>
        <v>49842104.515493184</v>
      </c>
      <c r="B13165">
        <v>155337777.3282688</v>
      </c>
    </row>
    <row r="13166" spans="1:2" x14ac:dyDescent="0.25">
      <c r="A13166">
        <f ca="1">29150.4934204555*((RANDBETWEEN(1620,2416)))</f>
        <v>57455622.53171771</v>
      </c>
      <c r="B13166">
        <v>189243339.43406618</v>
      </c>
    </row>
    <row r="13167" spans="1:2" x14ac:dyDescent="0.25">
      <c r="A13167">
        <f ca="1">25987.0022638003*((RANDBETWEEN(1620,2416)))</f>
        <v>46282851.031828299</v>
      </c>
      <c r="B13167">
        <v>202477651.76685089</v>
      </c>
    </row>
    <row r="13168" spans="1:2" x14ac:dyDescent="0.25">
      <c r="A13168">
        <f ca="1">26412.660925957*((RANDBETWEEN(1620,2416)))</f>
        <v>63654512.831556372</v>
      </c>
      <c r="B13168">
        <v>152496393.41458151</v>
      </c>
    </row>
    <row r="13169" spans="1:2" x14ac:dyDescent="0.25">
      <c r="A13169">
        <f ca="1">26724.2573310343*((RANDBETWEEN(1620,2416)))</f>
        <v>60557167.112123668</v>
      </c>
      <c r="B13169">
        <v>155047148.39760193</v>
      </c>
    </row>
    <row r="13170" spans="1:2" x14ac:dyDescent="0.25">
      <c r="A13170">
        <f ca="1">29460.0200918324*((RANDBETWEEN(1620,2416)))</f>
        <v>57358659.118797675</v>
      </c>
      <c r="B13170">
        <v>147727081.97331828</v>
      </c>
    </row>
    <row r="13171" spans="1:2" x14ac:dyDescent="0.25">
      <c r="A13171">
        <f ca="1">28204.3763405535*((RANDBETWEEN(1620,2416)))</f>
        <v>54237015.702884361</v>
      </c>
      <c r="B13171">
        <v>186687132.58581048</v>
      </c>
    </row>
    <row r="13172" spans="1:2" x14ac:dyDescent="0.25">
      <c r="A13172">
        <f ca="1">31018.0699259888*((RANDBETWEEN(1620,2416)))</f>
        <v>51769158.706475362</v>
      </c>
      <c r="B13172">
        <v>197122056.11052752</v>
      </c>
    </row>
    <row r="13173" spans="1:2" x14ac:dyDescent="0.25">
      <c r="A13173">
        <f ca="1">30209.5580543498*((RANDBETWEEN(1620,2416)))</f>
        <v>55615796.378057949</v>
      </c>
      <c r="B13173">
        <v>195979562.4829627</v>
      </c>
    </row>
    <row r="13174" spans="1:2" x14ac:dyDescent="0.25">
      <c r="A13174">
        <f ca="1">28490.8034113392*((RANDBETWEEN(1620,2416)))</f>
        <v>49972869.18348901</v>
      </c>
      <c r="B13174">
        <v>174598287.07340404</v>
      </c>
    </row>
    <row r="13175" spans="1:2" x14ac:dyDescent="0.25">
      <c r="A13175">
        <f ca="1">27309.7651542708*((RANDBETWEEN(1620,2416)))</f>
        <v>51915863.558268793</v>
      </c>
      <c r="B13175">
        <v>150060636.79167399</v>
      </c>
    </row>
    <row r="13176" spans="1:2" x14ac:dyDescent="0.25">
      <c r="A13176">
        <f ca="1">26553.0008870509*((RANDBETWEEN(1620,2416)))</f>
        <v>61895045.067715749</v>
      </c>
      <c r="B13176">
        <v>149652350.65297413</v>
      </c>
    </row>
    <row r="13177" spans="1:2" x14ac:dyDescent="0.25">
      <c r="A13177">
        <f ca="1">29195.7837355782*((RANDBETWEEN(1620,2416)))</f>
        <v>47705910.623934761</v>
      </c>
      <c r="B13177">
        <v>162839362.50169119</v>
      </c>
    </row>
    <row r="13178" spans="1:2" x14ac:dyDescent="0.25">
      <c r="A13178">
        <f ca="1">32234.397231162*((RANDBETWEEN(1620,2416)))</f>
        <v>65049013.612484992</v>
      </c>
      <c r="B13178">
        <v>200718657.5019643</v>
      </c>
    </row>
    <row r="13179" spans="1:2" x14ac:dyDescent="0.25">
      <c r="A13179">
        <f ca="1">27507.0231744639*((RANDBETWEEN(1620,2416)))</f>
        <v>62495956.652382009</v>
      </c>
      <c r="B13179">
        <v>173098202.83292782</v>
      </c>
    </row>
    <row r="13180" spans="1:2" x14ac:dyDescent="0.25">
      <c r="A13180">
        <f ca="1">28709.1355208957*((RANDBETWEEN(1620,2416)))</f>
        <v>64509427.515452653</v>
      </c>
      <c r="B13180">
        <v>147011315.84779745</v>
      </c>
    </row>
    <row r="13181" spans="1:2" x14ac:dyDescent="0.25">
      <c r="A13181">
        <f ca="1">29864.6044766019*((RANDBETWEEN(1620,2416)))</f>
        <v>50590639.983363636</v>
      </c>
      <c r="B13181">
        <v>158269853.19149214</v>
      </c>
    </row>
    <row r="13182" spans="1:2" x14ac:dyDescent="0.25">
      <c r="A13182">
        <f ca="1">27652.7387528642*((RANDBETWEEN(1620,2416)))</f>
        <v>56135059.668314278</v>
      </c>
      <c r="B13182">
        <v>203230379.07884648</v>
      </c>
    </row>
    <row r="13183" spans="1:2" x14ac:dyDescent="0.25">
      <c r="A13183">
        <f ca="1">27642.3927709182*((RANDBETWEEN(1620,2416)))</f>
        <v>49645737.416569121</v>
      </c>
      <c r="B13183">
        <v>185785131.99709466</v>
      </c>
    </row>
    <row r="13184" spans="1:2" x14ac:dyDescent="0.25">
      <c r="A13184">
        <f ca="1">31770.6476497207*((RANDBETWEEN(1620,2416)))</f>
        <v>72500617.936662808</v>
      </c>
      <c r="B13184">
        <v>153220684.15658662</v>
      </c>
    </row>
    <row r="13185" spans="1:2" x14ac:dyDescent="0.25">
      <c r="A13185">
        <f ca="1">28083.2885034788*((RANDBETWEEN(1620,2416)))</f>
        <v>60912652.764045551</v>
      </c>
      <c r="B13185">
        <v>155141461.04365152</v>
      </c>
    </row>
    <row r="13186" spans="1:2" x14ac:dyDescent="0.25">
      <c r="A13186">
        <f ca="1">28375.9127228871*((RANDBETWEEN(1620,2416)))</f>
        <v>55162774.333292454</v>
      </c>
      <c r="B13186">
        <v>178401009.61962557</v>
      </c>
    </row>
    <row r="13187" spans="1:2" x14ac:dyDescent="0.25">
      <c r="A13187">
        <f ca="1">26329.5569646575*((RANDBETWEEN(1620,2416)))</f>
        <v>53501659.752183981</v>
      </c>
      <c r="B13187">
        <v>191541824.56594807</v>
      </c>
    </row>
    <row r="13188" spans="1:2" x14ac:dyDescent="0.25">
      <c r="A13188">
        <f ca="1">27659.9428135416*((RANDBETWEEN(1620,2416)))</f>
        <v>65443424.696839429</v>
      </c>
      <c r="B13188">
        <v>150607839.34749225</v>
      </c>
    </row>
    <row r="13189" spans="1:2" x14ac:dyDescent="0.25">
      <c r="A13189">
        <f ca="1">28027.1132580815*((RANDBETWEEN(1620,2416)))</f>
        <v>55381575.797969095</v>
      </c>
      <c r="B13189">
        <v>155340704.1924597</v>
      </c>
    </row>
    <row r="13190" spans="1:2" x14ac:dyDescent="0.25">
      <c r="A13190">
        <f ca="1">30261.2840750391*((RANDBETWEEN(1620,2416)))</f>
        <v>69177295.395539388</v>
      </c>
      <c r="B13190">
        <v>182524159.14046159</v>
      </c>
    </row>
    <row r="13191" spans="1:2" x14ac:dyDescent="0.25">
      <c r="A13191">
        <f ca="1">27310.4175246938*((RANDBETWEEN(1620,2416)))</f>
        <v>47301643.152769744</v>
      </c>
      <c r="B13191">
        <v>155251574.96875504</v>
      </c>
    </row>
    <row r="13192" spans="1:2" x14ac:dyDescent="0.25">
      <c r="A13192">
        <f ca="1">26079.0340635648*((RANDBETWEEN(1620,2416)))</f>
        <v>48741714.664802656</v>
      </c>
      <c r="B13192">
        <v>147332130.43919107</v>
      </c>
    </row>
    <row r="13193" spans="1:2" x14ac:dyDescent="0.25">
      <c r="A13193">
        <f ca="1">26797.8573358737*((RANDBETWEEN(1620,2416)))</f>
        <v>55391171.113250896</v>
      </c>
      <c r="B13193">
        <v>170910111.34447324</v>
      </c>
    </row>
    <row r="13194" spans="1:2" x14ac:dyDescent="0.25">
      <c r="A13194">
        <f ca="1">27594.0671442814*((RANDBETWEEN(1620,2416)))</f>
        <v>50993836.082632065</v>
      </c>
      <c r="B13194">
        <v>171500831.82977515</v>
      </c>
    </row>
    <row r="13195" spans="1:2" x14ac:dyDescent="0.25">
      <c r="A13195">
        <f ca="1">26209.4984161225*((RANDBETWEEN(1620,2416)))</f>
        <v>43769862.354924649</v>
      </c>
      <c r="B13195">
        <v>158030240.78987545</v>
      </c>
    </row>
    <row r="13196" spans="1:2" x14ac:dyDescent="0.25">
      <c r="A13196">
        <f ca="1">27306.6596475786*((RANDBETWEEN(1620,2416)))</f>
        <v>64143343.512162067</v>
      </c>
      <c r="B13196">
        <v>145461586.5930694</v>
      </c>
    </row>
    <row r="13197" spans="1:2" x14ac:dyDescent="0.25">
      <c r="A13197">
        <f ca="1">27233.6303640205*((RANDBETWEEN(1620,2416)))</f>
        <v>48993301.024872832</v>
      </c>
      <c r="B13197">
        <v>186155728.47285315</v>
      </c>
    </row>
    <row r="13198" spans="1:2" x14ac:dyDescent="0.25">
      <c r="A13198">
        <f ca="1">27577.5007627133*((RANDBETWEEN(1620,2416)))</f>
        <v>48122738.830934763</v>
      </c>
      <c r="B13198">
        <v>160378585.68908778</v>
      </c>
    </row>
    <row r="13199" spans="1:2" x14ac:dyDescent="0.25">
      <c r="A13199">
        <f ca="1">30294.6369195388*((RANDBETWEEN(1620,2416)))</f>
        <v>64345808.817100361</v>
      </c>
      <c r="B13199">
        <v>203657360.03942421</v>
      </c>
    </row>
    <row r="13200" spans="1:2" x14ac:dyDescent="0.25">
      <c r="A13200">
        <f ca="1">25568.8591425468*((RANDBETWEEN(1620,2416)))</f>
        <v>49859275.32796628</v>
      </c>
      <c r="B13200">
        <v>145392204.35633957</v>
      </c>
    </row>
    <row r="13201" spans="1:2" x14ac:dyDescent="0.25">
      <c r="A13201">
        <f ca="1">26968.4918166749*((RANDBETWEEN(1620,2416)))</f>
        <v>62216310.621068902</v>
      </c>
      <c r="B13201">
        <v>172620491.68850762</v>
      </c>
    </row>
    <row r="13202" spans="1:2" x14ac:dyDescent="0.25">
      <c r="A13202">
        <f ca="1">28716.3259725872*((RANDBETWEEN(1620,2416)))</f>
        <v>63577945.703308083</v>
      </c>
      <c r="B13202">
        <v>171974256.72523841</v>
      </c>
    </row>
    <row r="13203" spans="1:2" x14ac:dyDescent="0.25">
      <c r="A13203">
        <f ca="1">26671.7710659893*((RANDBETWEEN(1620,2416)))</f>
        <v>51636548.783755355</v>
      </c>
      <c r="B13203">
        <v>188873779.30421719</v>
      </c>
    </row>
    <row r="13204" spans="1:2" x14ac:dyDescent="0.25">
      <c r="A13204">
        <f ca="1">25579.9708915399*((RANDBETWEEN(1620,2416)))</f>
        <v>42283691.883715488</v>
      </c>
      <c r="B13204">
        <v>164773239.96044895</v>
      </c>
    </row>
    <row r="13205" spans="1:2" x14ac:dyDescent="0.25">
      <c r="A13205">
        <f ca="1">26056.1222465991*((RANDBETWEEN(1620,2416)))</f>
        <v>61622729.113206893</v>
      </c>
      <c r="B13205">
        <v>155843982.11569598</v>
      </c>
    </row>
    <row r="13206" spans="1:2" x14ac:dyDescent="0.25">
      <c r="A13206">
        <f ca="1">27909.1380709923*((RANDBETWEEN(1620,2416)))</f>
        <v>45715168.160285354</v>
      </c>
      <c r="B13206">
        <v>156081144.5910604</v>
      </c>
    </row>
    <row r="13207" spans="1:2" x14ac:dyDescent="0.25">
      <c r="A13207">
        <f ca="1">25629.64825674*((RANDBETWEEN(1620,2416)))</f>
        <v>60357821.644622795</v>
      </c>
      <c r="B13207">
        <v>170610650.18807647</v>
      </c>
    </row>
    <row r="13208" spans="1:2" x14ac:dyDescent="0.25">
      <c r="A13208">
        <f ca="1">26692.1897139796*((RANDBETWEEN(1620,2416)))</f>
        <v>54665604.534230277</v>
      </c>
      <c r="B13208">
        <v>183253647.05399355</v>
      </c>
    </row>
    <row r="13209" spans="1:2" x14ac:dyDescent="0.25">
      <c r="A13209">
        <f ca="1">27841.4432676948*((RANDBETWEEN(1620,2416)))</f>
        <v>50699268.190472282</v>
      </c>
      <c r="B13209">
        <v>163192310.87754154</v>
      </c>
    </row>
    <row r="13210" spans="1:2" x14ac:dyDescent="0.25">
      <c r="A13210">
        <f ca="1">26788.5843764729*((RANDBETWEEN(1620,2416)))</f>
        <v>59229560.056381643</v>
      </c>
      <c r="B13210">
        <v>164995897.74349087</v>
      </c>
    </row>
    <row r="13211" spans="1:2" x14ac:dyDescent="0.25">
      <c r="A13211">
        <f ca="1">27692.7760253513*((RANDBETWEEN(1620,2416)))</f>
        <v>56050178.675310999</v>
      </c>
      <c r="B13211">
        <v>146371389.07118919</v>
      </c>
    </row>
    <row r="13212" spans="1:2" x14ac:dyDescent="0.25">
      <c r="A13212">
        <f ca="1">28860.8070916177*((RANDBETWEEN(1620,2416)))</f>
        <v>64648207.885223635</v>
      </c>
      <c r="B13212">
        <v>155417308.03151587</v>
      </c>
    </row>
    <row r="13213" spans="1:2" x14ac:dyDescent="0.25">
      <c r="A13213">
        <f ca="1">28380.3162370701*((RANDBETWEEN(1620,2416)))</f>
        <v>66778884.105825886</v>
      </c>
      <c r="B13213">
        <v>176360734.88056198</v>
      </c>
    </row>
    <row r="13214" spans="1:2" x14ac:dyDescent="0.25">
      <c r="A13214">
        <f ca="1">27589.2324155842*((RANDBETWEEN(1620,2416)))</f>
        <v>47977675.170700848</v>
      </c>
      <c r="B13214">
        <v>148337898.63646382</v>
      </c>
    </row>
    <row r="13215" spans="1:2" x14ac:dyDescent="0.25">
      <c r="A13215">
        <f ca="1">26137.8481509305*((RANDBETWEEN(1620,2416)))</f>
        <v>59332915.302612342</v>
      </c>
      <c r="B13215">
        <v>163847613.17407084</v>
      </c>
    </row>
    <row r="13216" spans="1:2" x14ac:dyDescent="0.25">
      <c r="A13216">
        <f ca="1">26836.8063852306*((RANDBETWEEN(1620,2416)))</f>
        <v>46132470.176211342</v>
      </c>
      <c r="B13216">
        <v>145936131.85298583</v>
      </c>
    </row>
    <row r="13217" spans="1:2" x14ac:dyDescent="0.25">
      <c r="A13217">
        <f ca="1">26210.7410689354*((RANDBETWEEN(1620,2416)))</f>
        <v>43745726.844053261</v>
      </c>
      <c r="B13217">
        <v>166403817.7324878</v>
      </c>
    </row>
    <row r="13218" spans="1:2" x14ac:dyDescent="0.25">
      <c r="A13218">
        <f ca="1">26448.1059274959*((RANDBETWEEN(1620,2416)))</f>
        <v>53980584.198019058</v>
      </c>
      <c r="B13218">
        <v>171194038.24997854</v>
      </c>
    </row>
    <row r="13219" spans="1:2" x14ac:dyDescent="0.25">
      <c r="A13219">
        <f ca="1">28681.1447940166*((RANDBETWEEN(1620,2416)))</f>
        <v>50019916.520764939</v>
      </c>
      <c r="B13219">
        <v>153159397.62291375</v>
      </c>
    </row>
    <row r="13220" spans="1:2" x14ac:dyDescent="0.25">
      <c r="A13220">
        <f ca="1">27647.6903584785*((RANDBETWEEN(1620,2416)))</f>
        <v>61875531.022274941</v>
      </c>
      <c r="B13220">
        <v>144538335.82361227</v>
      </c>
    </row>
    <row r="13221" spans="1:2" x14ac:dyDescent="0.25">
      <c r="A13221">
        <f ca="1">29808.948220731*((RANDBETWEEN(1620,2416)))</f>
        <v>53208972.574004866</v>
      </c>
      <c r="B13221">
        <v>192415956.91704977</v>
      </c>
    </row>
    <row r="13222" spans="1:2" x14ac:dyDescent="0.25">
      <c r="A13222">
        <f ca="1">29765.2390541661*((RANDBETWEEN(1620,2416)))</f>
        <v>52565412.169657342</v>
      </c>
      <c r="B13222">
        <v>157647998.77472618</v>
      </c>
    </row>
    <row r="13223" spans="1:2" x14ac:dyDescent="0.25">
      <c r="A13223">
        <f ca="1">26179.9467137907*((RANDBETWEEN(1620,2416)))</f>
        <v>56705764.582070626</v>
      </c>
      <c r="B13223">
        <v>172867718.1711238</v>
      </c>
    </row>
    <row r="13224" spans="1:2" x14ac:dyDescent="0.25">
      <c r="A13224">
        <f ca="1">34848.6577884477*((RANDBETWEEN(1620,2416)))</f>
        <v>66665482.349300355</v>
      </c>
      <c r="B13224">
        <v>169363123.3709853</v>
      </c>
    </row>
    <row r="13225" spans="1:2" x14ac:dyDescent="0.25">
      <c r="A13225">
        <f ca="1">28267.8861380017*((RANDBETWEEN(1620,2416)))</f>
        <v>66599139.741132118</v>
      </c>
      <c r="B13225">
        <v>185925194.17300928</v>
      </c>
    </row>
    <row r="13226" spans="1:2" x14ac:dyDescent="0.25">
      <c r="A13226">
        <f ca="1">26181.6434186997*((RANDBETWEEN(1620,2416)))</f>
        <v>43513891.361878939</v>
      </c>
      <c r="B13226">
        <v>151488407.18041629</v>
      </c>
    </row>
    <row r="13227" spans="1:2" x14ac:dyDescent="0.25">
      <c r="A13227">
        <f ca="1">26976.8345298147*((RANDBETWEEN(1620,2416)))</f>
        <v>51579707.621005669</v>
      </c>
      <c r="B13227">
        <v>179609848.88145497</v>
      </c>
    </row>
    <row r="13228" spans="1:2" x14ac:dyDescent="0.25">
      <c r="A13228">
        <f ca="1">28509.8125304033*((RANDBETWEEN(1620,2416)))</f>
        <v>50433858.366283409</v>
      </c>
      <c r="B13228">
        <v>152036003.89433265</v>
      </c>
    </row>
    <row r="13229" spans="1:2" x14ac:dyDescent="0.25">
      <c r="A13229">
        <f ca="1">30974.2955328379*((RANDBETWEEN(1620,2416)))</f>
        <v>59408698.831983119</v>
      </c>
      <c r="B13229">
        <v>169555506.04149508</v>
      </c>
    </row>
    <row r="13230" spans="1:2" x14ac:dyDescent="0.25">
      <c r="A13230">
        <f ca="1">27815.7228821067*((RANDBETWEEN(1620,2416)))</f>
        <v>53183662.150588021</v>
      </c>
      <c r="B13230">
        <v>167886499.41977814</v>
      </c>
    </row>
    <row r="13231" spans="1:2" x14ac:dyDescent="0.25">
      <c r="A13231">
        <f ca="1">31689.2064396427*((RANDBETWEEN(1620,2416)))</f>
        <v>65089630.027026102</v>
      </c>
      <c r="B13231">
        <v>164206217.5075568</v>
      </c>
    </row>
    <row r="13232" spans="1:2" x14ac:dyDescent="0.25">
      <c r="A13232">
        <f ca="1">27547.2434018971*((RANDBETWEEN(1620,2416)))</f>
        <v>45094837.44890549</v>
      </c>
      <c r="B13232">
        <v>145273420.17784467</v>
      </c>
    </row>
    <row r="13233" spans="1:2" x14ac:dyDescent="0.25">
      <c r="A13233">
        <f ca="1">28849.4992559837*((RANDBETWEEN(1620,2416)))</f>
        <v>67450129.260489896</v>
      </c>
      <c r="B13233">
        <v>181524340.45101807</v>
      </c>
    </row>
    <row r="13234" spans="1:2" x14ac:dyDescent="0.25">
      <c r="A13234">
        <f ca="1">27003.0932666922*((RANDBETWEEN(1620,2416)))</f>
        <v>57354570.098454319</v>
      </c>
      <c r="B13234">
        <v>148961104.5026373</v>
      </c>
    </row>
    <row r="13235" spans="1:2" x14ac:dyDescent="0.25">
      <c r="A13235">
        <f ca="1">27555.6832798616*((RANDBETWEEN(1620,2416)))</f>
        <v>47423330.92464187</v>
      </c>
      <c r="B13235">
        <v>156431084.64868319</v>
      </c>
    </row>
    <row r="13236" spans="1:2" x14ac:dyDescent="0.25">
      <c r="A13236">
        <f ca="1">33653.3205985374*((RANDBETWEEN(1620,2416)))</f>
        <v>74878638.331745744</v>
      </c>
      <c r="B13236">
        <v>155673771.30010355</v>
      </c>
    </row>
    <row r="13237" spans="1:2" x14ac:dyDescent="0.25">
      <c r="A13237">
        <f ca="1">25426.1380650583*((RANDBETWEEN(1620,2416)))</f>
        <v>59192049.415455744</v>
      </c>
      <c r="B13237">
        <v>161449482.91105995</v>
      </c>
    </row>
    <row r="13238" spans="1:2" x14ac:dyDescent="0.25">
      <c r="A13238">
        <f ca="1">27168.3223426913*((RANDBETWEEN(1620,2416)))</f>
        <v>44365870.38561485</v>
      </c>
      <c r="B13238">
        <v>186517082.23600888</v>
      </c>
    </row>
    <row r="13239" spans="1:2" x14ac:dyDescent="0.25">
      <c r="A13239">
        <f ca="1">31340.233446585*((RANDBETWEEN(1620,2416)))</f>
        <v>55315512.033222534</v>
      </c>
      <c r="B13239">
        <v>159411230.05504626</v>
      </c>
    </row>
    <row r="13240" spans="1:2" x14ac:dyDescent="0.25">
      <c r="A13240">
        <f ca="1">28592.6624552266*((RANDBETWEEN(1620,2416)))</f>
        <v>50923531.832758509</v>
      </c>
      <c r="B13240">
        <v>184260570.8217321</v>
      </c>
    </row>
    <row r="13241" spans="1:2" x14ac:dyDescent="0.25">
      <c r="A13241">
        <f ca="1">26694.1165835191*((RANDBETWEEN(1620,2416)))</f>
        <v>51599727.355942488</v>
      </c>
      <c r="B13241">
        <v>159329865.81437305</v>
      </c>
    </row>
    <row r="13242" spans="1:2" x14ac:dyDescent="0.25">
      <c r="A13242">
        <f ca="1">26555.794775968*((RANDBETWEEN(1620,2416)))</f>
        <v>51783799.81313768</v>
      </c>
      <c r="B13242">
        <v>195887122.70326883</v>
      </c>
    </row>
    <row r="13243" spans="1:2" x14ac:dyDescent="0.25">
      <c r="A13243">
        <f ca="1">28453.2662466364*((RANDBETWEEN(1620,2416)))</f>
        <v>64247475.184904881</v>
      </c>
      <c r="B13243">
        <v>165408522.49021357</v>
      </c>
    </row>
    <row r="13244" spans="1:2" x14ac:dyDescent="0.25">
      <c r="A13244">
        <f ca="1">25828.1611776476*((RANDBETWEEN(1620,2416)))</f>
        <v>49590069.461083457</v>
      </c>
      <c r="B13244">
        <v>182907591.03058425</v>
      </c>
    </row>
    <row r="13245" spans="1:2" x14ac:dyDescent="0.25">
      <c r="A13245">
        <f ca="1">26107.3919990958*((RANDBETWEEN(1620,2416)))</f>
        <v>52893576.19016815</v>
      </c>
      <c r="B13245">
        <v>165697988.83982319</v>
      </c>
    </row>
    <row r="13246" spans="1:2" x14ac:dyDescent="0.25">
      <c r="A13246">
        <f ca="1">26771.5545966697*((RANDBETWEEN(1620,2416)))</f>
        <v>54908458.477769546</v>
      </c>
      <c r="B13246">
        <v>170314617.66807729</v>
      </c>
    </row>
    <row r="13247" spans="1:2" x14ac:dyDescent="0.25">
      <c r="A13247">
        <f ca="1">26414.5725324532*((RANDBETWEEN(1620,2416)))</f>
        <v>58270547.006591745</v>
      </c>
      <c r="B13247">
        <v>152675471.66770071</v>
      </c>
    </row>
    <row r="13248" spans="1:2" x14ac:dyDescent="0.25">
      <c r="A13248">
        <f ca="1">26838.3457318446*((RANDBETWEEN(1620,2416)))</f>
        <v>48979980.960616462</v>
      </c>
      <c r="B13248">
        <v>191643145.66984951</v>
      </c>
    </row>
    <row r="13249" spans="1:2" x14ac:dyDescent="0.25">
      <c r="A13249">
        <f ca="1">29491.6705040949*((RANDBETWEEN(1620,2416)))</f>
        <v>64439300.051447302</v>
      </c>
      <c r="B13249">
        <v>149426917.10330144</v>
      </c>
    </row>
    <row r="13250" spans="1:2" x14ac:dyDescent="0.25">
      <c r="A13250">
        <f ca="1">27729.8117122991*((RANDBETWEEN(1620,2416)))</f>
        <v>63196240.892329633</v>
      </c>
      <c r="B13250">
        <v>156308448.71285263</v>
      </c>
    </row>
    <row r="13251" spans="1:2" x14ac:dyDescent="0.25">
      <c r="A13251">
        <f ca="1">27107.6222607083*((RANDBETWEEN(1620,2416)))</f>
        <v>60585535.752683111</v>
      </c>
      <c r="B13251">
        <v>143075363.70693332</v>
      </c>
    </row>
    <row r="13252" spans="1:2" x14ac:dyDescent="0.25">
      <c r="A13252">
        <f ca="1">30668.7337662861*((RANDBETWEEN(1620,2416)))</f>
        <v>71488818.409212783</v>
      </c>
      <c r="B13252">
        <v>188383730.78025606</v>
      </c>
    </row>
    <row r="13253" spans="1:2" x14ac:dyDescent="0.25">
      <c r="A13253">
        <f ca="1">27102.2349410193*((RANDBETWEEN(1620,2416)))</f>
        <v>61874402.370347127</v>
      </c>
      <c r="B13253">
        <v>185236210.70768753</v>
      </c>
    </row>
    <row r="13254" spans="1:2" x14ac:dyDescent="0.25">
      <c r="A13254">
        <f ca="1">30239.241652521*((RANDBETWEEN(1620,2416)))</f>
        <v>58059343.972840227</v>
      </c>
      <c r="B13254">
        <v>184493513.41125679</v>
      </c>
    </row>
    <row r="13255" spans="1:2" x14ac:dyDescent="0.25">
      <c r="A13255">
        <f ca="1">25808.0531670684*((RANDBETWEEN(1620,2416)))</f>
        <v>56519636.435879856</v>
      </c>
      <c r="B13255">
        <v>144288398.2510992</v>
      </c>
    </row>
    <row r="13256" spans="1:2" x14ac:dyDescent="0.25">
      <c r="A13256">
        <f ca="1">31257.7307572573*((RANDBETWEEN(1620,2416)))</f>
        <v>67235378.858860508</v>
      </c>
      <c r="B13256">
        <v>195405525.45640892</v>
      </c>
    </row>
    <row r="13257" spans="1:2" x14ac:dyDescent="0.25">
      <c r="A13257">
        <f ca="1">31221.1148540968*((RANDBETWEEN(1620,2416)))</f>
        <v>53481769.74506782</v>
      </c>
      <c r="B13257">
        <v>191349182.75765732</v>
      </c>
    </row>
    <row r="13258" spans="1:2" x14ac:dyDescent="0.25">
      <c r="A13258">
        <f ca="1">26026.3312304456*((RANDBETWEEN(1620,2416)))</f>
        <v>51297898.855208345</v>
      </c>
      <c r="B13258">
        <v>156457874.16740018</v>
      </c>
    </row>
    <row r="13259" spans="1:2" x14ac:dyDescent="0.25">
      <c r="A13259">
        <f ca="1">26373.748629219*((RANDBETWEEN(1620,2416)))</f>
        <v>44228776.451200284</v>
      </c>
      <c r="B13259">
        <v>151640494.60804197</v>
      </c>
    </row>
    <row r="13260" spans="1:2" x14ac:dyDescent="0.25">
      <c r="A13260">
        <f ca="1">28582.1991990695*((RANDBETWEEN(1620,2416)))</f>
        <v>59022241.346078433</v>
      </c>
      <c r="B13260">
        <v>199340019.52285713</v>
      </c>
    </row>
    <row r="13261" spans="1:2" x14ac:dyDescent="0.25">
      <c r="A13261">
        <f ca="1">27343.595070957*((RANDBETWEEN(1620,2416)))</f>
        <v>51023148.402405776</v>
      </c>
      <c r="B13261">
        <v>187169515.71292055</v>
      </c>
    </row>
    <row r="13262" spans="1:2" x14ac:dyDescent="0.25">
      <c r="A13262">
        <f ca="1">29116.8411832302*((RANDBETWEEN(1620,2416)))</f>
        <v>49032760.552559726</v>
      </c>
      <c r="B13262">
        <v>159210370.61581886</v>
      </c>
    </row>
    <row r="13263" spans="1:2" x14ac:dyDescent="0.25">
      <c r="A13263">
        <f ca="1">28612.3174310391*((RANDBETWEEN(1620,2416)))</f>
        <v>54935649.467595048</v>
      </c>
      <c r="B13263">
        <v>195096329.18165451</v>
      </c>
    </row>
    <row r="13264" spans="1:2" x14ac:dyDescent="0.25">
      <c r="A13264">
        <f ca="1">27385.2495293126*((RANDBETWEEN(1620,2416)))</f>
        <v>62958688.667889602</v>
      </c>
      <c r="B13264">
        <v>144608973.218945</v>
      </c>
    </row>
    <row r="13265" spans="1:2" x14ac:dyDescent="0.25">
      <c r="A13265">
        <f ca="1">31984.0628729427*((RANDBETWEEN(1620,2416)))</f>
        <v>52197990.608642437</v>
      </c>
      <c r="B13265">
        <v>199188789.83213934</v>
      </c>
    </row>
    <row r="13266" spans="1:2" x14ac:dyDescent="0.25">
      <c r="A13266">
        <f ca="1">28297.5862001173*((RANDBETWEEN(1620,2416)))</f>
        <v>53991794.469823845</v>
      </c>
      <c r="B13266">
        <v>175124833.84694058</v>
      </c>
    </row>
    <row r="13267" spans="1:2" x14ac:dyDescent="0.25">
      <c r="A13267">
        <f ca="1">26333.0256769012*((RANDBETWEEN(1620,2416)))</f>
        <v>54983357.613369718</v>
      </c>
      <c r="B13267">
        <v>159819933.05856314</v>
      </c>
    </row>
    <row r="13268" spans="1:2" x14ac:dyDescent="0.25">
      <c r="A13268">
        <f ca="1">27962.7720073188*((RANDBETWEEN(1620,2416)))</f>
        <v>65796402.533221155</v>
      </c>
      <c r="B13268">
        <v>144564589.09054464</v>
      </c>
    </row>
    <row r="13269" spans="1:2" x14ac:dyDescent="0.25">
      <c r="A13269">
        <f ca="1">29888.4110468733*((RANDBETWEEN(1620,2416)))</f>
        <v>50989629.245965928</v>
      </c>
      <c r="B13269">
        <v>163257258.45751071</v>
      </c>
    </row>
    <row r="13270" spans="1:2" x14ac:dyDescent="0.25">
      <c r="A13270">
        <f ca="1">25644.3472250003*((RANDBETWEEN(1620,2416)))</f>
        <v>60930969.006600723</v>
      </c>
      <c r="B13270">
        <v>179974829.21929541</v>
      </c>
    </row>
    <row r="13271" spans="1:2" x14ac:dyDescent="0.25">
      <c r="A13271">
        <f ca="1">26733.6193478631*((RANDBETWEEN(1620,2416)))</f>
        <v>52531562.018551014</v>
      </c>
      <c r="B13271">
        <v>187122515.97321644</v>
      </c>
    </row>
    <row r="13272" spans="1:2" x14ac:dyDescent="0.25">
      <c r="A13272">
        <f ca="1">26126.6635114107*((RANDBETWEEN(1620,2416)))</f>
        <v>48334327.496109821</v>
      </c>
      <c r="B13272">
        <v>143674352.57475528</v>
      </c>
    </row>
    <row r="13273" spans="1:2" x14ac:dyDescent="0.25">
      <c r="A13273">
        <f ca="1">28813.4069995067*((RANDBETWEEN(1620,2416)))</f>
        <v>64858979.15588969</v>
      </c>
      <c r="B13273">
        <v>149775530.46122989</v>
      </c>
    </row>
    <row r="13274" spans="1:2" x14ac:dyDescent="0.25">
      <c r="A13274">
        <f ca="1">28487.0246811982*((RANDBETWEEN(1620,2416)))</f>
        <v>65434695.692712225</v>
      </c>
      <c r="B13274">
        <v>164213246.45363414</v>
      </c>
    </row>
    <row r="13275" spans="1:2" x14ac:dyDescent="0.25">
      <c r="A13275">
        <f ca="1">28359.0875132687*((RANDBETWEEN(1620,2416)))</f>
        <v>56207711.451298617</v>
      </c>
      <c r="B13275">
        <v>144920162.64462343</v>
      </c>
    </row>
    <row r="13276" spans="1:2" x14ac:dyDescent="0.25">
      <c r="A13276">
        <f ca="1">28699.722615215*((RANDBETWEEN(1620,2416)))</f>
        <v>62594095.023783848</v>
      </c>
      <c r="B13276">
        <v>167403371.03559124</v>
      </c>
    </row>
    <row r="13277" spans="1:2" x14ac:dyDescent="0.25">
      <c r="A13277">
        <f ca="1">31693.7684149829*((RANDBETWEEN(1620,2416)))</f>
        <v>62563498.851176195</v>
      </c>
      <c r="B13277">
        <v>151900262.15539843</v>
      </c>
    </row>
    <row r="13278" spans="1:2" x14ac:dyDescent="0.25">
      <c r="A13278">
        <f ca="1">27313.4278991307*((RANDBETWEEN(1620,2416)))</f>
        <v>63203272.158588462</v>
      </c>
      <c r="B13278">
        <v>174980702.76359361</v>
      </c>
    </row>
    <row r="13279" spans="1:2" x14ac:dyDescent="0.25">
      <c r="A13279">
        <f ca="1">29837.9482000882*((RANDBETWEEN(1620,2416)))</f>
        <v>65345106.558193207</v>
      </c>
      <c r="B13279">
        <v>143131667.01888487</v>
      </c>
    </row>
    <row r="13280" spans="1:2" x14ac:dyDescent="0.25">
      <c r="A13280">
        <f ca="1">29847.1670434543*((RANDBETWEEN(1620,2416)))</f>
        <v>67932152.19090189</v>
      </c>
      <c r="B13280">
        <v>176704964.20173317</v>
      </c>
    </row>
    <row r="13281" spans="1:2" x14ac:dyDescent="0.25">
      <c r="A13281">
        <f ca="1">27665.5431589982*((RANDBETWEEN(1620,2416)))</f>
        <v>56105721.526448376</v>
      </c>
      <c r="B13281">
        <v>167739209.91742143</v>
      </c>
    </row>
    <row r="13282" spans="1:2" x14ac:dyDescent="0.25">
      <c r="A13282">
        <f ca="1">31333.7527100945*((RANDBETWEEN(1620,2416)))</f>
        <v>54708732.231825061</v>
      </c>
      <c r="B13282">
        <v>154462600.29805124</v>
      </c>
    </row>
    <row r="13283" spans="1:2" x14ac:dyDescent="0.25">
      <c r="A13283">
        <f ca="1">28365.1945896477*((RANDBETWEEN(1620,2416)))</f>
        <v>66261094.561416961</v>
      </c>
      <c r="B13283">
        <v>148963379.56174585</v>
      </c>
    </row>
    <row r="13284" spans="1:2" x14ac:dyDescent="0.25">
      <c r="A13284">
        <f ca="1">26612.472455023*((RANDBETWEEN(1620,2416)))</f>
        <v>55220880.344172798</v>
      </c>
      <c r="B13284">
        <v>172173239.41845205</v>
      </c>
    </row>
    <row r="13285" spans="1:2" x14ac:dyDescent="0.25">
      <c r="A13285">
        <f ca="1">27257.267666004*((RANDBETWEEN(1620,2416)))</f>
        <v>56804145.815952376</v>
      </c>
      <c r="B13285">
        <v>172856458.26627883</v>
      </c>
    </row>
    <row r="13286" spans="1:2" x14ac:dyDescent="0.25">
      <c r="A13286">
        <f ca="1">29547.1998883678*((RANDBETWEEN(1620,2416)))</f>
        <v>50141598.210560217</v>
      </c>
      <c r="B13286">
        <v>150990666.5748561</v>
      </c>
    </row>
    <row r="13287" spans="1:2" x14ac:dyDescent="0.25">
      <c r="A13287">
        <f ca="1">29135.5840127671*((RANDBETWEEN(1620,2416)))</f>
        <v>68934791.774206966</v>
      </c>
      <c r="B13287">
        <v>161805298.20685184</v>
      </c>
    </row>
    <row r="13288" spans="1:2" x14ac:dyDescent="0.25">
      <c r="A13288">
        <f ca="1">28513.7254605936*((RANDBETWEEN(1620,2416)))</f>
        <v>52778905.827558674</v>
      </c>
      <c r="B13288">
        <v>156916486.05707112</v>
      </c>
    </row>
    <row r="13289" spans="1:2" x14ac:dyDescent="0.25">
      <c r="A13289">
        <f ca="1">26512.9997550829*((RANDBETWEEN(1620,2416)))</f>
        <v>59283067.452365436</v>
      </c>
      <c r="B13289">
        <v>177656480.29905501</v>
      </c>
    </row>
    <row r="13290" spans="1:2" x14ac:dyDescent="0.25">
      <c r="A13290">
        <f ca="1">26213.9063725864*((RANDBETWEEN(1620,2416)))</f>
        <v>53738508.063802153</v>
      </c>
      <c r="B13290">
        <v>148321093.66117677</v>
      </c>
    </row>
    <row r="13291" spans="1:2" x14ac:dyDescent="0.25">
      <c r="A13291">
        <f ca="1">28377.0711201496*((RANDBETWEEN(1620,2416)))</f>
        <v>46708659.063766301</v>
      </c>
      <c r="B13291">
        <v>160540659.79003823</v>
      </c>
    </row>
    <row r="13292" spans="1:2" x14ac:dyDescent="0.25">
      <c r="A13292">
        <f ca="1">25896.9661611672*((RANDBETWEEN(1620,2416)))</f>
        <v>61660676.429739192</v>
      </c>
      <c r="B13292">
        <v>149706793.96978053</v>
      </c>
    </row>
    <row r="13293" spans="1:2" x14ac:dyDescent="0.25">
      <c r="A13293">
        <f ca="1">26141.3544978313*((RANDBETWEEN(1620,2416)))</f>
        <v>61798162.032873265</v>
      </c>
      <c r="B13293">
        <v>154809747.31089419</v>
      </c>
    </row>
    <row r="13294" spans="1:2" x14ac:dyDescent="0.25">
      <c r="A13294">
        <f ca="1">28280.3071190462*((RANDBETWEEN(1620,2416)))</f>
        <v>46917029.510497682</v>
      </c>
      <c r="B13294">
        <v>169498606.77052051</v>
      </c>
    </row>
    <row r="13295" spans="1:2" x14ac:dyDescent="0.25">
      <c r="A13295">
        <f ca="1">27140.1110548267*((RANDBETWEEN(1620,2416)))</f>
        <v>48445098.232865736</v>
      </c>
      <c r="B13295">
        <v>167584228.58101523</v>
      </c>
    </row>
    <row r="13296" spans="1:2" x14ac:dyDescent="0.25">
      <c r="A13296">
        <f ca="1">26363.8724765236*((RANDBETWEEN(1620,2416)))</f>
        <v>59239621.454748496</v>
      </c>
      <c r="B13296">
        <v>151907660.18054047</v>
      </c>
    </row>
    <row r="13297" spans="1:2" x14ac:dyDescent="0.25">
      <c r="A13297">
        <f ca="1">30345.8544303972*((RANDBETWEEN(1620,2416)))</f>
        <v>50707922.753193699</v>
      </c>
      <c r="B13297">
        <v>190444858.8784529</v>
      </c>
    </row>
    <row r="13298" spans="1:2" x14ac:dyDescent="0.25">
      <c r="A13298">
        <f ca="1">27654.5357823919*((RANDBETWEEN(1620,2416)))</f>
        <v>62139741.903034694</v>
      </c>
      <c r="B13298">
        <v>153838561.26501903</v>
      </c>
    </row>
    <row r="13299" spans="1:2" x14ac:dyDescent="0.25">
      <c r="A13299">
        <f ca="1">28931.0301156803*((RANDBETWEEN(1620,2416)))</f>
        <v>51063268.154175654</v>
      </c>
      <c r="B13299">
        <v>161759504.59854019</v>
      </c>
    </row>
    <row r="13300" spans="1:2" x14ac:dyDescent="0.25">
      <c r="A13300">
        <f ca="1">28600.9859984821*((RANDBETWEEN(1620,2416)))</f>
        <v>66011075.684496664</v>
      </c>
      <c r="B13300">
        <v>189644927.68108034</v>
      </c>
    </row>
    <row r="13301" spans="1:2" x14ac:dyDescent="0.25">
      <c r="A13301">
        <f ca="1">28657.813305488*((RANDBETWEEN(1620,2416)))</f>
        <v>54679107.786871128</v>
      </c>
      <c r="B13301">
        <v>152649248.85475957</v>
      </c>
    </row>
    <row r="13302" spans="1:2" x14ac:dyDescent="0.25">
      <c r="A13302">
        <f ca="1">32005.7157542423*((RANDBETWEEN(1620,2416)))</f>
        <v>70092517.501790732</v>
      </c>
      <c r="B13302">
        <v>190657637.0881229</v>
      </c>
    </row>
    <row r="13303" spans="1:2" x14ac:dyDescent="0.25">
      <c r="A13303">
        <f ca="1">26311.4856244788*((RANDBETWEEN(1620,2416)))</f>
        <v>45650427.558470801</v>
      </c>
      <c r="B13303">
        <v>153349949.64860338</v>
      </c>
    </row>
    <row r="13304" spans="1:2" x14ac:dyDescent="0.25">
      <c r="A13304">
        <f ca="1">25346.0287905926*((RANDBETWEEN(1620,2416)))</f>
        <v>49120603.796168536</v>
      </c>
      <c r="B13304">
        <v>155449244.67808849</v>
      </c>
    </row>
    <row r="13305" spans="1:2" x14ac:dyDescent="0.25">
      <c r="A13305">
        <f ca="1">27463.9756727082*((RANDBETWEEN(1620,2416)))</f>
        <v>58333484.328832299</v>
      </c>
      <c r="B13305">
        <v>174338056.1109319</v>
      </c>
    </row>
    <row r="13306" spans="1:2" x14ac:dyDescent="0.25">
      <c r="A13306">
        <f ca="1">31945.8506455*((RANDBETWEEN(1620,2416)))</f>
        <v>73155997.978194922</v>
      </c>
      <c r="B13306">
        <v>167713385.61231411</v>
      </c>
    </row>
    <row r="13307" spans="1:2" x14ac:dyDescent="0.25">
      <c r="A13307">
        <f ca="1">27318.8032981215*((RANDBETWEEN(1620,2416)))</f>
        <v>65373896.292404659</v>
      </c>
      <c r="B13307">
        <v>161647456.01578993</v>
      </c>
    </row>
    <row r="13308" spans="1:2" x14ac:dyDescent="0.25">
      <c r="A13308">
        <f ca="1">28271.3329851838*((RANDBETWEEN(1620,2416)))</f>
        <v>52669493.351397373</v>
      </c>
      <c r="B13308">
        <v>181340561.69585651</v>
      </c>
    </row>
    <row r="13309" spans="1:2" x14ac:dyDescent="0.25">
      <c r="A13309">
        <f ca="1">26766.5719189441*((RANDBETWEEN(1620,2416)))</f>
        <v>43656278.799797863</v>
      </c>
      <c r="B13309">
        <v>155214628.3547208</v>
      </c>
    </row>
    <row r="13310" spans="1:2" x14ac:dyDescent="0.25">
      <c r="A13310">
        <f ca="1">31781.0946701069*((RANDBETWEEN(1620,2416)))</f>
        <v>56506786.323450059</v>
      </c>
      <c r="B13310">
        <v>172549543.36935532</v>
      </c>
    </row>
    <row r="13311" spans="1:2" x14ac:dyDescent="0.25">
      <c r="A13311">
        <f ca="1">27713.0605513015*((RANDBETWEEN(1620,2416)))</f>
        <v>55093564.375987418</v>
      </c>
      <c r="B13311">
        <v>165325890.95231536</v>
      </c>
    </row>
    <row r="13312" spans="1:2" x14ac:dyDescent="0.25">
      <c r="A13312">
        <f ca="1">30304.6405254264*((RANDBETWEEN(1620,2416)))</f>
        <v>64397361.116531037</v>
      </c>
      <c r="B13312">
        <v>188603562.94031999</v>
      </c>
    </row>
    <row r="13313" spans="1:2" x14ac:dyDescent="0.25">
      <c r="A13313">
        <f ca="1">27301.3487476207*((RANDBETWEEN(1620,2416)))</f>
        <v>46576100.963440865</v>
      </c>
      <c r="B13313">
        <v>155113519.94616449</v>
      </c>
    </row>
    <row r="13314" spans="1:2" x14ac:dyDescent="0.25">
      <c r="A13314">
        <f ca="1">26924.7926101329*((RANDBETWEEN(1620,2416)))</f>
        <v>49837791.121355958</v>
      </c>
      <c r="B13314">
        <v>182813400.8127729</v>
      </c>
    </row>
    <row r="13315" spans="1:2" x14ac:dyDescent="0.25">
      <c r="A13315">
        <f ca="1">29056.9334906391*((RANDBETWEEN(1620,2416)))</f>
        <v>68574363.037908196</v>
      </c>
      <c r="B13315">
        <v>183402762.45872265</v>
      </c>
    </row>
    <row r="13316" spans="1:2" x14ac:dyDescent="0.25">
      <c r="A13316">
        <f ca="1">28018.8195282213*((RANDBETWEEN(1620,2416)))</f>
        <v>50237743.414100781</v>
      </c>
      <c r="B13316">
        <v>198242507.73038423</v>
      </c>
    </row>
    <row r="13317" spans="1:2" x14ac:dyDescent="0.25">
      <c r="A13317">
        <f ca="1">28436.8144311384*((RANDBETWEEN(1620,2416)))</f>
        <v>57812043.73850438</v>
      </c>
      <c r="B13317">
        <v>146631723.88767219</v>
      </c>
    </row>
    <row r="13318" spans="1:2" x14ac:dyDescent="0.25">
      <c r="A13318">
        <f ca="1">28765.1089868196*((RANDBETWEEN(1620,2416)))</f>
        <v>64146193.040607609</v>
      </c>
      <c r="B13318">
        <v>143660673.56792361</v>
      </c>
    </row>
    <row r="13319" spans="1:2" x14ac:dyDescent="0.25">
      <c r="A13319">
        <f ca="1">26983.4727542*((RANDBETWEEN(1620,2416)))</f>
        <v>62547689.844235644</v>
      </c>
      <c r="B13319">
        <v>184497218.49843469</v>
      </c>
    </row>
    <row r="13320" spans="1:2" x14ac:dyDescent="0.25">
      <c r="A13320">
        <f ca="1">27728.109892844*((RANDBETWEEN(1620,2416)))</f>
        <v>47193243.037620544</v>
      </c>
      <c r="B13320">
        <v>149224884.16273955</v>
      </c>
    </row>
    <row r="13321" spans="1:2" x14ac:dyDescent="0.25">
      <c r="A13321">
        <f ca="1">31654.9719828022*((RANDBETWEEN(1620,2416)))</f>
        <v>57517084.092751652</v>
      </c>
      <c r="B13321">
        <v>193563743.07773155</v>
      </c>
    </row>
    <row r="13322" spans="1:2" x14ac:dyDescent="0.25">
      <c r="A13322">
        <f ca="1">26813.1297472848*((RANDBETWEEN(1620,2416)))</f>
        <v>50623188.962873608</v>
      </c>
      <c r="B13322">
        <v>171803084.92793956</v>
      </c>
    </row>
    <row r="13323" spans="1:2" x14ac:dyDescent="0.25">
      <c r="A13323">
        <f ca="1">30778.921431084*((RANDBETWEEN(1620,2416)))</f>
        <v>62019526.683634274</v>
      </c>
      <c r="B13323">
        <v>153731040.96615952</v>
      </c>
    </row>
    <row r="13324" spans="1:2" x14ac:dyDescent="0.25">
      <c r="A13324">
        <f ca="1">28842.6938896372*((RANDBETWEEN(1620,2416)))</f>
        <v>56329781.16646149</v>
      </c>
      <c r="B13324">
        <v>162020875.82353342</v>
      </c>
    </row>
    <row r="13325" spans="1:2" x14ac:dyDescent="0.25">
      <c r="A13325">
        <f ca="1">25974.2063824769*((RANDBETWEEN(1620,2416)))</f>
        <v>54857523.879791245</v>
      </c>
      <c r="B13325">
        <v>147158359.71108121</v>
      </c>
    </row>
    <row r="13326" spans="1:2" x14ac:dyDescent="0.25">
      <c r="A13326">
        <f ca="1">26809.273664484*((RANDBETWEEN(1620,2416)))</f>
        <v>61017906.860365488</v>
      </c>
      <c r="B13326">
        <v>157223453.76936322</v>
      </c>
    </row>
    <row r="13327" spans="1:2" x14ac:dyDescent="0.25">
      <c r="A13327">
        <f ca="1">26588.7517573567*((RANDBETWEEN(1620,2416)))</f>
        <v>53842222.30864723</v>
      </c>
      <c r="B13327">
        <v>161358421.32560113</v>
      </c>
    </row>
    <row r="13328" spans="1:2" x14ac:dyDescent="0.25">
      <c r="A13328">
        <f ca="1">26740.8085898999*((RANDBETWEEN(1620,2416)))</f>
        <v>55246510.546733119</v>
      </c>
      <c r="B13328">
        <v>181748535.09821832</v>
      </c>
    </row>
    <row r="13329" spans="1:2" x14ac:dyDescent="0.25">
      <c r="A13329">
        <f ca="1">30081.4677232101*((RANDBETWEEN(1620,2416)))</f>
        <v>68946724.021597534</v>
      </c>
      <c r="B13329">
        <v>200913601.37782687</v>
      </c>
    </row>
    <row r="13330" spans="1:2" x14ac:dyDescent="0.25">
      <c r="A13330">
        <f ca="1">29690.0963327928*((RANDBETWEEN(1620,2416)))</f>
        <v>65169761.450480394</v>
      </c>
      <c r="B13330">
        <v>185251835.96735093</v>
      </c>
    </row>
    <row r="13331" spans="1:2" x14ac:dyDescent="0.25">
      <c r="A13331">
        <f ca="1">24874.9803574472*((RANDBETWEEN(1620,2416)))</f>
        <v>41267592.413004942</v>
      </c>
      <c r="B13331">
        <v>165735963.05110416</v>
      </c>
    </row>
    <row r="13332" spans="1:2" x14ac:dyDescent="0.25">
      <c r="A13332">
        <f ca="1">26788.1331689103*((RANDBETWEEN(1620,2416)))</f>
        <v>48191851.570869684</v>
      </c>
      <c r="B13332">
        <v>147847539.58284721</v>
      </c>
    </row>
    <row r="13333" spans="1:2" x14ac:dyDescent="0.25">
      <c r="A13333">
        <f ca="1">25917.6362103282*((RANDBETWEEN(1620,2416)))</f>
        <v>46548074.633749537</v>
      </c>
      <c r="B13333">
        <v>173498601.80791208</v>
      </c>
    </row>
    <row r="13334" spans="1:2" x14ac:dyDescent="0.25">
      <c r="A13334">
        <f ca="1">28891.9207600137*((RANDBETWEEN(1620,2416)))</f>
        <v>53941216.058945619</v>
      </c>
      <c r="B13334">
        <v>147541166.86223921</v>
      </c>
    </row>
    <row r="13335" spans="1:2" x14ac:dyDescent="0.25">
      <c r="A13335">
        <f ca="1">25995.3940715975*((RANDBETWEEN(1620,2416)))</f>
        <v>42554460.095205165</v>
      </c>
      <c r="B13335">
        <v>152697240.53977272</v>
      </c>
    </row>
    <row r="13336" spans="1:2" x14ac:dyDescent="0.25">
      <c r="A13336">
        <f ca="1">26882.2507780113*((RANDBETWEEN(1620,2416)))</f>
        <v>57044136.150939956</v>
      </c>
      <c r="B13336">
        <v>153816225.36668551</v>
      </c>
    </row>
    <row r="13337" spans="1:2" x14ac:dyDescent="0.25">
      <c r="A13337">
        <f ca="1">27431.051708906*((RANDBETWEEN(1620,2416)))</f>
        <v>55685034.969079234</v>
      </c>
      <c r="B13337">
        <v>153267887.66966864</v>
      </c>
    </row>
    <row r="13338" spans="1:2" x14ac:dyDescent="0.25">
      <c r="A13338">
        <f ca="1">29463.767090677*((RANDBETWEEN(1620,2416)))</f>
        <v>70683577.250534207</v>
      </c>
      <c r="B13338">
        <v>150622619.33771163</v>
      </c>
    </row>
    <row r="13339" spans="1:2" x14ac:dyDescent="0.25">
      <c r="A13339">
        <f ca="1">25806.5404490569*((RANDBETWEEN(1620,2416)))</f>
        <v>47664680.209408142</v>
      </c>
      <c r="B13339">
        <v>143909813.09614992</v>
      </c>
    </row>
    <row r="13340" spans="1:2" x14ac:dyDescent="0.25">
      <c r="A13340">
        <f ca="1">27429.6388891829*((RANDBETWEEN(1620,2416)))</f>
        <v>66132859.36182002</v>
      </c>
      <c r="B13340">
        <v>155040054.16819334</v>
      </c>
    </row>
    <row r="13341" spans="1:2" x14ac:dyDescent="0.25">
      <c r="A13341">
        <f ca="1">26320.7623539631*((RANDBETWEEN(1620,2416)))</f>
        <v>48588127.305415824</v>
      </c>
      <c r="B13341">
        <v>163259912.07697502</v>
      </c>
    </row>
    <row r="13342" spans="1:2" x14ac:dyDescent="0.25">
      <c r="A13342">
        <f ca="1">30281.1174705204*((RANDBETWEEN(1620,2416)))</f>
        <v>52174365.401706643</v>
      </c>
      <c r="B13342">
        <v>199771230.47577608</v>
      </c>
    </row>
    <row r="13343" spans="1:2" x14ac:dyDescent="0.25">
      <c r="A13343">
        <f ca="1">27237.0898642285*((RANDBETWEEN(1620,2416)))</f>
        <v>52159027.089997657</v>
      </c>
      <c r="B13343">
        <v>145977656.96815884</v>
      </c>
    </row>
    <row r="13344" spans="1:2" x14ac:dyDescent="0.25">
      <c r="A13344">
        <f ca="1">27527.18526599*((RANDBETWEEN(1620,2416)))</f>
        <v>55797604.534161776</v>
      </c>
      <c r="B13344">
        <v>155397215.95526671</v>
      </c>
    </row>
    <row r="13345" spans="1:2" x14ac:dyDescent="0.25">
      <c r="A13345">
        <f ca="1">29673.3991954854*((RANDBETWEEN(1620,2416)))</f>
        <v>66824494.988233052</v>
      </c>
      <c r="B13345">
        <v>202112916.26367387</v>
      </c>
    </row>
    <row r="13346" spans="1:2" x14ac:dyDescent="0.25">
      <c r="A13346">
        <f ca="1">27162.5908901522*((RANDBETWEEN(1620,2416)))</f>
        <v>50060655.010550566</v>
      </c>
      <c r="B13346">
        <v>203189447.10626313</v>
      </c>
    </row>
    <row r="13347" spans="1:2" x14ac:dyDescent="0.25">
      <c r="A13347">
        <f ca="1">26170.7411663028*((RANDBETWEEN(1620,2416)))</f>
        <v>56424117.954548799</v>
      </c>
      <c r="B13347">
        <v>146414793.0281437</v>
      </c>
    </row>
    <row r="13348" spans="1:2" x14ac:dyDescent="0.25">
      <c r="A13348">
        <f ca="1">30785.5698521962*((RANDBETWEEN(1620,2416)))</f>
        <v>51781328.49139408</v>
      </c>
      <c r="B13348">
        <v>189724059.68147069</v>
      </c>
    </row>
    <row r="13349" spans="1:2" x14ac:dyDescent="0.25">
      <c r="A13349">
        <f ca="1">28423.4379077129*((RANDBETWEEN(1620,2416)))</f>
        <v>61877824.325090952</v>
      </c>
      <c r="B13349">
        <v>187318264.76629987</v>
      </c>
    </row>
    <row r="13350" spans="1:2" x14ac:dyDescent="0.25">
      <c r="A13350">
        <f ca="1">27785.5249152496*((RANDBETWEEN(1620,2416)))</f>
        <v>66796401.896259993</v>
      </c>
      <c r="B13350">
        <v>179618420.54829559</v>
      </c>
    </row>
    <row r="13351" spans="1:2" x14ac:dyDescent="0.25">
      <c r="A13351">
        <f ca="1">26411.9631310921*((RANDBETWEEN(1620,2416)))</f>
        <v>43447679.350646488</v>
      </c>
      <c r="B13351">
        <v>151958977.06612012</v>
      </c>
    </row>
    <row r="13352" spans="1:2" x14ac:dyDescent="0.25">
      <c r="A13352">
        <f ca="1">34025.3196403269*((RANDBETWEEN(1620,2416)))</f>
        <v>58455499.142081581</v>
      </c>
      <c r="B13352">
        <v>203445036.67825884</v>
      </c>
    </row>
    <row r="13353" spans="1:2" x14ac:dyDescent="0.25">
      <c r="A13353">
        <f ca="1">27829.4925210949*((RANDBETWEEN(1620,2416)))</f>
        <v>46920524.390565939</v>
      </c>
      <c r="B13353">
        <v>145318024.29931605</v>
      </c>
    </row>
    <row r="13354" spans="1:2" x14ac:dyDescent="0.25">
      <c r="A13354">
        <f ca="1">29529.5642713132*((RANDBETWEEN(1620,2416)))</f>
        <v>51735796.603340678</v>
      </c>
      <c r="B13354">
        <v>152396402.50464115</v>
      </c>
    </row>
    <row r="13355" spans="1:2" x14ac:dyDescent="0.25">
      <c r="A13355">
        <f ca="1">31572.4723599772*((RANDBETWEEN(1620,2416)))</f>
        <v>57304037.33335869</v>
      </c>
      <c r="B13355">
        <v>166360810.33508605</v>
      </c>
    </row>
    <row r="13356" spans="1:2" x14ac:dyDescent="0.25">
      <c r="A13356">
        <f ca="1">32369.666206816*((RANDBETWEEN(1620,2416)))</f>
        <v>77201653.903256103</v>
      </c>
      <c r="B13356">
        <v>156610472.78015879</v>
      </c>
    </row>
    <row r="13357" spans="1:2" x14ac:dyDescent="0.25">
      <c r="A13357">
        <f ca="1">28353.3094683882*((RANDBETWEEN(1620,2416)))</f>
        <v>53304221.800569832</v>
      </c>
      <c r="B13357">
        <v>203221132.42762101</v>
      </c>
    </row>
    <row r="13358" spans="1:2" x14ac:dyDescent="0.25">
      <c r="A13358">
        <f ca="1">25378.9898189116*((RANDBETWEEN(1620,2416)))</f>
        <v>49692062.065428942</v>
      </c>
      <c r="B13358">
        <v>153905561.53612822</v>
      </c>
    </row>
    <row r="13359" spans="1:2" x14ac:dyDescent="0.25">
      <c r="A13359">
        <f ca="1">27471.0430092186*((RANDBETWEEN(1620,2416)))</f>
        <v>56782645.900054947</v>
      </c>
      <c r="B13359">
        <v>179347788.66867822</v>
      </c>
    </row>
    <row r="13360" spans="1:2" x14ac:dyDescent="0.25">
      <c r="A13360">
        <f ca="1">26124.6701368375*((RANDBETWEEN(1620,2416)))</f>
        <v>45639798.729055092</v>
      </c>
      <c r="B13360">
        <v>156416329.65180001</v>
      </c>
    </row>
    <row r="13361" spans="1:2" x14ac:dyDescent="0.25">
      <c r="A13361">
        <f ca="1">29819.5453574353*((RANDBETWEEN(1620,2416)))</f>
        <v>50693227.107639931</v>
      </c>
      <c r="B13361">
        <v>185897949.91676116</v>
      </c>
    </row>
    <row r="13362" spans="1:2" x14ac:dyDescent="0.25">
      <c r="A13362">
        <f ca="1">27852.5668403154*((RANDBETWEEN(1620,2416)))</f>
        <v>48407761.168468192</v>
      </c>
      <c r="B13362">
        <v>146020889.12674028</v>
      </c>
    </row>
    <row r="13363" spans="1:2" x14ac:dyDescent="0.25">
      <c r="A13363">
        <f ca="1">29769.8144395186*((RANDBETWEEN(1620,2416)))</f>
        <v>55103926.527548857</v>
      </c>
      <c r="B13363">
        <v>148619902.69642407</v>
      </c>
    </row>
    <row r="13364" spans="1:2" x14ac:dyDescent="0.25">
      <c r="A13364">
        <f ca="1">29689.1665999235*((RANDBETWEEN(1620,2416)))</f>
        <v>69146069.011221901</v>
      </c>
      <c r="B13364">
        <v>203366185.28311637</v>
      </c>
    </row>
    <row r="13365" spans="1:2" x14ac:dyDescent="0.25">
      <c r="A13365">
        <f ca="1">27408.5468642104*((RANDBETWEEN(1620,2416)))</f>
        <v>49061298.886936598</v>
      </c>
      <c r="B13365">
        <v>149550729.59573287</v>
      </c>
    </row>
    <row r="13366" spans="1:2" x14ac:dyDescent="0.25">
      <c r="A13366">
        <f ca="1">32311.4320466517*((RANDBETWEEN(1620,2416)))</f>
        <v>55284860.231821075</v>
      </c>
      <c r="B13366">
        <v>155582455.39619011</v>
      </c>
    </row>
    <row r="13367" spans="1:2" x14ac:dyDescent="0.25">
      <c r="A13367">
        <f ca="1">27192.9062477138*((RANDBETWEEN(1620,2416)))</f>
        <v>54576162.839161679</v>
      </c>
      <c r="B13367">
        <v>143602561.3334834</v>
      </c>
    </row>
    <row r="13368" spans="1:2" x14ac:dyDescent="0.25">
      <c r="A13368">
        <f ca="1">28291.2149148333*((RANDBETWEEN(1620,2416)))</f>
        <v>61278771.505529016</v>
      </c>
      <c r="B13368">
        <v>155724968.07857597</v>
      </c>
    </row>
    <row r="13369" spans="1:2" x14ac:dyDescent="0.25">
      <c r="A13369">
        <f ca="1">28810.2804813302*((RANDBETWEEN(1620,2416)))</f>
        <v>66983902.119092681</v>
      </c>
      <c r="B13369">
        <v>152460558.27974778</v>
      </c>
    </row>
    <row r="13370" spans="1:2" x14ac:dyDescent="0.25">
      <c r="A13370">
        <f ca="1">28796.0763906848*((RANDBETWEEN(1620,2416)))</f>
        <v>52264878.649092875</v>
      </c>
      <c r="B13370">
        <v>174537497.78597707</v>
      </c>
    </row>
    <row r="13371" spans="1:2" x14ac:dyDescent="0.25">
      <c r="A13371">
        <f ca="1">26723.0290772657*((RANDBETWEEN(1620,2416)))</f>
        <v>53365889.067299627</v>
      </c>
      <c r="B13371">
        <v>149218611.20565739</v>
      </c>
    </row>
    <row r="13372" spans="1:2" x14ac:dyDescent="0.25">
      <c r="A13372">
        <f ca="1">29290.1024707659*((RANDBETWEEN(1620,2416)))</f>
        <v>62387918.262731269</v>
      </c>
      <c r="B13372">
        <v>153723997.97423357</v>
      </c>
    </row>
    <row r="13373" spans="1:2" x14ac:dyDescent="0.25">
      <c r="A13373">
        <f ca="1">31152.124920708*((RANDBETWEEN(1620,2416)))</f>
        <v>54547370.736159779</v>
      </c>
      <c r="B13373">
        <v>145905270.12267527</v>
      </c>
    </row>
    <row r="13374" spans="1:2" x14ac:dyDescent="0.25">
      <c r="A13374">
        <f ca="1">25808.3111248201*((RANDBETWEEN(1620,2416)))</f>
        <v>50687523.049146682</v>
      </c>
      <c r="B13374">
        <v>181700216.52881768</v>
      </c>
    </row>
    <row r="13375" spans="1:2" x14ac:dyDescent="0.25">
      <c r="A13375">
        <f ca="1">31220.0028999984*((RANDBETWEEN(1620,2416)))</f>
        <v>73991406.872996122</v>
      </c>
      <c r="B13375">
        <v>198785628.77450711</v>
      </c>
    </row>
    <row r="13376" spans="1:2" x14ac:dyDescent="0.25">
      <c r="A13376">
        <f ca="1">27213.099791289*((RANDBETWEEN(1620,2416)))</f>
        <v>58426525.251897521</v>
      </c>
      <c r="B13376">
        <v>183266719.4418737</v>
      </c>
    </row>
    <row r="13377" spans="1:2" x14ac:dyDescent="0.25">
      <c r="A13377">
        <f ca="1">27333.9903191647*((RANDBETWEEN(1620,2416)))</f>
        <v>53492619.054605283</v>
      </c>
      <c r="B13377">
        <v>180569124.96193692</v>
      </c>
    </row>
    <row r="13378" spans="1:2" x14ac:dyDescent="0.25">
      <c r="A13378">
        <f ca="1">31461.010865776*((RANDBETWEEN(1620,2416)))</f>
        <v>70346820.295875147</v>
      </c>
      <c r="B13378">
        <v>192211775.4667021</v>
      </c>
    </row>
    <row r="13379" spans="1:2" x14ac:dyDescent="0.25">
      <c r="A13379">
        <f ca="1">25716.2015122119*((RANDBETWEEN(1620,2416)))</f>
        <v>61075978.591503315</v>
      </c>
      <c r="B13379">
        <v>155257102.23070025</v>
      </c>
    </row>
    <row r="13380" spans="1:2" x14ac:dyDescent="0.25">
      <c r="A13380">
        <f ca="1">30692.6147567791*((RANDBETWEEN(1620,2416)))</f>
        <v>60004061.8495031</v>
      </c>
      <c r="B13380">
        <v>177641905.26205254</v>
      </c>
    </row>
    <row r="13381" spans="1:2" x14ac:dyDescent="0.25">
      <c r="A13381">
        <f ca="1">25787.3126440608*((RANDBETWEEN(1620,2416)))</f>
        <v>44018942.683411844</v>
      </c>
      <c r="B13381">
        <v>144360038.33732569</v>
      </c>
    </row>
    <row r="13382" spans="1:2" x14ac:dyDescent="0.25">
      <c r="A13382">
        <f ca="1">28875.0624111548*((RANDBETWEEN(1620,2416)))</f>
        <v>58212125.820888028</v>
      </c>
      <c r="B13382">
        <v>160599387.4699415</v>
      </c>
    </row>
    <row r="13383" spans="1:2" x14ac:dyDescent="0.25">
      <c r="A13383">
        <f ca="1">26817.7926762788*((RANDBETWEEN(1620,2416)))</f>
        <v>45214798.452206135</v>
      </c>
      <c r="B13383">
        <v>181333341.10367203</v>
      </c>
    </row>
    <row r="13384" spans="1:2" x14ac:dyDescent="0.25">
      <c r="A13384">
        <f ca="1">27705.9951682615*((RANDBETWEEN(1620,2416)))</f>
        <v>54442280.505633801</v>
      </c>
      <c r="B13384">
        <v>146628487.04352343</v>
      </c>
    </row>
    <row r="13385" spans="1:2" x14ac:dyDescent="0.25">
      <c r="A13385">
        <f ca="1">26960.4726436561*((RANDBETWEEN(1620,2416)))</f>
        <v>53947905.759955943</v>
      </c>
      <c r="B13385">
        <v>162124152.54806003</v>
      </c>
    </row>
    <row r="13386" spans="1:2" x14ac:dyDescent="0.25">
      <c r="A13386">
        <f ca="1">27931.9368392306*((RANDBETWEEN(1620,2416)))</f>
        <v>66785260.982600309</v>
      </c>
      <c r="B13386">
        <v>170601432.98902136</v>
      </c>
    </row>
    <row r="13387" spans="1:2" x14ac:dyDescent="0.25">
      <c r="A13387">
        <f ca="1">29441.0026151166*((RANDBETWEEN(1620,2416)))</f>
        <v>47694424.236488819</v>
      </c>
      <c r="B13387">
        <v>178718490.05887055</v>
      </c>
    </row>
    <row r="13388" spans="1:2" x14ac:dyDescent="0.25">
      <c r="A13388">
        <f ca="1">32566.266748325*((RANDBETWEEN(1620,2416)))</f>
        <v>58716978.947229996</v>
      </c>
      <c r="B13388">
        <v>156269938.05735928</v>
      </c>
    </row>
    <row r="13389" spans="1:2" x14ac:dyDescent="0.25">
      <c r="A13389">
        <f ca="1">29996.7073199102*((RANDBETWEEN(1620,2416)))</f>
        <v>57983635.249386437</v>
      </c>
      <c r="B13389">
        <v>167667658.73698395</v>
      </c>
    </row>
    <row r="13390" spans="1:2" x14ac:dyDescent="0.25">
      <c r="A13390">
        <f ca="1">27621.2392688804*((RANDBETWEEN(1620,2416)))</f>
        <v>52784188.242830463</v>
      </c>
      <c r="B13390">
        <v>150944549.1070385</v>
      </c>
    </row>
    <row r="13391" spans="1:2" x14ac:dyDescent="0.25">
      <c r="A13391">
        <f ca="1">28176.3876303474*((RANDBETWEEN(1620,2416)))</f>
        <v>55197543.367850497</v>
      </c>
      <c r="B13391">
        <v>165078871.38372034</v>
      </c>
    </row>
    <row r="13392" spans="1:2" x14ac:dyDescent="0.25">
      <c r="A13392">
        <f ca="1">29055.6896403177*((RANDBETWEEN(1620,2416)))</f>
        <v>56484260.660777695</v>
      </c>
      <c r="B13392">
        <v>191297342.00073025</v>
      </c>
    </row>
    <row r="13393" spans="1:2" x14ac:dyDescent="0.25">
      <c r="A13393">
        <f ca="1">27355.3723198753*((RANDBETWEEN(1620,2416)))</f>
        <v>64804877.025784612</v>
      </c>
      <c r="B13393">
        <v>174035830.77524981</v>
      </c>
    </row>
    <row r="13394" spans="1:2" x14ac:dyDescent="0.25">
      <c r="A13394">
        <f ca="1">24715.806252264*((RANDBETWEEN(1620,2416)))</f>
        <v>49456328.310780175</v>
      </c>
      <c r="B13394">
        <v>146844847.30547586</v>
      </c>
    </row>
    <row r="13395" spans="1:2" x14ac:dyDescent="0.25">
      <c r="A13395">
        <f ca="1">30071.8370170682*((RANDBETWEEN(1620,2416)))</f>
        <v>54460096.837910503</v>
      </c>
      <c r="B13395">
        <v>157727290.38348418</v>
      </c>
    </row>
    <row r="13396" spans="1:2" x14ac:dyDescent="0.25">
      <c r="A13396">
        <f ca="1">27701.5373775584*((RANDBETWEEN(1620,2416)))</f>
        <v>61996040.650975764</v>
      </c>
      <c r="B13396">
        <v>166249198.03185287</v>
      </c>
    </row>
    <row r="13397" spans="1:2" x14ac:dyDescent="0.25">
      <c r="A13397">
        <f ca="1">26908.131968632*((RANDBETWEEN(1620,2416)))</f>
        <v>47896474.90416491</v>
      </c>
      <c r="B13397">
        <v>149598082.37872469</v>
      </c>
    </row>
    <row r="13398" spans="1:2" x14ac:dyDescent="0.25">
      <c r="A13398">
        <f ca="1">29123.3493621205*((RANDBETWEEN(1620,2416)))</f>
        <v>70332888.709521115</v>
      </c>
      <c r="B13398">
        <v>170102363.95819855</v>
      </c>
    </row>
    <row r="13399" spans="1:2" x14ac:dyDescent="0.25">
      <c r="A13399">
        <f ca="1">27049.9379817587*((RANDBETWEEN(1620,2416)))</f>
        <v>51476031.979286812</v>
      </c>
      <c r="B13399">
        <v>149991065.06646374</v>
      </c>
    </row>
    <row r="13400" spans="1:2" x14ac:dyDescent="0.25">
      <c r="A13400">
        <f ca="1">29980.0054676157*((RANDBETWEEN(1620,2416)))</f>
        <v>59120570.782138251</v>
      </c>
      <c r="B13400">
        <v>186552379.54303947</v>
      </c>
    </row>
    <row r="13401" spans="1:2" x14ac:dyDescent="0.25">
      <c r="A13401">
        <f ca="1">26856.7711636892*((RANDBETWEEN(1620,2416)))</f>
        <v>62603133.582559511</v>
      </c>
      <c r="B13401">
        <v>156410848.86026698</v>
      </c>
    </row>
    <row r="13402" spans="1:2" x14ac:dyDescent="0.25">
      <c r="A13402">
        <f ca="1">27724.8729683225*((RANDBETWEEN(1620,2416)))</f>
        <v>46910485.062401585</v>
      </c>
      <c r="B13402">
        <v>191641991.9634333</v>
      </c>
    </row>
    <row r="13403" spans="1:2" x14ac:dyDescent="0.25">
      <c r="A13403">
        <f ca="1">30459.4251976*((RANDBETWEEN(1620,2416)))</f>
        <v>68503247.269402385</v>
      </c>
      <c r="B13403">
        <v>201906740.5246793</v>
      </c>
    </row>
    <row r="13404" spans="1:2" x14ac:dyDescent="0.25">
      <c r="A13404">
        <f ca="1">28404.7906117443*((RANDBETWEEN(1620,2416)))</f>
        <v>49509550.036270283</v>
      </c>
      <c r="B13404">
        <v>158476391.65357572</v>
      </c>
    </row>
    <row r="13405" spans="1:2" x14ac:dyDescent="0.25">
      <c r="A13405">
        <f ca="1">26544.3203822972*((RANDBETWEEN(1620,2416)))</f>
        <v>57176466.103468113</v>
      </c>
      <c r="B13405">
        <v>156839732.51172644</v>
      </c>
    </row>
    <row r="13406" spans="1:2" x14ac:dyDescent="0.25">
      <c r="A13406">
        <f ca="1">30557.7798915515*((RANDBETWEEN(1620,2416)))</f>
        <v>60229384.166248038</v>
      </c>
      <c r="B13406">
        <v>154500930.63310918</v>
      </c>
    </row>
    <row r="13407" spans="1:2" x14ac:dyDescent="0.25">
      <c r="A13407">
        <f ca="1">27289.5874860438*((RANDBETWEEN(1620,2416)))</f>
        <v>65686037.078907482</v>
      </c>
      <c r="B13407">
        <v>159424768.64766479</v>
      </c>
    </row>
    <row r="13408" spans="1:2" x14ac:dyDescent="0.25">
      <c r="A13408">
        <f ca="1">26141.0010691089*((RANDBETWEEN(1620,2416)))</f>
        <v>49406492.020615771</v>
      </c>
      <c r="B13408">
        <v>154478909.0497421</v>
      </c>
    </row>
    <row r="13409" spans="1:2" x14ac:dyDescent="0.25">
      <c r="A13409">
        <f ca="1">26548.9536384394*((RANDBETWEEN(1620,2416)))</f>
        <v>49062466.323836066</v>
      </c>
      <c r="B13409">
        <v>198520563.80949545</v>
      </c>
    </row>
    <row r="13410" spans="1:2" x14ac:dyDescent="0.25">
      <c r="A13410">
        <f ca="1">26743.6271882898*((RANDBETWEEN(1620,2416)))</f>
        <v>44635113.777255654</v>
      </c>
      <c r="B13410">
        <v>172738257.34053969</v>
      </c>
    </row>
    <row r="13411" spans="1:2" x14ac:dyDescent="0.25">
      <c r="A13411">
        <f ca="1">26903.5838122536*((RANDBETWEEN(1620,2416)))</f>
        <v>44202588.203532591</v>
      </c>
      <c r="B13411">
        <v>163431836.80110425</v>
      </c>
    </row>
    <row r="13412" spans="1:2" x14ac:dyDescent="0.25">
      <c r="A13412">
        <f ca="1">26367.3289127999*((RANDBETWEEN(1620,2416)))</f>
        <v>52655555.838861302</v>
      </c>
      <c r="B13412">
        <v>154676715.98590034</v>
      </c>
    </row>
    <row r="13413" spans="1:2" x14ac:dyDescent="0.25">
      <c r="A13413">
        <f ca="1">27036.6148539456*((RANDBETWEEN(1620,2416)))</f>
        <v>46205574.785393015</v>
      </c>
      <c r="B13413">
        <v>157533985.79621768</v>
      </c>
    </row>
    <row r="13414" spans="1:2" x14ac:dyDescent="0.25">
      <c r="A13414">
        <f ca="1">25231.4202785274*((RANDBETWEEN(1620,2416)))</f>
        <v>41379529.256784968</v>
      </c>
      <c r="B13414">
        <v>157431775.87278748</v>
      </c>
    </row>
    <row r="13415" spans="1:2" x14ac:dyDescent="0.25">
      <c r="A13415">
        <f ca="1">29262.7600773298*((RANDBETWEEN(1620,2416)))</f>
        <v>57237958.71125716</v>
      </c>
      <c r="B13415">
        <v>189666737.27588612</v>
      </c>
    </row>
    <row r="13416" spans="1:2" x14ac:dyDescent="0.25">
      <c r="A13416">
        <f ca="1">25517.8814290435*((RANDBETWEEN(1620,2416)))</f>
        <v>57415233.215347804</v>
      </c>
      <c r="B13416">
        <v>159715708.51626578</v>
      </c>
    </row>
    <row r="13417" spans="1:2" x14ac:dyDescent="0.25">
      <c r="A13417">
        <f ca="1">27995.9125519281*((RANDBETWEEN(1620,2416)))</f>
        <v>51064544.494716927</v>
      </c>
      <c r="B13417">
        <v>189214399.18609309</v>
      </c>
    </row>
    <row r="13418" spans="1:2" x14ac:dyDescent="0.25">
      <c r="A13418">
        <f ca="1">27701.4452900314*((RANDBETWEEN(1620,2416)))</f>
        <v>48865349.491615467</v>
      </c>
      <c r="B13418">
        <v>161636891.80925491</v>
      </c>
    </row>
    <row r="13419" spans="1:2" x14ac:dyDescent="0.25">
      <c r="A13419">
        <f ca="1">27621.7928856431*((RANDBETWEEN(1620,2416)))</f>
        <v>54221579.434517309</v>
      </c>
      <c r="B13419">
        <v>185660412.89515665</v>
      </c>
    </row>
    <row r="13420" spans="1:2" x14ac:dyDescent="0.25">
      <c r="A13420">
        <f ca="1">30427.7244250346*((RANDBETWEEN(1620,2416)))</f>
        <v>49597190.812806457</v>
      </c>
      <c r="B13420">
        <v>159531257.02977896</v>
      </c>
    </row>
    <row r="13421" spans="1:2" x14ac:dyDescent="0.25">
      <c r="A13421">
        <f ca="1">29731.0833258929*((RANDBETWEEN(1620,2416)))</f>
        <v>63802904.817366205</v>
      </c>
      <c r="B13421">
        <v>159868676.22000778</v>
      </c>
    </row>
    <row r="13422" spans="1:2" x14ac:dyDescent="0.25">
      <c r="A13422">
        <f ca="1">26319.2974876393*((RANDBETWEEN(1620,2416)))</f>
        <v>49296044.194348425</v>
      </c>
      <c r="B13422">
        <v>150739644.51379552</v>
      </c>
    </row>
    <row r="13423" spans="1:2" x14ac:dyDescent="0.25">
      <c r="A13423">
        <f ca="1">25783.7425779969*((RANDBETWEEN(1620,2416)))</f>
        <v>48782840.95757015</v>
      </c>
      <c r="B13423">
        <v>154599041.28232172</v>
      </c>
    </row>
    <row r="13424" spans="1:2" x14ac:dyDescent="0.25">
      <c r="A13424">
        <f ca="1">27724.4289770562*((RANDBETWEEN(1620,2416)))</f>
        <v>53286352.493902005</v>
      </c>
      <c r="B13424">
        <v>173704984.55575433</v>
      </c>
    </row>
    <row r="13425" spans="1:2" x14ac:dyDescent="0.25">
      <c r="A13425">
        <f ca="1">26098.2844268074*((RANDBETWEEN(1620,2416)))</f>
        <v>53005615.670845859</v>
      </c>
      <c r="B13425">
        <v>169513872.02045682</v>
      </c>
    </row>
    <row r="13426" spans="1:2" x14ac:dyDescent="0.25">
      <c r="A13426">
        <f ca="1">27195.0168128976*((RANDBETWEEN(1620,2416)))</f>
        <v>60726472.543200448</v>
      </c>
      <c r="B13426">
        <v>156809372.03733298</v>
      </c>
    </row>
    <row r="13427" spans="1:2" x14ac:dyDescent="0.25">
      <c r="A13427">
        <f ca="1">26770.4136882384*((RANDBETWEEN(1620,2416)))</f>
        <v>49578806.150617495</v>
      </c>
      <c r="B13427">
        <v>170637213.11875951</v>
      </c>
    </row>
    <row r="13428" spans="1:2" x14ac:dyDescent="0.25">
      <c r="A13428">
        <f ca="1">27905.2230405147*((RANDBETWEEN(1620,2416)))</f>
        <v>53298976.007383116</v>
      </c>
      <c r="B13428">
        <v>187037628.01719576</v>
      </c>
    </row>
    <row r="13429" spans="1:2" x14ac:dyDescent="0.25">
      <c r="A13429">
        <f ca="1">30415.0889026715*((RANDBETWEEN(1620,2416)))</f>
        <v>49819915.622575939</v>
      </c>
      <c r="B13429">
        <v>152849476.75457206</v>
      </c>
    </row>
    <row r="13430" spans="1:2" x14ac:dyDescent="0.25">
      <c r="A13430">
        <f ca="1">25372.6376840147*((RANDBETWEEN(1620,2416)))</f>
        <v>60183896.58648295</v>
      </c>
      <c r="B13430">
        <v>162930947.38117686</v>
      </c>
    </row>
    <row r="13431" spans="1:2" x14ac:dyDescent="0.25">
      <c r="A13431">
        <f ca="1">27483.8418299907*((RANDBETWEEN(1620,2416)))</f>
        <v>49883172.921433069</v>
      </c>
      <c r="B13431">
        <v>165220707.00034755</v>
      </c>
    </row>
    <row r="13432" spans="1:2" x14ac:dyDescent="0.25">
      <c r="A13432">
        <f ca="1">26854.6531530708*((RANDBETWEEN(1620,2416)))</f>
        <v>61550865.026838295</v>
      </c>
      <c r="B13432">
        <v>154482382.07780519</v>
      </c>
    </row>
    <row r="13433" spans="1:2" x14ac:dyDescent="0.25">
      <c r="A13433">
        <f ca="1">33802.7509588361*((RANDBETWEEN(1620,2416)))</f>
        <v>61487203.994122908</v>
      </c>
      <c r="B13433">
        <v>201135490.3651616</v>
      </c>
    </row>
    <row r="13434" spans="1:2" x14ac:dyDescent="0.25">
      <c r="A13434">
        <f ca="1">26800.8112374635*((RANDBETWEEN(1620,2416)))</f>
        <v>60435829.340480156</v>
      </c>
      <c r="B13434">
        <v>148470241.83667102</v>
      </c>
    </row>
    <row r="13435" spans="1:2" x14ac:dyDescent="0.25">
      <c r="A13435">
        <f ca="1">26634.7409453044*((RANDBETWEEN(1620,2416)))</f>
        <v>56838537.177279495</v>
      </c>
      <c r="B13435">
        <v>176574645.55295712</v>
      </c>
    </row>
    <row r="13436" spans="1:2" x14ac:dyDescent="0.25">
      <c r="A13436">
        <f ca="1">28474.5658522324*((RANDBETWEEN(1620,2416)))</f>
        <v>64267095.12848863</v>
      </c>
      <c r="B13436">
        <v>198114424.37026933</v>
      </c>
    </row>
    <row r="13437" spans="1:2" x14ac:dyDescent="0.25">
      <c r="A13437">
        <f ca="1">27406.1559698773*((RANDBETWEEN(1620,2416)))</f>
        <v>59306921.518814415</v>
      </c>
      <c r="B13437">
        <v>203307724.59306186</v>
      </c>
    </row>
    <row r="13438" spans="1:2" x14ac:dyDescent="0.25">
      <c r="A13438">
        <f ca="1">27971.1504636066*((RANDBETWEEN(1620,2416)))</f>
        <v>50963436.144691169</v>
      </c>
      <c r="B13438">
        <v>179801284.25315028</v>
      </c>
    </row>
    <row r="13439" spans="1:2" x14ac:dyDescent="0.25">
      <c r="A13439">
        <f ca="1">28187.2315796063*((RANDBETWEEN(1620,2416)))</f>
        <v>63731330.601489805</v>
      </c>
      <c r="B13439">
        <v>172928494.63626021</v>
      </c>
    </row>
    <row r="13440" spans="1:2" x14ac:dyDescent="0.25">
      <c r="A13440">
        <f ca="1">31330.9669893621*((RANDBETWEEN(1620,2416)))</f>
        <v>74881011.104575455</v>
      </c>
      <c r="B13440">
        <v>188091972.18780887</v>
      </c>
    </row>
    <row r="13441" spans="1:2" x14ac:dyDescent="0.25">
      <c r="A13441">
        <f ca="1">27746.4000560835*((RANDBETWEEN(1620,2416)))</f>
        <v>58073215.317382865</v>
      </c>
      <c r="B13441">
        <v>150119136.87838611</v>
      </c>
    </row>
    <row r="13442" spans="1:2" x14ac:dyDescent="0.25">
      <c r="A13442">
        <f ca="1">31263.1379117838*((RANDBETWEEN(1620,2416)))</f>
        <v>66371641.786717072</v>
      </c>
      <c r="B13442">
        <v>145000320.70198122</v>
      </c>
    </row>
    <row r="13443" spans="1:2" x14ac:dyDescent="0.25">
      <c r="A13443">
        <f ca="1">29281.2374349609*((RANDBETWEEN(1620,2416)))</f>
        <v>48460447.954860315</v>
      </c>
      <c r="B13443">
        <v>170873636.86488208</v>
      </c>
    </row>
    <row r="13444" spans="1:2" x14ac:dyDescent="0.25">
      <c r="A13444">
        <f ca="1">27192.4916819056*((RANDBETWEEN(1620,2416)))</f>
        <v>56370035.256590381</v>
      </c>
      <c r="B13444">
        <v>156806232.75542286</v>
      </c>
    </row>
    <row r="13445" spans="1:2" x14ac:dyDescent="0.25">
      <c r="A13445">
        <f ca="1">31464.0895346722*((RANDBETWEEN(1620,2416)))</f>
        <v>75513814.883213222</v>
      </c>
      <c r="B13445">
        <v>193661957.14268672</v>
      </c>
    </row>
    <row r="13446" spans="1:2" x14ac:dyDescent="0.25">
      <c r="A13446">
        <f ca="1">27001.1553516607*((RANDBETWEEN(1620,2416)))</f>
        <v>57782472.452553816</v>
      </c>
      <c r="B13446">
        <v>171407397.98591852</v>
      </c>
    </row>
    <row r="13447" spans="1:2" x14ac:dyDescent="0.25">
      <c r="A13447">
        <f ca="1">28616.3920710712*((RANDBETWEEN(1620,2416)))</f>
        <v>55229636.697167411</v>
      </c>
      <c r="B13447">
        <v>193407309.45327151</v>
      </c>
    </row>
    <row r="13448" spans="1:2" x14ac:dyDescent="0.25">
      <c r="A13448">
        <f ca="1">30624.9252114318*((RANDBETWEEN(1620,2416)))</f>
        <v>56809236.267205916</v>
      </c>
      <c r="B13448">
        <v>162337058.41388166</v>
      </c>
    </row>
    <row r="13449" spans="1:2" x14ac:dyDescent="0.25">
      <c r="A13449">
        <f ca="1">27399.1861821255*((RANDBETWEEN(1620,2416)))</f>
        <v>46167628.716881514</v>
      </c>
      <c r="B13449">
        <v>186331240.46826676</v>
      </c>
    </row>
    <row r="13450" spans="1:2" x14ac:dyDescent="0.25">
      <c r="A13450">
        <f ca="1">25347.6440748945*((RANDBETWEEN(1620,2416)))</f>
        <v>41316659.842078105</v>
      </c>
      <c r="B13450">
        <v>143490004.54051644</v>
      </c>
    </row>
    <row r="13451" spans="1:2" x14ac:dyDescent="0.25">
      <c r="A13451">
        <f ca="1">32081.3623028744*((RANDBETWEEN(1620,2416)))</f>
        <v>60826262.926249824</v>
      </c>
      <c r="B13451">
        <v>168100484.19438618</v>
      </c>
    </row>
    <row r="13452" spans="1:2" x14ac:dyDescent="0.25">
      <c r="A13452">
        <f ca="1">27517.7193511718*((RANDBETWEEN(1620,2416)))</f>
        <v>47495583.600122444</v>
      </c>
      <c r="B13452">
        <v>193401314.68442166</v>
      </c>
    </row>
    <row r="13453" spans="1:2" x14ac:dyDescent="0.25">
      <c r="A13453">
        <f ca="1">26788.9154217129*((RANDBETWEEN(1620,2416)))</f>
        <v>54247553.728968695</v>
      </c>
      <c r="B13453">
        <v>171724831.88771206</v>
      </c>
    </row>
    <row r="13454" spans="1:2" x14ac:dyDescent="0.25">
      <c r="A13454">
        <f ca="1">26295.5081196693*((RANDBETWEEN(1620,2416)))</f>
        <v>45833070.652583547</v>
      </c>
      <c r="B13454">
        <v>198915740.84074426</v>
      </c>
    </row>
    <row r="13455" spans="1:2" x14ac:dyDescent="0.25">
      <c r="A13455">
        <f ca="1">27267.0871881898*((RANDBETWEEN(1620,2416)))</f>
        <v>65141071.292585321</v>
      </c>
      <c r="B13455">
        <v>152867383.22142237</v>
      </c>
    </row>
    <row r="13456" spans="1:2" x14ac:dyDescent="0.25">
      <c r="A13456">
        <f ca="1">30263.5280808003*((RANDBETWEEN(1620,2416)))</f>
        <v>56108581.061803691</v>
      </c>
      <c r="B13456">
        <v>196349070.33361486</v>
      </c>
    </row>
    <row r="13457" spans="1:2" x14ac:dyDescent="0.25">
      <c r="A13457">
        <f ca="1">26510.3562405963*((RANDBETWEEN(1620,2416)))</f>
        <v>63969489.60855899</v>
      </c>
      <c r="B13457">
        <v>168906169.21955055</v>
      </c>
    </row>
    <row r="13458" spans="1:2" x14ac:dyDescent="0.25">
      <c r="A13458">
        <f ca="1">26350.9612203279*((RANDBETWEEN(1620,2416)))</f>
        <v>43268278.323778465</v>
      </c>
      <c r="B13458">
        <v>172988331.90611017</v>
      </c>
    </row>
    <row r="13459" spans="1:2" x14ac:dyDescent="0.25">
      <c r="A13459">
        <f ca="1">27288.5411874788*((RANDBETWEEN(1620,2416)))</f>
        <v>44644053.382715389</v>
      </c>
      <c r="B13459">
        <v>183908167.36727124</v>
      </c>
    </row>
    <row r="13460" spans="1:2" x14ac:dyDescent="0.25">
      <c r="A13460">
        <f ca="1">29419.8662484781*((RANDBETWEEN(1620,2416)))</f>
        <v>68165830.097723722</v>
      </c>
      <c r="B13460">
        <v>187945285.50520945</v>
      </c>
    </row>
    <row r="13461" spans="1:2" x14ac:dyDescent="0.25">
      <c r="A13461">
        <f ca="1">27848.320685722*((RANDBETWEEN(1620,2416)))</f>
        <v>64997980.480475053</v>
      </c>
      <c r="B13461">
        <v>162381052.09018874</v>
      </c>
    </row>
    <row r="13462" spans="1:2" x14ac:dyDescent="0.25">
      <c r="A13462">
        <f ca="1">28994.492553244*((RANDBETWEEN(1620,2416)))</f>
        <v>62338158.989474535</v>
      </c>
      <c r="B13462">
        <v>186343396.84225622</v>
      </c>
    </row>
    <row r="13463" spans="1:2" x14ac:dyDescent="0.25">
      <c r="A13463">
        <f ca="1">27415.9383426449*((RANDBETWEEN(1620,2416)))</f>
        <v>56175257.66407945</v>
      </c>
      <c r="B13463">
        <v>147000142.70572653</v>
      </c>
    </row>
    <row r="13464" spans="1:2" x14ac:dyDescent="0.25">
      <c r="A13464">
        <f ca="1">33905.4751356529*((RANDBETWEEN(1620,2416)))</f>
        <v>72795055.1162467</v>
      </c>
      <c r="B13464">
        <v>149592910.48301512</v>
      </c>
    </row>
    <row r="13465" spans="1:2" x14ac:dyDescent="0.25">
      <c r="A13465">
        <f ca="1">29070.1121345861*((RANDBETWEEN(1620,2416)))</f>
        <v>50029662.983622722</v>
      </c>
      <c r="B13465">
        <v>158567377.09488535</v>
      </c>
    </row>
    <row r="13466" spans="1:2" x14ac:dyDescent="0.25">
      <c r="A13466">
        <f ca="1">26170.6030884459*((RANDBETWEEN(1620,2416)))</f>
        <v>60663457.959017649</v>
      </c>
      <c r="B13466">
        <v>148253610.00240657</v>
      </c>
    </row>
    <row r="13467" spans="1:2" x14ac:dyDescent="0.25">
      <c r="A13467">
        <f ca="1">27808.0003557978*((RANDBETWEEN(1620,2416)))</f>
        <v>54948608.703056373</v>
      </c>
      <c r="B13467">
        <v>160465469.62688357</v>
      </c>
    </row>
    <row r="13468" spans="1:2" x14ac:dyDescent="0.25">
      <c r="A13468">
        <f ca="1">26272.0933525828*((RANDBETWEEN(1620,2416)))</f>
        <v>57404523.975393325</v>
      </c>
      <c r="B13468">
        <v>174037574.70459202</v>
      </c>
    </row>
    <row r="13469" spans="1:2" x14ac:dyDescent="0.25">
      <c r="A13469">
        <f ca="1">29162.5609908104*((RANDBETWEEN(1620,2416)))</f>
        <v>65761575.034277499</v>
      </c>
      <c r="B13469">
        <v>164735817.3271628</v>
      </c>
    </row>
    <row r="13470" spans="1:2" x14ac:dyDescent="0.25">
      <c r="A13470">
        <f ca="1">26866.9858165088*((RANDBETWEEN(1620,2416)))</f>
        <v>50106928.547788918</v>
      </c>
      <c r="B13470">
        <v>149881576.12552571</v>
      </c>
    </row>
    <row r="13471" spans="1:2" x14ac:dyDescent="0.25">
      <c r="A13471">
        <f ca="1">29211.176845866*((RANDBETWEEN(1620,2416)))</f>
        <v>50214012.998043716</v>
      </c>
      <c r="B13471">
        <v>191529883.77106076</v>
      </c>
    </row>
    <row r="13472" spans="1:2" x14ac:dyDescent="0.25">
      <c r="A13472">
        <f ca="1">26441.9301059213*((RANDBETWEEN(1620,2416)))</f>
        <v>56347753.055718236</v>
      </c>
      <c r="B13472">
        <v>170963098.36103678</v>
      </c>
    </row>
    <row r="13473" spans="1:2" x14ac:dyDescent="0.25">
      <c r="A13473">
        <f ca="1">28301.911379684*((RANDBETWEEN(1620,2416)))</f>
        <v>50066081.230661005</v>
      </c>
      <c r="B13473">
        <v>170819037.08985206</v>
      </c>
    </row>
    <row r="13474" spans="1:2" x14ac:dyDescent="0.25">
      <c r="A13474">
        <f ca="1">29455.7263238499*((RANDBETWEEN(1620,2416)))</f>
        <v>68396196.52397944</v>
      </c>
      <c r="B13474">
        <v>168222261.78289789</v>
      </c>
    </row>
    <row r="13475" spans="1:2" x14ac:dyDescent="0.25">
      <c r="A13475">
        <f ca="1">25582.322260753*((RANDBETWEEN(1620,2416)))</f>
        <v>61602232.003893331</v>
      </c>
      <c r="B13475">
        <v>190506561.82493353</v>
      </c>
    </row>
    <row r="13476" spans="1:2" x14ac:dyDescent="0.25">
      <c r="A13476">
        <f ca="1">26935.0974604324*((RANDBETWEEN(1620,2416)))</f>
        <v>46732394.093850143</v>
      </c>
      <c r="B13476">
        <v>184091191.65362158</v>
      </c>
    </row>
    <row r="13477" spans="1:2" x14ac:dyDescent="0.25">
      <c r="A13477">
        <f ca="1">28975.4071480441*((RANDBETWEEN(1620,2416)))</f>
        <v>57661060.224607691</v>
      </c>
      <c r="B13477">
        <v>154378659.34351927</v>
      </c>
    </row>
    <row r="13478" spans="1:2" x14ac:dyDescent="0.25">
      <c r="A13478">
        <f ca="1">27136.0782299651*((RANDBETWEEN(1620,2416)))</f>
        <v>54299292.53816025</v>
      </c>
      <c r="B13478">
        <v>177126346.46517864</v>
      </c>
    </row>
    <row r="13479" spans="1:2" x14ac:dyDescent="0.25">
      <c r="A13479">
        <f ca="1">29816.5314546586*((RANDBETWEEN(1620,2416)))</f>
        <v>58708750.434222713</v>
      </c>
      <c r="B13479">
        <v>200571821.48353729</v>
      </c>
    </row>
    <row r="13480" spans="1:2" x14ac:dyDescent="0.25">
      <c r="A13480">
        <f ca="1">31484.7040421509*((RANDBETWEEN(1620,2416)))</f>
        <v>75531804.997120067</v>
      </c>
      <c r="B13480">
        <v>174737932.21980029</v>
      </c>
    </row>
    <row r="13481" spans="1:2" x14ac:dyDescent="0.25">
      <c r="A13481">
        <f ca="1">24441.6232661423*((RANDBETWEEN(1620,2416)))</f>
        <v>54529261.506763518</v>
      </c>
      <c r="B13481">
        <v>143460473.65088686</v>
      </c>
    </row>
    <row r="13482" spans="1:2" x14ac:dyDescent="0.25">
      <c r="A13482">
        <f ca="1">26130.6028457529*((RANDBETWEEN(1620,2416)))</f>
        <v>47217999.342275575</v>
      </c>
      <c r="B13482">
        <v>166153814.18117991</v>
      </c>
    </row>
    <row r="13483" spans="1:2" x14ac:dyDescent="0.25">
      <c r="A13483">
        <f ca="1">32009.1164389627*((RANDBETWEEN(1620,2416)))</f>
        <v>59312892.761397921</v>
      </c>
      <c r="B13483">
        <v>199855499.2882072</v>
      </c>
    </row>
    <row r="13484" spans="1:2" x14ac:dyDescent="0.25">
      <c r="A13484">
        <f ca="1">28131.9926655491*((RANDBETWEEN(1620,2416)))</f>
        <v>61524667.959555872</v>
      </c>
      <c r="B13484">
        <v>166176227.06826976</v>
      </c>
    </row>
    <row r="13485" spans="1:2" x14ac:dyDescent="0.25">
      <c r="A13485">
        <f ca="1">24266.0306710439*((RANDBETWEEN(1620,2416)))</f>
        <v>53045543.046901874</v>
      </c>
      <c r="B13485">
        <v>201620151.03364038</v>
      </c>
    </row>
    <row r="13486" spans="1:2" x14ac:dyDescent="0.25">
      <c r="A13486">
        <f ca="1">27234.7349097542*((RANDBETWEEN(1620,2416)))</f>
        <v>62530951.352795631</v>
      </c>
      <c r="B13486">
        <v>171662211.22374305</v>
      </c>
    </row>
    <row r="13487" spans="1:2" x14ac:dyDescent="0.25">
      <c r="A13487">
        <f ca="1">26443.3246950944*((RANDBETWEEN(1620,2416)))</f>
        <v>59021500.719450705</v>
      </c>
      <c r="B13487">
        <v>154960490.67907703</v>
      </c>
    </row>
    <row r="13488" spans="1:2" x14ac:dyDescent="0.25">
      <c r="A13488">
        <f ca="1">26077.6694020916*((RANDBETWEEN(1620,2416)))</f>
        <v>59457086.236768812</v>
      </c>
      <c r="B13488">
        <v>161133329.14717489</v>
      </c>
    </row>
    <row r="13489" spans="1:2" x14ac:dyDescent="0.25">
      <c r="A13489">
        <f ca="1">31486.302643139*((RANDBETWEEN(1620,2416)))</f>
        <v>60296269.561611161</v>
      </c>
      <c r="B13489">
        <v>190561881.00266677</v>
      </c>
    </row>
    <row r="13490" spans="1:2" x14ac:dyDescent="0.25">
      <c r="A13490">
        <f ca="1">27330.4943072956*((RANDBETWEEN(1620,2416)))</f>
        <v>58459927.323305346</v>
      </c>
      <c r="B13490">
        <v>157762119.58163792</v>
      </c>
    </row>
    <row r="13491" spans="1:2" x14ac:dyDescent="0.25">
      <c r="A13491">
        <f ca="1">26890.1928629486*((RANDBETWEEN(1620,2416)))</f>
        <v>48429237.346170358</v>
      </c>
      <c r="B13491">
        <v>155070288.33960032</v>
      </c>
    </row>
    <row r="13492" spans="1:2" x14ac:dyDescent="0.25">
      <c r="A13492">
        <f ca="1">25782.2649875386*((RANDBETWEEN(1620,2416)))</f>
        <v>61129750.285454065</v>
      </c>
      <c r="B13492">
        <v>154856363.10733554</v>
      </c>
    </row>
    <row r="13493" spans="1:2" x14ac:dyDescent="0.25">
      <c r="A13493">
        <f ca="1">28699.0366057294*((RANDBETWEEN(1620,2416)))</f>
        <v>48214381.497625344</v>
      </c>
      <c r="B13493">
        <v>157660301.15750062</v>
      </c>
    </row>
    <row r="13494" spans="1:2" x14ac:dyDescent="0.25">
      <c r="A13494">
        <f ca="1">30385.5386394541*((RANDBETWEEN(1620,2416)))</f>
        <v>51199632.607480094</v>
      </c>
      <c r="B13494">
        <v>148360169.65159646</v>
      </c>
    </row>
    <row r="13495" spans="1:2" x14ac:dyDescent="0.25">
      <c r="A13495">
        <f ca="1">33607.4486932535*((RANDBETWEEN(1620,2416)))</f>
        <v>76893842.610164106</v>
      </c>
      <c r="B13495">
        <v>181202359.52480972</v>
      </c>
    </row>
    <row r="13496" spans="1:2" x14ac:dyDescent="0.25">
      <c r="A13496">
        <f ca="1">28765.575024956*((RANDBETWEEN(1620,2416)))</f>
        <v>61155612.503056392</v>
      </c>
      <c r="B13496">
        <v>176753741.08241034</v>
      </c>
    </row>
    <row r="13497" spans="1:2" x14ac:dyDescent="0.25">
      <c r="A13497">
        <f ca="1">28713.4172956137*((RANDBETWEEN(1620,2416)))</f>
        <v>59350633.550033502</v>
      </c>
      <c r="B13497">
        <v>154910227.00513935</v>
      </c>
    </row>
    <row r="13498" spans="1:2" x14ac:dyDescent="0.25">
      <c r="A13498">
        <f ca="1">29561.7356117746*((RANDBETWEEN(1620,2416)))</f>
        <v>60719804.946584933</v>
      </c>
      <c r="B13498">
        <v>184970186.3446281</v>
      </c>
    </row>
    <row r="13499" spans="1:2" x14ac:dyDescent="0.25">
      <c r="A13499">
        <f ca="1">29509.6222632554*((RANDBETWEEN(1620,2416)))</f>
        <v>68727910.251121834</v>
      </c>
      <c r="B13499">
        <v>156715050.48484594</v>
      </c>
    </row>
    <row r="13500" spans="1:2" x14ac:dyDescent="0.25">
      <c r="A13500">
        <f ca="1">28526.0376637308*((RANDBETWEEN(1620,2416)))</f>
        <v>64155058.70573058</v>
      </c>
      <c r="B13500">
        <v>155221437.16499782</v>
      </c>
    </row>
    <row r="13501" spans="1:2" x14ac:dyDescent="0.25">
      <c r="A13501">
        <f ca="1">26368.5725914985*((RANDBETWEEN(1620,2416)))</f>
        <v>48940070.72982116</v>
      </c>
      <c r="B13501">
        <v>174636474.81313589</v>
      </c>
    </row>
    <row r="13502" spans="1:2" x14ac:dyDescent="0.25">
      <c r="A13502">
        <f ca="1">29585.0582602639*((RANDBETWEEN(1620,2416)))</f>
        <v>53371445.10151612</v>
      </c>
      <c r="B13502">
        <v>156171357.32706895</v>
      </c>
    </row>
    <row r="13503" spans="1:2" x14ac:dyDescent="0.25">
      <c r="A13503">
        <f ca="1">26085.7521067184*((RANDBETWEEN(1620,2416)))</f>
        <v>59997229.845452413</v>
      </c>
      <c r="B13503">
        <v>159944979.55959296</v>
      </c>
    </row>
    <row r="13504" spans="1:2" x14ac:dyDescent="0.25">
      <c r="A13504">
        <f ca="1">26562.1695618798*((RANDBETWEEN(1620,2416)))</f>
        <v>62288287.622608215</v>
      </c>
      <c r="B13504">
        <v>164511457.72421005</v>
      </c>
    </row>
    <row r="13505" spans="1:2" x14ac:dyDescent="0.25">
      <c r="A13505">
        <f ca="1">26620.3036533146*((RANDBETWEEN(1620,2416)))</f>
        <v>49220941.454978734</v>
      </c>
      <c r="B13505">
        <v>161051858.09526369</v>
      </c>
    </row>
    <row r="13506" spans="1:2" x14ac:dyDescent="0.25">
      <c r="A13506">
        <f ca="1">30011.3324250023*((RANDBETWEEN(1620,2416)))</f>
        <v>50298993.144303896</v>
      </c>
      <c r="B13506">
        <v>195028701.75711113</v>
      </c>
    </row>
    <row r="13507" spans="1:2" x14ac:dyDescent="0.25">
      <c r="A13507">
        <f ca="1">25778.0972133192*((RANDBETWEEN(1620,2416)))</f>
        <v>57691381.563408293</v>
      </c>
      <c r="B13507">
        <v>161615860.29380861</v>
      </c>
    </row>
    <row r="13508" spans="1:2" x14ac:dyDescent="0.25">
      <c r="A13508">
        <f ca="1">27684.770881933*((RANDBETWEEN(1620,2416)))</f>
        <v>54483629.095644079</v>
      </c>
      <c r="B13508">
        <v>181165324.16905522</v>
      </c>
    </row>
    <row r="13509" spans="1:2" x14ac:dyDescent="0.25">
      <c r="A13509">
        <f ca="1">26540.226444171*((RANDBETWEEN(1620,2416)))</f>
        <v>49258660.280381292</v>
      </c>
      <c r="B13509">
        <v>201926134.57103902</v>
      </c>
    </row>
    <row r="13510" spans="1:2" x14ac:dyDescent="0.25">
      <c r="A13510">
        <f ca="1">26435.5102563122*((RANDBETWEEN(1620,2416)))</f>
        <v>59374156.035677195</v>
      </c>
      <c r="B13510">
        <v>148976781.88043797</v>
      </c>
    </row>
    <row r="13511" spans="1:2" x14ac:dyDescent="0.25">
      <c r="A13511">
        <f ca="1">28085.3268485566*((RANDBETWEEN(1620,2416)))</f>
        <v>46621642.568603992</v>
      </c>
      <c r="B13511">
        <v>186137172.13536584</v>
      </c>
    </row>
    <row r="13512" spans="1:2" x14ac:dyDescent="0.25">
      <c r="A13512">
        <f ca="1">28264.0711550869*((RANDBETWEEN(1620,2416)))</f>
        <v>53899583.692750633</v>
      </c>
      <c r="B13512">
        <v>184164969.36144304</v>
      </c>
    </row>
    <row r="13513" spans="1:2" x14ac:dyDescent="0.25">
      <c r="A13513">
        <f ca="1">27442.0238628681*((RANDBETWEEN(1620,2416)))</f>
        <v>54417533.320067458</v>
      </c>
      <c r="B13513">
        <v>187919516.68259791</v>
      </c>
    </row>
    <row r="13514" spans="1:2" x14ac:dyDescent="0.25">
      <c r="A13514">
        <f ca="1">30398.3861788509*((RANDBETWEEN(1620,2416)))</f>
        <v>59702430.455263242</v>
      </c>
      <c r="B13514">
        <v>190963860.09355548</v>
      </c>
    </row>
    <row r="13515" spans="1:2" x14ac:dyDescent="0.25">
      <c r="A13515">
        <f ca="1">25746.2814891523*((RANDBETWEEN(1620,2416)))</f>
        <v>59242193.706539348</v>
      </c>
      <c r="B13515">
        <v>178191518.43564358</v>
      </c>
    </row>
    <row r="13516" spans="1:2" x14ac:dyDescent="0.25">
      <c r="A13516">
        <f ca="1">27084.2035613957*((RANDBETWEEN(1620,2416)))</f>
        <v>59395658.410140678</v>
      </c>
      <c r="B13516">
        <v>167320605.33994651</v>
      </c>
    </row>
    <row r="13517" spans="1:2" x14ac:dyDescent="0.25">
      <c r="A13517">
        <f ca="1">27028.5843692558*((RANDBETWEEN(1620,2416)))</f>
        <v>60544028.987132929</v>
      </c>
      <c r="B13517">
        <v>161333681.52431583</v>
      </c>
    </row>
    <row r="13518" spans="1:2" x14ac:dyDescent="0.25">
      <c r="A13518">
        <f ca="1">27134.436795028*((RANDBETWEEN(1620,2416)))</f>
        <v>61513768.214328565</v>
      </c>
      <c r="B13518">
        <v>158577510.94809562</v>
      </c>
    </row>
    <row r="13519" spans="1:2" x14ac:dyDescent="0.25">
      <c r="A13519">
        <f ca="1">28713.1316760902*((RANDBETWEEN(1620,2416)))</f>
        <v>63915431.110976703</v>
      </c>
      <c r="B13519">
        <v>164861883.85819376</v>
      </c>
    </row>
    <row r="13520" spans="1:2" x14ac:dyDescent="0.25">
      <c r="A13520">
        <f ca="1">32497.4692564876*((RANDBETWEEN(1620,2416)))</f>
        <v>65612390.428848483</v>
      </c>
      <c r="B13520">
        <v>142908222.50180095</v>
      </c>
    </row>
    <row r="13521" spans="1:2" x14ac:dyDescent="0.25">
      <c r="A13521">
        <f ca="1">27284.5779781198*((RANDBETWEEN(1620,2416)))</f>
        <v>48511979.645096928</v>
      </c>
      <c r="B13521">
        <v>154085194.07214379</v>
      </c>
    </row>
    <row r="13522" spans="1:2" x14ac:dyDescent="0.25">
      <c r="A13522">
        <f ca="1">26925.9018704934*((RANDBETWEEN(1620,2416)))</f>
        <v>46043292.198543772</v>
      </c>
      <c r="B13522">
        <v>153180013.39306697</v>
      </c>
    </row>
    <row r="13523" spans="1:2" x14ac:dyDescent="0.25">
      <c r="A13523">
        <f ca="1">29624.9966315215*((RANDBETWEEN(1620,2416)))</f>
        <v>63249367.808298446</v>
      </c>
      <c r="B13523">
        <v>154894224.17762172</v>
      </c>
    </row>
    <row r="13524" spans="1:2" x14ac:dyDescent="0.25">
      <c r="A13524">
        <f ca="1">25946.4186736252*((RANDBETWEEN(1620,2416)))</f>
        <v>43927286.81444741</v>
      </c>
      <c r="B13524">
        <v>151989171.03643608</v>
      </c>
    </row>
    <row r="13525" spans="1:2" x14ac:dyDescent="0.25">
      <c r="A13525">
        <f ca="1">32107.3533825475*((RANDBETWEEN(1620,2416)))</f>
        <v>67746515.637175128</v>
      </c>
      <c r="B13525">
        <v>158703443.02365717</v>
      </c>
    </row>
    <row r="13526" spans="1:2" x14ac:dyDescent="0.25">
      <c r="A13526">
        <f ca="1">27049.7842304654*((RANDBETWEEN(1620,2416)))</f>
        <v>48662561.830607168</v>
      </c>
      <c r="B13526">
        <v>163885212.0461044</v>
      </c>
    </row>
    <row r="13527" spans="1:2" x14ac:dyDescent="0.25">
      <c r="A13527">
        <f ca="1">25491.095944997*((RANDBETWEEN(1620,2416)))</f>
        <v>59904075.470742874</v>
      </c>
      <c r="B13527">
        <v>167237891.8780022</v>
      </c>
    </row>
    <row r="13528" spans="1:2" x14ac:dyDescent="0.25">
      <c r="A13528">
        <f ca="1">25573.3941640957*((RANDBETWEEN(1620,2416)))</f>
        <v>53525113.985452369</v>
      </c>
      <c r="B13528">
        <v>172908652.09694546</v>
      </c>
    </row>
    <row r="13529" spans="1:2" x14ac:dyDescent="0.25">
      <c r="A13529">
        <f ca="1">27352.5163736724*((RANDBETWEEN(1620,2416)))</f>
        <v>53282701.895913765</v>
      </c>
      <c r="B13529">
        <v>149348031.34722617</v>
      </c>
    </row>
    <row r="13530" spans="1:2" x14ac:dyDescent="0.25">
      <c r="A13530">
        <f ca="1">26281.6798196414*((RANDBETWEEN(1620,2416)))</f>
        <v>51091585.569382913</v>
      </c>
      <c r="B13530">
        <v>145083696.19945621</v>
      </c>
    </row>
    <row r="13531" spans="1:2" x14ac:dyDescent="0.25">
      <c r="A13531">
        <f ca="1">26010.8198344985*((RANDBETWEEN(1620,2416)))</f>
        <v>51969618.029327936</v>
      </c>
      <c r="B13531">
        <v>155633094.15809309</v>
      </c>
    </row>
    <row r="13532" spans="1:2" x14ac:dyDescent="0.25">
      <c r="A13532">
        <f ca="1">28113.695745126*((RANDBETWEEN(1620,2416)))</f>
        <v>51504290.605070874</v>
      </c>
      <c r="B13532">
        <v>149807906.62729266</v>
      </c>
    </row>
    <row r="13533" spans="1:2" x14ac:dyDescent="0.25">
      <c r="A13533">
        <f ca="1">26938.6086431019*((RANDBETWEEN(1620,2416)))</f>
        <v>58564535.190103583</v>
      </c>
      <c r="B13533">
        <v>148092968.299335</v>
      </c>
    </row>
    <row r="13534" spans="1:2" x14ac:dyDescent="0.25">
      <c r="A13534">
        <f ca="1">29367.5826261796*((RANDBETWEEN(1620,2416)))</f>
        <v>65607179.586885177</v>
      </c>
      <c r="B13534">
        <v>192176025.64744881</v>
      </c>
    </row>
    <row r="13535" spans="1:2" x14ac:dyDescent="0.25">
      <c r="A13535">
        <f ca="1">26642.9070221609*((RANDBETWEEN(1620,2416)))</f>
        <v>47797375.197756574</v>
      </c>
      <c r="B13535">
        <v>161215447.1199789</v>
      </c>
    </row>
    <row r="13536" spans="1:2" x14ac:dyDescent="0.25">
      <c r="A13536">
        <f ca="1">27135.1216007538*((RANDBETWEEN(1620,2416)))</f>
        <v>58991754.360038817</v>
      </c>
      <c r="B13536">
        <v>143334707.88680053</v>
      </c>
    </row>
    <row r="13537" spans="1:2" x14ac:dyDescent="0.25">
      <c r="A13537">
        <f ca="1">26166.8952678185*((RANDBETWEEN(1620,2416)))</f>
        <v>43410879.249310836</v>
      </c>
      <c r="B13537">
        <v>143750852.89190707</v>
      </c>
    </row>
    <row r="13538" spans="1:2" x14ac:dyDescent="0.25">
      <c r="A13538">
        <f ca="1">29723.1324495232*((RANDBETWEEN(1620,2416)))</f>
        <v>64796428.739960656</v>
      </c>
      <c r="B13538">
        <v>146352721.28288445</v>
      </c>
    </row>
    <row r="13539" spans="1:2" x14ac:dyDescent="0.25">
      <c r="A13539">
        <f ca="1">26945.0022567413*((RANDBETWEEN(1620,2416)))</f>
        <v>61946560.18824815</v>
      </c>
      <c r="B13539">
        <v>157384382.71970204</v>
      </c>
    </row>
    <row r="13540" spans="1:2" x14ac:dyDescent="0.25">
      <c r="A13540">
        <f ca="1">30888.9755255394*((RANDBETWEEN(1620,2416)))</f>
        <v>64218180.11759641</v>
      </c>
      <c r="B13540">
        <v>193674684.38988337</v>
      </c>
    </row>
    <row r="13541" spans="1:2" x14ac:dyDescent="0.25">
      <c r="A13541">
        <f ca="1">28065.1006393354*((RANDBETWEEN(1620,2416)))</f>
        <v>56326656.983146071</v>
      </c>
      <c r="B13541">
        <v>144765187.09902745</v>
      </c>
    </row>
    <row r="13542" spans="1:2" x14ac:dyDescent="0.25">
      <c r="A13542">
        <f ca="1">34925.3236192377*((RANDBETWEEN(1620,2416)))</f>
        <v>60804988.421092786</v>
      </c>
      <c r="B13542">
        <v>196634188.59123778</v>
      </c>
    </row>
    <row r="13543" spans="1:2" x14ac:dyDescent="0.25">
      <c r="A13543">
        <f ca="1">29629.9687206919*((RANDBETWEEN(1620,2416)))</f>
        <v>48770928.514258914</v>
      </c>
      <c r="B13543">
        <v>192761944.25118339</v>
      </c>
    </row>
    <row r="13544" spans="1:2" x14ac:dyDescent="0.25">
      <c r="A13544">
        <f ca="1">27967.2451756619*((RANDBETWEEN(1620,2416)))</f>
        <v>52746224.401298299</v>
      </c>
      <c r="B13544">
        <v>149867761.54306585</v>
      </c>
    </row>
    <row r="13545" spans="1:2" x14ac:dyDescent="0.25">
      <c r="A13545">
        <f ca="1">28387.0969042821*((RANDBETWEEN(1620,2416)))</f>
        <v>48314838.931088127</v>
      </c>
      <c r="B13545">
        <v>176018249.48308769</v>
      </c>
    </row>
    <row r="13546" spans="1:2" x14ac:dyDescent="0.25">
      <c r="A13546">
        <f ca="1">26018.3454230605*((RANDBETWEEN(1620,2416)))</f>
        <v>55288984.024003595</v>
      </c>
      <c r="B13546">
        <v>154623160.62884462</v>
      </c>
    </row>
    <row r="13547" spans="1:2" x14ac:dyDescent="0.25">
      <c r="A13547">
        <f ca="1">29524.5420992037*((RANDBETWEEN(1620,2416)))</f>
        <v>51195556.00001917</v>
      </c>
      <c r="B13547">
        <v>157923243.77763125</v>
      </c>
    </row>
    <row r="13548" spans="1:2" x14ac:dyDescent="0.25">
      <c r="A13548">
        <f ca="1">26952.531930355*((RANDBETWEEN(1620,2416)))</f>
        <v>45711494.153882004</v>
      </c>
      <c r="B13548">
        <v>149977983.72978777</v>
      </c>
    </row>
    <row r="13549" spans="1:2" x14ac:dyDescent="0.25">
      <c r="A13549">
        <f ca="1">28110.2031971809*((RANDBETWEEN(1620,2416)))</f>
        <v>66958504.015684821</v>
      </c>
      <c r="B13549">
        <v>178207994.55413526</v>
      </c>
    </row>
    <row r="13550" spans="1:2" x14ac:dyDescent="0.25">
      <c r="A13550">
        <f ca="1">30261.0804956054*((RANDBETWEEN(1620,2416)))</f>
        <v>51685925.486493975</v>
      </c>
      <c r="B13550">
        <v>179518092.12623635</v>
      </c>
    </row>
    <row r="13551" spans="1:2" x14ac:dyDescent="0.25">
      <c r="A13551">
        <f ca="1">27122.7625895013*((RANDBETWEEN(1620,2416)))</f>
        <v>65040384.689624086</v>
      </c>
      <c r="B13551">
        <v>199566737.72975415</v>
      </c>
    </row>
    <row r="13552" spans="1:2" x14ac:dyDescent="0.25">
      <c r="A13552">
        <f ca="1">26470.5945237787*((RANDBETWEEN(1620,2416)))</f>
        <v>52623541.913272001</v>
      </c>
      <c r="B13552">
        <v>160523068.0217973</v>
      </c>
    </row>
    <row r="13553" spans="1:2" x14ac:dyDescent="0.25">
      <c r="A13553">
        <f ca="1">27711.4697364593*((RANDBETWEEN(1620,2416)))</f>
        <v>63237573.938600019</v>
      </c>
      <c r="B13553">
        <v>144845024.03674826</v>
      </c>
    </row>
    <row r="13554" spans="1:2" x14ac:dyDescent="0.25">
      <c r="A13554">
        <f ca="1">26886.9867601606*((RANDBETWEEN(1620,2416)))</f>
        <v>54499922.16284553</v>
      </c>
      <c r="B13554">
        <v>155380886.36276877</v>
      </c>
    </row>
    <row r="13555" spans="1:2" x14ac:dyDescent="0.25">
      <c r="A13555">
        <f ca="1">26861.1968452109*((RANDBETWEEN(1620,2416)))</f>
        <v>55871289.438038699</v>
      </c>
      <c r="B13555">
        <v>177603712.4622106</v>
      </c>
    </row>
    <row r="13556" spans="1:2" x14ac:dyDescent="0.25">
      <c r="A13556">
        <f ca="1">26460.4701913246*((RANDBETWEEN(1620,2416)))</f>
        <v>58371797.242062181</v>
      </c>
      <c r="B13556">
        <v>157843430.12487233</v>
      </c>
    </row>
    <row r="13557" spans="1:2" x14ac:dyDescent="0.25">
      <c r="A13557">
        <f ca="1">28252.5605858362*((RANDBETWEEN(1620,2416)))</f>
        <v>54499189.37007799</v>
      </c>
      <c r="B13557">
        <v>152720681.72789562</v>
      </c>
    </row>
    <row r="13558" spans="1:2" x14ac:dyDescent="0.25">
      <c r="A13558">
        <f ca="1">27155.9605657744*((RANDBETWEEN(1620,2416)))</f>
        <v>64468250.383148424</v>
      </c>
      <c r="B13558">
        <v>146187824.60612187</v>
      </c>
    </row>
    <row r="13559" spans="1:2" x14ac:dyDescent="0.25">
      <c r="A13559">
        <f ca="1">27772.5133850652*((RANDBETWEEN(1620,2416)))</f>
        <v>59099908.483418785</v>
      </c>
      <c r="B13559">
        <v>163993453.80254516</v>
      </c>
    </row>
    <row r="13560" spans="1:2" x14ac:dyDescent="0.25">
      <c r="A13560">
        <f ca="1">27707.8825348879*((RANDBETWEEN(1620,2416)))</f>
        <v>60707970.633939363</v>
      </c>
      <c r="B13560">
        <v>143285339.41144976</v>
      </c>
    </row>
    <row r="13561" spans="1:2" x14ac:dyDescent="0.25">
      <c r="A13561">
        <f ca="1">26746.0078764906*((RANDBETWEEN(1620,2416)))</f>
        <v>43783214.89381516</v>
      </c>
      <c r="B13561">
        <v>192725636.93942019</v>
      </c>
    </row>
    <row r="13562" spans="1:2" x14ac:dyDescent="0.25">
      <c r="A13562">
        <f ca="1">30011.2540043758*((RANDBETWEEN(1620,2416)))</f>
        <v>65904713.793609262</v>
      </c>
      <c r="B13562">
        <v>200782897.94421327</v>
      </c>
    </row>
    <row r="13563" spans="1:2" x14ac:dyDescent="0.25">
      <c r="A13563">
        <f ca="1">29108.760826481*((RANDBETWEEN(1620,2416)))</f>
        <v>54433382.745519422</v>
      </c>
      <c r="B13563">
        <v>196599822.8791934</v>
      </c>
    </row>
    <row r="13564" spans="1:2" x14ac:dyDescent="0.25">
      <c r="A13564">
        <f ca="1">26064.3186189562*((RANDBETWEEN(1620,2416)))</f>
        <v>44413598.926701449</v>
      </c>
      <c r="B13564">
        <v>144718809.87104523</v>
      </c>
    </row>
    <row r="13565" spans="1:2" x14ac:dyDescent="0.25">
      <c r="A13565">
        <f ca="1">30866.193466559*((RANDBETWEEN(1620,2416)))</f>
        <v>70837914.005752847</v>
      </c>
      <c r="B13565">
        <v>183672722.60973173</v>
      </c>
    </row>
    <row r="13566" spans="1:2" x14ac:dyDescent="0.25">
      <c r="A13566">
        <f ca="1">26544.1485711107*((RANDBETWEEN(1620,2416)))</f>
        <v>46558436.593728192</v>
      </c>
      <c r="B13566">
        <v>169983465.45175353</v>
      </c>
    </row>
    <row r="13567" spans="1:2" x14ac:dyDescent="0.25">
      <c r="A13567">
        <f ca="1">26178.8365037015*((RANDBETWEEN(1620,2416)))</f>
        <v>47357515.235196009</v>
      </c>
      <c r="B13567">
        <v>148360945.63486856</v>
      </c>
    </row>
    <row r="13568" spans="1:2" x14ac:dyDescent="0.25">
      <c r="A13568">
        <f ca="1">24677.2019773496*((RANDBETWEEN(1620,2416)))</f>
        <v>45430728.840300627</v>
      </c>
      <c r="B13568">
        <v>156108211.10786039</v>
      </c>
    </row>
    <row r="13569" spans="1:2" x14ac:dyDescent="0.25">
      <c r="A13569">
        <f ca="1">24750.5653959021*((RANDBETWEEN(1620,2416)))</f>
        <v>43709498.489163026</v>
      </c>
      <c r="B13569">
        <v>153006802.53049421</v>
      </c>
    </row>
    <row r="13570" spans="1:2" x14ac:dyDescent="0.25">
      <c r="A13570">
        <f ca="1">30442.0318885049*((RANDBETWEEN(1620,2416)))</f>
        <v>60701411.585678846</v>
      </c>
      <c r="B13570">
        <v>146051123.6125235</v>
      </c>
    </row>
    <row r="13571" spans="1:2" x14ac:dyDescent="0.25">
      <c r="A13571">
        <f ca="1">28158.6072628574*((RANDBETWEEN(1620,2416)))</f>
        <v>60231260.935251951</v>
      </c>
      <c r="B13571">
        <v>161195661.33683094</v>
      </c>
    </row>
    <row r="13572" spans="1:2" x14ac:dyDescent="0.25">
      <c r="A13572">
        <f ca="1">26951.1580203339*((RANDBETWEEN(1620,2416)))</f>
        <v>58268403.639961995</v>
      </c>
      <c r="B13572">
        <v>172624849.26033267</v>
      </c>
    </row>
    <row r="13573" spans="1:2" x14ac:dyDescent="0.25">
      <c r="A13573">
        <f ca="1">27998.8316184184*((RANDBETWEEN(1620,2416)))</f>
        <v>50481893.408008344</v>
      </c>
      <c r="B13573">
        <v>176291097.41763109</v>
      </c>
    </row>
    <row r="13574" spans="1:2" x14ac:dyDescent="0.25">
      <c r="A13574">
        <f ca="1">25082.4718737516*((RANDBETWEEN(1620,2416)))</f>
        <v>41536573.422932617</v>
      </c>
      <c r="B13574">
        <v>147849891.74305099</v>
      </c>
    </row>
    <row r="13575" spans="1:2" x14ac:dyDescent="0.25">
      <c r="A13575">
        <f ca="1">27920.437442825*((RANDBETWEEN(1620,2416)))</f>
        <v>67288254.237208188</v>
      </c>
      <c r="B13575">
        <v>148213233.31745908</v>
      </c>
    </row>
    <row r="13576" spans="1:2" x14ac:dyDescent="0.25">
      <c r="A13576">
        <f ca="1">27731.9976433396*((RANDBETWEEN(1620,2416)))</f>
        <v>56406883.206552684</v>
      </c>
      <c r="B13576">
        <v>148091509.26310888</v>
      </c>
    </row>
    <row r="13577" spans="1:2" x14ac:dyDescent="0.25">
      <c r="A13577">
        <f ca="1">32721.6810020837*((RANDBETWEEN(1620,2416)))</f>
        <v>70449779.197486266</v>
      </c>
      <c r="B13577">
        <v>172927953.51339108</v>
      </c>
    </row>
    <row r="13578" spans="1:2" x14ac:dyDescent="0.25">
      <c r="A13578">
        <f ca="1">25679.9492313972*((RANDBETWEEN(1620,2416)))</f>
        <v>56521568.258305244</v>
      </c>
      <c r="B13578">
        <v>144933409.10856599</v>
      </c>
    </row>
    <row r="13579" spans="1:2" x14ac:dyDescent="0.25">
      <c r="A13579">
        <f ca="1">29283.3753959671*((RANDBETWEEN(1620,2416)))</f>
        <v>47995452.273990028</v>
      </c>
      <c r="B13579">
        <v>165460005.533032</v>
      </c>
    </row>
    <row r="13580" spans="1:2" x14ac:dyDescent="0.25">
      <c r="A13580">
        <f ca="1">31455.5951892855*((RANDBETWEEN(1620,2416)))</f>
        <v>72756791.672817409</v>
      </c>
      <c r="B13580">
        <v>191747749.66925785</v>
      </c>
    </row>
    <row r="13581" spans="1:2" x14ac:dyDescent="0.25">
      <c r="A13581">
        <f ca="1">28970.6983129942*((RANDBETWEEN(1620,2416)))</f>
        <v>47656798.724875487</v>
      </c>
      <c r="B13581">
        <v>191551129.23845071</v>
      </c>
    </row>
    <row r="13582" spans="1:2" x14ac:dyDescent="0.25">
      <c r="A13582">
        <f ca="1">26062.6912263296*((RANDBETWEEN(1620,2416)))</f>
        <v>43655007.804102041</v>
      </c>
      <c r="B13582">
        <v>155777283.50580311</v>
      </c>
    </row>
    <row r="13583" spans="1:2" x14ac:dyDescent="0.25">
      <c r="A13583">
        <f ca="1">27312.2718563082*((RANDBETWEEN(1620,2416)))</f>
        <v>58011265.422798693</v>
      </c>
      <c r="B13583">
        <v>152798467.40241545</v>
      </c>
    </row>
    <row r="13584" spans="1:2" x14ac:dyDescent="0.25">
      <c r="A13584">
        <f ca="1">29278.1484751218*((RANDBETWEEN(1620,2416)))</f>
        <v>54837972.093903176</v>
      </c>
      <c r="B13584">
        <v>169548649.17103353</v>
      </c>
    </row>
    <row r="13585" spans="1:2" x14ac:dyDescent="0.25">
      <c r="A13585">
        <f ca="1">26024.1718752983*((RANDBETWEEN(1620,2416)))</f>
        <v>62822350.906970054</v>
      </c>
      <c r="B13585">
        <v>155376620.88362235</v>
      </c>
    </row>
    <row r="13586" spans="1:2" x14ac:dyDescent="0.25">
      <c r="A13586">
        <f ca="1">26386.9872011692*((RANDBETWEEN(1620,2416)))</f>
        <v>45860583.755632035</v>
      </c>
      <c r="B13586">
        <v>187729502.94435671</v>
      </c>
    </row>
    <row r="13587" spans="1:2" x14ac:dyDescent="0.25">
      <c r="A13587">
        <f ca="1">29790.6943548191*((RANDBETWEEN(1620,2416)))</f>
        <v>50316482.765289515</v>
      </c>
      <c r="B13587">
        <v>179863700.01167646</v>
      </c>
    </row>
    <row r="13588" spans="1:2" x14ac:dyDescent="0.25">
      <c r="A13588">
        <f ca="1">26385.2417322378*((RANDBETWEEN(1620,2416)))</f>
        <v>48654385.754246578</v>
      </c>
      <c r="B13588">
        <v>159016704.96188468</v>
      </c>
    </row>
    <row r="13589" spans="1:2" x14ac:dyDescent="0.25">
      <c r="A13589">
        <f ca="1">27032.7157636339*((RANDBETWEEN(1620,2416)))</f>
        <v>55579263.610031225</v>
      </c>
      <c r="B13589">
        <v>174390375.18764725</v>
      </c>
    </row>
    <row r="13590" spans="1:2" x14ac:dyDescent="0.25">
      <c r="A13590">
        <f ca="1">27135.283865728*((RANDBETWEEN(1620,2416)))</f>
        <v>62953858.568488896</v>
      </c>
      <c r="B13590">
        <v>190023760.5827494</v>
      </c>
    </row>
    <row r="13591" spans="1:2" x14ac:dyDescent="0.25">
      <c r="A13591">
        <f ca="1">31306.6920687349*((RANDBETWEEN(1620,2416)))</f>
        <v>72287151.986708969</v>
      </c>
      <c r="B13591">
        <v>174058986.95605752</v>
      </c>
    </row>
    <row r="13592" spans="1:2" x14ac:dyDescent="0.25">
      <c r="A13592">
        <f ca="1">29829.5522730361*((RANDBETWEEN(1620,2416)))</f>
        <v>70427572.916638196</v>
      </c>
      <c r="B13592">
        <v>184424821.71170771</v>
      </c>
    </row>
    <row r="13593" spans="1:2" x14ac:dyDescent="0.25">
      <c r="A13593">
        <f ca="1">32540.878474769*((RANDBETWEEN(1620,2416)))</f>
        <v>63552335.661223933</v>
      </c>
      <c r="B13593">
        <v>158232599.74870068</v>
      </c>
    </row>
    <row r="13594" spans="1:2" x14ac:dyDescent="0.25">
      <c r="A13594">
        <f ca="1">32062.7883603446*((RANDBETWEEN(1620,2416)))</f>
        <v>58931405.006313287</v>
      </c>
      <c r="B13594">
        <v>151741315.19986296</v>
      </c>
    </row>
    <row r="13595" spans="1:2" x14ac:dyDescent="0.25">
      <c r="A13595">
        <f ca="1">25976.1928685561*((RANDBETWEEN(1620,2416)))</f>
        <v>49432695.028862245</v>
      </c>
      <c r="B13595">
        <v>172289873.23492801</v>
      </c>
    </row>
    <row r="13596" spans="1:2" x14ac:dyDescent="0.25">
      <c r="A13596">
        <f ca="1">27870.1606825912*((RANDBETWEEN(1620,2416)))</f>
        <v>50751562.602998585</v>
      </c>
      <c r="B13596">
        <v>181049984.5618706</v>
      </c>
    </row>
    <row r="13597" spans="1:2" x14ac:dyDescent="0.25">
      <c r="A13597">
        <f ca="1">26985.761545996*((RANDBETWEEN(1620,2416)))</f>
        <v>52649220.776238158</v>
      </c>
      <c r="B13597">
        <v>183617139.67153442</v>
      </c>
    </row>
    <row r="13598" spans="1:2" x14ac:dyDescent="0.25">
      <c r="A13598">
        <f ca="1">28713.5908316246*((RANDBETWEEN(1620,2416)))</f>
        <v>66931380.228516988</v>
      </c>
      <c r="B13598">
        <v>160995885.36498296</v>
      </c>
    </row>
    <row r="13599" spans="1:2" x14ac:dyDescent="0.25">
      <c r="A13599">
        <f ca="1">25890.663687387*((RANDBETWEEN(1620,2416)))</f>
        <v>52066124.67533534</v>
      </c>
      <c r="B13599">
        <v>146507722.72576743</v>
      </c>
    </row>
    <row r="13600" spans="1:2" x14ac:dyDescent="0.25">
      <c r="A13600">
        <f ca="1">25569.3136913034*((RANDBETWEEN(1620,2416)))</f>
        <v>52826202.086232916</v>
      </c>
      <c r="B13600">
        <v>146874334.95859337</v>
      </c>
    </row>
    <row r="13601" spans="1:2" x14ac:dyDescent="0.25">
      <c r="A13601">
        <f ca="1">27258.2128479475*((RANDBETWEEN(1620,2416)))</f>
        <v>53753195.736152552</v>
      </c>
      <c r="B13601">
        <v>167610846.1118896</v>
      </c>
    </row>
    <row r="13602" spans="1:2" x14ac:dyDescent="0.25">
      <c r="A13602">
        <f ca="1">27759.9823827045*((RANDBETWEEN(1620,2416)))</f>
        <v>56325004.254507385</v>
      </c>
      <c r="B13602">
        <v>164361063.49375215</v>
      </c>
    </row>
    <row r="13603" spans="1:2" x14ac:dyDescent="0.25">
      <c r="A13603">
        <f ca="1">26750.1586151226*((RANDBETWEEN(1620,2416)))</f>
        <v>60161106.725410752</v>
      </c>
      <c r="B13603">
        <v>148271006.18720424</v>
      </c>
    </row>
    <row r="13604" spans="1:2" x14ac:dyDescent="0.25">
      <c r="A13604">
        <f ca="1">28287.1022023814*((RANDBETWEEN(1620,2416)))</f>
        <v>49219557.832143627</v>
      </c>
      <c r="B13604">
        <v>176430639.41172802</v>
      </c>
    </row>
    <row r="13605" spans="1:2" x14ac:dyDescent="0.25">
      <c r="A13605">
        <f ca="1">29926.7777991921*((RANDBETWEEN(1620,2416)))</f>
        <v>70447634.939298227</v>
      </c>
      <c r="B13605">
        <v>201069834.67977393</v>
      </c>
    </row>
    <row r="13606" spans="1:2" x14ac:dyDescent="0.25">
      <c r="A13606">
        <f ca="1">28008.3168252972*((RANDBETWEEN(1620,2416)))</f>
        <v>48678454.642366618</v>
      </c>
      <c r="B13606">
        <v>197978686.60689506</v>
      </c>
    </row>
    <row r="13607" spans="1:2" x14ac:dyDescent="0.25">
      <c r="A13607">
        <f ca="1">26848.5481416752*((RANDBETWEEN(1620,2416)))</f>
        <v>63550513.451345287</v>
      </c>
      <c r="B13607">
        <v>143017847.73859629</v>
      </c>
    </row>
    <row r="13608" spans="1:2" x14ac:dyDescent="0.25">
      <c r="A13608">
        <f ca="1">27122.9070216175*((RANDBETWEEN(1620,2416)))</f>
        <v>46542908.449095599</v>
      </c>
      <c r="B13608">
        <v>143790294.51095009</v>
      </c>
    </row>
    <row r="13609" spans="1:2" x14ac:dyDescent="0.25">
      <c r="A13609">
        <f ca="1">26088.7243583223*((RANDBETWEEN(1620,2416)))</f>
        <v>55516805.434509836</v>
      </c>
      <c r="B13609">
        <v>145695133.91336519</v>
      </c>
    </row>
    <row r="13610" spans="1:2" x14ac:dyDescent="0.25">
      <c r="A13610">
        <f ca="1">27553.2327558176*((RANDBETWEEN(1620,2416)))</f>
        <v>57806682.321705259</v>
      </c>
      <c r="B13610">
        <v>186069213.25524735</v>
      </c>
    </row>
    <row r="13611" spans="1:2" x14ac:dyDescent="0.25">
      <c r="A13611">
        <f ca="1">28581.8951333757*((RANDBETWEEN(1620,2416)))</f>
        <v>61136673.690290704</v>
      </c>
      <c r="B13611">
        <v>142979609.25468442</v>
      </c>
    </row>
    <row r="13612" spans="1:2" x14ac:dyDescent="0.25">
      <c r="A13612">
        <f ca="1">27517.5919156542*((RANDBETWEEN(1620,2416)))</f>
        <v>47687986.78982868</v>
      </c>
      <c r="B13612">
        <v>150158794.74330783</v>
      </c>
    </row>
    <row r="13613" spans="1:2" x14ac:dyDescent="0.25">
      <c r="A13613">
        <f ca="1">27389.7221276077*((RANDBETWEEN(1620,2416)))</f>
        <v>61709043.953500174</v>
      </c>
      <c r="B13613">
        <v>157943269.80529702</v>
      </c>
    </row>
    <row r="13614" spans="1:2" x14ac:dyDescent="0.25">
      <c r="A13614">
        <f ca="1">28076.7900196069*((RANDBETWEEN(1620,2416)))</f>
        <v>46354780.322371013</v>
      </c>
      <c r="B13614">
        <v>159315144.69410026</v>
      </c>
    </row>
    <row r="13615" spans="1:2" x14ac:dyDescent="0.25">
      <c r="A13615">
        <f ca="1">30895.2252913816*((RANDBETWEEN(1620,2416)))</f>
        <v>68958142.850363642</v>
      </c>
      <c r="B13615">
        <v>157617707.45308203</v>
      </c>
    </row>
    <row r="13616" spans="1:2" x14ac:dyDescent="0.25">
      <c r="A13616">
        <f ca="1">28191.8515909308*((RANDBETWEEN(1620,2416)))</f>
        <v>56383703.181861617</v>
      </c>
      <c r="B13616">
        <v>155275110.86754727</v>
      </c>
    </row>
    <row r="13617" spans="1:2" x14ac:dyDescent="0.25">
      <c r="A13617">
        <f ca="1">26014.0853134556*((RANDBETWEEN(1620,2416)))</f>
        <v>58479663.78464818</v>
      </c>
      <c r="B13617">
        <v>161566119.05280709</v>
      </c>
    </row>
    <row r="13618" spans="1:2" x14ac:dyDescent="0.25">
      <c r="A13618">
        <f ca="1">29421.9531901334*((RANDBETWEEN(1620,2416)))</f>
        <v>67905867.962827936</v>
      </c>
      <c r="B13618">
        <v>166229423.95670617</v>
      </c>
    </row>
    <row r="13619" spans="1:2" x14ac:dyDescent="0.25">
      <c r="A13619">
        <f ca="1">31346.0501218255*((RANDBETWEEN(1620,2416)))</f>
        <v>60811337.236341462</v>
      </c>
      <c r="B13619">
        <v>187442946.81160587</v>
      </c>
    </row>
    <row r="13620" spans="1:2" x14ac:dyDescent="0.25">
      <c r="A13620">
        <f ca="1">25946.2168664827*((RANDBETWEEN(1620,2416)))</f>
        <v>45950750.070540898</v>
      </c>
      <c r="B13620">
        <v>162930119.35332242</v>
      </c>
    </row>
    <row r="13621" spans="1:2" x14ac:dyDescent="0.25">
      <c r="A13621">
        <f ca="1">29000.9776562991*((RANDBETWEEN(1620,2416)))</f>
        <v>51998752.937744297</v>
      </c>
      <c r="B13621">
        <v>190779933.29926631</v>
      </c>
    </row>
    <row r="13622" spans="1:2" x14ac:dyDescent="0.25">
      <c r="A13622">
        <f ca="1">29588.3232491029*((RANDBETWEEN(1620,2416)))</f>
        <v>56454520.7592884</v>
      </c>
      <c r="B13622">
        <v>173032487.73953998</v>
      </c>
    </row>
    <row r="13623" spans="1:2" x14ac:dyDescent="0.25">
      <c r="A13623">
        <f ca="1">27209.0118177316*((RANDBETWEEN(1620,2416)))</f>
        <v>64022804.807122409</v>
      </c>
      <c r="B13623">
        <v>159578860.48787615</v>
      </c>
    </row>
    <row r="13624" spans="1:2" x14ac:dyDescent="0.25">
      <c r="A13624">
        <f ca="1">26205.9538969896*((RANDBETWEEN(1620,2416)))</f>
        <v>57993775.974038079</v>
      </c>
      <c r="B13624">
        <v>150008580.11716777</v>
      </c>
    </row>
    <row r="13625" spans="1:2" x14ac:dyDescent="0.25">
      <c r="A13625">
        <f ca="1">29286.354152221*((RANDBETWEEN(1620,2416)))</f>
        <v>70257963.611178279</v>
      </c>
      <c r="B13625">
        <v>143823193.28217369</v>
      </c>
    </row>
    <row r="13626" spans="1:2" x14ac:dyDescent="0.25">
      <c r="A13626">
        <f ca="1">27176.3932092333*((RANDBETWEEN(1620,2416)))</f>
        <v>57532424.423946925</v>
      </c>
      <c r="B13626">
        <v>167087838.77555624</v>
      </c>
    </row>
    <row r="13627" spans="1:2" x14ac:dyDescent="0.25">
      <c r="A13627">
        <f ca="1">27570.1178540413*((RANDBETWEEN(1620,2416)))</f>
        <v>44718731.159254916</v>
      </c>
      <c r="B13627">
        <v>155002680.9192456</v>
      </c>
    </row>
    <row r="13628" spans="1:2" x14ac:dyDescent="0.25">
      <c r="A13628">
        <f ca="1">24800.892678479*((RANDBETWEEN(1620,2416)))</f>
        <v>48609749.64981889</v>
      </c>
      <c r="B13628">
        <v>143631443.37090176</v>
      </c>
    </row>
    <row r="13629" spans="1:2" x14ac:dyDescent="0.25">
      <c r="A13629">
        <f ca="1">28975.9648661549*((RANDBETWEEN(1620,2416)))</f>
        <v>51924929.040149525</v>
      </c>
      <c r="B13629">
        <v>196611112.17763132</v>
      </c>
    </row>
    <row r="13630" spans="1:2" x14ac:dyDescent="0.25">
      <c r="A13630">
        <f ca="1">29453.4018602974*((RANDBETWEEN(1620,2416)))</f>
        <v>63148093.588477634</v>
      </c>
      <c r="B13630">
        <v>199689560.95331594</v>
      </c>
    </row>
    <row r="13631" spans="1:2" x14ac:dyDescent="0.25">
      <c r="A13631">
        <f ca="1">33446.5168936785*((RANDBETWEEN(1620,2416)))</f>
        <v>59467907.03696046</v>
      </c>
      <c r="B13631">
        <v>166333681.68120712</v>
      </c>
    </row>
    <row r="13632" spans="1:2" x14ac:dyDescent="0.25">
      <c r="A13632">
        <f ca="1">26714.6683243357*((RANDBETWEEN(1620,2416)))</f>
        <v>50437293.796345778</v>
      </c>
      <c r="B13632">
        <v>150863093.37684569</v>
      </c>
    </row>
    <row r="13633" spans="1:2" x14ac:dyDescent="0.25">
      <c r="A13633">
        <f ca="1">27897.4558539404*((RANDBETWEEN(1620,2416)))</f>
        <v>55488039.693487547</v>
      </c>
      <c r="B13633">
        <v>174690819.79925302</v>
      </c>
    </row>
    <row r="13634" spans="1:2" x14ac:dyDescent="0.25">
      <c r="A13634">
        <f ca="1">26234.2745247705*((RANDBETWEEN(1620,2416)))</f>
        <v>54252479.717225298</v>
      </c>
      <c r="B13634">
        <v>153880681.65926272</v>
      </c>
    </row>
    <row r="13635" spans="1:2" x14ac:dyDescent="0.25">
      <c r="A13635">
        <f ca="1">27263.4962794916*((RANDBETWEEN(1620,2416)))</f>
        <v>64532695.693556547</v>
      </c>
      <c r="B13635">
        <v>158891672.88371441</v>
      </c>
    </row>
    <row r="13636" spans="1:2" x14ac:dyDescent="0.25">
      <c r="A13636">
        <f ca="1">26262.5130732629*((RANDBETWEEN(1620,2416)))</f>
        <v>46694748.244261354</v>
      </c>
      <c r="B13636">
        <v>185418739.6834673</v>
      </c>
    </row>
    <row r="13637" spans="1:2" x14ac:dyDescent="0.25">
      <c r="A13637">
        <f ca="1">25593.1892568292*((RANDBETWEEN(1620,2416)))</f>
        <v>59478571.832870975</v>
      </c>
      <c r="B13637">
        <v>146298265.88053021</v>
      </c>
    </row>
    <row r="13638" spans="1:2" x14ac:dyDescent="0.25">
      <c r="A13638">
        <f ca="1">30752.8965001185*((RANDBETWEEN(1620,2416)))</f>
        <v>52771970.394203268</v>
      </c>
      <c r="B13638">
        <v>146127780.04118538</v>
      </c>
    </row>
    <row r="13639" spans="1:2" x14ac:dyDescent="0.25">
      <c r="A13639">
        <f ca="1">26036.4369352784*((RANDBETWEEN(1620,2416)))</f>
        <v>57019796.888259739</v>
      </c>
      <c r="B13639">
        <v>157442530.60390931</v>
      </c>
    </row>
    <row r="13640" spans="1:2" x14ac:dyDescent="0.25">
      <c r="A13640">
        <f ca="1">26871.8496794002*((RANDBETWEEN(1620,2416)))</f>
        <v>61778382.412941143</v>
      </c>
      <c r="B13640">
        <v>152930607.22718289</v>
      </c>
    </row>
    <row r="13641" spans="1:2" x14ac:dyDescent="0.25">
      <c r="A13641">
        <f ca="1">31228.7901046164*((RANDBETWEEN(1620,2416)))</f>
        <v>69983718.624445438</v>
      </c>
      <c r="B13641">
        <v>196443495.86936229</v>
      </c>
    </row>
    <row r="13642" spans="1:2" x14ac:dyDescent="0.25">
      <c r="A13642">
        <f ca="1">30229.882050387*((RANDBETWEEN(1620,2416)))</f>
        <v>68531142.608227268</v>
      </c>
      <c r="B13642">
        <v>177705025.58439973</v>
      </c>
    </row>
    <row r="13643" spans="1:2" x14ac:dyDescent="0.25">
      <c r="A13643">
        <f ca="1">31132.4235742401*((RANDBETWEEN(1620,2416)))</f>
        <v>54544006.102068655</v>
      </c>
      <c r="B13643">
        <v>179804502.75201699</v>
      </c>
    </row>
    <row r="13644" spans="1:2" x14ac:dyDescent="0.25">
      <c r="A13644">
        <f ca="1">26405.0917221026*((RANDBETWEEN(1620,2416)))</f>
        <v>48110077.117671005</v>
      </c>
      <c r="B13644">
        <v>169037431.3654995</v>
      </c>
    </row>
    <row r="13645" spans="1:2" x14ac:dyDescent="0.25">
      <c r="A13645">
        <f ca="1">25836.585800416*((RANDBETWEEN(1620,2416)))</f>
        <v>45007332.464324623</v>
      </c>
      <c r="B13645">
        <v>153249071.43865159</v>
      </c>
    </row>
    <row r="13646" spans="1:2" x14ac:dyDescent="0.25">
      <c r="A13646">
        <f ca="1">25418.3585569581*((RANDBETWEEN(1620,2416)))</f>
        <v>53632736.555181593</v>
      </c>
      <c r="B13646">
        <v>170295155.20490551</v>
      </c>
    </row>
    <row r="13647" spans="1:2" x14ac:dyDescent="0.25">
      <c r="A13647">
        <f ca="1">30203.6534901603*((RANDBETWEEN(1620,2416)))</f>
        <v>63790116.171218492</v>
      </c>
      <c r="B13647">
        <v>161711782.54764676</v>
      </c>
    </row>
    <row r="13648" spans="1:2" x14ac:dyDescent="0.25">
      <c r="A13648">
        <f ca="1">27380.4781166415*((RANDBETWEEN(1620,2416)))</f>
        <v>56978774.960730895</v>
      </c>
      <c r="B13648">
        <v>152781393.07730559</v>
      </c>
    </row>
    <row r="13649" spans="1:2" x14ac:dyDescent="0.25">
      <c r="A13649">
        <f ca="1">26036.8425848981*((RANDBETWEEN(1620,2416)))</f>
        <v>61941648.509472504</v>
      </c>
      <c r="B13649">
        <v>189127059.71332848</v>
      </c>
    </row>
    <row r="13650" spans="1:2" x14ac:dyDescent="0.25">
      <c r="A13650">
        <f ca="1">27399.6910066176*((RANDBETWEEN(1620,2416)))</f>
        <v>64772869.539643988</v>
      </c>
      <c r="B13650">
        <v>154896381.63549763</v>
      </c>
    </row>
    <row r="13651" spans="1:2" x14ac:dyDescent="0.25">
      <c r="A13651">
        <f ca="1">26708.3133145254*((RANDBETWEEN(1620,2416)))</f>
        <v>53576876.508937985</v>
      </c>
      <c r="B13651">
        <v>179026119.84884614</v>
      </c>
    </row>
    <row r="13652" spans="1:2" x14ac:dyDescent="0.25">
      <c r="A13652">
        <f ca="1">28772.2870867704*((RANDBETWEEN(1620,2416)))</f>
        <v>67183290.347608805</v>
      </c>
      <c r="B13652">
        <v>151238052.0948666</v>
      </c>
    </row>
    <row r="13653" spans="1:2" x14ac:dyDescent="0.25">
      <c r="A13653">
        <f ca="1">26436.160735126*((RANDBETWEEN(1620,2416)))</f>
        <v>51920619.683787532</v>
      </c>
      <c r="B13653">
        <v>152868912.99483961</v>
      </c>
    </row>
    <row r="13654" spans="1:2" x14ac:dyDescent="0.25">
      <c r="A13654">
        <f ca="1">31404.1355649282*((RANDBETWEEN(1620,2416)))</f>
        <v>62054571.876298092</v>
      </c>
      <c r="B13654">
        <v>175917008.26484102</v>
      </c>
    </row>
    <row r="13655" spans="1:2" x14ac:dyDescent="0.25">
      <c r="A13655">
        <f ca="1">28915.2358346686*((RANDBETWEEN(1620,2416)))</f>
        <v>69512226.946543217</v>
      </c>
      <c r="B13655">
        <v>156427525.60785082</v>
      </c>
    </row>
    <row r="13656" spans="1:2" x14ac:dyDescent="0.25">
      <c r="A13656">
        <f ca="1">27037.5008248521*((RANDBETWEEN(1620,2416)))</f>
        <v>64862964.478820227</v>
      </c>
      <c r="B13656">
        <v>153075036.79039669</v>
      </c>
    </row>
    <row r="13657" spans="1:2" x14ac:dyDescent="0.25">
      <c r="A13657">
        <f ca="1">28213.3214781213*((RANDBETWEEN(1620,2416)))</f>
        <v>49006539.407496765</v>
      </c>
      <c r="B13657">
        <v>172190526.11956286</v>
      </c>
    </row>
    <row r="13658" spans="1:2" x14ac:dyDescent="0.25">
      <c r="A13658">
        <f ca="1">28502.5305127804*((RANDBETWEEN(1620,2416)))</f>
        <v>50420976.477108583</v>
      </c>
      <c r="B13658">
        <v>182481490.92040783</v>
      </c>
    </row>
    <row r="13659" spans="1:2" x14ac:dyDescent="0.25">
      <c r="A13659">
        <f ca="1">26656.3796483086*((RANDBETWEEN(1620,2416)))</f>
        <v>60749889.218495205</v>
      </c>
      <c r="B13659">
        <v>148975023.42650154</v>
      </c>
    </row>
    <row r="13660" spans="1:2" x14ac:dyDescent="0.25">
      <c r="A13660">
        <f ca="1">32522.5285563583*((RANDBETWEEN(1620,2416)))</f>
        <v>70411274.324515641</v>
      </c>
      <c r="B13660">
        <v>144486479.81304383</v>
      </c>
    </row>
    <row r="13661" spans="1:2" x14ac:dyDescent="0.25">
      <c r="A13661">
        <f ca="1">27264.8444048834*((RANDBETWEEN(1620,2416)))</f>
        <v>46868267.531994551</v>
      </c>
      <c r="B13661">
        <v>182280898.67844778</v>
      </c>
    </row>
    <row r="13662" spans="1:2" x14ac:dyDescent="0.25">
      <c r="A13662">
        <f ca="1">27215.973177407*((RANDBETWEEN(1620,2416)))</f>
        <v>55493369.3087328</v>
      </c>
      <c r="B13662">
        <v>160351343.55210668</v>
      </c>
    </row>
    <row r="13663" spans="1:2" x14ac:dyDescent="0.25">
      <c r="A13663">
        <f ca="1">27237.1193597974*((RANDBETWEEN(1620,2416)))</f>
        <v>51423681.35129752</v>
      </c>
      <c r="B13663">
        <v>168883525.71147329</v>
      </c>
    </row>
    <row r="13664" spans="1:2" x14ac:dyDescent="0.25">
      <c r="A13664">
        <f ca="1">27489.2113234367*((RANDBETWEEN(1620,2416)))</f>
        <v>47831227.702779785</v>
      </c>
      <c r="B13664">
        <v>193477775.06752372</v>
      </c>
    </row>
    <row r="13665" spans="1:2" x14ac:dyDescent="0.25">
      <c r="A13665">
        <f ca="1">30197.5708263959*((RANDBETWEEN(1620,2416)))</f>
        <v>56711038.011971496</v>
      </c>
      <c r="B13665">
        <v>154974084.73722085</v>
      </c>
    </row>
    <row r="13666" spans="1:2" x14ac:dyDescent="0.25">
      <c r="A13666">
        <f ca="1">32415.1521617934*((RANDBETWEEN(1620,2416)))</f>
        <v>65446192.214660935</v>
      </c>
      <c r="B13666">
        <v>190162519.65872717</v>
      </c>
    </row>
    <row r="13667" spans="1:2" x14ac:dyDescent="0.25">
      <c r="A13667">
        <f ca="1">30964.7762283391*((RANDBETWEEN(1620,2416)))</f>
        <v>57191941.693742245</v>
      </c>
      <c r="B13667">
        <v>146748925.19406587</v>
      </c>
    </row>
    <row r="13668" spans="1:2" x14ac:dyDescent="0.25">
      <c r="A13668">
        <f ca="1">28330.824449466*((RANDBETWEEN(1620,2416)))</f>
        <v>49692266.084363326</v>
      </c>
      <c r="B13668">
        <v>144593194.17131343</v>
      </c>
    </row>
    <row r="13669" spans="1:2" x14ac:dyDescent="0.25">
      <c r="A13669">
        <f ca="1">26829.5594888383*((RANDBETWEEN(1620,2416)))</f>
        <v>43893159.323739477</v>
      </c>
      <c r="B13669">
        <v>177266782.05265594</v>
      </c>
    </row>
    <row r="13670" spans="1:2" x14ac:dyDescent="0.25">
      <c r="A13670">
        <f ca="1">26895.3030857564*((RANDBETWEEN(1620,2416)))</f>
        <v>57340786.178832695</v>
      </c>
      <c r="B13670">
        <v>153626954.95191532</v>
      </c>
    </row>
    <row r="13671" spans="1:2" x14ac:dyDescent="0.25">
      <c r="A13671">
        <f ca="1">27031.4032725661*((RANDBETWEEN(1620,2416)))</f>
        <v>64875367.854158543</v>
      </c>
      <c r="B13671">
        <v>155660523.29049629</v>
      </c>
    </row>
    <row r="13672" spans="1:2" x14ac:dyDescent="0.25">
      <c r="A13672">
        <f ca="1">26555.3441666159*((RANDBETWEEN(1620,2416)))</f>
        <v>56934657.893224388</v>
      </c>
      <c r="B13672">
        <v>173101879.09218311</v>
      </c>
    </row>
    <row r="13673" spans="1:2" x14ac:dyDescent="0.25">
      <c r="A13673">
        <f ca="1">28164.4928244444*((RANDBETWEEN(1620,2416)))</f>
        <v>63961563.204313204</v>
      </c>
      <c r="B13673">
        <v>159415885.35993898</v>
      </c>
    </row>
    <row r="13674" spans="1:2" x14ac:dyDescent="0.25">
      <c r="A13674">
        <f ca="1">28716.0267373556*((RANDBETWEEN(1620,2416)))</f>
        <v>53670253.97211758</v>
      </c>
      <c r="B13674">
        <v>172102544.90628532</v>
      </c>
    </row>
    <row r="13675" spans="1:2" x14ac:dyDescent="0.25">
      <c r="A13675">
        <f ca="1">28960.7516821242*((RANDBETWEEN(1620,2416)))</f>
        <v>62555223.633388177</v>
      </c>
      <c r="B13675">
        <v>172334027.87383908</v>
      </c>
    </row>
    <row r="13676" spans="1:2" x14ac:dyDescent="0.25">
      <c r="A13676">
        <f ca="1">27650.086891874*((RANDBETWEEN(1620,2416)))</f>
        <v>55714925.087126009</v>
      </c>
      <c r="B13676">
        <v>164618429.24279472</v>
      </c>
    </row>
    <row r="13677" spans="1:2" x14ac:dyDescent="0.25">
      <c r="A13677">
        <f ca="1">27077.8906272757*((RANDBETWEEN(1620,2416)))</f>
        <v>59083957.348715663</v>
      </c>
      <c r="B13677">
        <v>166477537.00932395</v>
      </c>
    </row>
    <row r="13678" spans="1:2" x14ac:dyDescent="0.25">
      <c r="A13678">
        <f ca="1">26276.1371331772*((RANDBETWEEN(1620,2416)))</f>
        <v>53971185.6715459</v>
      </c>
      <c r="B13678">
        <v>144273889.59007084</v>
      </c>
    </row>
    <row r="13679" spans="1:2" x14ac:dyDescent="0.25">
      <c r="A13679">
        <f ca="1">28705.5640050528*((RANDBETWEEN(1620,2416)))</f>
        <v>48770753.244584657</v>
      </c>
      <c r="B13679">
        <v>181805348.29592532</v>
      </c>
    </row>
    <row r="13680" spans="1:2" x14ac:dyDescent="0.25">
      <c r="A13680">
        <f ca="1">26483.8280580045*((RANDBETWEEN(1620,2416)))</f>
        <v>50743014.559136562</v>
      </c>
      <c r="B13680">
        <v>149047605.55928558</v>
      </c>
    </row>
    <row r="13681" spans="1:2" x14ac:dyDescent="0.25">
      <c r="A13681">
        <f ca="1">26815.9423300336*((RANDBETWEEN(1620,2416)))</f>
        <v>64680052.900041029</v>
      </c>
      <c r="B13681">
        <v>157285353.11809078</v>
      </c>
    </row>
    <row r="13682" spans="1:2" x14ac:dyDescent="0.25">
      <c r="A13682">
        <f ca="1">26348.6599106365*((RANDBETWEEN(1620,2416)))</f>
        <v>53988404.156894095</v>
      </c>
      <c r="B13682">
        <v>179839876.68836784</v>
      </c>
    </row>
    <row r="13683" spans="1:2" x14ac:dyDescent="0.25">
      <c r="A13683">
        <f ca="1">27996.3758168395*((RANDBETWEEN(1620,2416)))</f>
        <v>47873802.646795616</v>
      </c>
      <c r="B13683">
        <v>161465299.26058653</v>
      </c>
    </row>
    <row r="13684" spans="1:2" x14ac:dyDescent="0.25">
      <c r="A13684">
        <f ca="1">28172.0242745575*((RANDBETWEEN(1620,2416)))</f>
        <v>49357386.52902481</v>
      </c>
      <c r="B13684">
        <v>150887715.60281467</v>
      </c>
    </row>
    <row r="13685" spans="1:2" x14ac:dyDescent="0.25">
      <c r="A13685">
        <f ca="1">26456.3025896763*((RANDBETWEEN(1620,2416)))</f>
        <v>56748769.054855764</v>
      </c>
      <c r="B13685">
        <v>174221994.8363474</v>
      </c>
    </row>
    <row r="13686" spans="1:2" x14ac:dyDescent="0.25">
      <c r="A13686">
        <f ca="1">26305.0176186374*((RANDBETWEEN(1620,2416)))</f>
        <v>51005429.16253794</v>
      </c>
      <c r="B13686">
        <v>145861730.43086767</v>
      </c>
    </row>
    <row r="13687" spans="1:2" x14ac:dyDescent="0.25">
      <c r="A13687">
        <f ca="1">27177.5292218676*((RANDBETWEEN(1620,2416)))</f>
        <v>46636640.144724861</v>
      </c>
      <c r="B13687">
        <v>162531298.87658101</v>
      </c>
    </row>
    <row r="13688" spans="1:2" x14ac:dyDescent="0.25">
      <c r="A13688">
        <f ca="1">27029.9157931633*((RANDBETWEEN(1620,2416)))</f>
        <v>47464532.132794693</v>
      </c>
      <c r="B13688">
        <v>154834927.41671896</v>
      </c>
    </row>
    <row r="13689" spans="1:2" x14ac:dyDescent="0.25">
      <c r="A13689">
        <f ca="1">26364.8734537077*((RANDBETWEEN(1620,2416)))</f>
        <v>47614961.457396075</v>
      </c>
      <c r="B13689">
        <v>144444139.28135616</v>
      </c>
    </row>
    <row r="13690" spans="1:2" x14ac:dyDescent="0.25">
      <c r="A13690">
        <f ca="1">26503.3822161294*((RANDBETWEEN(1620,2416)))</f>
        <v>43571560.363316804</v>
      </c>
      <c r="B13690">
        <v>152829294.06112048</v>
      </c>
    </row>
    <row r="13691" spans="1:2" x14ac:dyDescent="0.25">
      <c r="A13691">
        <f ca="1">28903.2659178809*((RANDBETWEEN(1620,2416)))</f>
        <v>59367308.195327386</v>
      </c>
      <c r="B13691">
        <v>190287608.35213584</v>
      </c>
    </row>
    <row r="13692" spans="1:2" x14ac:dyDescent="0.25">
      <c r="A13692">
        <f ca="1">26450.8226860653*((RANDBETWEEN(1620,2416)))</f>
        <v>63667130.205359191</v>
      </c>
      <c r="B13692">
        <v>146775401.715817</v>
      </c>
    </row>
    <row r="13693" spans="1:2" x14ac:dyDescent="0.25">
      <c r="A13693">
        <f ca="1">27072.8977534607*((RANDBETWEEN(1620,2416)))</f>
        <v>63621309.720632583</v>
      </c>
      <c r="B13693">
        <v>202775424.61040601</v>
      </c>
    </row>
    <row r="13694" spans="1:2" x14ac:dyDescent="0.25">
      <c r="A13694">
        <f ca="1">34304.0470908679*((RANDBETWEEN(1620,2416)))</f>
        <v>79070828.544450462</v>
      </c>
      <c r="B13694">
        <v>181869570.13722974</v>
      </c>
    </row>
    <row r="13695" spans="1:2" x14ac:dyDescent="0.25">
      <c r="A13695">
        <f ca="1">31661.4227201672*((RANDBETWEEN(1620,2416)))</f>
        <v>71428169.656697303</v>
      </c>
      <c r="B13695">
        <v>188265294.38291401</v>
      </c>
    </row>
    <row r="13696" spans="1:2" x14ac:dyDescent="0.25">
      <c r="A13696">
        <f ca="1">27199.1885304335*((RANDBETWEEN(1620,2416)))</f>
        <v>45014657.017867424</v>
      </c>
      <c r="B13696">
        <v>147146375.23149335</v>
      </c>
    </row>
    <row r="13697" spans="1:2" x14ac:dyDescent="0.25">
      <c r="A13697">
        <f ca="1">27898.4318674824*((RANDBETWEEN(1620,2416)))</f>
        <v>63329440.339184947</v>
      </c>
      <c r="B13697">
        <v>155985671.67702037</v>
      </c>
    </row>
    <row r="13698" spans="1:2" x14ac:dyDescent="0.25">
      <c r="A13698">
        <f ca="1">26753.3110198619*((RANDBETWEEN(1620,2416)))</f>
        <v>49868171.741022639</v>
      </c>
      <c r="B13698">
        <v>170295580.31833255</v>
      </c>
    </row>
    <row r="13699" spans="1:2" x14ac:dyDescent="0.25">
      <c r="A13699">
        <f ca="1">28294.3233971648*((RANDBETWEEN(1620,2416)))</f>
        <v>55117341.977677092</v>
      </c>
      <c r="B13699">
        <v>187610216.51985604</v>
      </c>
    </row>
    <row r="13700" spans="1:2" x14ac:dyDescent="0.25">
      <c r="A13700">
        <f ca="1">27491.31392652*((RANDBETWEEN(1620,2416)))</f>
        <v>59931064.359813534</v>
      </c>
      <c r="B13700">
        <v>185869050.74544752</v>
      </c>
    </row>
    <row r="13701" spans="1:2" x14ac:dyDescent="0.25">
      <c r="A13701">
        <f ca="1">27452.4652547664*((RANDBETWEEN(1620,2416)))</f>
        <v>54191166.4129088</v>
      </c>
      <c r="B13701">
        <v>148277739.6003657</v>
      </c>
    </row>
    <row r="13702" spans="1:2" x14ac:dyDescent="0.25">
      <c r="A13702">
        <f ca="1">26450.7295927002*((RANDBETWEEN(1620,2416)))</f>
        <v>55493630.685485035</v>
      </c>
      <c r="B13702">
        <v>144874787.00966334</v>
      </c>
    </row>
    <row r="13703" spans="1:2" x14ac:dyDescent="0.25">
      <c r="A13703">
        <f ca="1">27660.7866676021*((RANDBETWEEN(1620,2416)))</f>
        <v>55957771.428559072</v>
      </c>
      <c r="B13703">
        <v>201342067.40653402</v>
      </c>
    </row>
    <row r="13704" spans="1:2" x14ac:dyDescent="0.25">
      <c r="A13704">
        <f ca="1">28148.5981187404*((RANDBETWEEN(1620,2416)))</f>
        <v>65952165.392208643</v>
      </c>
      <c r="B13704">
        <v>161500924.52891067</v>
      </c>
    </row>
    <row r="13705" spans="1:2" x14ac:dyDescent="0.25">
      <c r="A13705">
        <f ca="1">27815.4998162638*((RANDBETWEEN(1620,2416)))</f>
        <v>46757855.191139475</v>
      </c>
      <c r="B13705">
        <v>157831591.07922614</v>
      </c>
    </row>
    <row r="13706" spans="1:2" x14ac:dyDescent="0.25">
      <c r="A13706">
        <f ca="1">27509.611166838*((RANDBETWEEN(1620,2416)))</f>
        <v>58320375.673696488</v>
      </c>
      <c r="B13706">
        <v>151812341.40150613</v>
      </c>
    </row>
    <row r="13707" spans="1:2" x14ac:dyDescent="0.25">
      <c r="A13707">
        <f ca="1">26339.2496612552*((RANDBETWEEN(1620,2416)))</f>
        <v>49070022.118918434</v>
      </c>
      <c r="B13707">
        <v>153969253.38437486</v>
      </c>
    </row>
    <row r="13708" spans="1:2" x14ac:dyDescent="0.25">
      <c r="A13708">
        <f ca="1">25618.1587228648*((RANDBETWEEN(1620,2416)))</f>
        <v>60894363.284249589</v>
      </c>
      <c r="B13708">
        <v>169612809.30335525</v>
      </c>
    </row>
    <row r="13709" spans="1:2" x14ac:dyDescent="0.25">
      <c r="A13709">
        <f ca="1">27701.7066879175*((RANDBETWEEN(1620,2416)))</f>
        <v>56289867.989848331</v>
      </c>
      <c r="B13709">
        <v>189465248.06797889</v>
      </c>
    </row>
    <row r="13710" spans="1:2" x14ac:dyDescent="0.25">
      <c r="A13710">
        <f ca="1">28071.7544129216*((RANDBETWEEN(1620,2416)))</f>
        <v>54655705.841958314</v>
      </c>
      <c r="B13710">
        <v>152002127.82670116</v>
      </c>
    </row>
    <row r="13711" spans="1:2" x14ac:dyDescent="0.25">
      <c r="A13711">
        <f ca="1">28502.0899206452*((RANDBETWEEN(1620,2416)))</f>
        <v>46942942.09930262</v>
      </c>
      <c r="B13711">
        <v>203269457.42128223</v>
      </c>
    </row>
    <row r="13712" spans="1:2" x14ac:dyDescent="0.25">
      <c r="A13712">
        <f ca="1">28434.5626616356*((RANDBETWEEN(1620,2416)))</f>
        <v>64887671.993852496</v>
      </c>
      <c r="B13712">
        <v>158442465.23643997</v>
      </c>
    </row>
    <row r="13713" spans="1:2" x14ac:dyDescent="0.25">
      <c r="A13713">
        <f ca="1">26816.8028684825*((RANDBETWEEN(1620,2416)))</f>
        <v>58380179.844686411</v>
      </c>
      <c r="B13713">
        <v>202864536.63722047</v>
      </c>
    </row>
    <row r="13714" spans="1:2" x14ac:dyDescent="0.25">
      <c r="A13714">
        <f ca="1">26811.2482107241*((RANDBETWEEN(1620,2416)))</f>
        <v>47938511.800774723</v>
      </c>
      <c r="B13714">
        <v>147719531.00635707</v>
      </c>
    </row>
    <row r="13715" spans="1:2" x14ac:dyDescent="0.25">
      <c r="A13715">
        <f ca="1">27660.2498313862*((RANDBETWEEN(1620,2416)))</f>
        <v>51807647.934186332</v>
      </c>
      <c r="B13715">
        <v>162006718.10641953</v>
      </c>
    </row>
    <row r="13716" spans="1:2" x14ac:dyDescent="0.25">
      <c r="A13716">
        <f ca="1">25221.5978653177*((RANDBETWEEN(1620,2416)))</f>
        <v>42700165.185982883</v>
      </c>
      <c r="B13716">
        <v>157538738.67871636</v>
      </c>
    </row>
    <row r="13717" spans="1:2" x14ac:dyDescent="0.25">
      <c r="A13717">
        <f ca="1">26680.7040798188*((RANDBETWEEN(1620,2416)))</f>
        <v>44023161.731701009</v>
      </c>
      <c r="B13717">
        <v>166796970.36607426</v>
      </c>
    </row>
    <row r="13718" spans="1:2" x14ac:dyDescent="0.25">
      <c r="A13718">
        <f ca="1">33737.4947871496*((RANDBETWEEN(1620,2416)))</f>
        <v>75099663.396194935</v>
      </c>
      <c r="B13718">
        <v>191294339.55042005</v>
      </c>
    </row>
    <row r="13719" spans="1:2" x14ac:dyDescent="0.25">
      <c r="A13719">
        <f ca="1">27758.2599378151*((RANDBETWEEN(1620,2416)))</f>
        <v>48993328.790243685</v>
      </c>
      <c r="B13719">
        <v>146102642.89063397</v>
      </c>
    </row>
    <row r="13720" spans="1:2" x14ac:dyDescent="0.25">
      <c r="A13720">
        <f ca="1">27640.5927855398*((RANDBETWEEN(1620,2416)))</f>
        <v>65231798.973873943</v>
      </c>
      <c r="B13720">
        <v>145607187.02214104</v>
      </c>
    </row>
    <row r="13721" spans="1:2" x14ac:dyDescent="0.25">
      <c r="A13721">
        <f ca="1">27650.5681971864*((RANDBETWEEN(1620,2416)))</f>
        <v>57347278.440964602</v>
      </c>
      <c r="B13721">
        <v>175298900.31677067</v>
      </c>
    </row>
    <row r="13722" spans="1:2" x14ac:dyDescent="0.25">
      <c r="A13722">
        <f ca="1">25552.6490331197*((RANDBETWEEN(1620,2416)))</f>
        <v>54580458.334743582</v>
      </c>
      <c r="B13722">
        <v>166005245.08762372</v>
      </c>
    </row>
    <row r="13723" spans="1:2" x14ac:dyDescent="0.25">
      <c r="A13723">
        <f ca="1">27158.5069672915*((RANDBETWEEN(1620,2416)))</f>
        <v>55566305.255078323</v>
      </c>
      <c r="B13723">
        <v>171849945.7568562</v>
      </c>
    </row>
    <row r="13724" spans="1:2" x14ac:dyDescent="0.25">
      <c r="A13724">
        <f ca="1">26312.5257780822*((RANDBETWEEN(1620,2416)))</f>
        <v>53888052.793512322</v>
      </c>
      <c r="B13724">
        <v>195375991.81935352</v>
      </c>
    </row>
    <row r="13725" spans="1:2" x14ac:dyDescent="0.25">
      <c r="A13725">
        <f ca="1">26652.3726585871*((RANDBETWEEN(1620,2416)))</f>
        <v>53784488.025028862</v>
      </c>
      <c r="B13725">
        <v>144460846.0279071</v>
      </c>
    </row>
    <row r="13726" spans="1:2" x14ac:dyDescent="0.25">
      <c r="A13726">
        <f ca="1">28853.6172864029*((RANDBETWEEN(1620,2416)))</f>
        <v>64430127.400537729</v>
      </c>
      <c r="B13726">
        <v>164570078.22693145</v>
      </c>
    </row>
    <row r="13727" spans="1:2" x14ac:dyDescent="0.25">
      <c r="A13727">
        <f ca="1">28296.7674408909*((RANDBETWEEN(1620,2416)))</f>
        <v>65591906.927985162</v>
      </c>
      <c r="B13727">
        <v>149971137.19812623</v>
      </c>
    </row>
    <row r="13728" spans="1:2" x14ac:dyDescent="0.25">
      <c r="A13728">
        <f ca="1">29588.3791700265*((RANDBETWEEN(1620,2416)))</f>
        <v>69621456.187072426</v>
      </c>
      <c r="B13728">
        <v>200741020.7292186</v>
      </c>
    </row>
    <row r="13729" spans="1:2" x14ac:dyDescent="0.25">
      <c r="A13729">
        <f ca="1">30198.1405001416*((RANDBETWEEN(1620,2416)))</f>
        <v>49766535.544233374</v>
      </c>
      <c r="B13729">
        <v>165255938.33142433</v>
      </c>
    </row>
    <row r="13730" spans="1:2" x14ac:dyDescent="0.25">
      <c r="A13730">
        <f ca="1">26142.2063636149*((RANDBETWEEN(1620,2416)))</f>
        <v>45957998.787235051</v>
      </c>
      <c r="B13730">
        <v>148026613.90386543</v>
      </c>
    </row>
    <row r="13731" spans="1:2" x14ac:dyDescent="0.25">
      <c r="A13731">
        <f ca="1">26057.299454345*((RANDBETWEEN(1620,2416)))</f>
        <v>58420465.376641423</v>
      </c>
      <c r="B13731">
        <v>154642800.87236917</v>
      </c>
    </row>
    <row r="13732" spans="1:2" x14ac:dyDescent="0.25">
      <c r="A13732">
        <f ca="1">31713.9858427474*((RANDBETWEEN(1620,2416)))</f>
        <v>73830159.041915968</v>
      </c>
      <c r="B13732">
        <v>176952464.01949269</v>
      </c>
    </row>
    <row r="13733" spans="1:2" x14ac:dyDescent="0.25">
      <c r="A13733">
        <f ca="1">27417.6981020467*((RANDBETWEEN(1620,2416)))</f>
        <v>64623514.426524028</v>
      </c>
      <c r="B13733">
        <v>184007745.05383396</v>
      </c>
    </row>
    <row r="13734" spans="1:2" x14ac:dyDescent="0.25">
      <c r="A13734">
        <f ca="1">27814.3917801718*((RANDBETWEEN(1620,2416)))</f>
        <v>66003551.694347739</v>
      </c>
      <c r="B13734">
        <v>170973209.38940889</v>
      </c>
    </row>
    <row r="13735" spans="1:2" x14ac:dyDescent="0.25">
      <c r="A13735">
        <f ca="1">27360.1694997229*((RANDBETWEEN(1620,2416)))</f>
        <v>64433199.171847463</v>
      </c>
      <c r="B13735">
        <v>143254772.09086248</v>
      </c>
    </row>
    <row r="13736" spans="1:2" x14ac:dyDescent="0.25">
      <c r="A13736">
        <f ca="1">26823.6565132442*((RANDBETWEEN(1620,2416)))</f>
        <v>46297631.141859509</v>
      </c>
      <c r="B13736">
        <v>191316363.97579938</v>
      </c>
    </row>
    <row r="13737" spans="1:2" x14ac:dyDescent="0.25">
      <c r="A13737">
        <f ca="1">29072.1618781113*((RANDBETWEEN(1620,2416)))</f>
        <v>55411540.539680146</v>
      </c>
      <c r="B13737">
        <v>178626549.66969013</v>
      </c>
    </row>
    <row r="13738" spans="1:2" x14ac:dyDescent="0.25">
      <c r="A13738">
        <f ca="1">32857.3891653766*((RANDBETWEEN(1620,2416)))</f>
        <v>68671943.355637118</v>
      </c>
      <c r="B13738">
        <v>147071335.23207098</v>
      </c>
    </row>
    <row r="13739" spans="1:2" x14ac:dyDescent="0.25">
      <c r="A13739">
        <f ca="1">27490.1550099796*((RANDBETWEEN(1620,2416)))</f>
        <v>44753972.356246851</v>
      </c>
      <c r="B13739">
        <v>161313494.66640484</v>
      </c>
    </row>
    <row r="13740" spans="1:2" x14ac:dyDescent="0.25">
      <c r="A13740">
        <f ca="1">27422.6775908569*((RANDBETWEEN(1620,2416)))</f>
        <v>65348240.699011974</v>
      </c>
      <c r="B13740">
        <v>158875409.12823397</v>
      </c>
    </row>
    <row r="13741" spans="1:2" x14ac:dyDescent="0.25">
      <c r="A13741">
        <f ca="1">26449.5110165099*((RANDBETWEEN(1620,2416)))</f>
        <v>61891855.778633185</v>
      </c>
      <c r="B13741">
        <v>148585890.27881694</v>
      </c>
    </row>
    <row r="13742" spans="1:2" x14ac:dyDescent="0.25">
      <c r="A13742">
        <f ca="1">27507.5506850996*((RANDBETWEEN(1620,2416)))</f>
        <v>62689708.011341915</v>
      </c>
      <c r="B13742">
        <v>185181078.76700103</v>
      </c>
    </row>
    <row r="13743" spans="1:2" x14ac:dyDescent="0.25">
      <c r="A13743">
        <f ca="1">27005.8001885753*((RANDBETWEEN(1620,2416)))</f>
        <v>53471484.373379014</v>
      </c>
      <c r="B13743">
        <v>182861504.86392316</v>
      </c>
    </row>
    <row r="13744" spans="1:2" x14ac:dyDescent="0.25">
      <c r="A13744">
        <f ca="1">27204.0515396363*((RANDBETWEEN(1620,2416)))</f>
        <v>51524473.61607118</v>
      </c>
      <c r="B13744">
        <v>154845345.27457011</v>
      </c>
    </row>
    <row r="13745" spans="1:2" x14ac:dyDescent="0.25">
      <c r="A13745">
        <f ca="1">29639.6963848111*((RANDBETWEEN(1620,2416)))</f>
        <v>64081023.583961688</v>
      </c>
      <c r="B13745">
        <v>183589764.91792962</v>
      </c>
    </row>
    <row r="13746" spans="1:2" x14ac:dyDescent="0.25">
      <c r="A13746">
        <f ca="1">26049.3405686026*((RANDBETWEEN(1620,2416)))</f>
        <v>49884487.188874021</v>
      </c>
      <c r="B13746">
        <v>145774799.63964337</v>
      </c>
    </row>
    <row r="13747" spans="1:2" x14ac:dyDescent="0.25">
      <c r="A13747">
        <f ca="1">26269.5223538846*((RANDBETWEEN(1620,2416)))</f>
        <v>57530253.955007322</v>
      </c>
      <c r="B13747">
        <v>143423482.37165332</v>
      </c>
    </row>
    <row r="13748" spans="1:2" x14ac:dyDescent="0.25">
      <c r="A13748">
        <f ca="1">25313.5118377692*((RANDBETWEEN(1620,2416)))</f>
        <v>59031109.605677687</v>
      </c>
      <c r="B13748">
        <v>147039665.37461361</v>
      </c>
    </row>
    <row r="13749" spans="1:2" x14ac:dyDescent="0.25">
      <c r="A13749">
        <f ca="1">25969.9184417248*((RANDBETWEEN(1620,2416)))</f>
        <v>62561533.526115067</v>
      </c>
      <c r="B13749">
        <v>152666908.25478515</v>
      </c>
    </row>
    <row r="13750" spans="1:2" x14ac:dyDescent="0.25">
      <c r="A13750">
        <f ca="1">31057.982347923*((RANDBETWEEN(1620,2416)))</f>
        <v>55562730.420434207</v>
      </c>
      <c r="B13750">
        <v>186869548.69784057</v>
      </c>
    </row>
    <row r="13751" spans="1:2" x14ac:dyDescent="0.25">
      <c r="A13751">
        <f ca="1">29357.1440453982*((RANDBETWEEN(1620,2416)))</f>
        <v>48204430.522543803</v>
      </c>
      <c r="B13751">
        <v>146598915.31237388</v>
      </c>
    </row>
    <row r="13752" spans="1:2" x14ac:dyDescent="0.25">
      <c r="A13752">
        <f ca="1">30686.9751607866*((RANDBETWEEN(1620,2416)))</f>
        <v>55328616.214898318</v>
      </c>
      <c r="B13752">
        <v>194454800.17299259</v>
      </c>
    </row>
    <row r="13753" spans="1:2" x14ac:dyDescent="0.25">
      <c r="A13753">
        <f ca="1">27108.7274047722*((RANDBETWEEN(1620,2416)))</f>
        <v>59964505.019356072</v>
      </c>
      <c r="B13753">
        <v>200867753.70340174</v>
      </c>
    </row>
    <row r="13754" spans="1:2" x14ac:dyDescent="0.25">
      <c r="A13754">
        <f ca="1">30122.5604800035*((RANDBETWEEN(1620,2416)))</f>
        <v>71450713.458568275</v>
      </c>
      <c r="B13754">
        <v>185218909.88699347</v>
      </c>
    </row>
    <row r="13755" spans="1:2" x14ac:dyDescent="0.25">
      <c r="A13755">
        <f ca="1">30494.5747767823*((RANDBETWEEN(1620,2416)))</f>
        <v>72333131.370527595</v>
      </c>
      <c r="B13755">
        <v>160662165.07829544</v>
      </c>
    </row>
    <row r="13756" spans="1:2" x14ac:dyDescent="0.25">
      <c r="A13756">
        <f ca="1">25232.1274320879*((RANDBETWEEN(1620,2416)))</f>
        <v>42516134.723068163</v>
      </c>
      <c r="B13756">
        <v>159677298.77430815</v>
      </c>
    </row>
    <row r="13757" spans="1:2" x14ac:dyDescent="0.25">
      <c r="A13757">
        <f ca="1">30979.7989494434*((RANDBETWEEN(1620,2416)))</f>
        <v>58303981.622852564</v>
      </c>
      <c r="B13757">
        <v>178129257.57114431</v>
      </c>
    </row>
    <row r="13758" spans="1:2" x14ac:dyDescent="0.25">
      <c r="A13758">
        <f ca="1">26460.7128327343*((RANDBETWEEN(1620,2416)))</f>
        <v>63796778.639722288</v>
      </c>
      <c r="B13758">
        <v>161974983.95822239</v>
      </c>
    </row>
    <row r="13759" spans="1:2" x14ac:dyDescent="0.25">
      <c r="A13759">
        <f ca="1">27489.3073299632*((RANDBETWEEN(1620,2416)))</f>
        <v>65946848.284581758</v>
      </c>
      <c r="B13759">
        <v>145028897.73386389</v>
      </c>
    </row>
    <row r="13760" spans="1:2" x14ac:dyDescent="0.25">
      <c r="A13760">
        <f ca="1">26338.866811558*((RANDBETWEEN(1620,2416)))</f>
        <v>58498623.188470364</v>
      </c>
      <c r="B13760">
        <v>146150855.5969705</v>
      </c>
    </row>
    <row r="13761" spans="1:2" x14ac:dyDescent="0.25">
      <c r="A13761">
        <f ca="1">33195.8051158298*((RANDBETWEEN(1620,2416)))</f>
        <v>74856540.536196306</v>
      </c>
      <c r="B13761">
        <v>182185216.98016772</v>
      </c>
    </row>
    <row r="13762" spans="1:2" x14ac:dyDescent="0.25">
      <c r="A13762">
        <f ca="1">28324.4912618064*((RANDBETWEEN(1620,2416)))</f>
        <v>59169862.245913565</v>
      </c>
      <c r="B13762">
        <v>153177724.69259399</v>
      </c>
    </row>
    <row r="13763" spans="1:2" x14ac:dyDescent="0.25">
      <c r="A13763">
        <f ca="1">30163.3709035025*((RANDBETWEEN(1620,2416)))</f>
        <v>63282752.155548312</v>
      </c>
      <c r="B13763">
        <v>203340826.83879632</v>
      </c>
    </row>
    <row r="13764" spans="1:2" x14ac:dyDescent="0.25">
      <c r="A13764">
        <f ca="1">27116.7105529451*((RANDBETWEEN(1620,2416)))</f>
        <v>51386166.497830972</v>
      </c>
      <c r="B13764">
        <v>153337426.19664058</v>
      </c>
    </row>
    <row r="13765" spans="1:2" x14ac:dyDescent="0.25">
      <c r="A13765">
        <f ca="1">32781.5980091903*((RANDBETWEEN(1620,2416)))</f>
        <v>68251287.055134147</v>
      </c>
      <c r="B13765">
        <v>179183668.84804937</v>
      </c>
    </row>
    <row r="13766" spans="1:2" x14ac:dyDescent="0.25">
      <c r="A13766">
        <f ca="1">30818.0952681421*((RANDBETWEEN(1620,2416)))</f>
        <v>59047470.533760302</v>
      </c>
      <c r="B13766">
        <v>174438800.80675223</v>
      </c>
    </row>
    <row r="13767" spans="1:2" x14ac:dyDescent="0.25">
      <c r="A13767">
        <f ca="1">25844.2549721155*((RANDBETWEEN(1620,2416)))</f>
        <v>49336682.741768584</v>
      </c>
      <c r="B13767">
        <v>160788847.79508317</v>
      </c>
    </row>
    <row r="13768" spans="1:2" x14ac:dyDescent="0.25">
      <c r="A13768">
        <f ca="1">29500.4796229576*((RANDBETWEEN(1620,2416)))</f>
        <v>68116607.449409068</v>
      </c>
      <c r="B13768">
        <v>143536483.50273913</v>
      </c>
    </row>
    <row r="13769" spans="1:2" x14ac:dyDescent="0.25">
      <c r="A13769">
        <f ca="1">30548.9517138348*((RANDBETWEEN(1620,2416)))</f>
        <v>64030602.792197824</v>
      </c>
      <c r="B13769">
        <v>195597752.87266049</v>
      </c>
    </row>
    <row r="13770" spans="1:2" x14ac:dyDescent="0.25">
      <c r="A13770">
        <f ca="1">28131.2710277166*((RANDBETWEEN(1620,2416)))</f>
        <v>65348942.597385556</v>
      </c>
      <c r="B13770">
        <v>154712859.92738482</v>
      </c>
    </row>
    <row r="13771" spans="1:2" x14ac:dyDescent="0.25">
      <c r="A13771">
        <f ca="1">29263.8387890912*((RANDBETWEEN(1620,2416)))</f>
        <v>66780080.116706192</v>
      </c>
      <c r="B13771">
        <v>149068081.56786197</v>
      </c>
    </row>
    <row r="13772" spans="1:2" x14ac:dyDescent="0.25">
      <c r="A13772">
        <f ca="1">28304.6101803*((RANDBETWEEN(1620,2416)))</f>
        <v>52023873.511391409</v>
      </c>
      <c r="B13772">
        <v>153996752.28927344</v>
      </c>
    </row>
    <row r="13773" spans="1:2" x14ac:dyDescent="0.25">
      <c r="A13773">
        <f ca="1">28746.2869907933*((RANDBETWEEN(1620,2416)))</f>
        <v>59763530.653859265</v>
      </c>
      <c r="B13773">
        <v>172394863.55556655</v>
      </c>
    </row>
    <row r="13774" spans="1:2" x14ac:dyDescent="0.25">
      <c r="A13774">
        <f ca="1">29848.5276525789*((RANDBETWEEN(1620,2416)))</f>
        <v>71636466.36618939</v>
      </c>
      <c r="B13774">
        <v>157166126.54084694</v>
      </c>
    </row>
    <row r="13775" spans="1:2" x14ac:dyDescent="0.25">
      <c r="A13775">
        <f ca="1">27353.5623841642*((RANDBETWEEN(1620,2416)))</f>
        <v>51014393.846466228</v>
      </c>
      <c r="B13775">
        <v>153124487.04167858</v>
      </c>
    </row>
    <row r="13776" spans="1:2" x14ac:dyDescent="0.25">
      <c r="A13776">
        <f ca="1">28041.3263363033*((RANDBETWEEN(1620,2416)))</f>
        <v>46492519.065590896</v>
      </c>
      <c r="B13776">
        <v>198478404.80859083</v>
      </c>
    </row>
    <row r="13777" spans="1:2" x14ac:dyDescent="0.25">
      <c r="A13777">
        <f ca="1">28349.1935297564*((RANDBETWEEN(1620,2416)))</f>
        <v>56641688.672453277</v>
      </c>
      <c r="B13777">
        <v>161004817.45749953</v>
      </c>
    </row>
    <row r="13778" spans="1:2" x14ac:dyDescent="0.25">
      <c r="A13778">
        <f ca="1">28972.3064972582*((RANDBETWEEN(1620,2416)))</f>
        <v>67969031.042567775</v>
      </c>
      <c r="B13778">
        <v>203401930.48586804</v>
      </c>
    </row>
    <row r="13779" spans="1:2" x14ac:dyDescent="0.25">
      <c r="A13779">
        <f ca="1">29879.2372313637*((RANDBETWEEN(1620,2416)))</f>
        <v>70365603.679861456</v>
      </c>
      <c r="B13779">
        <v>187661314.42062476</v>
      </c>
    </row>
    <row r="13780" spans="1:2" x14ac:dyDescent="0.25">
      <c r="A13780">
        <f ca="1">26665.4240662849*((RANDBETWEEN(1620,2416)))</f>
        <v>52797539.651244178</v>
      </c>
      <c r="B13780">
        <v>152153286.8436861</v>
      </c>
    </row>
    <row r="13781" spans="1:2" x14ac:dyDescent="0.25">
      <c r="A13781">
        <f ca="1">26002.0870157765*((RANDBETWEEN(1620,2416)))</f>
        <v>52680228.293963127</v>
      </c>
      <c r="B13781">
        <v>144428518.39070395</v>
      </c>
    </row>
    <row r="13782" spans="1:2" x14ac:dyDescent="0.25">
      <c r="A13782">
        <f ca="1">26202.3313560692*((RANDBETWEEN(1620,2416)))</f>
        <v>60448778.438451715</v>
      </c>
      <c r="B13782">
        <v>152896317.48330927</v>
      </c>
    </row>
    <row r="13783" spans="1:2" x14ac:dyDescent="0.25">
      <c r="A13783">
        <f ca="1">28486.0888062775*((RANDBETWEEN(1620,2416)))</f>
        <v>49480336.256504089</v>
      </c>
      <c r="B13783">
        <v>185111488.41589549</v>
      </c>
    </row>
    <row r="13784" spans="1:2" x14ac:dyDescent="0.25">
      <c r="A13784">
        <f ca="1">28562.3089868332*((RANDBETWEEN(1620,2416)))</f>
        <v>49812666.873037115</v>
      </c>
      <c r="B13784">
        <v>171647268.54701388</v>
      </c>
    </row>
    <row r="13785" spans="1:2" x14ac:dyDescent="0.25">
      <c r="A13785">
        <f ca="1">26321.6595907773*((RANDBETWEEN(1620,2416)))</f>
        <v>55959848.289992504</v>
      </c>
      <c r="B13785">
        <v>159784165.20563382</v>
      </c>
    </row>
    <row r="13786" spans="1:2" x14ac:dyDescent="0.25">
      <c r="A13786">
        <f ca="1">27611.3656442346*((RANDBETWEEN(1620,2416)))</f>
        <v>63450918.250451088</v>
      </c>
      <c r="B13786">
        <v>173091824.01807225</v>
      </c>
    </row>
    <row r="13787" spans="1:2" x14ac:dyDescent="0.25">
      <c r="A13787">
        <f ca="1">26309.1599395692*((RANDBETWEEN(1620,2416)))</f>
        <v>48987655.807477787</v>
      </c>
      <c r="B13787">
        <v>145941906.57079917</v>
      </c>
    </row>
    <row r="13788" spans="1:2" x14ac:dyDescent="0.25">
      <c r="A13788">
        <f ca="1">33578.7540313867*((RANDBETWEEN(1620,2416)))</f>
        <v>73403156.312611356</v>
      </c>
      <c r="B13788">
        <v>171620149.28428578</v>
      </c>
    </row>
    <row r="13789" spans="1:2" x14ac:dyDescent="0.25">
      <c r="A13789">
        <f ca="1">26225.27832654*((RANDBETWEEN(1620,2416)))</f>
        <v>47808682.389282361</v>
      </c>
      <c r="B13789">
        <v>159509893.28506345</v>
      </c>
    </row>
    <row r="13790" spans="1:2" x14ac:dyDescent="0.25">
      <c r="A13790">
        <f ca="1">30092.4302738921*((RANDBETWEEN(1620,2416)))</f>
        <v>68701018.315295771</v>
      </c>
      <c r="B13790">
        <v>161901070.50306514</v>
      </c>
    </row>
    <row r="13791" spans="1:2" x14ac:dyDescent="0.25">
      <c r="A13791">
        <f ca="1">28564.7807610014*((RANDBETWEEN(1620,2416)))</f>
        <v>54958638.184166737</v>
      </c>
      <c r="B13791">
        <v>171550724.45663783</v>
      </c>
    </row>
    <row r="13792" spans="1:2" x14ac:dyDescent="0.25">
      <c r="A13792">
        <f ca="1">27291.8851267724*((RANDBETWEEN(1620,2416)))</f>
        <v>62580292.595689155</v>
      </c>
      <c r="B13792">
        <v>144767054.20725703</v>
      </c>
    </row>
    <row r="13793" spans="1:2" x14ac:dyDescent="0.25">
      <c r="A13793">
        <f ca="1">27543.7683610638*((RANDBETWEEN(1620,2416)))</f>
        <v>65141012.1739159</v>
      </c>
      <c r="B13793">
        <v>174057982.50738123</v>
      </c>
    </row>
    <row r="13794" spans="1:2" x14ac:dyDescent="0.25">
      <c r="A13794">
        <f ca="1">32409.7080869092*((RANDBETWEEN(1620,2416)))</f>
        <v>65337971.503208987</v>
      </c>
      <c r="B13794">
        <v>174741091.09290278</v>
      </c>
    </row>
    <row r="13795" spans="1:2" x14ac:dyDescent="0.25">
      <c r="A13795">
        <f ca="1">25501.805210742*((RANDBETWEEN(1620,2416)))</f>
        <v>51437141.110066555</v>
      </c>
      <c r="B13795">
        <v>167839113.08129507</v>
      </c>
    </row>
    <row r="13796" spans="1:2" x14ac:dyDescent="0.25">
      <c r="A13796">
        <f ca="1">27732.2830030339*((RANDBETWEEN(1620,2416)))</f>
        <v>65753243.000193298</v>
      </c>
      <c r="B13796">
        <v>196554656.35573912</v>
      </c>
    </row>
    <row r="13797" spans="1:2" x14ac:dyDescent="0.25">
      <c r="A13797">
        <f ca="1">30688.0268267753*((RANDBETWEEN(1620,2416)))</f>
        <v>64506232.389881641</v>
      </c>
      <c r="B13797">
        <v>151289337.03841099</v>
      </c>
    </row>
    <row r="13798" spans="1:2" x14ac:dyDescent="0.25">
      <c r="A13798">
        <f ca="1">30487.9496392898*((RANDBETWEEN(1620,2416)))</f>
        <v>57957592.264289886</v>
      </c>
      <c r="B13798">
        <v>174463855.43459973</v>
      </c>
    </row>
    <row r="13799" spans="1:2" x14ac:dyDescent="0.25">
      <c r="A13799">
        <f ca="1">29467.9133888855*((RANDBETWEEN(1620,2416)))</f>
        <v>55782760.045160271</v>
      </c>
      <c r="B13799">
        <v>167075047.39076197</v>
      </c>
    </row>
    <row r="13800" spans="1:2" x14ac:dyDescent="0.25">
      <c r="A13800">
        <f ca="1">26139.0405103547*((RANDBETWEEN(1620,2416)))</f>
        <v>44410229.82709267</v>
      </c>
      <c r="B13800">
        <v>178165371.5360623</v>
      </c>
    </row>
    <row r="13801" spans="1:2" x14ac:dyDescent="0.25">
      <c r="A13801">
        <f ca="1">27520.6551322854*((RANDBETWEEN(1620,2416)))</f>
        <v>59582218.361397803</v>
      </c>
      <c r="B13801">
        <v>171409316.12841743</v>
      </c>
    </row>
    <row r="13802" spans="1:2" x14ac:dyDescent="0.25">
      <c r="A13802">
        <f ca="1">27343.452345561*((RANDBETWEEN(1620,2416)))</f>
        <v>65815689.79576543</v>
      </c>
      <c r="B13802">
        <v>143878427.50713807</v>
      </c>
    </row>
    <row r="13803" spans="1:2" x14ac:dyDescent="0.25">
      <c r="A13803">
        <f ca="1">30057.158934307*((RANDBETWEEN(1620,2416)))</f>
        <v>66215921.132278234</v>
      </c>
      <c r="B13803">
        <v>194938550.18989947</v>
      </c>
    </row>
    <row r="13804" spans="1:2" x14ac:dyDescent="0.25">
      <c r="A13804">
        <f ca="1">26372.1456867513*((RANDBETWEEN(1620,2416)))</f>
        <v>56752857.517888837</v>
      </c>
      <c r="B13804">
        <v>144706815.53764445</v>
      </c>
    </row>
    <row r="13805" spans="1:2" x14ac:dyDescent="0.25">
      <c r="A13805">
        <f ca="1">29196.5263916193*((RANDBETWEEN(1620,2416)))</f>
        <v>54714290.457894541</v>
      </c>
      <c r="B13805">
        <v>168991581.76920828</v>
      </c>
    </row>
    <row r="13806" spans="1:2" x14ac:dyDescent="0.25">
      <c r="A13806">
        <f ca="1">30819.7681099097*((RANDBETWEEN(1620,2416)))</f>
        <v>67556931.69692196</v>
      </c>
      <c r="B13806">
        <v>199795892.13570344</v>
      </c>
    </row>
    <row r="13807" spans="1:2" x14ac:dyDescent="0.25">
      <c r="A13807">
        <f ca="1">31474.9688272269*((RANDBETWEEN(1620,2416)))</f>
        <v>66821358.820202604</v>
      </c>
      <c r="B13807">
        <v>183893041.76123768</v>
      </c>
    </row>
    <row r="13808" spans="1:2" x14ac:dyDescent="0.25">
      <c r="A13808">
        <f ca="1">27051.1196058985*((RANDBETWEEN(1620,2416)))</f>
        <v>49341242.161158875</v>
      </c>
      <c r="B13808">
        <v>162823983.66177404</v>
      </c>
    </row>
    <row r="13809" spans="1:2" x14ac:dyDescent="0.25">
      <c r="A13809">
        <f ca="1">26365.9268518468*((RANDBETWEEN(1620,2416)))</f>
        <v>56159424.194433667</v>
      </c>
      <c r="B13809">
        <v>151386730.78153917</v>
      </c>
    </row>
    <row r="13810" spans="1:2" x14ac:dyDescent="0.25">
      <c r="A13810">
        <f ca="1">30776.3920778599*((RANDBETWEEN(1620,2416)))</f>
        <v>57397971.225208633</v>
      </c>
      <c r="B13810">
        <v>170382368.15561116</v>
      </c>
    </row>
    <row r="13811" spans="1:2" x14ac:dyDescent="0.25">
      <c r="A13811">
        <f ca="1">29416.0008909446*((RANDBETWEEN(1620,2416)))</f>
        <v>70451322.133812413</v>
      </c>
      <c r="B13811">
        <v>151712321.05219552</v>
      </c>
    </row>
    <row r="13812" spans="1:2" x14ac:dyDescent="0.25">
      <c r="A13812">
        <f ca="1">27498.5909076954*((RANDBETWEEN(1620,2416)))</f>
        <v>57114573.315283343</v>
      </c>
      <c r="B13812">
        <v>151261272.98445579</v>
      </c>
    </row>
    <row r="13813" spans="1:2" x14ac:dyDescent="0.25">
      <c r="A13813">
        <f ca="1">26753.0199456521*((RANDBETWEEN(1620,2416)))</f>
        <v>47192327.184130371</v>
      </c>
      <c r="B13813">
        <v>166499074.30059621</v>
      </c>
    </row>
    <row r="13814" spans="1:2" x14ac:dyDescent="0.25">
      <c r="A13814">
        <f ca="1">28420.7040465221*((RANDBETWEEN(1620,2416)))</f>
        <v>46325747.595830977</v>
      </c>
      <c r="B13814">
        <v>172305334.83036563</v>
      </c>
    </row>
    <row r="13815" spans="1:2" x14ac:dyDescent="0.25">
      <c r="A13815">
        <f ca="1">26508.8225103549*((RANDBETWEEN(1620,2416)))</f>
        <v>52540486.215523511</v>
      </c>
      <c r="B13815">
        <v>168684146.2516028</v>
      </c>
    </row>
    <row r="13816" spans="1:2" x14ac:dyDescent="0.25">
      <c r="A13816">
        <f ca="1">27955.4761196989*((RANDBETWEEN(1620,2416)))</f>
        <v>64185773.170828775</v>
      </c>
      <c r="B13816">
        <v>164994127.03877985</v>
      </c>
    </row>
    <row r="13817" spans="1:2" x14ac:dyDescent="0.25">
      <c r="A13817">
        <f ca="1">30350.4158393847*((RANDBETWEEN(1620,2416)))</f>
        <v>72567844.271968737</v>
      </c>
      <c r="B13817">
        <v>185199179.91851854</v>
      </c>
    </row>
    <row r="13818" spans="1:2" x14ac:dyDescent="0.25">
      <c r="A13818">
        <f ca="1">24846.7700287172*((RANDBETWEEN(1620,2416)))</f>
        <v>43432154.010197625</v>
      </c>
      <c r="B13818">
        <v>152765900.18416083</v>
      </c>
    </row>
    <row r="13819" spans="1:2" x14ac:dyDescent="0.25">
      <c r="A13819">
        <f ca="1">28722.4705880026*((RANDBETWEEN(1620,2416)))</f>
        <v>50206878.587828532</v>
      </c>
      <c r="B13819">
        <v>145187085.26687819</v>
      </c>
    </row>
    <row r="13820" spans="1:2" x14ac:dyDescent="0.25">
      <c r="A13820">
        <f ca="1">25443.3335527092*((RANDBETWEEN(1620,2416)))</f>
        <v>53659990.462663792</v>
      </c>
      <c r="B13820">
        <v>152689803.19832778</v>
      </c>
    </row>
    <row r="13821" spans="1:2" x14ac:dyDescent="0.25">
      <c r="A13821">
        <f ca="1">25325.7677813546*((RANDBETWEEN(1620,2416)))</f>
        <v>57185583.650298767</v>
      </c>
      <c r="B13821">
        <v>160151797.5699524</v>
      </c>
    </row>
    <row r="13822" spans="1:2" x14ac:dyDescent="0.25">
      <c r="A13822">
        <f ca="1">32341.3965562509*((RANDBETWEEN(1620,2416)))</f>
        <v>53654376.886820219</v>
      </c>
      <c r="B13822">
        <v>181919711.33396658</v>
      </c>
    </row>
    <row r="13823" spans="1:2" x14ac:dyDescent="0.25">
      <c r="A13823">
        <f ca="1">26844.0123241446*((RANDBETWEEN(1620,2416)))</f>
        <v>61794916.37018089</v>
      </c>
      <c r="B13823">
        <v>158973543.4907665</v>
      </c>
    </row>
    <row r="13824" spans="1:2" x14ac:dyDescent="0.25">
      <c r="A13824">
        <f ca="1">27619.4728978666*((RANDBETWEEN(1620,2416)))</f>
        <v>57172308.898583904</v>
      </c>
      <c r="B13824">
        <v>190690875.83126503</v>
      </c>
    </row>
    <row r="13825" spans="1:2" x14ac:dyDescent="0.25">
      <c r="A13825">
        <f ca="1">29053.3815445376*((RANDBETWEEN(1620,2416)))</f>
        <v>47124584.865240015</v>
      </c>
      <c r="B13825">
        <v>156550326.54433346</v>
      </c>
    </row>
    <row r="13826" spans="1:2" x14ac:dyDescent="0.25">
      <c r="A13826">
        <f ca="1">26924.4683515304*((RANDBETWEEN(1620,2416)))</f>
        <v>55599027.145910203</v>
      </c>
      <c r="B13826">
        <v>178499494.83874109</v>
      </c>
    </row>
    <row r="13827" spans="1:2" x14ac:dyDescent="0.25">
      <c r="A13827">
        <f ca="1">29730.3905604787*((RANDBETWEEN(1620,2416)))</f>
        <v>55833673.472579062</v>
      </c>
      <c r="B13827">
        <v>185164537.78232777</v>
      </c>
    </row>
    <row r="13828" spans="1:2" x14ac:dyDescent="0.25">
      <c r="A13828">
        <f ca="1">27531.8275740178*((RANDBETWEEN(1620,2416)))</f>
        <v>56825692.112772733</v>
      </c>
      <c r="B13828">
        <v>154838768.79923826</v>
      </c>
    </row>
    <row r="13829" spans="1:2" x14ac:dyDescent="0.25">
      <c r="A13829">
        <f ca="1">28541.7213744741*((RANDBETWEEN(1620,2416)))</f>
        <v>51375098.474053316</v>
      </c>
      <c r="B13829">
        <v>160409768.13306278</v>
      </c>
    </row>
    <row r="13830" spans="1:2" x14ac:dyDescent="0.25">
      <c r="A13830">
        <f ca="1">27686.4788253885*((RANDBETWEEN(1620,2416)))</f>
        <v>50500137.377508685</v>
      </c>
      <c r="B13830">
        <v>156038383.06192431</v>
      </c>
    </row>
    <row r="13831" spans="1:2" x14ac:dyDescent="0.25">
      <c r="A13831">
        <f ca="1">30875.5682115782*((RANDBETWEEN(1620,2416)))</f>
        <v>60485238.126481697</v>
      </c>
      <c r="B13831">
        <v>151518326.97645921</v>
      </c>
    </row>
    <row r="13832" spans="1:2" x14ac:dyDescent="0.25">
      <c r="A13832">
        <f ca="1">29289.1836276132*((RANDBETWEEN(1620,2416)))</f>
        <v>58168318.684439823</v>
      </c>
      <c r="B13832">
        <v>179642873.95541158</v>
      </c>
    </row>
    <row r="13833" spans="1:2" x14ac:dyDescent="0.25">
      <c r="A13833">
        <f ca="1">26820.2957148484*((RANDBETWEEN(1620,2416)))</f>
        <v>64529631.48992531</v>
      </c>
      <c r="B13833">
        <v>148730716.26824683</v>
      </c>
    </row>
    <row r="13834" spans="1:2" x14ac:dyDescent="0.25">
      <c r="A13834">
        <f ca="1">25724.2933662566*((RANDBETWEEN(1620,2416)))</f>
        <v>57082206.979723409</v>
      </c>
      <c r="B13834">
        <v>170506043.03508663</v>
      </c>
    </row>
    <row r="13835" spans="1:2" x14ac:dyDescent="0.25">
      <c r="A13835">
        <f ca="1">32426.2432976426*((RANDBETWEEN(1620,2416)))</f>
        <v>59567008.937769398</v>
      </c>
      <c r="B13835">
        <v>159449316.80192691</v>
      </c>
    </row>
    <row r="13836" spans="1:2" x14ac:dyDescent="0.25">
      <c r="A13836">
        <f ca="1">25080.8602475929*((RANDBETWEEN(1620,2416)))</f>
        <v>59893094.271251917</v>
      </c>
      <c r="B13836">
        <v>155316341.47750968</v>
      </c>
    </row>
    <row r="13837" spans="1:2" x14ac:dyDescent="0.25">
      <c r="A13837">
        <f ca="1">28730.4566105547*((RANDBETWEEN(1620,2416)))</f>
        <v>61483177.146587089</v>
      </c>
      <c r="B13837">
        <v>154186051.68429399</v>
      </c>
    </row>
    <row r="13838" spans="1:2" x14ac:dyDescent="0.25">
      <c r="A13838">
        <f ca="1">26535.349645963*((RANDBETWEEN(1620,2416)))</f>
        <v>55034315.165727325</v>
      </c>
      <c r="B13838">
        <v>155624241.93874884</v>
      </c>
    </row>
    <row r="13839" spans="1:2" x14ac:dyDescent="0.25">
      <c r="A13839">
        <f ca="1">31265.7677712976*((RANDBETWEEN(1620,2416)))</f>
        <v>66158364.604065768</v>
      </c>
      <c r="B13839">
        <v>167961315.24414963</v>
      </c>
    </row>
    <row r="13840" spans="1:2" x14ac:dyDescent="0.25">
      <c r="A13840">
        <f ca="1">26367.3716664326*((RANDBETWEEN(1620,2416)))</f>
        <v>59432055.736139178</v>
      </c>
      <c r="B13840">
        <v>151538889.59551623</v>
      </c>
    </row>
    <row r="13841" spans="1:2" x14ac:dyDescent="0.25">
      <c r="A13841">
        <f ca="1">32426.4039576553*((RANDBETWEEN(1620,2416)))</f>
        <v>70819266.243519083</v>
      </c>
      <c r="B13841">
        <v>148756379.35983819</v>
      </c>
    </row>
    <row r="13842" spans="1:2" x14ac:dyDescent="0.25">
      <c r="A13842">
        <f ca="1">31757.6301127835*((RANDBETWEEN(1620,2416)))</f>
        <v>54591366.163874887</v>
      </c>
      <c r="B13842">
        <v>155558623.98622322</v>
      </c>
    </row>
    <row r="13843" spans="1:2" x14ac:dyDescent="0.25">
      <c r="A13843">
        <f ca="1">26259.3514363949*((RANDBETWEEN(1620,2416)))</f>
        <v>50838104.380860545</v>
      </c>
      <c r="B13843">
        <v>147905845.14773434</v>
      </c>
    </row>
    <row r="13844" spans="1:2" x14ac:dyDescent="0.25">
      <c r="A13844">
        <f ca="1">31365.8218801974*((RANDBETWEEN(1620,2416)))</f>
        <v>72110024.502573878</v>
      </c>
      <c r="B13844">
        <v>145865139.21423194</v>
      </c>
    </row>
    <row r="13845" spans="1:2" x14ac:dyDescent="0.25">
      <c r="A13845">
        <f ca="1">29647.0004171416*((RANDBETWEEN(1620,2416)))</f>
        <v>68692099.966516972</v>
      </c>
      <c r="B13845">
        <v>175629494.47718522</v>
      </c>
    </row>
    <row r="13846" spans="1:2" x14ac:dyDescent="0.25">
      <c r="A13846">
        <f ca="1">26752.1351102105*((RANDBETWEEN(1620,2416)))</f>
        <v>59095466.458455101</v>
      </c>
      <c r="B13846">
        <v>154714280.78499722</v>
      </c>
    </row>
    <row r="13847" spans="1:2" x14ac:dyDescent="0.25">
      <c r="A13847">
        <f ca="1">25881.885238418*((RANDBETWEEN(1620,2416)))</f>
        <v>45759173.101522945</v>
      </c>
      <c r="B13847">
        <v>155890870.51789704</v>
      </c>
    </row>
    <row r="13848" spans="1:2" x14ac:dyDescent="0.25">
      <c r="A13848">
        <f ca="1">29992.5085875152*((RANDBETWEEN(1620,2416)))</f>
        <v>58545376.762829624</v>
      </c>
      <c r="B13848">
        <v>154529879.44090214</v>
      </c>
    </row>
    <row r="13849" spans="1:2" x14ac:dyDescent="0.25">
      <c r="A13849">
        <f ca="1">28787.2806523571*((RANDBETWEEN(1620,2416)))</f>
        <v>56768517.446448155</v>
      </c>
      <c r="B13849">
        <v>153271499.12044549</v>
      </c>
    </row>
    <row r="13850" spans="1:2" x14ac:dyDescent="0.25">
      <c r="A13850">
        <f ca="1">26302.4836003157*((RANDBETWEEN(1620,2416)))</f>
        <v>59206890.584310658</v>
      </c>
      <c r="B13850">
        <v>143566476.957919</v>
      </c>
    </row>
    <row r="13851" spans="1:2" x14ac:dyDescent="0.25">
      <c r="A13851">
        <f ca="1">26394.4552883223*((RANDBETWEEN(1620,2416)))</f>
        <v>57803857.081425883</v>
      </c>
      <c r="B13851">
        <v>191601014.39257866</v>
      </c>
    </row>
    <row r="13852" spans="1:2" x14ac:dyDescent="0.25">
      <c r="A13852">
        <f ca="1">27333.4320675622*((RANDBETWEEN(1620,2416)))</f>
        <v>65053568.320797987</v>
      </c>
      <c r="B13852">
        <v>170155341.95454812</v>
      </c>
    </row>
    <row r="13853" spans="1:2" x14ac:dyDescent="0.25">
      <c r="A13853">
        <f ca="1">29444.0826574605*((RANDBETWEEN(1620,2416)))</f>
        <v>68840265.253142715</v>
      </c>
      <c r="B13853">
        <v>181281526.36244771</v>
      </c>
    </row>
    <row r="13854" spans="1:2" x14ac:dyDescent="0.25">
      <c r="A13854">
        <f ca="1">24989.1502483357*((RANDBETWEEN(1620,2416)))</f>
        <v>44105850.188312545</v>
      </c>
      <c r="B13854">
        <v>154010367.72922629</v>
      </c>
    </row>
    <row r="13855" spans="1:2" x14ac:dyDescent="0.25">
      <c r="A13855">
        <f ca="1">28176.3671938043*((RANDBETWEEN(1620,2416)))</f>
        <v>62720593.373408385</v>
      </c>
      <c r="B13855">
        <v>146125282.45857245</v>
      </c>
    </row>
    <row r="13856" spans="1:2" x14ac:dyDescent="0.25">
      <c r="A13856">
        <f ca="1">29263.5610514333*((RANDBETWEEN(1620,2416)))</f>
        <v>61863168.062730022</v>
      </c>
      <c r="B13856">
        <v>198029647.46497253</v>
      </c>
    </row>
    <row r="13857" spans="1:2" x14ac:dyDescent="0.25">
      <c r="A13857">
        <f ca="1">33835.0511413182*((RANDBETWEEN(1620,2416)))</f>
        <v>62561009.560297266</v>
      </c>
      <c r="B13857">
        <v>161674923.26371381</v>
      </c>
    </row>
    <row r="13858" spans="1:2" x14ac:dyDescent="0.25">
      <c r="A13858">
        <f ca="1">32533.8000064687*((RANDBETWEEN(1620,2416)))</f>
        <v>75250679.414962038</v>
      </c>
      <c r="B13858">
        <v>190340552.5895234</v>
      </c>
    </row>
    <row r="13859" spans="1:2" x14ac:dyDescent="0.25">
      <c r="A13859">
        <f ca="1">27988.2162512396*((RANDBETWEEN(1620,2416)))</f>
        <v>49567130.980945259</v>
      </c>
      <c r="B13859">
        <v>157057273.33730945</v>
      </c>
    </row>
    <row r="13860" spans="1:2" x14ac:dyDescent="0.25">
      <c r="A13860">
        <f ca="1">26302.5859609426*((RANDBETWEEN(1620,2416)))</f>
        <v>43399266.835555322</v>
      </c>
      <c r="B13860">
        <v>146702431.54937965</v>
      </c>
    </row>
    <row r="13861" spans="1:2" x14ac:dyDescent="0.25">
      <c r="A13861">
        <f ca="1">27230.8685057867*((RANDBETWEEN(1620,2416)))</f>
        <v>49178948.521450721</v>
      </c>
      <c r="B13861">
        <v>156658036.2137664</v>
      </c>
    </row>
    <row r="13862" spans="1:2" x14ac:dyDescent="0.25">
      <c r="A13862">
        <f ca="1">30999.0381828163*((RANDBETWEEN(1620,2416)))</f>
        <v>67453907.085808337</v>
      </c>
      <c r="B13862">
        <v>188438600.70510757</v>
      </c>
    </row>
    <row r="13863" spans="1:2" x14ac:dyDescent="0.25">
      <c r="A13863">
        <f ca="1">30786.3217513906*((RANDBETWEEN(1620,2416)))</f>
        <v>63727686.025378533</v>
      </c>
      <c r="B13863">
        <v>183019195.25690687</v>
      </c>
    </row>
    <row r="13864" spans="1:2" x14ac:dyDescent="0.25">
      <c r="A13864">
        <f ca="1">25852.7769896231*((RANDBETWEEN(1620,2416)))</f>
        <v>53411837.26056134</v>
      </c>
      <c r="B13864">
        <v>154702088.65640214</v>
      </c>
    </row>
    <row r="13865" spans="1:2" x14ac:dyDescent="0.25">
      <c r="A13865">
        <f ca="1">26626.3032185157*((RANDBETWEEN(1620,2416)))</f>
        <v>58897382.719356619</v>
      </c>
      <c r="B13865">
        <v>156161334.02692392</v>
      </c>
    </row>
    <row r="13866" spans="1:2" x14ac:dyDescent="0.25">
      <c r="A13866">
        <f ca="1">27887.6589677793*((RANDBETWEEN(1620,2416)))</f>
        <v>50309336.777873784</v>
      </c>
      <c r="B13866">
        <v>165003838.04456592</v>
      </c>
    </row>
    <row r="13867" spans="1:2" x14ac:dyDescent="0.25">
      <c r="A13867">
        <f ca="1">31209.7048250911*((RANDBETWEEN(1620,2416)))</f>
        <v>60609246.770326823</v>
      </c>
      <c r="B13867">
        <v>192432923.27579027</v>
      </c>
    </row>
    <row r="13868" spans="1:2" x14ac:dyDescent="0.25">
      <c r="A13868">
        <f ca="1">33688.5269700294*((RANDBETWEEN(1620,2416)))</f>
        <v>74047382.280124545</v>
      </c>
      <c r="B13868">
        <v>163130495.90655312</v>
      </c>
    </row>
    <row r="13869" spans="1:2" x14ac:dyDescent="0.25">
      <c r="A13869">
        <f ca="1">25793.4267808503*((RANDBETWEEN(1620,2416)))</f>
        <v>55507454.432389744</v>
      </c>
      <c r="B13869">
        <v>192035242.15268189</v>
      </c>
    </row>
    <row r="13870" spans="1:2" x14ac:dyDescent="0.25">
      <c r="A13870">
        <f ca="1">26844.7560520855*((RANDBETWEEN(1620,2416)))</f>
        <v>54709612.834150292</v>
      </c>
      <c r="B13870">
        <v>153366430.77281851</v>
      </c>
    </row>
    <row r="13871" spans="1:2" x14ac:dyDescent="0.25">
      <c r="A13871">
        <f ca="1">32346.4092274433*((RANDBETWEEN(1620,2416)))</f>
        <v>75011322.998441026</v>
      </c>
      <c r="B13871">
        <v>182357774.47157991</v>
      </c>
    </row>
    <row r="13872" spans="1:2" x14ac:dyDescent="0.25">
      <c r="A13872">
        <f ca="1">26793.875244442*((RANDBETWEEN(1620,2416)))</f>
        <v>59160876.539727896</v>
      </c>
      <c r="B13872">
        <v>152932563.90382037</v>
      </c>
    </row>
    <row r="13873" spans="1:2" x14ac:dyDescent="0.25">
      <c r="A13873">
        <f ca="1">25571.3741078594*((RANDBETWEEN(1620,2416)))</f>
        <v>42729766.134233117</v>
      </c>
      <c r="B13873">
        <v>181410938.3272219</v>
      </c>
    </row>
    <row r="13874" spans="1:2" x14ac:dyDescent="0.25">
      <c r="A13874">
        <f ca="1">26253.2403079477*((RANDBETWEEN(1620,2416)))</f>
        <v>49618624.182021245</v>
      </c>
      <c r="B13874">
        <v>147379033.47058493</v>
      </c>
    </row>
    <row r="13875" spans="1:2" x14ac:dyDescent="0.25">
      <c r="A13875">
        <f ca="1">27556.0473144493*((RANDBETWEEN(1620,2416)))</f>
        <v>56930793.751652315</v>
      </c>
      <c r="B13875">
        <v>148856159.88396177</v>
      </c>
    </row>
    <row r="13876" spans="1:2" x14ac:dyDescent="0.25">
      <c r="A13876">
        <f ca="1">27418.8733000849*((RANDBETWEEN(1620,2416)))</f>
        <v>53192614.202164672</v>
      </c>
      <c r="B13876">
        <v>155103315.46499109</v>
      </c>
    </row>
    <row r="13877" spans="1:2" x14ac:dyDescent="0.25">
      <c r="A13877">
        <f ca="1">31965.9454196803*((RANDBETWEEN(1620,2416)))</f>
        <v>72562696.102674231</v>
      </c>
      <c r="B13877">
        <v>189951775.86470982</v>
      </c>
    </row>
    <row r="13878" spans="1:2" x14ac:dyDescent="0.25">
      <c r="A13878">
        <f ca="1">30502.4821225611*((RANDBETWEEN(1620,2416)))</f>
        <v>57985218.514988691</v>
      </c>
      <c r="B13878">
        <v>176161638.49638364</v>
      </c>
    </row>
    <row r="13879" spans="1:2" x14ac:dyDescent="0.25">
      <c r="A13879">
        <f ca="1">26755.870836569*((RANDBETWEEN(1620,2416)))</f>
        <v>54501708.894091085</v>
      </c>
      <c r="B13879">
        <v>199101990.59310535</v>
      </c>
    </row>
    <row r="13880" spans="1:2" x14ac:dyDescent="0.25">
      <c r="A13880">
        <f ca="1">24998.7620324454*((RANDBETWEEN(1620,2416)))</f>
        <v>41997920.214508317</v>
      </c>
      <c r="B13880">
        <v>174157406.53240392</v>
      </c>
    </row>
    <row r="13881" spans="1:2" x14ac:dyDescent="0.25">
      <c r="A13881">
        <f ca="1">31877.9565427253*((RANDBETWEEN(1620,2416)))</f>
        <v>58304782.516644567</v>
      </c>
      <c r="B13881">
        <v>198726721.91315573</v>
      </c>
    </row>
    <row r="13882" spans="1:2" x14ac:dyDescent="0.25">
      <c r="A13882">
        <f ca="1">25739.0048522476*((RANDBETWEEN(1620,2416)))</f>
        <v>56008074.55849088</v>
      </c>
      <c r="B13882">
        <v>160410645.20354056</v>
      </c>
    </row>
    <row r="13883" spans="1:2" x14ac:dyDescent="0.25">
      <c r="A13883">
        <f ca="1">27048.607691543*((RANDBETWEEN(1620,2416)))</f>
        <v>56207006.78302636</v>
      </c>
      <c r="B13883">
        <v>168032241.74594525</v>
      </c>
    </row>
    <row r="13884" spans="1:2" x14ac:dyDescent="0.25">
      <c r="A13884">
        <f ca="1">28957.6591634823*((RANDBETWEEN(1620,2416)))</f>
        <v>61187533.812438197</v>
      </c>
      <c r="B13884">
        <v>171604031.45337948</v>
      </c>
    </row>
    <row r="13885" spans="1:2" x14ac:dyDescent="0.25">
      <c r="A13885">
        <f ca="1">27804.2821811677*((RANDBETWEEN(1620,2416)))</f>
        <v>46905824.039629951</v>
      </c>
      <c r="B13885">
        <v>159645056.94244653</v>
      </c>
    </row>
    <row r="13886" spans="1:2" x14ac:dyDescent="0.25">
      <c r="A13886">
        <f ca="1">30418.2175164317*((RANDBETWEEN(1620,2416)))</f>
        <v>71908666.208844632</v>
      </c>
      <c r="B13886">
        <v>171184035.1310614</v>
      </c>
    </row>
    <row r="13887" spans="1:2" x14ac:dyDescent="0.25">
      <c r="A13887">
        <f ca="1">28375.0226397348*((RANDBETWEEN(1620,2416)))</f>
        <v>62765550.0790933</v>
      </c>
      <c r="B13887">
        <v>144952604.31900597</v>
      </c>
    </row>
    <row r="13888" spans="1:2" x14ac:dyDescent="0.25">
      <c r="A13888">
        <f ca="1">29395.0143817055*((RANDBETWEEN(1620,2416)))</f>
        <v>51206115.052930951</v>
      </c>
      <c r="B13888">
        <v>170958850.99045298</v>
      </c>
    </row>
    <row r="13889" spans="1:2" x14ac:dyDescent="0.25">
      <c r="A13889">
        <f ca="1">26541.0634912991*((RANDBETWEEN(1620,2416)))</f>
        <v>56718252.680906162</v>
      </c>
      <c r="B13889">
        <v>143998478.16921043</v>
      </c>
    </row>
    <row r="13890" spans="1:2" x14ac:dyDescent="0.25">
      <c r="A13890">
        <f ca="1">27732.8673114945*((RANDBETWEEN(1620,2416)))</f>
        <v>63036807.399026893</v>
      </c>
      <c r="B13890">
        <v>156705624.15657377</v>
      </c>
    </row>
    <row r="13891" spans="1:2" x14ac:dyDescent="0.25">
      <c r="A13891">
        <f ca="1">28077.4222744718*((RANDBETWEEN(1620,2416)))</f>
        <v>51269373.073185496</v>
      </c>
      <c r="B13891">
        <v>179814210.47647047</v>
      </c>
    </row>
    <row r="13892" spans="1:2" x14ac:dyDescent="0.25">
      <c r="A13892">
        <f ca="1">27209.124961222*((RANDBETWEEN(1620,2416)))</f>
        <v>65519572.906622507</v>
      </c>
      <c r="B13892">
        <v>185121763.05218127</v>
      </c>
    </row>
    <row r="13893" spans="1:2" x14ac:dyDescent="0.25">
      <c r="A13893">
        <f ca="1">32264.9567807886*((RANDBETWEEN(1620,2416)))</f>
        <v>69466451.949037835</v>
      </c>
      <c r="B13893">
        <v>180339322.98751032</v>
      </c>
    </row>
    <row r="13894" spans="1:2" x14ac:dyDescent="0.25">
      <c r="A13894">
        <f ca="1">27841.1289961538*((RANDBETWEEN(1620,2416)))</f>
        <v>53482808.801611401</v>
      </c>
      <c r="B13894">
        <v>195909183.15237308</v>
      </c>
    </row>
    <row r="13895" spans="1:2" x14ac:dyDescent="0.25">
      <c r="A13895">
        <f ca="1">25155.9983091009*((RANDBETWEEN(1620,2416)))</f>
        <v>57028648.166731678</v>
      </c>
      <c r="B13895">
        <v>152504838.76727653</v>
      </c>
    </row>
    <row r="13896" spans="1:2" x14ac:dyDescent="0.25">
      <c r="A13896">
        <f ca="1">26604.1077363709*((RANDBETWEEN(1620,2416)))</f>
        <v>60604157.423452839</v>
      </c>
      <c r="B13896">
        <v>143282986.70408601</v>
      </c>
    </row>
    <row r="13897" spans="1:2" x14ac:dyDescent="0.25">
      <c r="A13897">
        <f ca="1">30933.5400268117*((RANDBETWEEN(1620,2416)))</f>
        <v>71178075.601693839</v>
      </c>
      <c r="B13897">
        <v>156894915.14225978</v>
      </c>
    </row>
    <row r="13898" spans="1:2" x14ac:dyDescent="0.25">
      <c r="A13898">
        <f ca="1">31443.9898245013*((RANDBETWEEN(1620,2416)))</f>
        <v>53329006.742354214</v>
      </c>
      <c r="B13898">
        <v>201769478.92221618</v>
      </c>
    </row>
    <row r="13899" spans="1:2" x14ac:dyDescent="0.25">
      <c r="A13899">
        <f ca="1">30461.0109479169*((RANDBETWEEN(1620,2416)))</f>
        <v>57723615.746302471</v>
      </c>
      <c r="B13899">
        <v>186080507.9294219</v>
      </c>
    </row>
    <row r="13900" spans="1:2" x14ac:dyDescent="0.25">
      <c r="A13900">
        <f ca="1">27850.4694406148*((RANDBETWEEN(1620,2416)))</f>
        <v>45396265.188202202</v>
      </c>
      <c r="B13900">
        <v>166200730.84935221</v>
      </c>
    </row>
    <row r="13901" spans="1:2" x14ac:dyDescent="0.25">
      <c r="A13901">
        <f ca="1">29705.297177141*((RANDBETWEEN(1620,2416)))</f>
        <v>56261832.853505008</v>
      </c>
      <c r="B13901">
        <v>203551904.22885337</v>
      </c>
    </row>
    <row r="13902" spans="1:2" x14ac:dyDescent="0.25">
      <c r="A13902">
        <f ca="1">29928.2112622547*((RANDBETWEEN(1620,2416)))</f>
        <v>58449796.595183492</v>
      </c>
      <c r="B13902">
        <v>143470826.44407508</v>
      </c>
    </row>
    <row r="13903" spans="1:2" x14ac:dyDescent="0.25">
      <c r="A13903">
        <f ca="1">28174.641498827*((RANDBETWEEN(1620,2416)))</f>
        <v>63308419.447864182</v>
      </c>
      <c r="B13903">
        <v>149069084.36602834</v>
      </c>
    </row>
    <row r="13904" spans="1:2" x14ac:dyDescent="0.25">
      <c r="A13904">
        <f ca="1">27852.9599987596*((RANDBETWEEN(1620,2416)))</f>
        <v>62919836.637198016</v>
      </c>
      <c r="B13904">
        <v>158980111.22002348</v>
      </c>
    </row>
    <row r="13905" spans="1:2" x14ac:dyDescent="0.25">
      <c r="A13905">
        <f ca="1">32605.5560338012*((RANDBETWEEN(1620,2416)))</f>
        <v>74471089.981202021</v>
      </c>
      <c r="B13905">
        <v>171182681.4363369</v>
      </c>
    </row>
    <row r="13906" spans="1:2" x14ac:dyDescent="0.25">
      <c r="A13906">
        <f ca="1">28435.0302175637*((RANDBETWEEN(1620,2416)))</f>
        <v>47713980.705071911</v>
      </c>
      <c r="B13906">
        <v>185942252.04468578</v>
      </c>
    </row>
    <row r="13907" spans="1:2" x14ac:dyDescent="0.25">
      <c r="A13907">
        <f ca="1">28002.7866128383*((RANDBETWEEN(1620,2416)))</f>
        <v>50433018.689721711</v>
      </c>
      <c r="B13907">
        <v>200200413.99020177</v>
      </c>
    </row>
    <row r="13908" spans="1:2" x14ac:dyDescent="0.25">
      <c r="A13908">
        <f ca="1">25729.3859698899*((RANDBETWEEN(1620,2416)))</f>
        <v>46235706.58789207</v>
      </c>
      <c r="B13908">
        <v>151893094.3158972</v>
      </c>
    </row>
    <row r="13909" spans="1:2" x14ac:dyDescent="0.25">
      <c r="A13909">
        <f ca="1">24645.0697706461*((RANDBETWEEN(1620,2416)))</f>
        <v>42882421.400924154</v>
      </c>
      <c r="B13909">
        <v>169137480.97189939</v>
      </c>
    </row>
    <row r="13910" spans="1:2" x14ac:dyDescent="0.25">
      <c r="A13910">
        <f ca="1">27488.7491574394*((RANDBETWEEN(1620,2416)))</f>
        <v>61767219.356766418</v>
      </c>
      <c r="B13910">
        <v>178472922.43003857</v>
      </c>
    </row>
    <row r="13911" spans="1:2" x14ac:dyDescent="0.25">
      <c r="A13911">
        <f ca="1">27587.8049095566*((RANDBETWEEN(1620,2416)))</f>
        <v>63617478.121437564</v>
      </c>
      <c r="B13911">
        <v>151814540.44118986</v>
      </c>
    </row>
    <row r="13912" spans="1:2" x14ac:dyDescent="0.25">
      <c r="A13912">
        <f ca="1">26283.5098994166*((RANDBETWEEN(1620,2416)))</f>
        <v>60241804.689462803</v>
      </c>
      <c r="B13912">
        <v>152767192.88486847</v>
      </c>
    </row>
    <row r="13913" spans="1:2" x14ac:dyDescent="0.25">
      <c r="A13913">
        <f ca="1">29542.0162754083*((RANDBETWEEN(1620,2416)))</f>
        <v>49955549.521715418</v>
      </c>
      <c r="B13913">
        <v>148389862.74306628</v>
      </c>
    </row>
    <row r="13914" spans="1:2" x14ac:dyDescent="0.25">
      <c r="A13914">
        <f ca="1">30267.1376290655*((RANDBETWEEN(1620,2416)))</f>
        <v>70250026.437061116</v>
      </c>
      <c r="B13914">
        <v>164930956.18351436</v>
      </c>
    </row>
    <row r="13915" spans="1:2" x14ac:dyDescent="0.25">
      <c r="A13915">
        <f ca="1">27232.0043020395*((RANDBETWEEN(1620,2416)))</f>
        <v>44714951.063948803</v>
      </c>
      <c r="B13915">
        <v>144152306.16239139</v>
      </c>
    </row>
    <row r="13916" spans="1:2" x14ac:dyDescent="0.25">
      <c r="A13916">
        <f ca="1">33327.4454550451*((RANDBETWEEN(1620,2416)))</f>
        <v>75486663.955677211</v>
      </c>
      <c r="B13916">
        <v>168978836.94773948</v>
      </c>
    </row>
    <row r="13917" spans="1:2" x14ac:dyDescent="0.25">
      <c r="A13917">
        <f ca="1">25859.3773877877*((RANDBETWEEN(1620,2416)))</f>
        <v>59502427.369299501</v>
      </c>
      <c r="B13917">
        <v>152734282.98792538</v>
      </c>
    </row>
    <row r="13918" spans="1:2" x14ac:dyDescent="0.25">
      <c r="A13918">
        <f ca="1">27821.7722692971*((RANDBETWEEN(1620,2416)))</f>
        <v>55504435.67724774</v>
      </c>
      <c r="B13918">
        <v>179708800.2169078</v>
      </c>
    </row>
    <row r="13919" spans="1:2" x14ac:dyDescent="0.25">
      <c r="A13919">
        <f ca="1">25101.490485788*((RANDBETWEEN(1620,2416)))</f>
        <v>49650748.18088869</v>
      </c>
      <c r="B13919">
        <v>158260440.11536664</v>
      </c>
    </row>
    <row r="13920" spans="1:2" x14ac:dyDescent="0.25">
      <c r="A13920">
        <f ca="1">26288.6448258678*((RANDBETWEEN(1620,2416)))</f>
        <v>58229348.289297089</v>
      </c>
      <c r="B13920">
        <v>155799835.10873002</v>
      </c>
    </row>
    <row r="13921" spans="1:2" x14ac:dyDescent="0.25">
      <c r="A13921">
        <f ca="1">27783.0879351799*((RANDBETWEEN(1620,2416)))</f>
        <v>53926973.682184242</v>
      </c>
      <c r="B13921">
        <v>192317819.34731269</v>
      </c>
    </row>
    <row r="13922" spans="1:2" x14ac:dyDescent="0.25">
      <c r="A13922">
        <f ca="1">26689.3676150852*((RANDBETWEEN(1620,2416)))</f>
        <v>50202700.483975351</v>
      </c>
      <c r="B13922">
        <v>145405128.69728944</v>
      </c>
    </row>
    <row r="13923" spans="1:2" x14ac:dyDescent="0.25">
      <c r="A13923">
        <f ca="1">28267.4610554503*((RANDBETWEEN(1620,2416)))</f>
        <v>58909388.839558348</v>
      </c>
      <c r="B13923">
        <v>159736883.0862444</v>
      </c>
    </row>
    <row r="13924" spans="1:2" x14ac:dyDescent="0.25">
      <c r="A13924">
        <f ca="1">27427.1575271738*((RANDBETWEEN(1620,2416)))</f>
        <v>57021060.49899435</v>
      </c>
      <c r="B13924">
        <v>168505561.19211832</v>
      </c>
    </row>
    <row r="13925" spans="1:2" x14ac:dyDescent="0.25">
      <c r="A13925">
        <f ca="1">33124.4581149698*((RANDBETWEEN(1620,2416)))</f>
        <v>79399326.101582542</v>
      </c>
      <c r="B13925">
        <v>164167701.64577538</v>
      </c>
    </row>
    <row r="13926" spans="1:2" x14ac:dyDescent="0.25">
      <c r="A13926">
        <f ca="1">32596.1292763806*((RANDBETWEEN(1620,2416)))</f>
        <v>67017641.792238444</v>
      </c>
      <c r="B13926">
        <v>180011447.31581753</v>
      </c>
    </row>
    <row r="13927" spans="1:2" x14ac:dyDescent="0.25">
      <c r="A13927">
        <f ca="1">31196.8110591904*((RANDBETWEEN(1620,2416)))</f>
        <v>66137239.445483595</v>
      </c>
      <c r="B13927">
        <v>167479076.18152937</v>
      </c>
    </row>
    <row r="13928" spans="1:2" x14ac:dyDescent="0.25">
      <c r="A13928">
        <f ca="1">27192.9583278796*((RANDBETWEEN(1620,2416)))</f>
        <v>53271005.364316046</v>
      </c>
      <c r="B13928">
        <v>175913873.5135985</v>
      </c>
    </row>
    <row r="13929" spans="1:2" x14ac:dyDescent="0.25">
      <c r="A13929">
        <f ca="1">32189.1477604641*((RANDBETWEEN(1620,2416)))</f>
        <v>63959836.600042224</v>
      </c>
      <c r="B13929">
        <v>192490985.72983319</v>
      </c>
    </row>
    <row r="13930" spans="1:2" x14ac:dyDescent="0.25">
      <c r="A13930">
        <f ca="1">26503.3812149983*((RANDBETWEEN(1620,2416)))</f>
        <v>47918113.236716904</v>
      </c>
      <c r="B13930">
        <v>161180008.68669859</v>
      </c>
    </row>
    <row r="13931" spans="1:2" x14ac:dyDescent="0.25">
      <c r="A13931">
        <f ca="1">28279.7095616462*((RANDBETWEEN(1620,2416)))</f>
        <v>60688256.719292827</v>
      </c>
      <c r="B13931">
        <v>196689788.61189064</v>
      </c>
    </row>
    <row r="13932" spans="1:2" x14ac:dyDescent="0.25">
      <c r="A13932">
        <f ca="1">26407.9601838265*((RANDBETWEEN(1620,2416)))</f>
        <v>60500636.781146526</v>
      </c>
      <c r="B13932">
        <v>162624677.25171205</v>
      </c>
    </row>
    <row r="13933" spans="1:2" x14ac:dyDescent="0.25">
      <c r="A13933">
        <f ca="1">27322.1492155616*((RANDBETWEEN(1620,2416)))</f>
        <v>50545976.048788965</v>
      </c>
      <c r="B13933">
        <v>149782103.32299793</v>
      </c>
    </row>
    <row r="13934" spans="1:2" x14ac:dyDescent="0.25">
      <c r="A13934">
        <f ca="1">31762.2250309743*((RANDBETWEEN(1620,2416)))</f>
        <v>51867713.475580983</v>
      </c>
      <c r="B13934">
        <v>177994156.34162298</v>
      </c>
    </row>
    <row r="13935" spans="1:2" x14ac:dyDescent="0.25">
      <c r="A13935">
        <f ca="1">30512.7232176205*((RANDBETWEEN(1620,2416)))</f>
        <v>65968507.59649542</v>
      </c>
      <c r="B13935">
        <v>147481031.06554937</v>
      </c>
    </row>
    <row r="13936" spans="1:2" x14ac:dyDescent="0.25">
      <c r="A13936">
        <f ca="1">28136.6475235557*((RANDBETWEEN(1620,2416)))</f>
        <v>59340189.627179042</v>
      </c>
      <c r="B13936">
        <v>146005576.61885706</v>
      </c>
    </row>
    <row r="13937" spans="1:2" x14ac:dyDescent="0.25">
      <c r="A13937">
        <f ca="1">28649.399512476*((RANDBETWEEN(1620,2416)))</f>
        <v>54777651.8678542</v>
      </c>
      <c r="B13937">
        <v>157214370.44896755</v>
      </c>
    </row>
    <row r="13938" spans="1:2" x14ac:dyDescent="0.25">
      <c r="A13938">
        <f ca="1">32508.6616264001*((RANDBETWEEN(1620,2416)))</f>
        <v>55134690.118374646</v>
      </c>
      <c r="B13938">
        <v>173388614.57618451</v>
      </c>
    </row>
    <row r="13939" spans="1:2" x14ac:dyDescent="0.25">
      <c r="A13939">
        <f ca="1">26390.480821689*((RANDBETWEEN(1620,2416)))</f>
        <v>59668877.137838744</v>
      </c>
      <c r="B13939">
        <v>171457071.09753907</v>
      </c>
    </row>
    <row r="13940" spans="1:2" x14ac:dyDescent="0.25">
      <c r="A13940">
        <f ca="1">28302.4956591153*((RANDBETWEEN(1620,2416)))</f>
        <v>59944685.806006312</v>
      </c>
      <c r="B13940">
        <v>175748711.10511598</v>
      </c>
    </row>
    <row r="13941" spans="1:2" x14ac:dyDescent="0.25">
      <c r="A13941">
        <f ca="1">27969.1404972803*((RANDBETWEEN(1620,2416)))</f>
        <v>66818276.648002528</v>
      </c>
      <c r="B13941">
        <v>183611201.31043893</v>
      </c>
    </row>
    <row r="13942" spans="1:2" x14ac:dyDescent="0.25">
      <c r="A13942">
        <f ca="1">31568.5012055587*((RANDBETWEEN(1620,2416)))</f>
        <v>58180747.721844666</v>
      </c>
      <c r="B13942">
        <v>157506571.85428011</v>
      </c>
    </row>
    <row r="13943" spans="1:2" x14ac:dyDescent="0.25">
      <c r="A13943">
        <f ca="1">28351.3939806429*((RANDBETWEEN(1620,2416)))</f>
        <v>56249165.657595433</v>
      </c>
      <c r="B13943">
        <v>169954234.69321537</v>
      </c>
    </row>
    <row r="13944" spans="1:2" x14ac:dyDescent="0.25">
      <c r="A13944">
        <f ca="1">33359.1499849183*((RANDBETWEEN(1620,2416)))</f>
        <v>54342055.325431928</v>
      </c>
      <c r="B13944">
        <v>152563447.08540225</v>
      </c>
    </row>
    <row r="13945" spans="1:2" x14ac:dyDescent="0.25">
      <c r="A13945">
        <f ca="1">26835.2520528964*((RANDBETWEEN(1620,2416)))</f>
        <v>49028005.500641763</v>
      </c>
      <c r="B13945">
        <v>144204040.98248327</v>
      </c>
    </row>
    <row r="13946" spans="1:2" x14ac:dyDescent="0.25">
      <c r="A13946">
        <f ca="1">32365.8824592855*((RANDBETWEEN(1620,2416)))</f>
        <v>53209510.763065338</v>
      </c>
      <c r="B13946">
        <v>143171570.82783255</v>
      </c>
    </row>
    <row r="13947" spans="1:2" x14ac:dyDescent="0.25">
      <c r="A13947">
        <f ca="1">26426.7578211186*((RANDBETWEEN(1620,2416)))</f>
        <v>48995209.000353865</v>
      </c>
      <c r="B13947">
        <v>158276370.17036569</v>
      </c>
    </row>
    <row r="13948" spans="1:2" x14ac:dyDescent="0.25">
      <c r="A13948">
        <f ca="1">26912.1091115211*((RANDBETWEEN(1620,2416)))</f>
        <v>51725073.712343514</v>
      </c>
      <c r="B13948">
        <v>143658856.96909609</v>
      </c>
    </row>
    <row r="13949" spans="1:2" x14ac:dyDescent="0.25">
      <c r="A13949">
        <f ca="1">29060.730885804*((RANDBETWEEN(1620,2416)))</f>
        <v>66752498.844691902</v>
      </c>
      <c r="B13949">
        <v>151152939.45246193</v>
      </c>
    </row>
    <row r="13950" spans="1:2" x14ac:dyDescent="0.25">
      <c r="A13950">
        <f ca="1">25126.5629914367*((RANDBETWEEN(1620,2416)))</f>
        <v>44197624.301937163</v>
      </c>
      <c r="B13950">
        <v>152071554.01750422</v>
      </c>
    </row>
    <row r="13951" spans="1:2" x14ac:dyDescent="0.25">
      <c r="A13951">
        <f ca="1">25687.1331592031*((RANDBETWEEN(1620,2416)))</f>
        <v>55330084.824923433</v>
      </c>
      <c r="B13951">
        <v>144570370.9453305</v>
      </c>
    </row>
    <row r="13952" spans="1:2" x14ac:dyDescent="0.25">
      <c r="A13952">
        <f ca="1">30354.5515366986*((RANDBETWEEN(1620,2416)))</f>
        <v>52391955.952341817</v>
      </c>
      <c r="B13952">
        <v>169757573.35355887</v>
      </c>
    </row>
    <row r="13953" spans="1:2" x14ac:dyDescent="0.25">
      <c r="A13953">
        <f ca="1">26172.5113827098*((RANDBETWEEN(1620,2416)))</f>
        <v>61191331.612775475</v>
      </c>
      <c r="B13953">
        <v>172991386.67981505</v>
      </c>
    </row>
    <row r="13954" spans="1:2" x14ac:dyDescent="0.25">
      <c r="A13954">
        <f ca="1">26139.584597777*((RANDBETWEEN(1620,2416)))</f>
        <v>50946050.381067365</v>
      </c>
      <c r="B13954">
        <v>143717640.67283124</v>
      </c>
    </row>
    <row r="13955" spans="1:2" x14ac:dyDescent="0.25">
      <c r="A13955">
        <f ca="1">28613.6477714636*((RANDBETWEEN(1620,2416)))</f>
        <v>60203114.911159381</v>
      </c>
      <c r="B13955">
        <v>170799128.20837849</v>
      </c>
    </row>
    <row r="13956" spans="1:2" x14ac:dyDescent="0.25">
      <c r="A13956">
        <f ca="1">26481.4382834551*((RANDBETWEEN(1620,2416)))</f>
        <v>44806593.575605981</v>
      </c>
      <c r="B13956">
        <v>176034318.77157921</v>
      </c>
    </row>
    <row r="13957" spans="1:2" x14ac:dyDescent="0.25">
      <c r="A13957">
        <f ca="1">26712.9180100249*((RANDBETWEEN(1620,2416)))</f>
        <v>63176051.093708895</v>
      </c>
      <c r="B13957">
        <v>190187326.50169498</v>
      </c>
    </row>
    <row r="13958" spans="1:2" x14ac:dyDescent="0.25">
      <c r="A13958">
        <f ca="1">25649.8068952001*((RANDBETWEEN(1620,2416)))</f>
        <v>59174104.507226549</v>
      </c>
      <c r="B13958">
        <v>146677188.47249144</v>
      </c>
    </row>
    <row r="13959" spans="1:2" x14ac:dyDescent="0.25">
      <c r="A13959">
        <f ca="1">34810.126683314*((RANDBETWEEN(1620,2416)))</f>
        <v>79680379.978105709</v>
      </c>
      <c r="B13959">
        <v>156319068.0690634</v>
      </c>
    </row>
    <row r="13960" spans="1:2" x14ac:dyDescent="0.25">
      <c r="A13960">
        <f ca="1">29448.9792520726*((RANDBETWEEN(1620,2416)))</f>
        <v>62991366.620183267</v>
      </c>
      <c r="B13960">
        <v>171026761.12765443</v>
      </c>
    </row>
    <row r="13961" spans="1:2" x14ac:dyDescent="0.25">
      <c r="A13961">
        <f ca="1">30458.9782880946*((RANDBETWEEN(1620,2416)))</f>
        <v>56410027.789551176</v>
      </c>
      <c r="B13961">
        <v>172252632.38085413</v>
      </c>
    </row>
    <row r="13962" spans="1:2" x14ac:dyDescent="0.25">
      <c r="A13962">
        <f ca="1">25453.8491506738*((RANDBETWEEN(1620,2416)))</f>
        <v>42889735.818885401</v>
      </c>
      <c r="B13962">
        <v>146344343.97446901</v>
      </c>
    </row>
    <row r="13963" spans="1:2" x14ac:dyDescent="0.25">
      <c r="A13963">
        <f ca="1">26939.8924727113*((RANDBETWEEN(1620,2416)))</f>
        <v>49704101.612152331</v>
      </c>
      <c r="B13963">
        <v>145107836.12928361</v>
      </c>
    </row>
    <row r="13964" spans="1:2" x14ac:dyDescent="0.25">
      <c r="A13964">
        <f ca="1">28771.8247768813*((RANDBETWEEN(1620,2416)))</f>
        <v>69282554.062730059</v>
      </c>
      <c r="B13964">
        <v>194933660.95277125</v>
      </c>
    </row>
    <row r="13965" spans="1:2" x14ac:dyDescent="0.25">
      <c r="A13965">
        <f ca="1">27465.9843236511*((RANDBETWEEN(1620,2416)))</f>
        <v>45373806.102671698</v>
      </c>
      <c r="B13965">
        <v>180524240.945705</v>
      </c>
    </row>
    <row r="13966" spans="1:2" x14ac:dyDescent="0.25">
      <c r="A13966">
        <f ca="1">28110.6930123662*((RANDBETWEEN(1620,2416)))</f>
        <v>53438427.416508123</v>
      </c>
      <c r="B13966">
        <v>164346202.32641882</v>
      </c>
    </row>
    <row r="13967" spans="1:2" x14ac:dyDescent="0.25">
      <c r="A13967">
        <f ca="1">29200.8269898341*((RANDBETWEEN(1620,2416)))</f>
        <v>69410365.754835576</v>
      </c>
      <c r="B13967">
        <v>186699387.29707152</v>
      </c>
    </row>
    <row r="13968" spans="1:2" x14ac:dyDescent="0.25">
      <c r="A13968">
        <f ca="1">27166.6173330177*((RANDBETWEEN(1620,2416)))</f>
        <v>52621737.774055205</v>
      </c>
      <c r="B13968">
        <v>195303476.97390357</v>
      </c>
    </row>
    <row r="13969" spans="1:2" x14ac:dyDescent="0.25">
      <c r="A13969">
        <f ca="1">29097.8003822758*((RANDBETWEEN(1620,2416)))</f>
        <v>51706791.279304132</v>
      </c>
      <c r="B13969">
        <v>145682754.19405228</v>
      </c>
    </row>
    <row r="13970" spans="1:2" x14ac:dyDescent="0.25">
      <c r="A13970">
        <f ca="1">33155.7540229393*((RANDBETWEEN(1620,2416)))</f>
        <v>70654911.822883636</v>
      </c>
      <c r="B13970">
        <v>152215648.06152022</v>
      </c>
    </row>
    <row r="13971" spans="1:2" x14ac:dyDescent="0.25">
      <c r="A13971">
        <f ca="1">26775.065741274*((RANDBETWEEN(1620,2416)))</f>
        <v>44660809.656444997</v>
      </c>
      <c r="B13971">
        <v>174968249.52580974</v>
      </c>
    </row>
    <row r="13972" spans="1:2" x14ac:dyDescent="0.25">
      <c r="A13972">
        <f ca="1">25641.5092608744*((RANDBETWEEN(1620,2416)))</f>
        <v>55872848.679445267</v>
      </c>
      <c r="B13972">
        <v>151516336.27625844</v>
      </c>
    </row>
    <row r="13973" spans="1:2" x14ac:dyDescent="0.25">
      <c r="A13973">
        <f ca="1">27385.5263059412*((RANDBETWEEN(1620,2416)))</f>
        <v>63561806.556089513</v>
      </c>
      <c r="B13973">
        <v>176479255.44980636</v>
      </c>
    </row>
    <row r="13974" spans="1:2" x14ac:dyDescent="0.25">
      <c r="A13974">
        <f ca="1">26806.9029922796*((RANDBETWEEN(1620,2416)))</f>
        <v>45947031.728767268</v>
      </c>
      <c r="B13974">
        <v>151836330.07422298</v>
      </c>
    </row>
    <row r="13975" spans="1:2" x14ac:dyDescent="0.25">
      <c r="A13975">
        <f ca="1">25173.6081264606*((RANDBETWEEN(1620,2416)))</f>
        <v>55432285.094466299</v>
      </c>
      <c r="B13975">
        <v>145190486.05959439</v>
      </c>
    </row>
    <row r="13976" spans="1:2" x14ac:dyDescent="0.25">
      <c r="A13976">
        <f ca="1">29323.0822710667*((RANDBETWEEN(1620,2416)))</f>
        <v>47737977.93729654</v>
      </c>
      <c r="B13976">
        <v>171407183.87917727</v>
      </c>
    </row>
    <row r="13977" spans="1:2" x14ac:dyDescent="0.25">
      <c r="A13977">
        <f ca="1">27991.6622153371*((RANDBETWEEN(1620,2416)))</f>
        <v>54919641.266491488</v>
      </c>
      <c r="B13977">
        <v>175736563.60657626</v>
      </c>
    </row>
    <row r="13978" spans="1:2" x14ac:dyDescent="0.25">
      <c r="A13978">
        <f ca="1">26228.7185203924*((RANDBETWEEN(1620,2416)))</f>
        <v>55080308.892824076</v>
      </c>
      <c r="B13978">
        <v>168201125.82257944</v>
      </c>
    </row>
    <row r="13979" spans="1:2" x14ac:dyDescent="0.25">
      <c r="A13979">
        <f ca="1">25633.6156304647*((RANDBETWEEN(1620,2416)))</f>
        <v>51703002.726647206</v>
      </c>
      <c r="B13979">
        <v>161962997.17225635</v>
      </c>
    </row>
    <row r="13980" spans="1:2" x14ac:dyDescent="0.25">
      <c r="A13980">
        <f ca="1">27130.7411777488*((RANDBETWEEN(1620,2416)))</f>
        <v>50707355.261212476</v>
      </c>
      <c r="B13980">
        <v>166644693.19322947</v>
      </c>
    </row>
    <row r="13981" spans="1:2" x14ac:dyDescent="0.25">
      <c r="A13981">
        <f ca="1">31545.2039618297*((RANDBETWEEN(1620,2416)))</f>
        <v>51607953.681553461</v>
      </c>
      <c r="B13981">
        <v>194349773.30388853</v>
      </c>
    </row>
    <row r="13982" spans="1:2" x14ac:dyDescent="0.25">
      <c r="A13982">
        <f ca="1">26008.0805639063*((RANDBETWEEN(1620,2416)))</f>
        <v>43121397.574956566</v>
      </c>
      <c r="B13982">
        <v>157080904.74415228</v>
      </c>
    </row>
    <row r="13983" spans="1:2" x14ac:dyDescent="0.25">
      <c r="A13983">
        <f ca="1">27104.5694942307*((RANDBETWEEN(1620,2416)))</f>
        <v>51363159.191567086</v>
      </c>
      <c r="B13983">
        <v>164674993.91028523</v>
      </c>
    </row>
    <row r="13984" spans="1:2" x14ac:dyDescent="0.25">
      <c r="A13984">
        <f ca="1">28514.4562111946*((RANDBETWEEN(1620,2416)))</f>
        <v>64071983.106554337</v>
      </c>
      <c r="B13984">
        <v>178565077.1053744</v>
      </c>
    </row>
    <row r="13985" spans="1:2" x14ac:dyDescent="0.25">
      <c r="A13985">
        <f ca="1">30238.5840168227*((RANDBETWEEN(1620,2416)))</f>
        <v>66555123.421026766</v>
      </c>
      <c r="B13985">
        <v>169313531.96001506</v>
      </c>
    </row>
    <row r="13986" spans="1:2" x14ac:dyDescent="0.25">
      <c r="A13986">
        <f ca="1">26799.8071084227*((RANDBETWEEN(1620,2416)))</f>
        <v>55689999.171302378</v>
      </c>
      <c r="B13986">
        <v>155741626.50489539</v>
      </c>
    </row>
    <row r="13987" spans="1:2" x14ac:dyDescent="0.25">
      <c r="A13987">
        <f ca="1">26486.5327607475*((RANDBETWEEN(1620,2416)))</f>
        <v>63964976.617205098</v>
      </c>
      <c r="B13987">
        <v>172572891.21520147</v>
      </c>
    </row>
    <row r="13988" spans="1:2" x14ac:dyDescent="0.25">
      <c r="A13988">
        <f ca="1">29046.6687113564*((RANDBETWEEN(1620,2416)))</f>
        <v>50047410.189667068</v>
      </c>
      <c r="B13988">
        <v>183599452.21197444</v>
      </c>
    </row>
    <row r="13989" spans="1:2" x14ac:dyDescent="0.25">
      <c r="A13989">
        <f ca="1">29615.3575993376*((RANDBETWEEN(1620,2416)))</f>
        <v>61570328.449022807</v>
      </c>
      <c r="B13989">
        <v>151414483.77631205</v>
      </c>
    </row>
    <row r="13990" spans="1:2" x14ac:dyDescent="0.25">
      <c r="A13990">
        <f ca="1">26088.4123352758*((RANDBETWEEN(1620,2416)))</f>
        <v>54733489.07940869</v>
      </c>
      <c r="B13990">
        <v>144626699.36169642</v>
      </c>
    </row>
    <row r="13991" spans="1:2" x14ac:dyDescent="0.25">
      <c r="A13991">
        <f ca="1">26745.0634909186*((RANDBETWEEN(1620,2416)))</f>
        <v>54105263.442128375</v>
      </c>
      <c r="B13991">
        <v>174159485.11118674</v>
      </c>
    </row>
    <row r="13992" spans="1:2" x14ac:dyDescent="0.25">
      <c r="A13992">
        <f ca="1">29996.2207176018*((RANDBETWEEN(1620,2416)))</f>
        <v>67671473.938909754</v>
      </c>
      <c r="B13992">
        <v>183275998.51576006</v>
      </c>
    </row>
    <row r="13993" spans="1:2" x14ac:dyDescent="0.25">
      <c r="A13993">
        <f ca="1">29055.2161298832*((RANDBETWEEN(1620,2416)))</f>
        <v>62788322.056677639</v>
      </c>
      <c r="B13993">
        <v>176141089.79489899</v>
      </c>
    </row>
    <row r="13994" spans="1:2" x14ac:dyDescent="0.25">
      <c r="A13994">
        <f ca="1">26284.4158947227*((RANDBETWEEN(1620,2416)))</f>
        <v>51911721.392077319</v>
      </c>
      <c r="B13994">
        <v>144080538.74971923</v>
      </c>
    </row>
    <row r="13995" spans="1:2" x14ac:dyDescent="0.25">
      <c r="A13995">
        <f ca="1">27029.8786827432*((RANDBETWEEN(1620,2416)))</f>
        <v>58654836.741552852</v>
      </c>
      <c r="B13995">
        <v>146344392.33944374</v>
      </c>
    </row>
    <row r="13996" spans="1:2" x14ac:dyDescent="0.25">
      <c r="A13996">
        <f ca="1">25187.8612744895*((RANDBETWEEN(1620,2416)))</f>
        <v>48033251.450451419</v>
      </c>
      <c r="B13996">
        <v>185087996.89733541</v>
      </c>
    </row>
    <row r="13997" spans="1:2" x14ac:dyDescent="0.25">
      <c r="A13997">
        <f ca="1">31747.3573212259*((RANDBETWEEN(1620,2416)))</f>
        <v>63272483.141203299</v>
      </c>
      <c r="B13997">
        <v>171758036.71384498</v>
      </c>
    </row>
    <row r="13998" spans="1:2" x14ac:dyDescent="0.25">
      <c r="A13998">
        <f ca="1">27512.2408682861*((RANDBETWEEN(1620,2416)))</f>
        <v>46798321.716954663</v>
      </c>
      <c r="B13998">
        <v>146958435.08056304</v>
      </c>
    </row>
    <row r="13999" spans="1:2" x14ac:dyDescent="0.25">
      <c r="A13999">
        <f ca="1">27047.4908905276*((RANDBETWEEN(1620,2416)))</f>
        <v>59044672.614021748</v>
      </c>
      <c r="B13999">
        <v>183125991.06655505</v>
      </c>
    </row>
    <row r="14000" spans="1:2" x14ac:dyDescent="0.25">
      <c r="A14000">
        <f ca="1">27564.142242284*((RANDBETWEEN(1620,2416)))</f>
        <v>64527656.989186779</v>
      </c>
      <c r="B14000">
        <v>201383368.51903307</v>
      </c>
    </row>
    <row r="14001" spans="1:2" x14ac:dyDescent="0.25">
      <c r="A14001">
        <f ca="1">27555.5738805369*((RANDBETWEEN(1620,2416)))</f>
        <v>52603590.537944868</v>
      </c>
      <c r="B14001">
        <v>168027453.04628545</v>
      </c>
    </row>
    <row r="14002" spans="1:2" x14ac:dyDescent="0.25">
      <c r="A14002">
        <f ca="1">28073.1687815433*((RANDBETWEEN(1620,2416)))</f>
        <v>59065947.11636728</v>
      </c>
      <c r="B14002">
        <v>200245727.4104321</v>
      </c>
    </row>
    <row r="14003" spans="1:2" x14ac:dyDescent="0.25">
      <c r="A14003">
        <f ca="1">26909.8169989555*((RANDBETWEEN(1620,2416)))</f>
        <v>63587897.568531759</v>
      </c>
      <c r="B14003">
        <v>148609377.39741969</v>
      </c>
    </row>
    <row r="14004" spans="1:2" x14ac:dyDescent="0.25">
      <c r="A14004">
        <f ca="1">25457.0184211692*((RANDBETWEEN(1620,2416)))</f>
        <v>41647682.137032799</v>
      </c>
      <c r="B14004">
        <v>155264106.77690709</v>
      </c>
    </row>
    <row r="14005" spans="1:2" x14ac:dyDescent="0.25">
      <c r="A14005">
        <f ca="1">28433.8654834016*((RANDBETWEEN(1620,2416)))</f>
        <v>65397890.61182373</v>
      </c>
      <c r="B14005">
        <v>175524285.5658024</v>
      </c>
    </row>
    <row r="14006" spans="1:2" x14ac:dyDescent="0.25">
      <c r="A14006">
        <f ca="1">29562.39249937*((RANDBETWEEN(1620,2416)))</f>
        <v>49960443.323935337</v>
      </c>
      <c r="B14006">
        <v>201990743.5287762</v>
      </c>
    </row>
    <row r="14007" spans="1:2" x14ac:dyDescent="0.25">
      <c r="A14007">
        <f ca="1">29631.9264512521*((RANDBETWEEN(1620,2416)))</f>
        <v>59975019.137334205</v>
      </c>
      <c r="B14007">
        <v>156196046.78175664</v>
      </c>
    </row>
    <row r="14008" spans="1:2" x14ac:dyDescent="0.25">
      <c r="A14008">
        <f ca="1">25785.3379367767*((RANDBETWEEN(1620,2416)))</f>
        <v>61704313.682706662</v>
      </c>
      <c r="B14008">
        <v>150386950.92354435</v>
      </c>
    </row>
    <row r="14009" spans="1:2" x14ac:dyDescent="0.25">
      <c r="A14009">
        <f ca="1">29352.6059652318*((RANDBETWEEN(1620,2416)))</f>
        <v>66689120.753006674</v>
      </c>
      <c r="B14009">
        <v>172269755.66482955</v>
      </c>
    </row>
    <row r="14010" spans="1:2" x14ac:dyDescent="0.25">
      <c r="A14010">
        <f ca="1">28084.3359472155*((RANDBETWEEN(1620,2416)))</f>
        <v>52433455.213451408</v>
      </c>
      <c r="B14010">
        <v>192304594.44010603</v>
      </c>
    </row>
    <row r="14011" spans="1:2" x14ac:dyDescent="0.25">
      <c r="A14011">
        <f ca="1">25545.168441008*((RANDBETWEEN(1620,2416)))</f>
        <v>50809340.02916491</v>
      </c>
      <c r="B14011">
        <v>154040947.29101503</v>
      </c>
    </row>
    <row r="14012" spans="1:2" x14ac:dyDescent="0.25">
      <c r="A14012">
        <f ca="1">26244.5687957863*((RANDBETWEEN(1620,2416)))</f>
        <v>62304606.321196631</v>
      </c>
      <c r="B14012">
        <v>196870687.47939205</v>
      </c>
    </row>
    <row r="14013" spans="1:2" x14ac:dyDescent="0.25">
      <c r="A14013">
        <f ca="1">26314.7564001864*((RANDBETWEEN(1620,2416)))</f>
        <v>47734968.109938078</v>
      </c>
      <c r="B14013">
        <v>202733712.58075705</v>
      </c>
    </row>
    <row r="14014" spans="1:2" x14ac:dyDescent="0.25">
      <c r="A14014">
        <f ca="1">30290.2631642861*((RANDBETWEEN(1620,2416)))</f>
        <v>58975142.380865023</v>
      </c>
      <c r="B14014">
        <v>163135473.22221214</v>
      </c>
    </row>
    <row r="14015" spans="1:2" x14ac:dyDescent="0.25">
      <c r="A14015">
        <f ca="1">26422.5627765945*((RANDBETWEEN(1620,2416)))</f>
        <v>55196733.640305974</v>
      </c>
      <c r="B14015">
        <v>170620625.34967011</v>
      </c>
    </row>
    <row r="14016" spans="1:2" x14ac:dyDescent="0.25">
      <c r="A14016">
        <f ca="1">26864.935919614*((RANDBETWEEN(1620,2416)))</f>
        <v>48518074.270822942</v>
      </c>
      <c r="B14016">
        <v>159919255.42815897</v>
      </c>
    </row>
    <row r="14017" spans="1:2" x14ac:dyDescent="0.25">
      <c r="A14017">
        <f ca="1">30483.7424329608*((RANDBETWEEN(1620,2416)))</f>
        <v>58345883.016686961</v>
      </c>
      <c r="B14017">
        <v>145949047.91695121</v>
      </c>
    </row>
    <row r="14018" spans="1:2" x14ac:dyDescent="0.25">
      <c r="A14018">
        <f ca="1">30083.6277297327*((RANDBETWEEN(1620,2416)))</f>
        <v>61851938.612330489</v>
      </c>
      <c r="B14018">
        <v>191601684.98067838</v>
      </c>
    </row>
    <row r="14019" spans="1:2" x14ac:dyDescent="0.25">
      <c r="A14019">
        <f ca="1">30744.1316660526*((RANDBETWEEN(1620,2416)))</f>
        <v>52541721.017283902</v>
      </c>
      <c r="B14019">
        <v>169552865.23761028</v>
      </c>
    </row>
    <row r="14020" spans="1:2" x14ac:dyDescent="0.25">
      <c r="A14020">
        <f ca="1">27083.8984461859*((RANDBETWEEN(1620,2416)))</f>
        <v>47478073.976163916</v>
      </c>
      <c r="B14020">
        <v>190767707.95707205</v>
      </c>
    </row>
    <row r="14021" spans="1:2" x14ac:dyDescent="0.25">
      <c r="A14021">
        <f ca="1">26368.4821652207*((RANDBETWEEN(1620,2416)))</f>
        <v>48860797.452153966</v>
      </c>
      <c r="B14021">
        <v>164780471.70907024</v>
      </c>
    </row>
    <row r="14022" spans="1:2" x14ac:dyDescent="0.25">
      <c r="A14022">
        <f ca="1">31176.7658545805*((RANDBETWEEN(1620,2416)))</f>
        <v>53966981.694278784</v>
      </c>
      <c r="B14022">
        <v>198695126.83706835</v>
      </c>
    </row>
    <row r="14023" spans="1:2" x14ac:dyDescent="0.25">
      <c r="A14023">
        <f ca="1">30790.2238229278*((RANDBETWEEN(1620,2416)))</f>
        <v>54683437.509519726</v>
      </c>
      <c r="B14023">
        <v>184285703.80637807</v>
      </c>
    </row>
    <row r="14024" spans="1:2" x14ac:dyDescent="0.25">
      <c r="A14024">
        <f ca="1">27324.9028877984*((RANDBETWEEN(1620,2416)))</f>
        <v>65743716.348042883</v>
      </c>
      <c r="B14024">
        <v>154115370.10718134</v>
      </c>
    </row>
    <row r="14025" spans="1:2" x14ac:dyDescent="0.25">
      <c r="A14025">
        <f ca="1">28212.1318655063*((RANDBETWEEN(1620,2416)))</f>
        <v>66665267.59819144</v>
      </c>
      <c r="B14025">
        <v>145414809.91103563</v>
      </c>
    </row>
    <row r="14026" spans="1:2" x14ac:dyDescent="0.25">
      <c r="A14026">
        <f ca="1">25335.8886831188*((RANDBETWEEN(1620,2416)))</f>
        <v>41753544.549779862</v>
      </c>
      <c r="B14026">
        <v>146533580.73952308</v>
      </c>
    </row>
    <row r="14027" spans="1:2" x14ac:dyDescent="0.25">
      <c r="A14027">
        <f ca="1">30274.0519249431*((RANDBETWEEN(1620,2416)))</f>
        <v>52343835.778226659</v>
      </c>
      <c r="B14027">
        <v>151388987.27279484</v>
      </c>
    </row>
    <row r="14028" spans="1:2" x14ac:dyDescent="0.25">
      <c r="A14028">
        <f ca="1">28487.5747403117*((RANDBETWEEN(1620,2416)))</f>
        <v>47830637.988983333</v>
      </c>
      <c r="B14028">
        <v>177436632.6244818</v>
      </c>
    </row>
    <row r="14029" spans="1:2" x14ac:dyDescent="0.25">
      <c r="A14029">
        <f ca="1">30455.0630175954*((RANDBETWEEN(1620,2416)))</f>
        <v>55306394.439953327</v>
      </c>
      <c r="B14029">
        <v>159214321.84304804</v>
      </c>
    </row>
    <row r="14030" spans="1:2" x14ac:dyDescent="0.25">
      <c r="A14030">
        <f ca="1">31628.5983089031*((RANDBETWEEN(1620,2416)))</f>
        <v>70405259.835618302</v>
      </c>
      <c r="B14030">
        <v>166562257.05224451</v>
      </c>
    </row>
    <row r="14031" spans="1:2" x14ac:dyDescent="0.25">
      <c r="A14031">
        <f ca="1">28771.6386866951*((RANDBETWEEN(1620,2416)))</f>
        <v>60190268.132566236</v>
      </c>
      <c r="B14031">
        <v>167441067.4089416</v>
      </c>
    </row>
    <row r="14032" spans="1:2" x14ac:dyDescent="0.25">
      <c r="A14032">
        <f ca="1">28057.3333996741*((RANDBETWEEN(1620,2416)))</f>
        <v>66776453.491224252</v>
      </c>
      <c r="B14032">
        <v>147350902.83629927</v>
      </c>
    </row>
    <row r="14033" spans="1:2" x14ac:dyDescent="0.25">
      <c r="A14033">
        <f ca="1">29767.4217518736*((RANDBETWEEN(1620,2416)))</f>
        <v>56052055.158777915</v>
      </c>
      <c r="B14033">
        <v>151635952.23894483</v>
      </c>
    </row>
    <row r="14034" spans="1:2" x14ac:dyDescent="0.25">
      <c r="A14034">
        <f ca="1">27800.2534579161*((RANDBETWEEN(1620,2416)))</f>
        <v>59992946.962182894</v>
      </c>
      <c r="B14034">
        <v>161649020.64275432</v>
      </c>
    </row>
    <row r="14035" spans="1:2" x14ac:dyDescent="0.25">
      <c r="A14035">
        <f ca="1">27134.4969010121*((RANDBETWEEN(1620,2416)))</f>
        <v>61296828.499386251</v>
      </c>
      <c r="B14035">
        <v>163395512.96309161</v>
      </c>
    </row>
    <row r="14036" spans="1:2" x14ac:dyDescent="0.25">
      <c r="A14036">
        <f ca="1">27796.4803444904*((RANDBETWEEN(1620,2416)))</f>
        <v>56899395.265171878</v>
      </c>
      <c r="B14036">
        <v>147099665.91223928</v>
      </c>
    </row>
    <row r="14037" spans="1:2" x14ac:dyDescent="0.25">
      <c r="A14037">
        <f ca="1">27042.8837423854*((RANDBETWEEN(1620,2416)))</f>
        <v>44188072.035057724</v>
      </c>
      <c r="B14037">
        <v>188375268.75043494</v>
      </c>
    </row>
    <row r="14038" spans="1:2" x14ac:dyDescent="0.25">
      <c r="A14038">
        <f ca="1">28923.3223625059*((RANDBETWEEN(1620,2416)))</f>
        <v>63747002.486963108</v>
      </c>
      <c r="B14038">
        <v>198864805.02210465</v>
      </c>
    </row>
    <row r="14039" spans="1:2" x14ac:dyDescent="0.25">
      <c r="A14039">
        <f ca="1">24030.2945497714*((RANDBETWEEN(1620,2416)))</f>
        <v>49093891.765182979</v>
      </c>
      <c r="B14039">
        <v>160468482.80862725</v>
      </c>
    </row>
    <row r="14040" spans="1:2" x14ac:dyDescent="0.25">
      <c r="A14040">
        <f ca="1">31354.8092812739*((RANDBETWEEN(1620,2416)))</f>
        <v>64026520.552361391</v>
      </c>
      <c r="B14040">
        <v>191935876.930237</v>
      </c>
    </row>
    <row r="14041" spans="1:2" x14ac:dyDescent="0.25">
      <c r="A14041">
        <f ca="1">27548.85031754*((RANDBETWEEN(1620,2416)))</f>
        <v>49229795.517444015</v>
      </c>
      <c r="B14041">
        <v>178751557.81292251</v>
      </c>
    </row>
    <row r="14042" spans="1:2" x14ac:dyDescent="0.25">
      <c r="A14042">
        <f ca="1">29982.916469394*((RANDBETWEEN(1620,2416)))</f>
        <v>60265662.103482038</v>
      </c>
      <c r="B14042">
        <v>183849110.3205044</v>
      </c>
    </row>
    <row r="14043" spans="1:2" x14ac:dyDescent="0.25">
      <c r="A14043">
        <f ca="1">30477.2758874294*((RANDBETWEEN(1620,2416)))</f>
        <v>54401937.459061541</v>
      </c>
      <c r="B14043">
        <v>190655126.19708288</v>
      </c>
    </row>
    <row r="14044" spans="1:2" x14ac:dyDescent="0.25">
      <c r="A14044">
        <f ca="1">27616.6489282797*((RANDBETWEEN(1620,2416)))</f>
        <v>52664949.506229468</v>
      </c>
      <c r="B14044">
        <v>148270825.87304693</v>
      </c>
    </row>
    <row r="14045" spans="1:2" x14ac:dyDescent="0.25">
      <c r="A14045">
        <f ca="1">27680.7638649835*((RANDBETWEEN(1620,2416)))</f>
        <v>66433833.275960475</v>
      </c>
      <c r="B14045">
        <v>167652712.01237369</v>
      </c>
    </row>
    <row r="14046" spans="1:2" x14ac:dyDescent="0.25">
      <c r="A14046">
        <f ca="1">26019.6885066263*((RANDBETWEEN(1620,2416)))</f>
        <v>46939518.065953918</v>
      </c>
      <c r="B14046">
        <v>160173463.10877755</v>
      </c>
    </row>
    <row r="14047" spans="1:2" x14ac:dyDescent="0.25">
      <c r="A14047">
        <f ca="1">27683.2439532561*((RANDBETWEEN(1620,2416)))</f>
        <v>57636513.910679288</v>
      </c>
      <c r="B14047">
        <v>151547052.51848063</v>
      </c>
    </row>
    <row r="14048" spans="1:2" x14ac:dyDescent="0.25">
      <c r="A14048">
        <f ca="1">25380.6735587147*((RANDBETWEEN(1620,2416)))</f>
        <v>46598916.653800152</v>
      </c>
      <c r="B14048">
        <v>155812962.88638747</v>
      </c>
    </row>
    <row r="14049" spans="1:2" x14ac:dyDescent="0.25">
      <c r="A14049">
        <f ca="1">27553.8694543206*((RANDBETWEEN(1620,2416)))</f>
        <v>47916178.981063455</v>
      </c>
      <c r="B14049">
        <v>164106657.66025805</v>
      </c>
    </row>
    <row r="14050" spans="1:2" x14ac:dyDescent="0.25">
      <c r="A14050">
        <f ca="1">31643.310500929*((RANDBETWEEN(1620,2416)))</f>
        <v>60280506.504269809</v>
      </c>
      <c r="B14050">
        <v>166875399.33556017</v>
      </c>
    </row>
    <row r="14051" spans="1:2" x14ac:dyDescent="0.25">
      <c r="A14051">
        <f ca="1">28503.1450064047*((RANDBETWEEN(1620,2416)))</f>
        <v>54526516.39725212</v>
      </c>
      <c r="B14051">
        <v>147325205.00967932</v>
      </c>
    </row>
    <row r="14052" spans="1:2" x14ac:dyDescent="0.25">
      <c r="A14052">
        <f ca="1">27120.7096349894*((RANDBETWEEN(1620,2416)))</f>
        <v>51095416.952319987</v>
      </c>
      <c r="B14052">
        <v>189786125.25704634</v>
      </c>
    </row>
    <row r="14053" spans="1:2" x14ac:dyDescent="0.25">
      <c r="A14053">
        <f ca="1">28246.8780692643*((RANDBETWEEN(1620,2416)))</f>
        <v>64770091.412822925</v>
      </c>
      <c r="B14053">
        <v>153498966.38454825</v>
      </c>
    </row>
    <row r="14054" spans="1:2" x14ac:dyDescent="0.25">
      <c r="A14054">
        <f ca="1">27001.3388658695*((RANDBETWEEN(1620,2416)))</f>
        <v>62265087.424694978</v>
      </c>
      <c r="B14054">
        <v>199643579.62173122</v>
      </c>
    </row>
    <row r="14055" spans="1:2" x14ac:dyDescent="0.25">
      <c r="A14055">
        <f ca="1">27386.9266446447*((RANDBETWEEN(1620,2416)))</f>
        <v>49625111.080096133</v>
      </c>
      <c r="B14055">
        <v>182721148.61866754</v>
      </c>
    </row>
    <row r="14056" spans="1:2" x14ac:dyDescent="0.25">
      <c r="A14056">
        <f ca="1">28439.2231228535*((RANDBETWEEN(1620,2416)))</f>
        <v>54034523.933421612</v>
      </c>
      <c r="B14056">
        <v>169560085.2038978</v>
      </c>
    </row>
    <row r="14057" spans="1:2" x14ac:dyDescent="0.25">
      <c r="A14057">
        <f ca="1">29713.1100726935*((RANDBETWEEN(1620,2416)))</f>
        <v>59247941.484950915</v>
      </c>
      <c r="B14057">
        <v>164287539.81183165</v>
      </c>
    </row>
    <row r="14058" spans="1:2" x14ac:dyDescent="0.25">
      <c r="A14058">
        <f ca="1">29227.9869495352*((RANDBETWEEN(1620,2416)))</f>
        <v>68159665.566316038</v>
      </c>
      <c r="B14058">
        <v>189079786.59034348</v>
      </c>
    </row>
    <row r="14059" spans="1:2" x14ac:dyDescent="0.25">
      <c r="A14059">
        <f ca="1">28920.1134644576*((RANDBETWEEN(1620,2416)))</f>
        <v>52750286.959170811</v>
      </c>
      <c r="B14059">
        <v>183050933.1054728</v>
      </c>
    </row>
    <row r="14060" spans="1:2" x14ac:dyDescent="0.25">
      <c r="A14060">
        <f ca="1">26375.6910455797*((RANDBETWEEN(1620,2416)))</f>
        <v>44733172.013303123</v>
      </c>
      <c r="B14060">
        <v>145349272.02859122</v>
      </c>
    </row>
    <row r="14061" spans="1:2" x14ac:dyDescent="0.25">
      <c r="A14061">
        <f ca="1">30959.7003968853*((RANDBETWEEN(1620,2416)))</f>
        <v>54179475.694549337</v>
      </c>
      <c r="B14061">
        <v>198491672.45254612</v>
      </c>
    </row>
    <row r="14062" spans="1:2" x14ac:dyDescent="0.25">
      <c r="A14062">
        <f ca="1">27930.5219372039*((RANDBETWEEN(1620,2416)))</f>
        <v>67117044.215100914</v>
      </c>
      <c r="B14062">
        <v>187061787.40758765</v>
      </c>
    </row>
    <row r="14063" spans="1:2" x14ac:dyDescent="0.25">
      <c r="A14063">
        <f ca="1">29338.3323195534*((RANDBETWEEN(1620,2416)))</f>
        <v>59615491.273332573</v>
      </c>
      <c r="B14063">
        <v>165914156.73142838</v>
      </c>
    </row>
    <row r="14064" spans="1:2" x14ac:dyDescent="0.25">
      <c r="A14064">
        <f ca="1">29595.0507743644*((RANDBETWEEN(1620,2416)))</f>
        <v>68719707.898074195</v>
      </c>
      <c r="B14064">
        <v>148741048.7734794</v>
      </c>
    </row>
    <row r="14065" spans="1:2" x14ac:dyDescent="0.25">
      <c r="A14065">
        <f ca="1">28518.9389732838*((RANDBETWEEN(1620,2416)))</f>
        <v>50421484.10476578</v>
      </c>
      <c r="B14065">
        <v>174525979.73605251</v>
      </c>
    </row>
    <row r="14066" spans="1:2" x14ac:dyDescent="0.25">
      <c r="A14066">
        <f ca="1">26690.1222156363*((RANDBETWEEN(1620,2416)))</f>
        <v>63976222.950880289</v>
      </c>
      <c r="B14066">
        <v>152525056.40276614</v>
      </c>
    </row>
    <row r="14067" spans="1:2" x14ac:dyDescent="0.25">
      <c r="A14067">
        <f ca="1">26132.1645553836*((RANDBETWEEN(1620,2416)))</f>
        <v>48161579.275572069</v>
      </c>
      <c r="B14067">
        <v>146758104.84077752</v>
      </c>
    </row>
    <row r="14068" spans="1:2" x14ac:dyDescent="0.25">
      <c r="A14068">
        <f ca="1">28427.6300245912*((RANDBETWEEN(1620,2416)))</f>
        <v>64445437.265748218</v>
      </c>
      <c r="B14068">
        <v>175652570.43599185</v>
      </c>
    </row>
    <row r="14069" spans="1:2" x14ac:dyDescent="0.25">
      <c r="A14069">
        <f ca="1">27950.9050887064*((RANDBETWEEN(1620,2416)))</f>
        <v>63839867.222605474</v>
      </c>
      <c r="B14069">
        <v>156231265.01790649</v>
      </c>
    </row>
    <row r="14070" spans="1:2" x14ac:dyDescent="0.25">
      <c r="A14070">
        <f ca="1">26387.7568502208*((RANDBETWEEN(1620,2416)))</f>
        <v>56680901.71427425</v>
      </c>
      <c r="B14070">
        <v>153043522.54028845</v>
      </c>
    </row>
    <row r="14071" spans="1:2" x14ac:dyDescent="0.25">
      <c r="A14071">
        <f ca="1">27839.4066035003*((RANDBETWEEN(1620,2416)))</f>
        <v>58880344.96640303</v>
      </c>
      <c r="B14071">
        <v>201740840.21270564</v>
      </c>
    </row>
    <row r="14072" spans="1:2" x14ac:dyDescent="0.25">
      <c r="A14072">
        <f ca="1">25664.1537703533*((RANDBETWEEN(1620,2416)))</f>
        <v>61285999.203603603</v>
      </c>
      <c r="B14072">
        <v>146677663.04644263</v>
      </c>
    </row>
    <row r="14073" spans="1:2" x14ac:dyDescent="0.25">
      <c r="A14073">
        <f ca="1">27554.7550644007*((RANDBETWEEN(1620,2416)))</f>
        <v>46154214.732871152</v>
      </c>
      <c r="B14073">
        <v>167302309.85559309</v>
      </c>
    </row>
    <row r="14074" spans="1:2" x14ac:dyDescent="0.25">
      <c r="A14074">
        <f ca="1">27838.8194117539*((RANDBETWEEN(1620,2416)))</f>
        <v>64808771.590562984</v>
      </c>
      <c r="B14074">
        <v>156261361.87064591</v>
      </c>
    </row>
    <row r="14075" spans="1:2" x14ac:dyDescent="0.25">
      <c r="A14075">
        <f ca="1">26471.8005708423*((RANDBETWEEN(1620,2416)))</f>
        <v>63373490.566596508</v>
      </c>
      <c r="B14075">
        <v>181623321.17917812</v>
      </c>
    </row>
    <row r="14076" spans="1:2" x14ac:dyDescent="0.25">
      <c r="A14076">
        <f ca="1">26561.7374120607*((RANDBETWEEN(1620,2416)))</f>
        <v>47784565.604297109</v>
      </c>
      <c r="B14076">
        <v>158362597.62514237</v>
      </c>
    </row>
    <row r="14077" spans="1:2" x14ac:dyDescent="0.25">
      <c r="A14077">
        <f ca="1">26844.2738856662*((RANDBETWEEN(1620,2416)))</f>
        <v>54144900.427388676</v>
      </c>
      <c r="B14077">
        <v>159515736.28238592</v>
      </c>
    </row>
    <row r="14078" spans="1:2" x14ac:dyDescent="0.25">
      <c r="A14078">
        <f ca="1">33634.8801902641*((RANDBETWEEN(1620,2416)))</f>
        <v>61215481.946280643</v>
      </c>
      <c r="B14078">
        <v>185983187.38220298</v>
      </c>
    </row>
    <row r="14079" spans="1:2" x14ac:dyDescent="0.25">
      <c r="A14079">
        <f ca="1">27689.2794006059*((RANDBETWEEN(1620,2416)))</f>
        <v>47404046.333837256</v>
      </c>
      <c r="B14079">
        <v>163019699.02366468</v>
      </c>
    </row>
    <row r="14080" spans="1:2" x14ac:dyDescent="0.25">
      <c r="A14080">
        <f ca="1">27042.6064880715*((RANDBETWEEN(1620,2416)))</f>
        <v>55491428.513522632</v>
      </c>
      <c r="B14080">
        <v>158986778.46784329</v>
      </c>
    </row>
    <row r="14081" spans="1:2" x14ac:dyDescent="0.25">
      <c r="A14081">
        <f ca="1">30659.1609694785*((RANDBETWEEN(1620,2416)))</f>
        <v>69289703.791021332</v>
      </c>
      <c r="B14081">
        <v>149143771.46941519</v>
      </c>
    </row>
    <row r="14082" spans="1:2" x14ac:dyDescent="0.25">
      <c r="A14082">
        <f ca="1">26849.543342659*((RANDBETWEEN(1620,2416)))</f>
        <v>63955612.242213733</v>
      </c>
      <c r="B14082">
        <v>148689307.98774847</v>
      </c>
    </row>
    <row r="14083" spans="1:2" x14ac:dyDescent="0.25">
      <c r="A14083">
        <f ca="1">28434.1780003495*((RANDBETWEEN(1620,2416)))</f>
        <v>52262019.164642476</v>
      </c>
      <c r="B14083">
        <v>201566004.40179992</v>
      </c>
    </row>
    <row r="14084" spans="1:2" x14ac:dyDescent="0.25">
      <c r="A14084">
        <f ca="1">26558.396145514*((RANDBETWEEN(1620,2416)))</f>
        <v>64165085.087561868</v>
      </c>
      <c r="B14084">
        <v>147225563.92344019</v>
      </c>
    </row>
    <row r="14085" spans="1:2" x14ac:dyDescent="0.25">
      <c r="A14085">
        <f ca="1">26978.172324269*((RANDBETWEEN(1620,2416)))</f>
        <v>49073295.457845286</v>
      </c>
      <c r="B14085">
        <v>149533793.04133016</v>
      </c>
    </row>
    <row r="14086" spans="1:2" x14ac:dyDescent="0.25">
      <c r="A14086">
        <f ca="1">33635.3482521181*((RANDBETWEEN(1620,2416)))</f>
        <v>78706714.909956321</v>
      </c>
      <c r="B14086">
        <v>155823657.79171896</v>
      </c>
    </row>
    <row r="14087" spans="1:2" x14ac:dyDescent="0.25">
      <c r="A14087">
        <f ca="1">29864.2968830353*((RANDBETWEEN(1620,2416)))</f>
        <v>57936735.953088522</v>
      </c>
      <c r="B14087">
        <v>201195029.96213052</v>
      </c>
    </row>
    <row r="14088" spans="1:2" x14ac:dyDescent="0.25">
      <c r="A14088">
        <f ca="1">31323.8770535392*((RANDBETWEEN(1620,2416)))</f>
        <v>59671985.786992095</v>
      </c>
      <c r="B14088">
        <v>143941810.17648882</v>
      </c>
    </row>
    <row r="14089" spans="1:2" x14ac:dyDescent="0.25">
      <c r="A14089">
        <f ca="1">29461.0714707122*((RANDBETWEEN(1620,2416)))</f>
        <v>57655316.868183777</v>
      </c>
      <c r="B14089">
        <v>175665025.5030058</v>
      </c>
    </row>
    <row r="14090" spans="1:2" x14ac:dyDescent="0.25">
      <c r="A14090">
        <f ca="1">25927.5773933629*((RANDBETWEEN(1620,2416)))</f>
        <v>56833249.646251403</v>
      </c>
      <c r="B14090">
        <v>145129209.74623871</v>
      </c>
    </row>
    <row r="14091" spans="1:2" x14ac:dyDescent="0.25">
      <c r="A14091">
        <f ca="1">26647.3867157751*((RANDBETWEEN(1620,2416)))</f>
        <v>61821937.180598259</v>
      </c>
      <c r="B14091">
        <v>173465886.91438231</v>
      </c>
    </row>
    <row r="14092" spans="1:2" x14ac:dyDescent="0.25">
      <c r="A14092">
        <f ca="1">29111.9247259361*((RANDBETWEEN(1620,2416)))</f>
        <v>55953119.323249206</v>
      </c>
      <c r="B14092">
        <v>144700514.35328615</v>
      </c>
    </row>
    <row r="14093" spans="1:2" x14ac:dyDescent="0.25">
      <c r="A14093">
        <f ca="1">28550.8281721864*((RANDBETWEEN(1620,2416)))</f>
        <v>55988174.045657523</v>
      </c>
      <c r="B14093">
        <v>177806339.33312139</v>
      </c>
    </row>
    <row r="14094" spans="1:2" x14ac:dyDescent="0.25">
      <c r="A14094">
        <f ca="1">26269.0171092751*((RANDBETWEEN(1620,2416)))</f>
        <v>57345264.34954758</v>
      </c>
      <c r="B14094">
        <v>154157879.11001202</v>
      </c>
    </row>
    <row r="14095" spans="1:2" x14ac:dyDescent="0.25">
      <c r="A14095">
        <f ca="1">28415.7233278361*((RANDBETWEEN(1620,2416)))</f>
        <v>46829112.044273883</v>
      </c>
      <c r="B14095">
        <v>199100621.11338639</v>
      </c>
    </row>
    <row r="14096" spans="1:2" x14ac:dyDescent="0.25">
      <c r="A14096">
        <f ca="1">28145.5246038544*((RANDBETWEEN(1620,2416)))</f>
        <v>61835717.554668166</v>
      </c>
      <c r="B14096">
        <v>193475405.61690289</v>
      </c>
    </row>
    <row r="14097" spans="1:2" x14ac:dyDescent="0.25">
      <c r="A14097">
        <f ca="1">29910.9781430955*((RANDBETWEEN(1620,2416)))</f>
        <v>70021599.832986534</v>
      </c>
      <c r="B14097">
        <v>190528688.09449747</v>
      </c>
    </row>
    <row r="14098" spans="1:2" x14ac:dyDescent="0.25">
      <c r="A14098">
        <f ca="1">25426.0878332597*((RANDBETWEEN(1620,2416)))</f>
        <v>45233010.255369067</v>
      </c>
      <c r="B14098">
        <v>159095675.79844695</v>
      </c>
    </row>
    <row r="14099" spans="1:2" x14ac:dyDescent="0.25">
      <c r="A14099">
        <f ca="1">26084.4412185512*((RANDBETWEEN(1620,2416)))</f>
        <v>56055464.178666569</v>
      </c>
      <c r="B14099">
        <v>203086792.24751493</v>
      </c>
    </row>
    <row r="14100" spans="1:2" x14ac:dyDescent="0.25">
      <c r="A14100">
        <f ca="1">28683.1165281028*((RANDBETWEEN(1620,2416)))</f>
        <v>57825162.920655213</v>
      </c>
      <c r="B14100">
        <v>149848592.01015505</v>
      </c>
    </row>
    <row r="14101" spans="1:2" x14ac:dyDescent="0.25">
      <c r="A14101">
        <f ca="1">30294.2901111721*((RANDBETWEEN(1620,2416)))</f>
        <v>65405372.350020498</v>
      </c>
      <c r="B14101">
        <v>144460501.68940908</v>
      </c>
    </row>
    <row r="14102" spans="1:2" x14ac:dyDescent="0.25">
      <c r="A14102">
        <f ca="1">25516.7407535669*((RANDBETWEEN(1620,2416)))</f>
        <v>60525709.067460626</v>
      </c>
      <c r="B14102">
        <v>157601638.9687387</v>
      </c>
    </row>
    <row r="14103" spans="1:2" x14ac:dyDescent="0.25">
      <c r="A14103">
        <f ca="1">29306.619038011*((RANDBETWEEN(1620,2416)))</f>
        <v>65734746.502258748</v>
      </c>
      <c r="B14103">
        <v>153736994.07875594</v>
      </c>
    </row>
    <row r="14104" spans="1:2" x14ac:dyDescent="0.25">
      <c r="A14104">
        <f ca="1">27032.7973747719*((RANDBETWEEN(1620,2416)))</f>
        <v>62716089.909470759</v>
      </c>
      <c r="B14104">
        <v>166772716.35276479</v>
      </c>
    </row>
    <row r="14105" spans="1:2" x14ac:dyDescent="0.25">
      <c r="A14105">
        <f ca="1">28562.7367558707*((RANDBETWEEN(1620,2416)))</f>
        <v>59439055.188966826</v>
      </c>
      <c r="B14105">
        <v>160611572.72842726</v>
      </c>
    </row>
    <row r="14106" spans="1:2" x14ac:dyDescent="0.25">
      <c r="A14106">
        <f ca="1">29634.9193252951*((RANDBETWEEN(1620,2416)))</f>
        <v>50053378.740423404</v>
      </c>
      <c r="B14106">
        <v>147121748.20583153</v>
      </c>
    </row>
    <row r="14107" spans="1:2" x14ac:dyDescent="0.25">
      <c r="A14107">
        <f ca="1">27365.3244934586*((RANDBETWEEN(1620,2416)))</f>
        <v>49859621.227081537</v>
      </c>
      <c r="B14107">
        <v>168642259.14700603</v>
      </c>
    </row>
    <row r="14108" spans="1:2" x14ac:dyDescent="0.25">
      <c r="A14108">
        <f ca="1">31069.8512306467*((RANDBETWEEN(1620,2416)))</f>
        <v>65122408.179435536</v>
      </c>
      <c r="B14108">
        <v>174161703.25653583</v>
      </c>
    </row>
    <row r="14109" spans="1:2" x14ac:dyDescent="0.25">
      <c r="A14109">
        <f ca="1">26836.6495609591*((RANDBETWEEN(1620,2416)))</f>
        <v>43475372.288753666</v>
      </c>
      <c r="B14109">
        <v>169939333.21304882</v>
      </c>
    </row>
    <row r="14110" spans="1:2" x14ac:dyDescent="0.25">
      <c r="A14110">
        <f ca="1">25998.0251323108*((RANDBETWEEN(1620,2416)))</f>
        <v>49240259.600596711</v>
      </c>
      <c r="B14110">
        <v>150335782.38206273</v>
      </c>
    </row>
    <row r="14111" spans="1:2" x14ac:dyDescent="0.25">
      <c r="A14111">
        <f ca="1">26107.086815293*((RANDBETWEEN(1620,2416)))</f>
        <v>54250526.402178794</v>
      </c>
      <c r="B14111">
        <v>154662243.61986041</v>
      </c>
    </row>
    <row r="14112" spans="1:2" x14ac:dyDescent="0.25">
      <c r="A14112">
        <f ca="1">28096.3032924905*((RANDBETWEEN(1620,2416)))</f>
        <v>45796974.366759479</v>
      </c>
      <c r="B14112">
        <v>190195639.45956421</v>
      </c>
    </row>
    <row r="14113" spans="1:2" x14ac:dyDescent="0.25">
      <c r="A14113">
        <f ca="1">27278.468654473*((RANDBETWEEN(1620,2416)))</f>
        <v>57421176.517665595</v>
      </c>
      <c r="B14113">
        <v>198516353.08319449</v>
      </c>
    </row>
    <row r="14114" spans="1:2" x14ac:dyDescent="0.25">
      <c r="A14114">
        <f ca="1">27856.7934315931*((RANDBETWEEN(1620,2416)))</f>
        <v>60588525.713715009</v>
      </c>
      <c r="B14114">
        <v>188492385.22748882</v>
      </c>
    </row>
    <row r="14115" spans="1:2" x14ac:dyDescent="0.25">
      <c r="A14115">
        <f ca="1">28439.450638711*((RANDBETWEEN(1620,2416)))</f>
        <v>68539076.039293483</v>
      </c>
      <c r="B14115">
        <v>196209264.74187642</v>
      </c>
    </row>
    <row r="14116" spans="1:2" x14ac:dyDescent="0.25">
      <c r="A14116">
        <f ca="1">26942.7030006161*((RANDBETWEEN(1620,2416)))</f>
        <v>61537133.653407268</v>
      </c>
      <c r="B14116">
        <v>174808999.90354884</v>
      </c>
    </row>
    <row r="14117" spans="1:2" x14ac:dyDescent="0.25">
      <c r="A14117">
        <f ca="1">25629.4744326522*((RANDBETWEEN(1620,2416)))</f>
        <v>47670822.444733068</v>
      </c>
      <c r="B14117">
        <v>150880746.69286361</v>
      </c>
    </row>
    <row r="14118" spans="1:2" x14ac:dyDescent="0.25">
      <c r="A14118">
        <f ca="1">33923.796171794*((RANDBETWEEN(1620,2416)))</f>
        <v>73614637.692792907</v>
      </c>
      <c r="B14118">
        <v>192673727.93256617</v>
      </c>
    </row>
    <row r="14119" spans="1:2" x14ac:dyDescent="0.25">
      <c r="A14119">
        <f ca="1">26356.9482745214*((RANDBETWEEN(1620,2416)))</f>
        <v>59619416.996967413</v>
      </c>
      <c r="B14119">
        <v>156023620.17533875</v>
      </c>
    </row>
    <row r="14120" spans="1:2" x14ac:dyDescent="0.25">
      <c r="A14120">
        <f ca="1">27680.0785842874*((RANDBETWEEN(1620,2416)))</f>
        <v>52398388.760056101</v>
      </c>
      <c r="B14120">
        <v>181672624.20753691</v>
      </c>
    </row>
    <row r="14121" spans="1:2" x14ac:dyDescent="0.25">
      <c r="A14121">
        <f ca="1">26840.2243448695*((RANDBETWEEN(1620,2416)))</f>
        <v>61410433.301061377</v>
      </c>
      <c r="B14121">
        <v>164856143.59224391</v>
      </c>
    </row>
    <row r="14122" spans="1:2" x14ac:dyDescent="0.25">
      <c r="A14122">
        <f ca="1">26304.8589908814*((RANDBETWEEN(1620,2416)))</f>
        <v>56108264.227549993</v>
      </c>
      <c r="B14122">
        <v>145268448.50045407</v>
      </c>
    </row>
    <row r="14123" spans="1:2" x14ac:dyDescent="0.25">
      <c r="A14123">
        <f ca="1">31825.2450715919*((RANDBETWEEN(1620,2416)))</f>
        <v>64286995.044615731</v>
      </c>
      <c r="B14123">
        <v>168974509.48653647</v>
      </c>
    </row>
    <row r="14124" spans="1:2" x14ac:dyDescent="0.25">
      <c r="A14124">
        <f ca="1">31376.7947999147*((RANDBETWEEN(1620,2416)))</f>
        <v>74174742.906998336</v>
      </c>
      <c r="B14124">
        <v>143509666.17045948</v>
      </c>
    </row>
    <row r="14125" spans="1:2" x14ac:dyDescent="0.25">
      <c r="A14125">
        <f ca="1">33864.2412133393*((RANDBETWEEN(1620,2416)))</f>
        <v>59059236.676063731</v>
      </c>
      <c r="B14125">
        <v>195817365.14370549</v>
      </c>
    </row>
    <row r="14126" spans="1:2" x14ac:dyDescent="0.25">
      <c r="A14126">
        <f ca="1">27261.4319253298*((RANDBETWEEN(1620,2416)))</f>
        <v>45499329.883375406</v>
      </c>
      <c r="B14126">
        <v>164933037.41097277</v>
      </c>
    </row>
    <row r="14127" spans="1:2" x14ac:dyDescent="0.25">
      <c r="A14127">
        <f ca="1">27077.3048569429*((RANDBETWEEN(1620,2416)))</f>
        <v>44731707.623669781</v>
      </c>
      <c r="B14127">
        <v>155036847.2940768</v>
      </c>
    </row>
    <row r="14128" spans="1:2" x14ac:dyDescent="0.25">
      <c r="A14128">
        <f ca="1">27429.3734232521*((RANDBETWEEN(1620,2416)))</f>
        <v>53596995.669034533</v>
      </c>
      <c r="B14128">
        <v>160809306.74593368</v>
      </c>
    </row>
    <row r="14129" spans="1:2" x14ac:dyDescent="0.25">
      <c r="A14129">
        <f ca="1">25423.2846694399*((RANDBETWEEN(1620,2416)))</f>
        <v>60736227.075291872</v>
      </c>
      <c r="B14129">
        <v>168657628.82620019</v>
      </c>
    </row>
    <row r="14130" spans="1:2" x14ac:dyDescent="0.25">
      <c r="A14130">
        <f ca="1">32970.4141375945*((RANDBETWEEN(1620,2416)))</f>
        <v>75172544.233715504</v>
      </c>
      <c r="B14130">
        <v>163156848.21587321</v>
      </c>
    </row>
    <row r="14131" spans="1:2" x14ac:dyDescent="0.25">
      <c r="A14131">
        <f ca="1">31013.699152867*((RANDBETWEEN(1620,2416)))</f>
        <v>51234631.000536308</v>
      </c>
      <c r="B14131">
        <v>183732609.00343537</v>
      </c>
    </row>
    <row r="14132" spans="1:2" x14ac:dyDescent="0.25">
      <c r="A14132">
        <f ca="1">25855.6499896365*((RANDBETWEEN(1620,2416)))</f>
        <v>54658844.078091554</v>
      </c>
      <c r="B14132">
        <v>163118203.50923118</v>
      </c>
    </row>
    <row r="14133" spans="1:2" x14ac:dyDescent="0.25">
      <c r="A14133">
        <f ca="1">25795.5854766935*((RANDBETWEEN(1620,2416)))</f>
        <v>51462193.026003622</v>
      </c>
      <c r="B14133">
        <v>144649247.23551515</v>
      </c>
    </row>
    <row r="14134" spans="1:2" x14ac:dyDescent="0.25">
      <c r="A14134">
        <f ca="1">33266.8909131387*((RANDBETWEEN(1620,2416)))</f>
        <v>77511855.827613175</v>
      </c>
      <c r="B14134">
        <v>190446538.68346906</v>
      </c>
    </row>
    <row r="14135" spans="1:2" x14ac:dyDescent="0.25">
      <c r="A14135">
        <f ca="1">30589.4534536043*((RANDBETWEEN(1620,2416)))</f>
        <v>67510923.772104755</v>
      </c>
      <c r="B14135">
        <v>169427930.66876268</v>
      </c>
    </row>
    <row r="14136" spans="1:2" x14ac:dyDescent="0.25">
      <c r="A14136">
        <f ca="1">27392.8974003006*((RANDBETWEEN(1620,2416)))</f>
        <v>54018793.673392795</v>
      </c>
      <c r="B14136">
        <v>145124985.59813827</v>
      </c>
    </row>
    <row r="14137" spans="1:2" x14ac:dyDescent="0.25">
      <c r="A14137">
        <f ca="1">28711.9466343516*((RANDBETWEEN(1620,2416)))</f>
        <v>58687218.920614608</v>
      </c>
      <c r="B14137">
        <v>172690038.14023253</v>
      </c>
    </row>
    <row r="14138" spans="1:2" x14ac:dyDescent="0.25">
      <c r="A14138">
        <f ca="1">26312.6239433421*((RANDBETWEEN(1620,2416)))</f>
        <v>55730137.511998579</v>
      </c>
      <c r="B14138">
        <v>159268799.78572255</v>
      </c>
    </row>
    <row r="14139" spans="1:2" x14ac:dyDescent="0.25">
      <c r="A14139">
        <f ca="1">32457.7877772705*((RANDBETWEEN(1620,2416)))</f>
        <v>61637338.989036597</v>
      </c>
      <c r="B14139">
        <v>161055388.69019365</v>
      </c>
    </row>
    <row r="14140" spans="1:2" x14ac:dyDescent="0.25">
      <c r="A14140">
        <f ca="1">25086.3874276376*((RANDBETWEEN(1620,2416)))</f>
        <v>40840638.732194059</v>
      </c>
      <c r="B14140">
        <v>144192548.82901931</v>
      </c>
    </row>
    <row r="14141" spans="1:2" x14ac:dyDescent="0.25">
      <c r="A14141">
        <f ca="1">28637.8220984328*((RANDBETWEEN(1620,2416)))</f>
        <v>50860772.04681658</v>
      </c>
      <c r="B14141">
        <v>179031251.68675885</v>
      </c>
    </row>
    <row r="14142" spans="1:2" x14ac:dyDescent="0.25">
      <c r="A14142">
        <f ca="1">25831.4438097798*((RANDBETWEEN(1620,2416)))</f>
        <v>46858239.070940509</v>
      </c>
      <c r="B14142">
        <v>155569870.28442761</v>
      </c>
    </row>
    <row r="14143" spans="1:2" x14ac:dyDescent="0.25">
      <c r="A14143">
        <f ca="1">26113.4723994928*((RANDBETWEEN(1620,2416)))</f>
        <v>57397412.334085211</v>
      </c>
      <c r="B14143">
        <v>170150734.6626108</v>
      </c>
    </row>
    <row r="14144" spans="1:2" x14ac:dyDescent="0.25">
      <c r="A14144">
        <f ca="1">25380.8481672118*((RANDBETWEEN(1620,2416)))</f>
        <v>57309955.161564209</v>
      </c>
      <c r="B14144">
        <v>151065769.5630472</v>
      </c>
    </row>
    <row r="14145" spans="1:2" x14ac:dyDescent="0.25">
      <c r="A14145">
        <f ca="1">29322.2891448988*((RANDBETWEEN(1620,2416)))</f>
        <v>49114834.317705505</v>
      </c>
      <c r="B14145">
        <v>146009546.38510162</v>
      </c>
    </row>
    <row r="14146" spans="1:2" x14ac:dyDescent="0.25">
      <c r="A14146">
        <f ca="1">29036.8086966795*((RANDBETWEEN(1620,2416)))</f>
        <v>50843452.027885802</v>
      </c>
      <c r="B14146">
        <v>180511215.14343169</v>
      </c>
    </row>
    <row r="14147" spans="1:2" x14ac:dyDescent="0.25">
      <c r="A14147">
        <f ca="1">27198.909890428*((RANDBETWEEN(1620,2416)))</f>
        <v>61034353.794120416</v>
      </c>
      <c r="B14147">
        <v>156928803.77351621</v>
      </c>
    </row>
    <row r="14148" spans="1:2" x14ac:dyDescent="0.25">
      <c r="A14148">
        <f ca="1">30083.3353600542*((RANDBETWEEN(1620,2416)))</f>
        <v>49787920.02088967</v>
      </c>
      <c r="B14148">
        <v>176783947.34619927</v>
      </c>
    </row>
    <row r="14149" spans="1:2" x14ac:dyDescent="0.25">
      <c r="A14149">
        <f ca="1">31424.1601048291*((RANDBETWEEN(1620,2416)))</f>
        <v>59454510.918336667</v>
      </c>
      <c r="B14149">
        <v>180408644.60075057</v>
      </c>
    </row>
    <row r="14150" spans="1:2" x14ac:dyDescent="0.25">
      <c r="A14150">
        <f ca="1">30528.8450021649*((RANDBETWEEN(1620,2416)))</f>
        <v>70185814.659977078</v>
      </c>
      <c r="B14150">
        <v>158669286.40842932</v>
      </c>
    </row>
    <row r="14151" spans="1:2" x14ac:dyDescent="0.25">
      <c r="A14151">
        <f ca="1">26402.0798349433*((RANDBETWEEN(1620,2416)))</f>
        <v>56183625.888759255</v>
      </c>
      <c r="B14151">
        <v>165143582.54923695</v>
      </c>
    </row>
    <row r="14152" spans="1:2" x14ac:dyDescent="0.25">
      <c r="A14152">
        <f ca="1">28300.2491416394*((RANDBETWEEN(1620,2416)))</f>
        <v>53091267.389715478</v>
      </c>
      <c r="B14152">
        <v>190547668.22914484</v>
      </c>
    </row>
    <row r="14153" spans="1:2" x14ac:dyDescent="0.25">
      <c r="A14153">
        <f ca="1">28509.9115549645*((RANDBETWEEN(1620,2416)))</f>
        <v>52999925.580679037</v>
      </c>
      <c r="B14153">
        <v>166201159.97674826</v>
      </c>
    </row>
    <row r="14154" spans="1:2" x14ac:dyDescent="0.25">
      <c r="A14154">
        <f ca="1">31278.8124568863*((RANDBETWEEN(1620,2416)))</f>
        <v>60086598.729678631</v>
      </c>
      <c r="B14154">
        <v>187526710.0351131</v>
      </c>
    </row>
    <row r="14155" spans="1:2" x14ac:dyDescent="0.25">
      <c r="A14155">
        <f ca="1">32169.8748090164*((RANDBETWEEN(1620,2416)))</f>
        <v>58130963.779892579</v>
      </c>
      <c r="B14155">
        <v>148811595.07718366</v>
      </c>
    </row>
    <row r="14156" spans="1:2" x14ac:dyDescent="0.25">
      <c r="A14156">
        <f ca="1">27111.5002237632*((RANDBETWEEN(1620,2416)))</f>
        <v>52352306.932086699</v>
      </c>
      <c r="B14156">
        <v>157133564.39815274</v>
      </c>
    </row>
    <row r="14157" spans="1:2" x14ac:dyDescent="0.25">
      <c r="A14157">
        <f ca="1">30823.1448197493*((RANDBETWEEN(1620,2416)))</f>
        <v>59149614.909098998</v>
      </c>
      <c r="B14157">
        <v>178496595.95325407</v>
      </c>
    </row>
    <row r="14158" spans="1:2" x14ac:dyDescent="0.25">
      <c r="A14158">
        <f ca="1">28658.3519264241*((RANDBETWEEN(1620,2416)))</f>
        <v>51499058.411784127</v>
      </c>
      <c r="B14158">
        <v>163387644.49659896</v>
      </c>
    </row>
    <row r="14159" spans="1:2" x14ac:dyDescent="0.25">
      <c r="A14159">
        <f ca="1">26353.0379080787*((RANDBETWEEN(1620,2416)))</f>
        <v>50070772.025349587</v>
      </c>
      <c r="B14159">
        <v>174264272.75660139</v>
      </c>
    </row>
    <row r="14160" spans="1:2" x14ac:dyDescent="0.25">
      <c r="A14160">
        <f ca="1">31022.6842449725*((RANDBETWEEN(1620,2416)))</f>
        <v>67381270.180080295</v>
      </c>
      <c r="B14160">
        <v>188929098.57544434</v>
      </c>
    </row>
    <row r="14161" spans="1:2" x14ac:dyDescent="0.25">
      <c r="A14161">
        <f ca="1">31089.6274131755*((RANDBETWEEN(1620,2416)))</f>
        <v>62521240.727895893</v>
      </c>
      <c r="B14161">
        <v>170156447.23745686</v>
      </c>
    </row>
    <row r="14162" spans="1:2" x14ac:dyDescent="0.25">
      <c r="A14162">
        <f ca="1">31699.8416438775*((RANDBETWEEN(1620,2416)))</f>
        <v>51480542.829657026</v>
      </c>
      <c r="B14162">
        <v>197263349.48982269</v>
      </c>
    </row>
    <row r="14163" spans="1:2" x14ac:dyDescent="0.25">
      <c r="A14163">
        <f ca="1">28864.3932926286*((RANDBETWEEN(1620,2416)))</f>
        <v>65118071.268170141</v>
      </c>
      <c r="B14163">
        <v>169655275.58491462</v>
      </c>
    </row>
    <row r="14164" spans="1:2" x14ac:dyDescent="0.25">
      <c r="A14164">
        <f ca="1">26254.4712393664*((RANDBETWEEN(1620,2416)))</f>
        <v>54215483.109291628</v>
      </c>
      <c r="B14164">
        <v>165896379.55774319</v>
      </c>
    </row>
    <row r="14165" spans="1:2" x14ac:dyDescent="0.25">
      <c r="A14165">
        <f ca="1">28175.1157242371*((RANDBETWEEN(1620,2416)))</f>
        <v>55251401.935228884</v>
      </c>
      <c r="B14165">
        <v>203136667.42604816</v>
      </c>
    </row>
    <row r="14166" spans="1:2" x14ac:dyDescent="0.25">
      <c r="A14166">
        <f ca="1">28804.5267350239*((RANDBETWEEN(1620,2416)))</f>
        <v>54382946.475725159</v>
      </c>
      <c r="B14166">
        <v>163079533.52503231</v>
      </c>
    </row>
    <row r="14167" spans="1:2" x14ac:dyDescent="0.25">
      <c r="A14167">
        <f ca="1">28041.7299663496*((RANDBETWEEN(1620,2416)))</f>
        <v>60261677.697685234</v>
      </c>
      <c r="B14167">
        <v>185005722.43896237</v>
      </c>
    </row>
    <row r="14168" spans="1:2" x14ac:dyDescent="0.25">
      <c r="A14168">
        <f ca="1">29263.9857215748*((RANDBETWEEN(1620,2416)))</f>
        <v>59932642.757785149</v>
      </c>
      <c r="B14168">
        <v>177200762.43088135</v>
      </c>
    </row>
    <row r="14169" spans="1:2" x14ac:dyDescent="0.25">
      <c r="A14169">
        <f ca="1">26153.1343546633*((RANDBETWEEN(1620,2416)))</f>
        <v>44277256.462444946</v>
      </c>
      <c r="B14169">
        <v>171248587.04090261</v>
      </c>
    </row>
    <row r="14170" spans="1:2" x14ac:dyDescent="0.25">
      <c r="A14170">
        <f ca="1">27084.4202721078*((RANDBETWEEN(1620,2416)))</f>
        <v>61129536.55414734</v>
      </c>
      <c r="B14170">
        <v>159993955.97659913</v>
      </c>
    </row>
    <row r="14171" spans="1:2" x14ac:dyDescent="0.25">
      <c r="A14171">
        <f ca="1">30623.090168594*((RANDBETWEEN(1620,2416)))</f>
        <v>51814268.565261066</v>
      </c>
      <c r="B14171">
        <v>185097688.67298216</v>
      </c>
    </row>
    <row r="14172" spans="1:2" x14ac:dyDescent="0.25">
      <c r="A14172">
        <f ca="1">25783.8227042751*((RANDBETWEEN(1620,2416)))</f>
        <v>53759270.338413537</v>
      </c>
      <c r="B14172">
        <v>143466141.68868151</v>
      </c>
    </row>
    <row r="14173" spans="1:2" x14ac:dyDescent="0.25">
      <c r="A14173">
        <f ca="1">25779.2911143995*((RANDBETWEEN(1620,2416)))</f>
        <v>57848729.260712527</v>
      </c>
      <c r="B14173">
        <v>203289856.07981619</v>
      </c>
    </row>
    <row r="14174" spans="1:2" x14ac:dyDescent="0.25">
      <c r="A14174">
        <f ca="1">26583.6811265616*((RANDBETWEEN(1620,2416)))</f>
        <v>44421331.162484467</v>
      </c>
      <c r="B14174">
        <v>149669024.30125058</v>
      </c>
    </row>
    <row r="14175" spans="1:2" x14ac:dyDescent="0.25">
      <c r="A14175">
        <f ca="1">27274.6421206259*((RANDBETWEEN(1620,2416)))</f>
        <v>44839511.646308921</v>
      </c>
      <c r="B14175">
        <v>143278203.23129234</v>
      </c>
    </row>
    <row r="14176" spans="1:2" x14ac:dyDescent="0.25">
      <c r="A14176">
        <f ca="1">27169.708823393*((RANDBETWEEN(1620,2416)))</f>
        <v>65207301.17614314</v>
      </c>
      <c r="B14176">
        <v>184233428.94810164</v>
      </c>
    </row>
    <row r="14177" spans="1:2" x14ac:dyDescent="0.25">
      <c r="A14177">
        <f ca="1">25725.7622321961*((RANDBETWEEN(1620,2416)))</f>
        <v>54229906.785469316</v>
      </c>
      <c r="B14177">
        <v>143341490.18942285</v>
      </c>
    </row>
    <row r="14178" spans="1:2" x14ac:dyDescent="0.25">
      <c r="A14178">
        <f ca="1">29731.9288073698*((RANDBETWEEN(1620,2416)))</f>
        <v>71148505.636035964</v>
      </c>
      <c r="B14178">
        <v>193392465.6679264</v>
      </c>
    </row>
    <row r="14179" spans="1:2" x14ac:dyDescent="0.25">
      <c r="A14179">
        <f ca="1">30487.8158263178*((RANDBETWEEN(1620,2416)))</f>
        <v>51310994.03569293</v>
      </c>
      <c r="B14179">
        <v>161524431.16946301</v>
      </c>
    </row>
    <row r="14180" spans="1:2" x14ac:dyDescent="0.25">
      <c r="A14180">
        <f ca="1">29760.3652167045*((RANDBETWEEN(1620,2416)))</f>
        <v>59877854.816009365</v>
      </c>
      <c r="B14180">
        <v>196206973.10504961</v>
      </c>
    </row>
    <row r="14181" spans="1:2" x14ac:dyDescent="0.25">
      <c r="A14181">
        <f ca="1">26566.7772977069*((RANDBETWEEN(1620,2416)))</f>
        <v>45482322.733674176</v>
      </c>
      <c r="B14181">
        <v>157317283.41814789</v>
      </c>
    </row>
    <row r="14182" spans="1:2" x14ac:dyDescent="0.25">
      <c r="A14182">
        <f ca="1">28411.4723397954*((RANDBETWEEN(1620,2416)))</f>
        <v>51339530.518010266</v>
      </c>
      <c r="B14182">
        <v>163156947.34230793</v>
      </c>
    </row>
    <row r="14183" spans="1:2" x14ac:dyDescent="0.25">
      <c r="A14183">
        <f ca="1">32678.3885248929*((RANDBETWEEN(1620,2416)))</f>
        <v>62938576.298943803</v>
      </c>
      <c r="B14183">
        <v>156315434.45741647</v>
      </c>
    </row>
    <row r="14184" spans="1:2" x14ac:dyDescent="0.25">
      <c r="A14184">
        <f ca="1">27884.9128880826*((RANDBETWEEN(1620,2416)))</f>
        <v>64386263.858582787</v>
      </c>
      <c r="B14184">
        <v>174665032.63160777</v>
      </c>
    </row>
    <row r="14185" spans="1:2" x14ac:dyDescent="0.25">
      <c r="A14185">
        <f ca="1">25530.4218885327*((RANDBETWEEN(1620,2416)))</f>
        <v>52924564.574928328</v>
      </c>
      <c r="B14185">
        <v>144855351.19251335</v>
      </c>
    </row>
    <row r="14186" spans="1:2" x14ac:dyDescent="0.25">
      <c r="A14186">
        <f ca="1">25715.925901531*((RANDBETWEEN(1620,2416)))</f>
        <v>52691932.172237113</v>
      </c>
      <c r="B14186">
        <v>157308789.76505643</v>
      </c>
    </row>
    <row r="14187" spans="1:2" x14ac:dyDescent="0.25">
      <c r="A14187">
        <f ca="1">27294.8777223707*((RANDBETWEEN(1620,2416)))</f>
        <v>44599830.198353805</v>
      </c>
      <c r="B14187">
        <v>158254659.41394657</v>
      </c>
    </row>
    <row r="14188" spans="1:2" x14ac:dyDescent="0.25">
      <c r="A14188">
        <f ca="1">26768.757131425*((RANDBETWEEN(1620,2416)))</f>
        <v>50619719.735524625</v>
      </c>
      <c r="B14188">
        <v>184642658.76481658</v>
      </c>
    </row>
    <row r="14189" spans="1:2" x14ac:dyDescent="0.25">
      <c r="A14189">
        <f ca="1">26530.1725112984*((RANDBETWEEN(1620,2416)))</f>
        <v>50884870.87667039</v>
      </c>
      <c r="B14189">
        <v>193075882.7076228</v>
      </c>
    </row>
    <row r="14190" spans="1:2" x14ac:dyDescent="0.25">
      <c r="A14190">
        <f ca="1">27524.0251900388*((RANDBETWEEN(1620,2416)))</f>
        <v>55928819.186158843</v>
      </c>
      <c r="B14190">
        <v>153912241.37216797</v>
      </c>
    </row>
    <row r="14191" spans="1:2" x14ac:dyDescent="0.25">
      <c r="A14191">
        <f ca="1">25852.4851752759*((RANDBETWEEN(1620,2416)))</f>
        <v>55272613.304739907</v>
      </c>
      <c r="B14191">
        <v>163352052.23512506</v>
      </c>
    </row>
    <row r="14192" spans="1:2" x14ac:dyDescent="0.25">
      <c r="A14192">
        <f ca="1">30963.3236014085*((RANDBETWEEN(1620,2416)))</f>
        <v>60966784.171173237</v>
      </c>
      <c r="B14192">
        <v>201642136.22048539</v>
      </c>
    </row>
    <row r="14193" spans="1:2" x14ac:dyDescent="0.25">
      <c r="A14193">
        <f ca="1">25712.0945480903*((RANDBETWEEN(1620,2416)))</f>
        <v>57003713.613116182</v>
      </c>
      <c r="B14193">
        <v>143970572.30715492</v>
      </c>
    </row>
    <row r="14194" spans="1:2" x14ac:dyDescent="0.25">
      <c r="A14194">
        <f ca="1">25622.703788543*((RANDBETWEEN(1620,2416)))</f>
        <v>46146489.523166001</v>
      </c>
      <c r="B14194">
        <v>155119347.46093881</v>
      </c>
    </row>
    <row r="14195" spans="1:2" x14ac:dyDescent="0.25">
      <c r="A14195">
        <f ca="1">25659.8180394168*((RANDBETWEEN(1620,2416)))</f>
        <v>45494857.383886039</v>
      </c>
      <c r="B14195">
        <v>150228986.26022577</v>
      </c>
    </row>
    <row r="14196" spans="1:2" x14ac:dyDescent="0.25">
      <c r="A14196">
        <f ca="1">27210.9764023309*((RANDBETWEEN(1620,2416)))</f>
        <v>57442371.185320474</v>
      </c>
      <c r="B14196">
        <v>153771233.89567146</v>
      </c>
    </row>
    <row r="14197" spans="1:2" x14ac:dyDescent="0.25">
      <c r="A14197">
        <f ca="1">27101.6009093022*((RANDBETWEEN(1620,2416)))</f>
        <v>60599179.633199707</v>
      </c>
      <c r="B14197">
        <v>146950976.75536805</v>
      </c>
    </row>
    <row r="14198" spans="1:2" x14ac:dyDescent="0.25">
      <c r="A14198">
        <f ca="1">30502.8187177565*((RANDBETWEEN(1620,2416)))</f>
        <v>72444194.454671726</v>
      </c>
      <c r="B14198">
        <v>169582300.03588158</v>
      </c>
    </row>
    <row r="14199" spans="1:2" x14ac:dyDescent="0.25">
      <c r="A14199">
        <f ca="1">25885.8580914403*((RANDBETWEEN(1620,2416)))</f>
        <v>47371120.307335764</v>
      </c>
      <c r="B14199">
        <v>152040190.11518997</v>
      </c>
    </row>
    <row r="14200" spans="1:2" x14ac:dyDescent="0.25">
      <c r="A14200">
        <f ca="1">28686.4838791628*((RANDBETWEEN(1620,2416)))</f>
        <v>48623590.175180927</v>
      </c>
      <c r="B14200">
        <v>170400664.04772812</v>
      </c>
    </row>
    <row r="14201" spans="1:2" x14ac:dyDescent="0.25">
      <c r="A14201">
        <f ca="1">28578.0956445444*((RANDBETWEEN(1620,2416)))</f>
        <v>67930133.347082138</v>
      </c>
      <c r="B14201">
        <v>145010461.349044</v>
      </c>
    </row>
    <row r="14202" spans="1:2" x14ac:dyDescent="0.25">
      <c r="A14202">
        <f ca="1">28016.6287444507*((RANDBETWEEN(1620,2416)))</f>
        <v>60291785.058057815</v>
      </c>
      <c r="B14202">
        <v>199681385.81979507</v>
      </c>
    </row>
    <row r="14203" spans="1:2" x14ac:dyDescent="0.25">
      <c r="A14203">
        <f ca="1">26120.2322421863*((RANDBETWEEN(1620,2416)))</f>
        <v>44822318.527591728</v>
      </c>
      <c r="B14203">
        <v>167949696.33311582</v>
      </c>
    </row>
    <row r="14204" spans="1:2" x14ac:dyDescent="0.25">
      <c r="A14204">
        <f ca="1">26366.8094804319*((RANDBETWEEN(1620,2416)))</f>
        <v>48778597.53879898</v>
      </c>
      <c r="B14204">
        <v>189779966.06871682</v>
      </c>
    </row>
    <row r="14205" spans="1:2" x14ac:dyDescent="0.25">
      <c r="A14205">
        <f ca="1">27292.9975441339*((RANDBETWEEN(1620,2416)))</f>
        <v>49373032.557338238</v>
      </c>
      <c r="B14205">
        <v>186714187.15991107</v>
      </c>
    </row>
    <row r="14206" spans="1:2" x14ac:dyDescent="0.25">
      <c r="A14206">
        <f ca="1">31727.9718426883*((RANDBETWEEN(1620,2416)))</f>
        <v>58125644.415805049</v>
      </c>
      <c r="B14206">
        <v>187015326.08962509</v>
      </c>
    </row>
    <row r="14207" spans="1:2" x14ac:dyDescent="0.25">
      <c r="A14207">
        <f ca="1">26289.1360526207*((RANDBETWEEN(1620,2416)))</f>
        <v>60412434.648922302</v>
      </c>
      <c r="B14207">
        <v>152054326.17213517</v>
      </c>
    </row>
    <row r="14208" spans="1:2" x14ac:dyDescent="0.25">
      <c r="A14208">
        <f ca="1">25373.2855281901*((RANDBETWEEN(1620,2416)))</f>
        <v>55694361.734377354</v>
      </c>
      <c r="B14208">
        <v>145438074.12192273</v>
      </c>
    </row>
    <row r="14209" spans="1:2" x14ac:dyDescent="0.25">
      <c r="A14209">
        <f ca="1">27139.4875713606*((RANDBETWEEN(1620,2416)))</f>
        <v>46897034.523311041</v>
      </c>
      <c r="B14209">
        <v>148825234.94233525</v>
      </c>
    </row>
    <row r="14210" spans="1:2" x14ac:dyDescent="0.25">
      <c r="A14210">
        <f ca="1">29277.319359402*((RANDBETWEEN(1620,2416)))</f>
        <v>61218874.780509681</v>
      </c>
      <c r="B14210">
        <v>191444385.53963125</v>
      </c>
    </row>
    <row r="14211" spans="1:2" x14ac:dyDescent="0.25">
      <c r="A14211">
        <f ca="1">26721.2161975976*((RANDBETWEEN(1620,2416)))</f>
        <v>57664384.554415606</v>
      </c>
      <c r="B14211">
        <v>146606999.72124457</v>
      </c>
    </row>
    <row r="14212" spans="1:2" x14ac:dyDescent="0.25">
      <c r="A14212">
        <f ca="1">27334.3864219677*((RANDBETWEEN(1620,2416)))</f>
        <v>55789482.6872361</v>
      </c>
      <c r="B14212">
        <v>173723792.18881506</v>
      </c>
    </row>
    <row r="14213" spans="1:2" x14ac:dyDescent="0.25">
      <c r="A14213">
        <f ca="1">27402.6609783843*((RANDBETWEEN(1620,2416)))</f>
        <v>64341447.977246337</v>
      </c>
      <c r="B14213">
        <v>190238852.95186165</v>
      </c>
    </row>
    <row r="14214" spans="1:2" x14ac:dyDescent="0.25">
      <c r="A14214">
        <f ca="1">26664.9098504368*((RANDBETWEEN(1620,2416)))</f>
        <v>46103629.131405279</v>
      </c>
      <c r="B14214">
        <v>144836184.83051446</v>
      </c>
    </row>
    <row r="14215" spans="1:2" x14ac:dyDescent="0.25">
      <c r="A14215">
        <f ca="1">28232.3987006519*((RANDBETWEEN(1620,2416)))</f>
        <v>66854320.123143598</v>
      </c>
      <c r="B14215">
        <v>183279786.5772832</v>
      </c>
    </row>
    <row r="14216" spans="1:2" x14ac:dyDescent="0.25">
      <c r="A14216">
        <f ca="1">29201.5047118904*((RANDBETWEEN(1620,2416)))</f>
        <v>59512666.602832645</v>
      </c>
      <c r="B14216">
        <v>180694642.52508467</v>
      </c>
    </row>
    <row r="14217" spans="1:2" x14ac:dyDescent="0.25">
      <c r="A14217">
        <f ca="1">30819.0130937265*((RANDBETWEEN(1620,2416)))</f>
        <v>64134366.248044871</v>
      </c>
      <c r="B14217">
        <v>175412920.09840813</v>
      </c>
    </row>
    <row r="14218" spans="1:2" x14ac:dyDescent="0.25">
      <c r="A14218">
        <f ca="1">27265.8616562415*((RANDBETWEEN(1620,2416)))</f>
        <v>60448415.291887365</v>
      </c>
      <c r="B14218">
        <v>154023967.14359242</v>
      </c>
    </row>
    <row r="14219" spans="1:2" x14ac:dyDescent="0.25">
      <c r="A14219">
        <f ca="1">30169.9576941977*((RANDBETWEEN(1620,2416)))</f>
        <v>56568670.676620729</v>
      </c>
      <c r="B14219">
        <v>147064309.65743265</v>
      </c>
    </row>
    <row r="14220" spans="1:2" x14ac:dyDescent="0.25">
      <c r="A14220">
        <f ca="1">26209.8909149034*((RANDBETWEEN(1620,2416)))</f>
        <v>61121465.613554664</v>
      </c>
      <c r="B14220">
        <v>150680529.88993749</v>
      </c>
    </row>
    <row r="14221" spans="1:2" x14ac:dyDescent="0.25">
      <c r="A14221">
        <f ca="1">27528.828063027*((RANDBETWEEN(1620,2416)))</f>
        <v>59434739.78807535</v>
      </c>
      <c r="B14221">
        <v>192723095.46423298</v>
      </c>
    </row>
    <row r="14222" spans="1:2" x14ac:dyDescent="0.25">
      <c r="A14222">
        <f ca="1">27959.7685878457*((RANDBETWEEN(1620,2416)))</f>
        <v>47615485.905101277</v>
      </c>
      <c r="B14222">
        <v>145193400.32681906</v>
      </c>
    </row>
    <row r="14223" spans="1:2" x14ac:dyDescent="0.25">
      <c r="A14223">
        <f ca="1">28546.196034347*((RANDBETWEEN(1620,2416)))</f>
        <v>66769552.524337567</v>
      </c>
      <c r="B14223">
        <v>201939174.64876556</v>
      </c>
    </row>
    <row r="14224" spans="1:2" x14ac:dyDescent="0.25">
      <c r="A14224">
        <f ca="1">27359.5951495963*((RANDBETWEEN(1620,2416)))</f>
        <v>45663164.304676279</v>
      </c>
      <c r="B14224">
        <v>148012885.52453953</v>
      </c>
    </row>
    <row r="14225" spans="1:2" x14ac:dyDescent="0.25">
      <c r="A14225">
        <f ca="1">33655.5656338309*((RANDBETWEEN(1620,2416)))</f>
        <v>77071245.301472843</v>
      </c>
      <c r="B14225">
        <v>165982611.5667727</v>
      </c>
    </row>
    <row r="14226" spans="1:2" x14ac:dyDescent="0.25">
      <c r="A14226">
        <f ca="1">30501.5292953013*((RANDBETWEEN(1620,2416)))</f>
        <v>60545535.65117307</v>
      </c>
      <c r="B14226">
        <v>151396175.96416247</v>
      </c>
    </row>
    <row r="14227" spans="1:2" x14ac:dyDescent="0.25">
      <c r="A14227">
        <f ca="1">27513.2435054671*((RANDBETWEEN(1620,2416)))</f>
        <v>65729138.734560974</v>
      </c>
      <c r="B14227">
        <v>144377365.64704219</v>
      </c>
    </row>
    <row r="14228" spans="1:2" x14ac:dyDescent="0.25">
      <c r="A14228">
        <f ca="1">32539.5456721707*((RANDBETWEEN(1620,2416)))</f>
        <v>66120356.805850901</v>
      </c>
      <c r="B14228">
        <v>194024860.61197397</v>
      </c>
    </row>
    <row r="14229" spans="1:2" x14ac:dyDescent="0.25">
      <c r="A14229">
        <f ca="1">28483.9720992405*((RANDBETWEEN(1620,2416)))</f>
        <v>64829520.497871473</v>
      </c>
      <c r="B14229">
        <v>145967535.51573104</v>
      </c>
    </row>
    <row r="14230" spans="1:2" x14ac:dyDescent="0.25">
      <c r="A14230">
        <f ca="1">28133.9741815973*((RANDBETWEEN(1620,2416)))</f>
        <v>50781823.397783168</v>
      </c>
      <c r="B14230">
        <v>164082764.24152318</v>
      </c>
    </row>
    <row r="14231" spans="1:2" x14ac:dyDescent="0.25">
      <c r="A14231">
        <f ca="1">26988.3297068714*((RANDBETWEEN(1620,2416)))</f>
        <v>47445483.624679908</v>
      </c>
      <c r="B14231">
        <v>153828491.90937537</v>
      </c>
    </row>
    <row r="14232" spans="1:2" x14ac:dyDescent="0.25">
      <c r="A14232">
        <f ca="1">29540.7435341931*((RANDBETWEEN(1620,2416)))</f>
        <v>61740153.986463562</v>
      </c>
      <c r="B14232">
        <v>203015447.05400884</v>
      </c>
    </row>
    <row r="14233" spans="1:2" x14ac:dyDescent="0.25">
      <c r="A14233">
        <f ca="1">26926.1368411452*((RANDBETWEEN(1620,2416)))</f>
        <v>53906125.955972634</v>
      </c>
      <c r="B14233">
        <v>174701131.42225212</v>
      </c>
    </row>
    <row r="14234" spans="1:2" x14ac:dyDescent="0.25">
      <c r="A14234">
        <f ca="1">28140.514188891*((RANDBETWEEN(1620,2416)))</f>
        <v>50118255.770414844</v>
      </c>
      <c r="B14234">
        <v>173114031.26373327</v>
      </c>
    </row>
    <row r="14235" spans="1:2" x14ac:dyDescent="0.25">
      <c r="A14235">
        <f ca="1">27904.3104031938*((RANDBETWEEN(1620,2416)))</f>
        <v>65212373.412263907</v>
      </c>
      <c r="B14235">
        <v>145306795.86893457</v>
      </c>
    </row>
    <row r="14236" spans="1:2" x14ac:dyDescent="0.25">
      <c r="A14236">
        <f ca="1">30277.0078076984*((RANDBETWEEN(1620,2416)))</f>
        <v>51682852.327741235</v>
      </c>
      <c r="B14236">
        <v>158690688.12454367</v>
      </c>
    </row>
    <row r="14237" spans="1:2" x14ac:dyDescent="0.25">
      <c r="A14237">
        <f ca="1">30149.0370546661*((RANDBETWEEN(1620,2416)))</f>
        <v>57222872.3297562</v>
      </c>
      <c r="B14237">
        <v>162053252.11447978</v>
      </c>
    </row>
    <row r="14238" spans="1:2" x14ac:dyDescent="0.25">
      <c r="A14238">
        <f ca="1">28083.4454049263*((RANDBETWEEN(1620,2416)))</f>
        <v>50381701.056437761</v>
      </c>
      <c r="B14238">
        <v>157252290.80744082</v>
      </c>
    </row>
    <row r="14239" spans="1:2" x14ac:dyDescent="0.25">
      <c r="A14239">
        <f ca="1">27479.6386692023*((RANDBETWEEN(1620,2416)))</f>
        <v>52650987.690191694</v>
      </c>
      <c r="B14239">
        <v>159794166.25264892</v>
      </c>
    </row>
    <row r="14240" spans="1:2" x14ac:dyDescent="0.25">
      <c r="A14240">
        <f ca="1">30582.9597401047*((RANDBETWEEN(1620,2416)))</f>
        <v>55630403.767250456</v>
      </c>
      <c r="B14240">
        <v>185073541.42362729</v>
      </c>
    </row>
    <row r="14241" spans="1:2" x14ac:dyDescent="0.25">
      <c r="A14241">
        <f ca="1">28974.9447482065*((RANDBETWEEN(1620,2416)))</f>
        <v>58471438.501880631</v>
      </c>
      <c r="B14241">
        <v>185529450.52110493</v>
      </c>
    </row>
    <row r="14242" spans="1:2" x14ac:dyDescent="0.25">
      <c r="A14242">
        <f ca="1">29327.4796025919*((RANDBETWEEN(1620,2416)))</f>
        <v>53317357.917512096</v>
      </c>
      <c r="B14242">
        <v>187918711.68500239</v>
      </c>
    </row>
    <row r="14243" spans="1:2" x14ac:dyDescent="0.25">
      <c r="A14243">
        <f ca="1">26339.175096276*((RANDBETWEEN(1620,2416)))</f>
        <v>44829276.013861783</v>
      </c>
      <c r="B14243">
        <v>148910229.59932041</v>
      </c>
    </row>
    <row r="14244" spans="1:2" x14ac:dyDescent="0.25">
      <c r="A14244">
        <f ca="1">27107.5699897423*((RANDBETWEEN(1620,2416)))</f>
        <v>48007506.451833606</v>
      </c>
      <c r="B14244">
        <v>147884511.39674166</v>
      </c>
    </row>
    <row r="14245" spans="1:2" x14ac:dyDescent="0.25">
      <c r="A14245">
        <f ca="1">26700.1147502338*((RANDBETWEEN(1620,2416)))</f>
        <v>51531221.467951216</v>
      </c>
      <c r="B14245">
        <v>150011947.97364992</v>
      </c>
    </row>
    <row r="14246" spans="1:2" x14ac:dyDescent="0.25">
      <c r="A14246">
        <f ca="1">28547.8795327887*((RANDBETWEEN(1620,2416)))</f>
        <v>62405664.658676006</v>
      </c>
      <c r="B14246">
        <v>189607057.0862157</v>
      </c>
    </row>
    <row r="14247" spans="1:2" x14ac:dyDescent="0.25">
      <c r="A14247">
        <f ca="1">26494.9417706498*((RANDBETWEEN(1620,2416)))</f>
        <v>63004971.530605137</v>
      </c>
      <c r="B14247">
        <v>145388505.65020412</v>
      </c>
    </row>
    <row r="14248" spans="1:2" x14ac:dyDescent="0.25">
      <c r="A14248">
        <f ca="1">27518.4262850719*((RANDBETWEEN(1620,2416)))</f>
        <v>55559702.669560239</v>
      </c>
      <c r="B14248">
        <v>166644738.64084792</v>
      </c>
    </row>
    <row r="14249" spans="1:2" x14ac:dyDescent="0.25">
      <c r="A14249">
        <f ca="1">27214.676230356*((RANDBETWEEN(1620,2416)))</f>
        <v>64988646.838090181</v>
      </c>
      <c r="B14249">
        <v>155595829.62040949</v>
      </c>
    </row>
    <row r="14250" spans="1:2" x14ac:dyDescent="0.25">
      <c r="A14250">
        <f ca="1">26409.3326856729*((RANDBETWEEN(1620,2416)))</f>
        <v>53505308.021173283</v>
      </c>
      <c r="B14250">
        <v>173025505.60716832</v>
      </c>
    </row>
    <row r="14251" spans="1:2" x14ac:dyDescent="0.25">
      <c r="A14251">
        <f ca="1">28061.9485453978*((RANDBETWEEN(1620,2416)))</f>
        <v>56180020.987886392</v>
      </c>
      <c r="B14251">
        <v>194020188.63812163</v>
      </c>
    </row>
    <row r="14252" spans="1:2" x14ac:dyDescent="0.25">
      <c r="A14252">
        <f ca="1">26718.788410451*((RANDBETWEEN(1620,2416)))</f>
        <v>46757879.718289211</v>
      </c>
      <c r="B14252">
        <v>173894462.25125831</v>
      </c>
    </row>
    <row r="14253" spans="1:2" x14ac:dyDescent="0.25">
      <c r="A14253">
        <f ca="1">29433.6668838386*((RANDBETWEEN(1620,2416)))</f>
        <v>56777543.418924585</v>
      </c>
      <c r="B14253">
        <v>173143615.86963764</v>
      </c>
    </row>
    <row r="14254" spans="1:2" x14ac:dyDescent="0.25">
      <c r="A14254">
        <f ca="1">33027.5245280874*((RANDBETWEEN(1620,2416)))</f>
        <v>63511929.667512156</v>
      </c>
      <c r="B14254">
        <v>203204640.14245155</v>
      </c>
    </row>
    <row r="14255" spans="1:2" x14ac:dyDescent="0.25">
      <c r="A14255">
        <f ca="1">28224.890377979*((RANDBETWEEN(1620,2416)))</f>
        <v>64211625.609902315</v>
      </c>
      <c r="B14255">
        <v>158652642.64016923</v>
      </c>
    </row>
    <row r="14256" spans="1:2" x14ac:dyDescent="0.25">
      <c r="A14256">
        <f ca="1">25132.2431819387*((RANDBETWEEN(1620,2416)))</f>
        <v>41468201.250198908</v>
      </c>
      <c r="B14256">
        <v>187904117.54852808</v>
      </c>
    </row>
    <row r="14257" spans="1:2" x14ac:dyDescent="0.25">
      <c r="A14257">
        <f ca="1">30293.8869540566*((RANDBETWEEN(1620,2416)))</f>
        <v>52378130.543563828</v>
      </c>
      <c r="B14257">
        <v>163021690.08297285</v>
      </c>
    </row>
    <row r="14258" spans="1:2" x14ac:dyDescent="0.25">
      <c r="A14258">
        <f ca="1">26178.3285514934*((RANDBETWEEN(1620,2416)))</f>
        <v>56152514.742953412</v>
      </c>
      <c r="B14258">
        <v>172719361.25689065</v>
      </c>
    </row>
    <row r="14259" spans="1:2" x14ac:dyDescent="0.25">
      <c r="A14259">
        <f ca="1">33630.1877052593*((RANDBETWEEN(1620,2416)))</f>
        <v>72977507.320412666</v>
      </c>
      <c r="B14259">
        <v>178263327.17144746</v>
      </c>
    </row>
    <row r="14260" spans="1:2" x14ac:dyDescent="0.25">
      <c r="A14260">
        <f ca="1">25082.0458549977*((RANDBETWEEN(1620,2416)))</f>
        <v>45824897.777080834</v>
      </c>
      <c r="B14260">
        <v>174089457.97171596</v>
      </c>
    </row>
    <row r="14261" spans="1:2" x14ac:dyDescent="0.25">
      <c r="A14261">
        <f ca="1">26969.6529351745*((RANDBETWEEN(1620,2416)))</f>
        <v>64241713.291585729</v>
      </c>
      <c r="B14261">
        <v>144734564.7286163</v>
      </c>
    </row>
    <row r="14262" spans="1:2" x14ac:dyDescent="0.25">
      <c r="A14262">
        <f ca="1">27614.3195373303*((RANDBETWEEN(1620,2416)))</f>
        <v>63071105.823262438</v>
      </c>
      <c r="B14262">
        <v>148977935.51410365</v>
      </c>
    </row>
    <row r="14263" spans="1:2" x14ac:dyDescent="0.25">
      <c r="A14263">
        <f ca="1">29155.5315045012*((RANDBETWEEN(1620,2416)))</f>
        <v>59069106.828119382</v>
      </c>
      <c r="B14263">
        <v>199631067.65952408</v>
      </c>
    </row>
    <row r="14264" spans="1:2" x14ac:dyDescent="0.25">
      <c r="A14264">
        <f ca="1">26845.1435491525*((RANDBETWEEN(1620,2416)))</f>
        <v>45609898.890010089</v>
      </c>
      <c r="B14264">
        <v>180974478.07008225</v>
      </c>
    </row>
    <row r="14265" spans="1:2" x14ac:dyDescent="0.25">
      <c r="A14265">
        <f ca="1">29806.8905915832*((RANDBETWEEN(1620,2416)))</f>
        <v>57497491.95116397</v>
      </c>
      <c r="B14265">
        <v>189645072.4528555</v>
      </c>
    </row>
    <row r="14266" spans="1:2" x14ac:dyDescent="0.25">
      <c r="A14266">
        <f ca="1">27832.4689660075*((RANDBETWEEN(1620,2416)))</f>
        <v>46285395.890470542</v>
      </c>
      <c r="B14266">
        <v>203402069.10559669</v>
      </c>
    </row>
    <row r="14267" spans="1:2" x14ac:dyDescent="0.25">
      <c r="A14267">
        <f ca="1">28649.9722492869*((RANDBETWEEN(1620,2416)))</f>
        <v>52400799.24394577</v>
      </c>
      <c r="B14267">
        <v>152633251.73938072</v>
      </c>
    </row>
    <row r="14268" spans="1:2" x14ac:dyDescent="0.25">
      <c r="A14268">
        <f ca="1">28076.361129648*((RANDBETWEEN(1620,2416)))</f>
        <v>62862972.569281764</v>
      </c>
      <c r="B14268">
        <v>151266771.23969898</v>
      </c>
    </row>
    <row r="14269" spans="1:2" x14ac:dyDescent="0.25">
      <c r="A14269">
        <f ca="1">26054.3197211603*((RANDBETWEEN(1620,2416)))</f>
        <v>47575187.810838781</v>
      </c>
      <c r="B14269">
        <v>149111969.51721179</v>
      </c>
    </row>
    <row r="14270" spans="1:2" x14ac:dyDescent="0.25">
      <c r="A14270">
        <f ca="1">27858.375179182*((RANDBETWEEN(1620,2416)))</f>
        <v>50730101.201290488</v>
      </c>
      <c r="B14270">
        <v>145696698.12832093</v>
      </c>
    </row>
    <row r="14271" spans="1:2" x14ac:dyDescent="0.25">
      <c r="A14271">
        <f ca="1">25621.394483145*((RANDBETWEEN(1620,2416)))</f>
        <v>56597660.41326724</v>
      </c>
      <c r="B14271">
        <v>150392728.71297276</v>
      </c>
    </row>
    <row r="14272" spans="1:2" x14ac:dyDescent="0.25">
      <c r="A14272">
        <f ca="1">27290.3875832094*((RANDBETWEEN(1620,2416)))</f>
        <v>59302012.218313918</v>
      </c>
      <c r="B14272">
        <v>160925938.68142229</v>
      </c>
    </row>
    <row r="14273" spans="1:2" x14ac:dyDescent="0.25">
      <c r="A14273">
        <f ca="1">26617.1124101843*((RANDBETWEEN(1620,2416)))</f>
        <v>63934304.009262584</v>
      </c>
      <c r="B14273">
        <v>158628987.81879732</v>
      </c>
    </row>
    <row r="14274" spans="1:2" x14ac:dyDescent="0.25">
      <c r="A14274">
        <f ca="1">27577.2189324617*((RANDBETWEEN(1620,2416)))</f>
        <v>53086146.444988854</v>
      </c>
      <c r="B14274">
        <v>143412377.32937801</v>
      </c>
    </row>
    <row r="14275" spans="1:2" x14ac:dyDescent="0.25">
      <c r="A14275">
        <f ca="1">30572.5041223911*((RANDBETWEEN(1620,2416)))</f>
        <v>66525768.970323071</v>
      </c>
      <c r="B14275">
        <v>179453728.81301069</v>
      </c>
    </row>
    <row r="14276" spans="1:2" x14ac:dyDescent="0.25">
      <c r="A14276">
        <f ca="1">30618.0908130506*((RANDBETWEEN(1620,2416)))</f>
        <v>69135649.055868313</v>
      </c>
      <c r="B14276">
        <v>158054993.11362082</v>
      </c>
    </row>
    <row r="14277" spans="1:2" x14ac:dyDescent="0.25">
      <c r="A14277">
        <f ca="1">27257.0441726398*((RANDBETWEEN(1620,2416)))</f>
        <v>61164807.123403698</v>
      </c>
      <c r="B14277">
        <v>178520412.64968267</v>
      </c>
    </row>
    <row r="14278" spans="1:2" x14ac:dyDescent="0.25">
      <c r="A14278">
        <f ca="1">31522.6188593089*((RANDBETWEEN(1620,2416)))</f>
        <v>52422115.163030721</v>
      </c>
      <c r="B14278">
        <v>203295284.50480664</v>
      </c>
    </row>
    <row r="14279" spans="1:2" x14ac:dyDescent="0.25">
      <c r="A14279">
        <f ca="1">31150.905994068*((RANDBETWEEN(1620,2416)))</f>
        <v>55697819.917393632</v>
      </c>
      <c r="B14279">
        <v>166266272.80593836</v>
      </c>
    </row>
    <row r="14280" spans="1:2" x14ac:dyDescent="0.25">
      <c r="A14280">
        <f ca="1">27126.7158586061*((RANDBETWEEN(1620,2416)))</f>
        <v>56532075.849335007</v>
      </c>
      <c r="B14280">
        <v>177485843.81281218</v>
      </c>
    </row>
    <row r="14281" spans="1:2" x14ac:dyDescent="0.25">
      <c r="A14281">
        <f ca="1">31820.1008140543*((RANDBETWEEN(1620,2416)))</f>
        <v>67840454.935563758</v>
      </c>
      <c r="B14281">
        <v>177756441.46153921</v>
      </c>
    </row>
    <row r="14282" spans="1:2" x14ac:dyDescent="0.25">
      <c r="A14282">
        <f ca="1">27598.9716452516*((RANDBETWEEN(1620,2416)))</f>
        <v>47967012.71944724</v>
      </c>
      <c r="B14282">
        <v>179661905.00334266</v>
      </c>
    </row>
    <row r="14283" spans="1:2" x14ac:dyDescent="0.25">
      <c r="A14283">
        <f ca="1">30791.8850349563*((RANDBETWEEN(1620,2416)))</f>
        <v>72976767.53284651</v>
      </c>
      <c r="B14283">
        <v>187591208.91758174</v>
      </c>
    </row>
    <row r="14284" spans="1:2" x14ac:dyDescent="0.25">
      <c r="A14284">
        <f ca="1">26308.6799565012*((RANDBETWEEN(1620,2416)))</f>
        <v>56695205.30625999</v>
      </c>
      <c r="B14284">
        <v>175330776.93554336</v>
      </c>
    </row>
    <row r="14285" spans="1:2" x14ac:dyDescent="0.25">
      <c r="A14285">
        <f ca="1">25688.0946095797*((RANDBETWEEN(1620,2416)))</f>
        <v>61600050.873772174</v>
      </c>
      <c r="B14285">
        <v>154445387.09777835</v>
      </c>
    </row>
    <row r="14286" spans="1:2" x14ac:dyDescent="0.25">
      <c r="A14286">
        <f ca="1">31469.125608189*((RANDBETWEEN(1620,2416)))</f>
        <v>61899770.071307696</v>
      </c>
      <c r="B14286">
        <v>182068010.46648347</v>
      </c>
    </row>
    <row r="14287" spans="1:2" x14ac:dyDescent="0.25">
      <c r="A14287">
        <f ca="1">27002.4101855819*((RANDBETWEEN(1620,2416)))</f>
        <v>46984193.722912587</v>
      </c>
      <c r="B14287">
        <v>161883044.56168738</v>
      </c>
    </row>
    <row r="14288" spans="1:2" x14ac:dyDescent="0.25">
      <c r="A14288">
        <f ca="1">30006.5872279336*((RANDBETWEEN(1620,2416)))</f>
        <v>53831817.486912921</v>
      </c>
      <c r="B14288">
        <v>155587044.39296836</v>
      </c>
    </row>
    <row r="14289" spans="1:2" x14ac:dyDescent="0.25">
      <c r="A14289">
        <f ca="1">26959.9206148789*((RANDBETWEEN(1620,2416)))</f>
        <v>60471101.93917343</v>
      </c>
      <c r="B14289">
        <v>148965307.93173969</v>
      </c>
    </row>
    <row r="14290" spans="1:2" x14ac:dyDescent="0.25">
      <c r="A14290">
        <f ca="1">26293.816642346*((RANDBETWEEN(1620,2416)))</f>
        <v>55848066.548342898</v>
      </c>
      <c r="B14290">
        <v>199919928.31820598</v>
      </c>
    </row>
    <row r="14291" spans="1:2" x14ac:dyDescent="0.25">
      <c r="A14291">
        <f ca="1">29893.4511934404*((RANDBETWEEN(1620,2416)))</f>
        <v>69681634.731909484</v>
      </c>
      <c r="B14291">
        <v>195586716.51138556</v>
      </c>
    </row>
    <row r="14292" spans="1:2" x14ac:dyDescent="0.25">
      <c r="A14292">
        <f ca="1">25471.1516224465*((RANDBETWEEN(1620,2416)))</f>
        <v>49490447.602413639</v>
      </c>
      <c r="B14292">
        <v>158205539.09189725</v>
      </c>
    </row>
    <row r="14293" spans="1:2" x14ac:dyDescent="0.25">
      <c r="A14293">
        <f ca="1">28314.7936918993*((RANDBETWEEN(1620,2416)))</f>
        <v>63311878.695086911</v>
      </c>
      <c r="B14293">
        <v>184896535.8473658</v>
      </c>
    </row>
    <row r="14294" spans="1:2" x14ac:dyDescent="0.25">
      <c r="A14294">
        <f ca="1">33481.9296385973*((RANDBETWEEN(1620,2416)))</f>
        <v>55914822.49645745</v>
      </c>
      <c r="B14294">
        <v>174050293.29434726</v>
      </c>
    </row>
    <row r="14295" spans="1:2" x14ac:dyDescent="0.25">
      <c r="A14295">
        <f ca="1">26068.3103137873*((RANDBETWEEN(1620,2416)))</f>
        <v>61755827.133362114</v>
      </c>
      <c r="B14295">
        <v>160619501.43491656</v>
      </c>
    </row>
    <row r="14296" spans="1:2" x14ac:dyDescent="0.25">
      <c r="A14296">
        <f ca="1">27141.7618638229*((RANDBETWEEN(1620,2416)))</f>
        <v>54012106.109007478</v>
      </c>
      <c r="B14296">
        <v>147124535.56735593</v>
      </c>
    </row>
    <row r="14297" spans="1:2" x14ac:dyDescent="0.25">
      <c r="A14297">
        <f ca="1">25971.7736044885*((RANDBETWEEN(1620,2416)))</f>
        <v>46749192.488079391</v>
      </c>
      <c r="B14297">
        <v>185381586.92285386</v>
      </c>
    </row>
    <row r="14298" spans="1:2" x14ac:dyDescent="0.25">
      <c r="A14298">
        <f ca="1">27848.5558343613*((RANDBETWEEN(1620,2416)))</f>
        <v>61990885.287288189</v>
      </c>
      <c r="B14298">
        <v>174103401.90485084</v>
      </c>
    </row>
    <row r="14299" spans="1:2" x14ac:dyDescent="0.25">
      <c r="A14299">
        <f ca="1">26163.2101010816*((RANDBETWEEN(1620,2416)))</f>
        <v>43247786.297087833</v>
      </c>
      <c r="B14299">
        <v>143946320.67014936</v>
      </c>
    </row>
    <row r="14300" spans="1:2" x14ac:dyDescent="0.25">
      <c r="A14300">
        <f ca="1">27301.7252737993*((RANDBETWEEN(1620,2416)))</f>
        <v>53238364.283908553</v>
      </c>
      <c r="B14300">
        <v>200082062.44248396</v>
      </c>
    </row>
    <row r="14301" spans="1:2" x14ac:dyDescent="0.25">
      <c r="A14301">
        <f ca="1">27529.1169734735*((RANDBETWEEN(1620,2416)))</f>
        <v>56269515.093779929</v>
      </c>
      <c r="B14301">
        <v>156857706.24785697</v>
      </c>
    </row>
    <row r="14302" spans="1:2" x14ac:dyDescent="0.25">
      <c r="A14302">
        <f ca="1">29007.3253323738*((RANDBETWEEN(1620,2416)))</f>
        <v>49457489.691697367</v>
      </c>
      <c r="B14302">
        <v>193827281.1761938</v>
      </c>
    </row>
    <row r="14303" spans="1:2" x14ac:dyDescent="0.25">
      <c r="A14303">
        <f ca="1">27434.1603113158*((RANDBETWEEN(1620,2416)))</f>
        <v>54978057.263876796</v>
      </c>
      <c r="B14303">
        <v>163174587.07077819</v>
      </c>
    </row>
    <row r="14304" spans="1:2" x14ac:dyDescent="0.25">
      <c r="A14304">
        <f ca="1">27648.3404991342*((RANDBETWEEN(1620,2416)))</f>
        <v>54937252.571779579</v>
      </c>
      <c r="B14304">
        <v>145576808.37276992</v>
      </c>
    </row>
    <row r="14305" spans="1:2" x14ac:dyDescent="0.25">
      <c r="A14305">
        <f ca="1">32989.6443185227*((RANDBETWEEN(1620,2416)))</f>
        <v>77228757.349661633</v>
      </c>
      <c r="B14305">
        <v>147848855.96631315</v>
      </c>
    </row>
    <row r="14306" spans="1:2" x14ac:dyDescent="0.25">
      <c r="A14306">
        <f ca="1">27837.021084133*((RANDBETWEEN(1620,2416)))</f>
        <v>56342130.674285196</v>
      </c>
      <c r="B14306">
        <v>177407986.50979543</v>
      </c>
    </row>
    <row r="14307" spans="1:2" x14ac:dyDescent="0.25">
      <c r="A14307">
        <f ca="1">26240.9417353199*((RANDBETWEEN(1620,2416)))</f>
        <v>55630796.478878178</v>
      </c>
      <c r="B14307">
        <v>180714671.86444938</v>
      </c>
    </row>
    <row r="14308" spans="1:2" x14ac:dyDescent="0.25">
      <c r="A14308">
        <f ca="1">29081.8305289036*((RANDBETWEEN(1620,2416)))</f>
        <v>49002884.441202618</v>
      </c>
      <c r="B14308">
        <v>147480237.88104734</v>
      </c>
    </row>
    <row r="14309" spans="1:2" x14ac:dyDescent="0.25">
      <c r="A14309">
        <f ca="1">26014.0047661003*((RANDBETWEEN(1620,2416)))</f>
        <v>51143533.370153263</v>
      </c>
      <c r="B14309">
        <v>162826451.74112582</v>
      </c>
    </row>
    <row r="14310" spans="1:2" x14ac:dyDescent="0.25">
      <c r="A14310">
        <f ca="1">28046.7935192812*((RANDBETWEEN(1620,2416)))</f>
        <v>51409772.520842507</v>
      </c>
      <c r="B14310">
        <v>156143026.4385654</v>
      </c>
    </row>
    <row r="14311" spans="1:2" x14ac:dyDescent="0.25">
      <c r="A14311">
        <f ca="1">30412.4090112918*((RANDBETWEEN(1620,2416)))</f>
        <v>57570690.258375451</v>
      </c>
      <c r="B14311">
        <v>190241075.82079434</v>
      </c>
    </row>
    <row r="14312" spans="1:2" x14ac:dyDescent="0.25">
      <c r="A14312">
        <f ca="1">32153.9794491622*((RANDBETWEEN(1620,2416)))</f>
        <v>54243763.330736555</v>
      </c>
      <c r="B14312">
        <v>173025065.02673829</v>
      </c>
    </row>
    <row r="14313" spans="1:2" x14ac:dyDescent="0.25">
      <c r="A14313">
        <f ca="1">32769.3915202318*((RANDBETWEEN(1620,2416)))</f>
        <v>73174051.26467751</v>
      </c>
      <c r="B14313">
        <v>191164705.66509673</v>
      </c>
    </row>
    <row r="14314" spans="1:2" x14ac:dyDescent="0.25">
      <c r="A14314">
        <f ca="1">29758.5954534818*((RANDBETWEEN(1620,2416)))</f>
        <v>64010738.820439443</v>
      </c>
      <c r="B14314">
        <v>182242711.71233577</v>
      </c>
    </row>
    <row r="14315" spans="1:2" x14ac:dyDescent="0.25">
      <c r="A14315">
        <f ca="1">27651.2783731998*((RANDBETWEEN(1620,2416)))</f>
        <v>66722534.714531079</v>
      </c>
      <c r="B14315">
        <v>153754235.98599121</v>
      </c>
    </row>
    <row r="14316" spans="1:2" x14ac:dyDescent="0.25">
      <c r="A14316">
        <f ca="1">27478.51663839*((RANDBETWEEN(1620,2416)))</f>
        <v>59106289.289176926</v>
      </c>
      <c r="B14316">
        <v>171878760.86305264</v>
      </c>
    </row>
    <row r="14317" spans="1:2" x14ac:dyDescent="0.25">
      <c r="A14317">
        <f ca="1">27362.9984818529*((RANDBETWEEN(1620,2416)))</f>
        <v>64877669.4004732</v>
      </c>
      <c r="B14317">
        <v>185099045.9035911</v>
      </c>
    </row>
    <row r="14318" spans="1:2" x14ac:dyDescent="0.25">
      <c r="A14318">
        <f ca="1">27149.074171068*((RANDBETWEEN(1620,2416)))</f>
        <v>48868333.507922456</v>
      </c>
      <c r="B14318">
        <v>153883922.12499937</v>
      </c>
    </row>
    <row r="14319" spans="1:2" x14ac:dyDescent="0.25">
      <c r="A14319">
        <f ca="1">28149.8430840958*((RANDBETWEEN(1620,2416)))</f>
        <v>57904227.223985158</v>
      </c>
      <c r="B14319">
        <v>156556970.57661051</v>
      </c>
    </row>
    <row r="14320" spans="1:2" x14ac:dyDescent="0.25">
      <c r="A14320">
        <f ca="1">26464.337510679*((RANDBETWEEN(1620,2416)))</f>
        <v>51340814.770717174</v>
      </c>
      <c r="B14320">
        <v>160566259.90685338</v>
      </c>
    </row>
    <row r="14321" spans="1:2" x14ac:dyDescent="0.25">
      <c r="A14321">
        <f ca="1">34007.3460347418*((RANDBETWEEN(1620,2416)))</f>
        <v>78488954.64818418</v>
      </c>
      <c r="B14321">
        <v>170937646.06606272</v>
      </c>
    </row>
    <row r="14322" spans="1:2" x14ac:dyDescent="0.25">
      <c r="A14322">
        <f ca="1">26680.6633751079*((RANDBETWEEN(1620,2416)))</f>
        <v>50213008.471953087</v>
      </c>
      <c r="B14322">
        <v>157485369.53378975</v>
      </c>
    </row>
    <row r="14323" spans="1:2" x14ac:dyDescent="0.25">
      <c r="A14323">
        <f ca="1">29651.0734178272*((RANDBETWEEN(1620,2416)))</f>
        <v>70124788.633161411</v>
      </c>
      <c r="B14323">
        <v>159824306.34819937</v>
      </c>
    </row>
    <row r="14324" spans="1:2" x14ac:dyDescent="0.25">
      <c r="A14324">
        <f ca="1">26529.9900119269*((RANDBETWEEN(1620,2416)))</f>
        <v>48470291.751790583</v>
      </c>
      <c r="B14324">
        <v>160761402.14038134</v>
      </c>
    </row>
    <row r="14325" spans="1:2" x14ac:dyDescent="0.25">
      <c r="A14325">
        <f ca="1">25829.1776292938*((RANDBETWEEN(1620,2416)))</f>
        <v>52639864.008500747</v>
      </c>
      <c r="B14325">
        <v>158906138.99841046</v>
      </c>
    </row>
    <row r="14326" spans="1:2" x14ac:dyDescent="0.25">
      <c r="A14326">
        <f ca="1">27301.6401327647*((RANDBETWEEN(1620,2416)))</f>
        <v>53893437.622077562</v>
      </c>
      <c r="B14326">
        <v>163534187.68306169</v>
      </c>
    </row>
    <row r="14327" spans="1:2" x14ac:dyDescent="0.25">
      <c r="A14327">
        <f ca="1">26126.6859155695*((RANDBETWEEN(1620,2416)))</f>
        <v>57008428.667772599</v>
      </c>
      <c r="B14327">
        <v>155470619.9168154</v>
      </c>
    </row>
    <row r="14328" spans="1:2" x14ac:dyDescent="0.25">
      <c r="A14328">
        <f ca="1">26249.6260481975*((RANDBETWEEN(1620,2416)))</f>
        <v>52892996.487118013</v>
      </c>
      <c r="B14328">
        <v>173975400.12412903</v>
      </c>
    </row>
    <row r="14329" spans="1:2" x14ac:dyDescent="0.25">
      <c r="A14329">
        <f ca="1">27268.3008167914*((RANDBETWEEN(1620,2416)))</f>
        <v>57536114.723429821</v>
      </c>
      <c r="B14329">
        <v>148381263.81198007</v>
      </c>
    </row>
    <row r="14330" spans="1:2" x14ac:dyDescent="0.25">
      <c r="A14330">
        <f ca="1">26825.37502666*((RANDBETWEEN(1620,2416)))</f>
        <v>60330268.434958406</v>
      </c>
      <c r="B14330">
        <v>158270191.10930747</v>
      </c>
    </row>
    <row r="14331" spans="1:2" x14ac:dyDescent="0.25">
      <c r="A14331">
        <f ca="1">30680.2068152542*((RANDBETWEEN(1620,2416)))</f>
        <v>59366200.187516943</v>
      </c>
      <c r="B14331">
        <v>166516103.59486452</v>
      </c>
    </row>
    <row r="14332" spans="1:2" x14ac:dyDescent="0.25">
      <c r="A14332">
        <f ca="1">24871.5822536315*((RANDBETWEEN(1620,2416)))</f>
        <v>41809129.768354602</v>
      </c>
      <c r="B14332">
        <v>147268080.72839603</v>
      </c>
    </row>
    <row r="14333" spans="1:2" x14ac:dyDescent="0.25">
      <c r="A14333">
        <f ca="1">27689.8097568709*((RANDBETWEEN(1620,2416)))</f>
        <v>52527569.108784117</v>
      </c>
      <c r="B14333">
        <v>160536692.35175025</v>
      </c>
    </row>
    <row r="14334" spans="1:2" x14ac:dyDescent="0.25">
      <c r="A14334">
        <f ca="1">26184.431386306*((RANDBETWEEN(1620,2416)))</f>
        <v>46136968.102671154</v>
      </c>
      <c r="B14334">
        <v>150286325.57164448</v>
      </c>
    </row>
    <row r="14335" spans="1:2" x14ac:dyDescent="0.25">
      <c r="A14335">
        <f ca="1">26723.5913365156*((RANDBETWEEN(1620,2416)))</f>
        <v>52164450.288878486</v>
      </c>
      <c r="B14335">
        <v>177119999.38142499</v>
      </c>
    </row>
    <row r="14336" spans="1:2" x14ac:dyDescent="0.25">
      <c r="A14336">
        <f ca="1">27244.4236049207*((RANDBETWEEN(1620,2416)))</f>
        <v>65277638.95739004</v>
      </c>
      <c r="B14336">
        <v>151223123.36085832</v>
      </c>
    </row>
    <row r="14337" spans="1:2" x14ac:dyDescent="0.25">
      <c r="A14337">
        <f ca="1">31593.6702552647*((RANDBETWEEN(1620,2416)))</f>
        <v>67515673.335500762</v>
      </c>
      <c r="B14337">
        <v>151664465.68343878</v>
      </c>
    </row>
    <row r="14338" spans="1:2" x14ac:dyDescent="0.25">
      <c r="A14338">
        <f ca="1">27526.3867822302*((RANDBETWEEN(1620,2416)))</f>
        <v>54116876.413864486</v>
      </c>
      <c r="B14338">
        <v>176275527.31083685</v>
      </c>
    </row>
    <row r="14339" spans="1:2" x14ac:dyDescent="0.25">
      <c r="A14339">
        <f ca="1">30586.9559468439*((RANDBETWEEN(1620,2416)))</f>
        <v>51783716.418006711</v>
      </c>
      <c r="B14339">
        <v>186626738.56086639</v>
      </c>
    </row>
    <row r="14340" spans="1:2" x14ac:dyDescent="0.25">
      <c r="A14340">
        <f ca="1">26712.338738348*((RANDBETWEEN(1620,2416)))</f>
        <v>58206186.110860251</v>
      </c>
      <c r="B14340">
        <v>149859406.67515895</v>
      </c>
    </row>
    <row r="14341" spans="1:2" x14ac:dyDescent="0.25">
      <c r="A14341">
        <f ca="1">30682.717775306*((RANDBETWEEN(1620,2416)))</f>
        <v>69711134.785495162</v>
      </c>
      <c r="B14341">
        <v>196741153.01991412</v>
      </c>
    </row>
    <row r="14342" spans="1:2" x14ac:dyDescent="0.25">
      <c r="A14342">
        <f ca="1">29304.5912601343*((RANDBETWEEN(1620,2416)))</f>
        <v>52132867.85177891</v>
      </c>
      <c r="B14342">
        <v>156761790.13595495</v>
      </c>
    </row>
    <row r="14343" spans="1:2" x14ac:dyDescent="0.25">
      <c r="A14343">
        <f ca="1">32178.3736502284*((RANDBETWEEN(1620,2416)))</f>
        <v>60978018.067182779</v>
      </c>
      <c r="B14343">
        <v>200449999.06489787</v>
      </c>
    </row>
    <row r="14344" spans="1:2" x14ac:dyDescent="0.25">
      <c r="A14344">
        <f ca="1">30206.2298700251*((RANDBETWEEN(1620,2416)))</f>
        <v>65577725.047824509</v>
      </c>
      <c r="B14344">
        <v>192351541.11182654</v>
      </c>
    </row>
    <row r="14345" spans="1:2" x14ac:dyDescent="0.25">
      <c r="A14345">
        <f ca="1">25144.6680597104*((RANDBETWEEN(1620,2416)))</f>
        <v>46794227.259120993</v>
      </c>
      <c r="B14345">
        <v>182686454.99260062</v>
      </c>
    </row>
    <row r="14346" spans="1:2" x14ac:dyDescent="0.25">
      <c r="A14346">
        <f ca="1">28719.5452403667*((RANDBETWEEN(1620,2416)))</f>
        <v>61172631.361981101</v>
      </c>
      <c r="B14346">
        <v>147489255.0580911</v>
      </c>
    </row>
    <row r="14347" spans="1:2" x14ac:dyDescent="0.25">
      <c r="A14347">
        <f ca="1">28480.5473609255*((RANDBETWEEN(1620,2416)))</f>
        <v>50695374.302447386</v>
      </c>
      <c r="B14347">
        <v>168386445.21719262</v>
      </c>
    </row>
    <row r="14348" spans="1:2" x14ac:dyDescent="0.25">
      <c r="A14348">
        <f ca="1">28369.0391857962*((RANDBETWEEN(1620,2416)))</f>
        <v>47631616.792951882</v>
      </c>
      <c r="B14348">
        <v>166329066.84629384</v>
      </c>
    </row>
    <row r="14349" spans="1:2" x14ac:dyDescent="0.25">
      <c r="A14349">
        <f ca="1">32857.6334373364*((RANDBETWEEN(1620,2416)))</f>
        <v>73962532.867444277</v>
      </c>
      <c r="B14349">
        <v>158774889.39507771</v>
      </c>
    </row>
    <row r="14350" spans="1:2" x14ac:dyDescent="0.25">
      <c r="A14350">
        <f ca="1">26580.2720902729*((RANDBETWEEN(1620,2416)))</f>
        <v>48136872.755484156</v>
      </c>
      <c r="B14350">
        <v>171254907.67303404</v>
      </c>
    </row>
    <row r="14351" spans="1:2" x14ac:dyDescent="0.25">
      <c r="A14351">
        <f ca="1">26344.8387795497*((RANDBETWEEN(1620,2416)))</f>
        <v>54876299.177802123</v>
      </c>
      <c r="B14351">
        <v>169781689.2437225</v>
      </c>
    </row>
    <row r="14352" spans="1:2" x14ac:dyDescent="0.25">
      <c r="A14352">
        <f ca="1">29197.6880753797*((RANDBETWEEN(1620,2416)))</f>
        <v>67680240.958730057</v>
      </c>
      <c r="B14352">
        <v>161650951.14331153</v>
      </c>
    </row>
    <row r="14353" spans="1:2" x14ac:dyDescent="0.25">
      <c r="A14353">
        <f ca="1">27460.9074690916*((RANDBETWEEN(1620,2416)))</f>
        <v>53768456.824481413</v>
      </c>
      <c r="B14353">
        <v>193542188.0559316</v>
      </c>
    </row>
    <row r="14354" spans="1:2" x14ac:dyDescent="0.25">
      <c r="A14354">
        <f ca="1">26888.2273114605*((RANDBETWEEN(1620,2416)))</f>
        <v>63026004.818063416</v>
      </c>
      <c r="B14354">
        <v>174068069.03781289</v>
      </c>
    </row>
    <row r="14355" spans="1:2" x14ac:dyDescent="0.25">
      <c r="A14355">
        <f ca="1">26363.249359413*((RANDBETWEEN(1620,2416)))</f>
        <v>48429289.073241703</v>
      </c>
      <c r="B14355">
        <v>155174702.79823768</v>
      </c>
    </row>
    <row r="14356" spans="1:2" x14ac:dyDescent="0.25">
      <c r="A14356">
        <f ca="1">27787.4858958307*((RANDBETWEEN(1620,2416)))</f>
        <v>60271056.908056885</v>
      </c>
      <c r="B14356">
        <v>179441887.19238967</v>
      </c>
    </row>
    <row r="14357" spans="1:2" x14ac:dyDescent="0.25">
      <c r="A14357">
        <f ca="1">26626.3736705729*((RANDBETWEEN(1620,2416)))</f>
        <v>54850329.761380203</v>
      </c>
      <c r="B14357">
        <v>189751870.51450968</v>
      </c>
    </row>
    <row r="14358" spans="1:2" x14ac:dyDescent="0.25">
      <c r="A14358">
        <f ca="1">24805.18574491*((RANDBETWEEN(1620,2416)))</f>
        <v>53355954.537301376</v>
      </c>
      <c r="B14358">
        <v>167944454.04176289</v>
      </c>
    </row>
    <row r="14359" spans="1:2" x14ac:dyDescent="0.25">
      <c r="A14359">
        <f ca="1">26229.7676268123*((RANDBETWEEN(1620,2416)))</f>
        <v>55344809.692573957</v>
      </c>
      <c r="B14359">
        <v>151501694.05099776</v>
      </c>
    </row>
    <row r="14360" spans="1:2" x14ac:dyDescent="0.25">
      <c r="A14360">
        <f ca="1">26236.5677675543*((RANDBETWEEN(1620,2416)))</f>
        <v>51318726.553336263</v>
      </c>
      <c r="B14360">
        <v>164785235.27225307</v>
      </c>
    </row>
    <row r="14361" spans="1:2" x14ac:dyDescent="0.25">
      <c r="A14361">
        <f ca="1">26679.9719960602*((RANDBETWEEN(1620,2416)))</f>
        <v>49197868.360735007</v>
      </c>
      <c r="B14361">
        <v>150442283.69355255</v>
      </c>
    </row>
    <row r="14362" spans="1:2" x14ac:dyDescent="0.25">
      <c r="A14362">
        <f ca="1">27040.7830328765*((RANDBETWEEN(1620,2416)))</f>
        <v>48267797.713684551</v>
      </c>
      <c r="B14362">
        <v>170666531.81959209</v>
      </c>
    </row>
    <row r="14363" spans="1:2" x14ac:dyDescent="0.25">
      <c r="A14363">
        <f ca="1">29212.4228526831*((RANDBETWEEN(1620,2416)))</f>
        <v>60119166.230821766</v>
      </c>
      <c r="B14363">
        <v>161423187.28164381</v>
      </c>
    </row>
    <row r="14364" spans="1:2" x14ac:dyDescent="0.25">
      <c r="A14364">
        <f ca="1">26419.1975968165*((RANDBETWEEN(1620,2416)))</f>
        <v>56510663.659590587</v>
      </c>
      <c r="B14364">
        <v>154819276.11381054</v>
      </c>
    </row>
    <row r="14365" spans="1:2" x14ac:dyDescent="0.25">
      <c r="A14365">
        <f ca="1">27152.2120041092*((RANDBETWEEN(1620,2416)))</f>
        <v>46864717.919092417</v>
      </c>
      <c r="B14365">
        <v>149122440.22890723</v>
      </c>
    </row>
    <row r="14366" spans="1:2" x14ac:dyDescent="0.25">
      <c r="A14366">
        <f ca="1">29459.8044108841*((RANDBETWEEN(1620,2416)))</f>
        <v>64310753.028959885</v>
      </c>
      <c r="B14366">
        <v>180593401.39526573</v>
      </c>
    </row>
    <row r="14367" spans="1:2" x14ac:dyDescent="0.25">
      <c r="A14367">
        <f ca="1">31308.4397635737*((RANDBETWEEN(1620,2416)))</f>
        <v>63211739.882655397</v>
      </c>
      <c r="B14367">
        <v>168533820.19422355</v>
      </c>
    </row>
    <row r="14368" spans="1:2" x14ac:dyDescent="0.25">
      <c r="A14368">
        <f ca="1">26634.3044736951*((RANDBETWEEN(1620,2416)))</f>
        <v>48421165.533177711</v>
      </c>
      <c r="B14368">
        <v>158923142.86319742</v>
      </c>
    </row>
    <row r="14369" spans="1:2" x14ac:dyDescent="0.25">
      <c r="A14369">
        <f ca="1">28733.3624712242*((RANDBETWEEN(1620,2416)))</f>
        <v>65195999.447207667</v>
      </c>
      <c r="B14369">
        <v>162454028.09514856</v>
      </c>
    </row>
    <row r="14370" spans="1:2" x14ac:dyDescent="0.25">
      <c r="A14370">
        <f ca="1">29270.8055914185*((RANDBETWEEN(1620,2416)))</f>
        <v>53272866.176381655</v>
      </c>
      <c r="B14370">
        <v>151644694.40080717</v>
      </c>
    </row>
    <row r="14371" spans="1:2" x14ac:dyDescent="0.25">
      <c r="A14371">
        <f ca="1">33023.1630684373*((RANDBETWEEN(1620,2416)))</f>
        <v>55941238.237932742</v>
      </c>
      <c r="B14371">
        <v>145382196.91619113</v>
      </c>
    </row>
    <row r="14372" spans="1:2" x14ac:dyDescent="0.25">
      <c r="A14372">
        <f ca="1">29901.3393186516*((RANDBETWEEN(1620,2416)))</f>
        <v>56842446.044756748</v>
      </c>
      <c r="B14372">
        <v>166796013.40852809</v>
      </c>
    </row>
    <row r="14373" spans="1:2" x14ac:dyDescent="0.25">
      <c r="A14373">
        <f ca="1">25949.665339546*((RANDBETWEEN(1620,2416)))</f>
        <v>54312649.555669881</v>
      </c>
      <c r="B14373">
        <v>147953100.30825055</v>
      </c>
    </row>
    <row r="14374" spans="1:2" x14ac:dyDescent="0.25">
      <c r="A14374">
        <f ca="1">26703.6071862604*((RANDBETWEEN(1620,2416)))</f>
        <v>59014971.881635495</v>
      </c>
      <c r="B14374">
        <v>148727750.15486452</v>
      </c>
    </row>
    <row r="14375" spans="1:2" x14ac:dyDescent="0.25">
      <c r="A14375">
        <f ca="1">26386.6054745196*((RANDBETWEEN(1620,2416)))</f>
        <v>44910002.517632313</v>
      </c>
      <c r="B14375">
        <v>179007507.60797644</v>
      </c>
    </row>
    <row r="14376" spans="1:2" x14ac:dyDescent="0.25">
      <c r="A14376">
        <f ca="1">28231.3628289616*((RANDBETWEEN(1620,2416)))</f>
        <v>60612735.993780546</v>
      </c>
      <c r="B14376">
        <v>151173772.26432621</v>
      </c>
    </row>
    <row r="14377" spans="1:2" x14ac:dyDescent="0.25">
      <c r="A14377">
        <f ca="1">27007.6767245516*((RANDBETWEEN(1620,2416)))</f>
        <v>52529931.229252852</v>
      </c>
      <c r="B14377">
        <v>149603218.25177306</v>
      </c>
    </row>
    <row r="14378" spans="1:2" x14ac:dyDescent="0.25">
      <c r="A14378">
        <f ca="1">26102.8239158835*((RANDBETWEEN(1620,2416)))</f>
        <v>57530623.910607181</v>
      </c>
      <c r="B14378">
        <v>184254799.11809117</v>
      </c>
    </row>
    <row r="14379" spans="1:2" x14ac:dyDescent="0.25">
      <c r="A14379">
        <f ca="1">27613.2983834799*((RANDBETWEEN(1620,2416)))</f>
        <v>60086537.282452233</v>
      </c>
      <c r="B14379">
        <v>166317892.26807284</v>
      </c>
    </row>
    <row r="14380" spans="1:2" x14ac:dyDescent="0.25">
      <c r="A14380">
        <f ca="1">31297.1843574468*((RANDBETWEEN(1620,2416)))</f>
        <v>56522714.949548878</v>
      </c>
      <c r="B14380">
        <v>157665452.27258047</v>
      </c>
    </row>
    <row r="14381" spans="1:2" x14ac:dyDescent="0.25">
      <c r="A14381">
        <f ca="1">33772.77795691*((RANDBETWEEN(1620,2416)))</f>
        <v>55488674.183203086</v>
      </c>
      <c r="B14381">
        <v>185026095.67951548</v>
      </c>
    </row>
    <row r="14382" spans="1:2" x14ac:dyDescent="0.25">
      <c r="A14382">
        <f ca="1">29854.677825339*((RANDBETWEEN(1620,2416)))</f>
        <v>68635904.320454463</v>
      </c>
      <c r="B14382">
        <v>162122942.48146307</v>
      </c>
    </row>
    <row r="14383" spans="1:2" x14ac:dyDescent="0.25">
      <c r="A14383">
        <f ca="1">26974.8674559644*((RANDBETWEEN(1620,2416)))</f>
        <v>55568226.95928669</v>
      </c>
      <c r="B14383">
        <v>158520778.51102722</v>
      </c>
    </row>
    <row r="14384" spans="1:2" x14ac:dyDescent="0.25">
      <c r="A14384">
        <f ca="1">26848.8252921409*((RANDBETWEEN(1620,2416)))</f>
        <v>46931746.610662252</v>
      </c>
      <c r="B14384">
        <v>150530454.64409542</v>
      </c>
    </row>
    <row r="14385" spans="1:2" x14ac:dyDescent="0.25">
      <c r="A14385">
        <f ca="1">26661.1108878324*((RANDBETWEEN(1620,2416)))</f>
        <v>56868149.523746513</v>
      </c>
      <c r="B14385">
        <v>153001280.42130455</v>
      </c>
    </row>
    <row r="14386" spans="1:2" x14ac:dyDescent="0.25">
      <c r="A14386">
        <f ca="1">26883.0191339796*((RANDBETWEEN(1620,2416)))</f>
        <v>61965359.103822999</v>
      </c>
      <c r="B14386">
        <v>146306060.88451797</v>
      </c>
    </row>
    <row r="14387" spans="1:2" x14ac:dyDescent="0.25">
      <c r="A14387">
        <f ca="1">26821.3955049122*((RANDBETWEEN(1620,2416)))</f>
        <v>45730479.335875325</v>
      </c>
      <c r="B14387">
        <v>144299370.08619964</v>
      </c>
    </row>
    <row r="14388" spans="1:2" x14ac:dyDescent="0.25">
      <c r="A14388">
        <f ca="1">25684.9562378787*((RANDBETWEEN(1620,2416)))</f>
        <v>59589098.471878588</v>
      </c>
      <c r="B14388">
        <v>158653279.80558777</v>
      </c>
    </row>
    <row r="14389" spans="1:2" x14ac:dyDescent="0.25">
      <c r="A14389">
        <f ca="1">26807.4320216206*((RANDBETWEEN(1620,2416)))</f>
        <v>62139627.426116511</v>
      </c>
      <c r="B14389">
        <v>182687963.79183587</v>
      </c>
    </row>
    <row r="14390" spans="1:2" x14ac:dyDescent="0.25">
      <c r="A14390">
        <f ca="1">25449.1997909512*((RANDBETWEEN(1620,2416)))</f>
        <v>59932865.507690169</v>
      </c>
      <c r="B14390">
        <v>147997789.49743569</v>
      </c>
    </row>
    <row r="14391" spans="1:2" x14ac:dyDescent="0.25">
      <c r="A14391">
        <f ca="1">27123.2719579364*((RANDBETWEEN(1620,2416)))</f>
        <v>45594220.16129104</v>
      </c>
      <c r="B14391">
        <v>169760758.90898532</v>
      </c>
    </row>
    <row r="14392" spans="1:2" x14ac:dyDescent="0.25">
      <c r="A14392">
        <f ca="1">31650.0290598799*((RANDBETWEEN(1620,2416)))</f>
        <v>61052906.056508243</v>
      </c>
      <c r="B14392">
        <v>173226264.70255548</v>
      </c>
    </row>
    <row r="14393" spans="1:2" x14ac:dyDescent="0.25">
      <c r="A14393">
        <f ca="1">26400.2985299524*((RANDBETWEEN(1620,2416)))</f>
        <v>47652538.846564047</v>
      </c>
      <c r="B14393">
        <v>168786720.98442724</v>
      </c>
    </row>
    <row r="14394" spans="1:2" x14ac:dyDescent="0.25">
      <c r="A14394">
        <f ca="1">27376.9395589112*((RANDBETWEEN(1620,2416)))</f>
        <v>58723535.353864521</v>
      </c>
      <c r="B14394">
        <v>158860096.19989166</v>
      </c>
    </row>
    <row r="14395" spans="1:2" x14ac:dyDescent="0.25">
      <c r="A14395">
        <f ca="1">30212.269179679*((RANDBETWEEN(1620,2416)))</f>
        <v>65711685.465801813</v>
      </c>
      <c r="B14395">
        <v>163793506.81646422</v>
      </c>
    </row>
    <row r="14396" spans="1:2" x14ac:dyDescent="0.25">
      <c r="A14396">
        <f ca="1">28163.5048441932*((RANDBETWEEN(1620,2416)))</f>
        <v>45822022.381502293</v>
      </c>
      <c r="B14396">
        <v>169109082.7230756</v>
      </c>
    </row>
    <row r="14397" spans="1:2" x14ac:dyDescent="0.25">
      <c r="A14397">
        <f ca="1">29080.6963002375*((RANDBETWEEN(1620,2416)))</f>
        <v>59150136.274683163</v>
      </c>
      <c r="B14397">
        <v>150058794.07226077</v>
      </c>
    </row>
    <row r="14398" spans="1:2" x14ac:dyDescent="0.25">
      <c r="A14398">
        <f ca="1">29159.7714094529*((RANDBETWEEN(1620,2416)))</f>
        <v>56511636.99151969</v>
      </c>
      <c r="B14398">
        <v>142974883.69523549</v>
      </c>
    </row>
    <row r="14399" spans="1:2" x14ac:dyDescent="0.25">
      <c r="A14399">
        <f ca="1">27491.2883831969*((RANDBETWEEN(1620,2416)))</f>
        <v>45663030.004490018</v>
      </c>
      <c r="B14399">
        <v>193403114.69721597</v>
      </c>
    </row>
    <row r="14400" spans="1:2" x14ac:dyDescent="0.25">
      <c r="A14400">
        <f ca="1">25497.3125560771*((RANDBETWEEN(1620,2416)))</f>
        <v>48929342.795111954</v>
      </c>
      <c r="B14400">
        <v>146199059.88562521</v>
      </c>
    </row>
    <row r="14401" spans="1:2" x14ac:dyDescent="0.25">
      <c r="A14401">
        <f ca="1">28147.7096133591*((RANDBETWEEN(1620,2416)))</f>
        <v>63501232.887738205</v>
      </c>
      <c r="B14401">
        <v>151904055.27129114</v>
      </c>
    </row>
    <row r="14402" spans="1:2" x14ac:dyDescent="0.25">
      <c r="A14402">
        <f ca="1">27209.9011298678*((RANDBETWEEN(1620,2416)))</f>
        <v>52868837.895333119</v>
      </c>
      <c r="B14402">
        <v>179670873.30587435</v>
      </c>
    </row>
    <row r="14403" spans="1:2" x14ac:dyDescent="0.25">
      <c r="A14403">
        <f ca="1">27531.2786624817*((RANDBETWEEN(1620,2416)))</f>
        <v>63211815.809058055</v>
      </c>
      <c r="B14403">
        <v>175691111.19392854</v>
      </c>
    </row>
    <row r="14404" spans="1:2" x14ac:dyDescent="0.25">
      <c r="A14404">
        <f ca="1">27611.468693999*((RANDBETWEEN(1620,2416)))</f>
        <v>63754881.214443758</v>
      </c>
      <c r="B14404">
        <v>153115682.44017106</v>
      </c>
    </row>
    <row r="14405" spans="1:2" x14ac:dyDescent="0.25">
      <c r="A14405">
        <f ca="1">28125.5538458347*((RANDBETWEEN(1620,2416)))</f>
        <v>52004149.060948424</v>
      </c>
      <c r="B14405">
        <v>174129959.12321523</v>
      </c>
    </row>
    <row r="14406" spans="1:2" x14ac:dyDescent="0.25">
      <c r="A14406">
        <f ca="1">27041.7022877146*((RANDBETWEEN(1620,2416)))</f>
        <v>54894655.644060716</v>
      </c>
      <c r="B14406">
        <v>180791238.75006557</v>
      </c>
    </row>
    <row r="14407" spans="1:2" x14ac:dyDescent="0.25">
      <c r="A14407">
        <f ca="1">25948.8875611769*((RANDBETWEEN(1620,2416)))</f>
        <v>49354784.141358376</v>
      </c>
      <c r="B14407">
        <v>143487156.29486561</v>
      </c>
    </row>
    <row r="14408" spans="1:2" x14ac:dyDescent="0.25">
      <c r="A14408">
        <f ca="1">28093.1327328823*((RANDBETWEEN(1620,2416)))</f>
        <v>61580146.950478084</v>
      </c>
      <c r="B14408">
        <v>147127353.40325534</v>
      </c>
    </row>
    <row r="14409" spans="1:2" x14ac:dyDescent="0.25">
      <c r="A14409">
        <f ca="1">27311.9761443851*((RANDBETWEEN(1620,2416)))</f>
        <v>62052809.800043054</v>
      </c>
      <c r="B14409">
        <v>164713831.99776676</v>
      </c>
    </row>
    <row r="14410" spans="1:2" x14ac:dyDescent="0.25">
      <c r="A14410">
        <f ca="1">26762.7167204088*((RANDBETWEEN(1620,2416)))</f>
        <v>49511025.932756193</v>
      </c>
      <c r="B14410">
        <v>163104823.38772219</v>
      </c>
    </row>
    <row r="14411" spans="1:2" x14ac:dyDescent="0.25">
      <c r="A14411">
        <f ca="1">28085.5926875207*((RANDBETWEEN(1620,2416)))</f>
        <v>63052155.583483897</v>
      </c>
      <c r="B14411">
        <v>192798347.25430256</v>
      </c>
    </row>
    <row r="14412" spans="1:2" x14ac:dyDescent="0.25">
      <c r="A14412">
        <f ca="1">28379.4607880748*((RANDBETWEEN(1620,2416)))</f>
        <v>63598371.626075588</v>
      </c>
      <c r="B14412">
        <v>181297388.54149318</v>
      </c>
    </row>
    <row r="14413" spans="1:2" x14ac:dyDescent="0.25">
      <c r="A14413">
        <f ca="1">31269.617129805*((RANDBETWEEN(1620,2416)))</f>
        <v>56472928.536427781</v>
      </c>
      <c r="B14413">
        <v>178408942.48984522</v>
      </c>
    </row>
    <row r="14414" spans="1:2" x14ac:dyDescent="0.25">
      <c r="A14414">
        <f ca="1">32735.5296350896*((RANDBETWEEN(1620,2416)))</f>
        <v>65471059.270179234</v>
      </c>
      <c r="B14414">
        <v>165322471.53654179</v>
      </c>
    </row>
    <row r="14415" spans="1:2" x14ac:dyDescent="0.25">
      <c r="A14415">
        <f ca="1">26653.054036896*((RANDBETWEEN(1620,2416)))</f>
        <v>57037535.638957366</v>
      </c>
      <c r="B14415">
        <v>178548843.0539546</v>
      </c>
    </row>
    <row r="14416" spans="1:2" x14ac:dyDescent="0.25">
      <c r="A14416">
        <f ca="1">30612.9089425118*((RANDBETWEEN(1620,2416)))</f>
        <v>60766624.250885949</v>
      </c>
      <c r="B14416">
        <v>144011433.27304953</v>
      </c>
    </row>
    <row r="14417" spans="1:2" x14ac:dyDescent="0.25">
      <c r="A14417">
        <f ca="1">27894.8209358217*((RANDBETWEEN(1620,2416)))</f>
        <v>57574910.411536045</v>
      </c>
      <c r="B14417">
        <v>167978181.88672602</v>
      </c>
    </row>
    <row r="14418" spans="1:2" x14ac:dyDescent="0.25">
      <c r="A14418">
        <f ca="1">26787.4243819255*((RANDBETWEEN(1620,2416)))</f>
        <v>58396585.152597494</v>
      </c>
      <c r="B14418">
        <v>151961813.84430081</v>
      </c>
    </row>
    <row r="14419" spans="1:2" x14ac:dyDescent="0.25">
      <c r="A14419">
        <f ca="1">30558.2312827833*((RANDBETWEEN(1620,2416)))</f>
        <v>72606357.527893096</v>
      </c>
      <c r="B14419">
        <v>151192878.47322771</v>
      </c>
    </row>
    <row r="14420" spans="1:2" x14ac:dyDescent="0.25">
      <c r="A14420">
        <f ca="1">26757.2376345013*((RANDBETWEEN(1620,2416)))</f>
        <v>60899472.85612496</v>
      </c>
      <c r="B14420">
        <v>146358743.45211625</v>
      </c>
    </row>
    <row r="14421" spans="1:2" x14ac:dyDescent="0.25">
      <c r="A14421">
        <f ca="1">26913.0603124358*((RANDBETWEEN(1620,2416)))</f>
        <v>57620862.128924966</v>
      </c>
      <c r="B14421">
        <v>157263043.5098705</v>
      </c>
    </row>
    <row r="14422" spans="1:2" x14ac:dyDescent="0.25">
      <c r="A14422">
        <f ca="1">31474.604330003*((RANDBETWEEN(1620,2416)))</f>
        <v>52436690.813785054</v>
      </c>
      <c r="B14422">
        <v>190436368.4137615</v>
      </c>
    </row>
    <row r="14423" spans="1:2" x14ac:dyDescent="0.25">
      <c r="A14423">
        <f ca="1">31808.8616312309*((RANDBETWEEN(1620,2416)))</f>
        <v>53820593.880042657</v>
      </c>
      <c r="B14423">
        <v>202521125.05034211</v>
      </c>
    </row>
    <row r="14424" spans="1:2" x14ac:dyDescent="0.25">
      <c r="A14424">
        <f ca="1">25822.8904481933*((RANDBETWEEN(1620,2416)))</f>
        <v>47746524.438709386</v>
      </c>
      <c r="B14424">
        <v>145557974.06499583</v>
      </c>
    </row>
    <row r="14425" spans="1:2" x14ac:dyDescent="0.25">
      <c r="A14425">
        <f ca="1">27633.2816118401*((RANDBETWEEN(1620,2416)))</f>
        <v>51922936.148647457</v>
      </c>
      <c r="B14425">
        <v>153599124.36224931</v>
      </c>
    </row>
    <row r="14426" spans="1:2" x14ac:dyDescent="0.25">
      <c r="A14426">
        <f ca="1">26125.8079793965*((RANDBETWEEN(1620,2416)))</f>
        <v>43212086.397921823</v>
      </c>
      <c r="B14426">
        <v>176663943.1418497</v>
      </c>
    </row>
    <row r="14427" spans="1:2" x14ac:dyDescent="0.25">
      <c r="A14427">
        <f ca="1">27432.2399283231*((RANDBETWEEN(1620,2416)))</f>
        <v>50475321.468114413</v>
      </c>
      <c r="B14427">
        <v>150753627.5161173</v>
      </c>
    </row>
    <row r="14428" spans="1:2" x14ac:dyDescent="0.25">
      <c r="A14428">
        <f ca="1">32135.7903900359*((RANDBETWEEN(1620,2416)))</f>
        <v>68834863.015456885</v>
      </c>
      <c r="B14428">
        <v>182730052.5047051</v>
      </c>
    </row>
    <row r="14429" spans="1:2" x14ac:dyDescent="0.25">
      <c r="A14429">
        <f ca="1">30517.6429846206*((RANDBETWEEN(1620,2416)))</f>
        <v>72326813.873550877</v>
      </c>
      <c r="B14429">
        <v>155970663.11810452</v>
      </c>
    </row>
    <row r="14430" spans="1:2" x14ac:dyDescent="0.25">
      <c r="A14430">
        <f ca="1">26136.596296383*((RANDBETWEEN(1620,2416)))</f>
        <v>57395965.466857098</v>
      </c>
      <c r="B14430">
        <v>165061790.20230842</v>
      </c>
    </row>
    <row r="14431" spans="1:2" x14ac:dyDescent="0.25">
      <c r="A14431">
        <f ca="1">26146.463029165*((RANDBETWEEN(1620,2416)))</f>
        <v>46854461.748263709</v>
      </c>
      <c r="B14431">
        <v>198858749.7863079</v>
      </c>
    </row>
    <row r="14432" spans="1:2" x14ac:dyDescent="0.25">
      <c r="A14432">
        <f ca="1">28067.6179775904*((RANDBETWEEN(1620,2416)))</f>
        <v>52177701.820340529</v>
      </c>
      <c r="B14432">
        <v>161135921.46676755</v>
      </c>
    </row>
    <row r="14433" spans="1:2" x14ac:dyDescent="0.25">
      <c r="A14433">
        <f ca="1">29496.0953067979*((RANDBETWEEN(1620,2416)))</f>
        <v>54420295.841042034</v>
      </c>
      <c r="B14433">
        <v>146236903.48183468</v>
      </c>
    </row>
    <row r="14434" spans="1:2" x14ac:dyDescent="0.25">
      <c r="A14434">
        <f ca="1">27874.1382006858*((RANDBETWEEN(1620,2416)))</f>
        <v>58368445.392236166</v>
      </c>
      <c r="B14434">
        <v>177300010.85917929</v>
      </c>
    </row>
    <row r="14435" spans="1:2" x14ac:dyDescent="0.25">
      <c r="A14435">
        <f ca="1">26333.255575952*((RANDBETWEEN(1620,2416)))</f>
        <v>48347857.23744794</v>
      </c>
      <c r="B14435">
        <v>158569990.9373287</v>
      </c>
    </row>
    <row r="14436" spans="1:2" x14ac:dyDescent="0.25">
      <c r="A14436">
        <f ca="1">30129.1462033313*((RANDBETWEEN(1620,2416)))</f>
        <v>59565322.043986015</v>
      </c>
      <c r="B14436">
        <v>194845625.22650331</v>
      </c>
    </row>
    <row r="14437" spans="1:2" x14ac:dyDescent="0.25">
      <c r="A14437">
        <f ca="1">26446.9536304392*((RANDBETWEEN(1620,2416)))</f>
        <v>59373410.900336042</v>
      </c>
      <c r="B14437">
        <v>144060814.07775655</v>
      </c>
    </row>
    <row r="14438" spans="1:2" x14ac:dyDescent="0.25">
      <c r="A14438">
        <f ca="1">26886.4079302668*((RANDBETWEEN(1620,2416)))</f>
        <v>55601091.599791758</v>
      </c>
      <c r="B14438">
        <v>148648902.37290281</v>
      </c>
    </row>
    <row r="14439" spans="1:2" x14ac:dyDescent="0.25">
      <c r="A14439">
        <f ca="1">27986.5061370864*((RANDBETWEEN(1620,2416)))</f>
        <v>55917039.261898667</v>
      </c>
      <c r="B14439">
        <v>154574690.43393165</v>
      </c>
    </row>
    <row r="14440" spans="1:2" x14ac:dyDescent="0.25">
      <c r="A14440">
        <f ca="1">31161.1191501936*((RANDBETWEEN(1620,2416)))</f>
        <v>63568683.066395029</v>
      </c>
      <c r="B14440">
        <v>181767467.9891153</v>
      </c>
    </row>
    <row r="14441" spans="1:2" x14ac:dyDescent="0.25">
      <c r="A14441">
        <f ca="1">27497.4491533011*((RANDBETWEEN(1620,2416)))</f>
        <v>45948237.535166204</v>
      </c>
      <c r="B14441">
        <v>153286282.92554411</v>
      </c>
    </row>
    <row r="14442" spans="1:2" x14ac:dyDescent="0.25">
      <c r="A14442">
        <f ca="1">30698.3431395929*((RANDBETWEEN(1620,2416)))</f>
        <v>71496441.172111958</v>
      </c>
      <c r="B14442">
        <v>186082669.87906191</v>
      </c>
    </row>
    <row r="14443" spans="1:2" x14ac:dyDescent="0.25">
      <c r="A14443">
        <f ca="1">28136.5998080694*((RANDBETWEEN(1620,2416)))</f>
        <v>52784261.239938274</v>
      </c>
      <c r="B14443">
        <v>173087349.22561038</v>
      </c>
    </row>
    <row r="14444" spans="1:2" x14ac:dyDescent="0.25">
      <c r="A14444">
        <f ca="1">27375.6489445397*((RANDBETWEEN(1620,2416)))</f>
        <v>63867388.987611167</v>
      </c>
      <c r="B14444">
        <v>166167045.43419215</v>
      </c>
    </row>
    <row r="14445" spans="1:2" x14ac:dyDescent="0.25">
      <c r="A14445">
        <f ca="1">27629.7479588743*((RANDBETWEEN(1620,2416)))</f>
        <v>60426258.786058076</v>
      </c>
      <c r="B14445">
        <v>163260825.0363853</v>
      </c>
    </row>
    <row r="14446" spans="1:2" x14ac:dyDescent="0.25">
      <c r="A14446">
        <f ca="1">32056.9984892888*((RANDBETWEEN(1620,2416)))</f>
        <v>73186127.551046327</v>
      </c>
      <c r="B14446">
        <v>147070376.80524051</v>
      </c>
    </row>
    <row r="14447" spans="1:2" x14ac:dyDescent="0.25">
      <c r="A14447">
        <f ca="1">26432.5186636519*((RANDBETWEEN(1620,2416)))</f>
        <v>43957278.537653081</v>
      </c>
      <c r="B14447">
        <v>188649355.54358417</v>
      </c>
    </row>
    <row r="14448" spans="1:2" x14ac:dyDescent="0.25">
      <c r="A14448">
        <f ca="1">26215.1005843364*((RANDBETWEEN(1620,2416)))</f>
        <v>58538319.604823127</v>
      </c>
      <c r="B14448">
        <v>146150545.99524841</v>
      </c>
    </row>
    <row r="14449" spans="1:2" x14ac:dyDescent="0.25">
      <c r="A14449">
        <f ca="1">25963.0209947249*((RANDBETWEEN(1620,2416)))</f>
        <v>61065025.379593037</v>
      </c>
      <c r="B14449">
        <v>154242628.3180725</v>
      </c>
    </row>
    <row r="14450" spans="1:2" x14ac:dyDescent="0.25">
      <c r="A14450">
        <f ca="1">28740.0957007124*((RANDBETWEEN(1620,2416)))</f>
        <v>46616435.226555504</v>
      </c>
      <c r="B14450">
        <v>162963309.84515938</v>
      </c>
    </row>
    <row r="14451" spans="1:2" x14ac:dyDescent="0.25">
      <c r="A14451">
        <f ca="1">28589.3614065722*((RANDBETWEEN(1620,2416)))</f>
        <v>50889063.303698488</v>
      </c>
      <c r="B14451">
        <v>203573315.39819446</v>
      </c>
    </row>
    <row r="14452" spans="1:2" x14ac:dyDescent="0.25">
      <c r="A14452">
        <f ca="1">26181.0655919389*((RANDBETWEEN(1620,2416)))</f>
        <v>61839676.928159706</v>
      </c>
      <c r="B14452">
        <v>148347271.91254172</v>
      </c>
    </row>
    <row r="14453" spans="1:2" x14ac:dyDescent="0.25">
      <c r="A14453">
        <f ca="1">28873.1099103904*((RANDBETWEEN(1620,2416)))</f>
        <v>53617365.103594996</v>
      </c>
      <c r="B14453">
        <v>181518711.33334422</v>
      </c>
    </row>
    <row r="14454" spans="1:2" x14ac:dyDescent="0.25">
      <c r="A14454">
        <f ca="1">26805.0652477225*((RANDBETWEEN(1620,2416)))</f>
        <v>53020419.059995197</v>
      </c>
      <c r="B14454">
        <v>170983493.15140116</v>
      </c>
    </row>
    <row r="14455" spans="1:2" x14ac:dyDescent="0.25">
      <c r="A14455">
        <f ca="1">26057.344916854*((RANDBETWEEN(1620,2416)))</f>
        <v>46460245.98675064</v>
      </c>
      <c r="B14455">
        <v>173402160.57153752</v>
      </c>
    </row>
    <row r="14456" spans="1:2" x14ac:dyDescent="0.25">
      <c r="A14456">
        <f ca="1">26450.7116785207*((RANDBETWEEN(1620,2416)))</f>
        <v>63666863.010199368</v>
      </c>
      <c r="B14456">
        <v>145434491.02313319</v>
      </c>
    </row>
    <row r="14457" spans="1:2" x14ac:dyDescent="0.25">
      <c r="A14457">
        <f ca="1">27176.7994980568*((RANDBETWEEN(1620,2416)))</f>
        <v>61473920.464604437</v>
      </c>
      <c r="B14457">
        <v>153786981.49442589</v>
      </c>
    </row>
    <row r="14458" spans="1:2" x14ac:dyDescent="0.25">
      <c r="A14458">
        <f ca="1">27512.9911408446*((RANDBETWEEN(1620,2416)))</f>
        <v>62839671.765689053</v>
      </c>
      <c r="B14458">
        <v>155502846.82786715</v>
      </c>
    </row>
    <row r="14459" spans="1:2" x14ac:dyDescent="0.25">
      <c r="A14459">
        <f ca="1">30630.8313545465*((RANDBETWEEN(1620,2416)))</f>
        <v>61169770.215029463</v>
      </c>
      <c r="B14459">
        <v>195021095.19822988</v>
      </c>
    </row>
    <row r="14460" spans="1:2" x14ac:dyDescent="0.25">
      <c r="A14460">
        <f ca="1">27709.7318207221*((RANDBETWEEN(1620,2416)))</f>
        <v>57359144.868894756</v>
      </c>
      <c r="B14460">
        <v>164278681.24911192</v>
      </c>
    </row>
    <row r="14461" spans="1:2" x14ac:dyDescent="0.25">
      <c r="A14461">
        <f ca="1">29695.2821068463*((RANDBETWEEN(1620,2416)))</f>
        <v>69932389.36162293</v>
      </c>
      <c r="B14461">
        <v>143070348.52057809</v>
      </c>
    </row>
    <row r="14462" spans="1:2" x14ac:dyDescent="0.25">
      <c r="A14462">
        <f ca="1">27414.8723887914*((RANDBETWEEN(1620,2416)))</f>
        <v>48825887.724437542</v>
      </c>
      <c r="B14462">
        <v>181388642.83120382</v>
      </c>
    </row>
    <row r="14463" spans="1:2" x14ac:dyDescent="0.25">
      <c r="A14463">
        <f ca="1">29037.5049335968*((RANDBETWEEN(1620,2416)))</f>
        <v>65218236.080858327</v>
      </c>
      <c r="B14463">
        <v>166866192.81110662</v>
      </c>
    </row>
    <row r="14464" spans="1:2" x14ac:dyDescent="0.25">
      <c r="A14464">
        <f ca="1">27907.427309798*((RANDBETWEEN(1620,2416)))</f>
        <v>52521778.197039895</v>
      </c>
      <c r="B14464">
        <v>177423809.01194528</v>
      </c>
    </row>
    <row r="14465" spans="1:2" x14ac:dyDescent="0.25">
      <c r="A14465">
        <f ca="1">26751.9447553842*((RANDBETWEEN(1620,2416)))</f>
        <v>57436425.389809966</v>
      </c>
      <c r="B14465">
        <v>194333318.93282658</v>
      </c>
    </row>
    <row r="14466" spans="1:2" x14ac:dyDescent="0.25">
      <c r="A14466">
        <f ca="1">25819.1565334642*((RANDBETWEEN(1620,2416)))</f>
        <v>60984847.732042521</v>
      </c>
      <c r="B14466">
        <v>156127184.31413367</v>
      </c>
    </row>
    <row r="14467" spans="1:2" x14ac:dyDescent="0.25">
      <c r="A14467">
        <f ca="1">29759.9076496783*((RANDBETWEEN(1620,2416)))</f>
        <v>60055493.637050748</v>
      </c>
      <c r="B14467">
        <v>151537328.13880742</v>
      </c>
    </row>
    <row r="14468" spans="1:2" x14ac:dyDescent="0.25">
      <c r="A14468">
        <f ca="1">26895.288786668*((RANDBETWEEN(1620,2416)))</f>
        <v>47012964.799095623</v>
      </c>
      <c r="B14468">
        <v>187448744.86329687</v>
      </c>
    </row>
    <row r="14469" spans="1:2" x14ac:dyDescent="0.25">
      <c r="A14469">
        <f ca="1">25784.5257513908*((RANDBETWEEN(1620,2416)))</f>
        <v>44633014.075657412</v>
      </c>
      <c r="B14469">
        <v>154118373.91768879</v>
      </c>
    </row>
    <row r="14470" spans="1:2" x14ac:dyDescent="0.25">
      <c r="A14470">
        <f ca="1">25889.8154787773*((RANDBETWEEN(1620,2416)))</f>
        <v>50407470.737179354</v>
      </c>
      <c r="B14470">
        <v>153386498.37667468</v>
      </c>
    </row>
    <row r="14471" spans="1:2" x14ac:dyDescent="0.25">
      <c r="A14471">
        <f ca="1">30062.5193620025*((RANDBETWEEN(1620,2416)))</f>
        <v>49062031.598788157</v>
      </c>
      <c r="B14471">
        <v>169259779.02780753</v>
      </c>
    </row>
    <row r="14472" spans="1:2" x14ac:dyDescent="0.25">
      <c r="A14472">
        <f ca="1">27241.4290032196*((RANDBETWEEN(1620,2416)))</f>
        <v>60094592.381102346</v>
      </c>
      <c r="B14472">
        <v>153449817.37196422</v>
      </c>
    </row>
    <row r="14473" spans="1:2" x14ac:dyDescent="0.25">
      <c r="A14473">
        <f ca="1">29848.582380541*((RANDBETWEEN(1620,2416)))</f>
        <v>69338256.869996741</v>
      </c>
      <c r="B14473">
        <v>161632218.23701778</v>
      </c>
    </row>
    <row r="14474" spans="1:2" x14ac:dyDescent="0.25">
      <c r="A14474">
        <f ca="1">32763.9536817577*((RANDBETWEEN(1620,2416)))</f>
        <v>76634887.661631227</v>
      </c>
      <c r="B14474">
        <v>201831801.93729287</v>
      </c>
    </row>
    <row r="14475" spans="1:2" x14ac:dyDescent="0.25">
      <c r="A14475">
        <f ca="1">26880.2852952313*((RANDBETWEEN(1620,2416)))</f>
        <v>63195550.729088835</v>
      </c>
      <c r="B14475">
        <v>145861603.61562017</v>
      </c>
    </row>
    <row r="14476" spans="1:2" x14ac:dyDescent="0.25">
      <c r="A14476">
        <f ca="1">29046.1859095802*((RANDBETWEEN(1620,2416)))</f>
        <v>58731387.909171075</v>
      </c>
      <c r="B14476">
        <v>179164807.09859997</v>
      </c>
    </row>
    <row r="14477" spans="1:2" x14ac:dyDescent="0.25">
      <c r="A14477">
        <f ca="1">27957.2417501092*((RANDBETWEEN(1620,2416)))</f>
        <v>57731704.213975534</v>
      </c>
      <c r="B14477">
        <v>159764533.39506084</v>
      </c>
    </row>
    <row r="14478" spans="1:2" x14ac:dyDescent="0.25">
      <c r="A14478">
        <f ca="1">30604.8224081194*((RANDBETWEEN(1620,2416)))</f>
        <v>53589044.036617085</v>
      </c>
      <c r="B14478">
        <v>180302042.1791766</v>
      </c>
    </row>
    <row r="14479" spans="1:2" x14ac:dyDescent="0.25">
      <c r="A14479">
        <f ca="1">27659.3210043198*((RANDBETWEEN(1620,2416)))</f>
        <v>45886813.546166614</v>
      </c>
      <c r="B14479">
        <v>146518093.37243199</v>
      </c>
    </row>
    <row r="14480" spans="1:2" x14ac:dyDescent="0.25">
      <c r="A14480">
        <f ca="1">27026.9261653268*((RANDBETWEEN(1620,2416)))</f>
        <v>64188949.6426512</v>
      </c>
      <c r="B14480">
        <v>168774688.14551508</v>
      </c>
    </row>
    <row r="14481" spans="1:2" x14ac:dyDescent="0.25">
      <c r="A14481">
        <f ca="1">26248.8151728716*((RANDBETWEEN(1620,2416)))</f>
        <v>61264734.613482215</v>
      </c>
      <c r="B14481">
        <v>170710851.03504661</v>
      </c>
    </row>
    <row r="14482" spans="1:2" x14ac:dyDescent="0.25">
      <c r="A14482">
        <f ca="1">30537.897501339*((RANDBETWEEN(1620,2416)))</f>
        <v>52372494.214796379</v>
      </c>
      <c r="B14482">
        <v>192767689.62498146</v>
      </c>
    </row>
    <row r="14483" spans="1:2" x14ac:dyDescent="0.25">
      <c r="A14483">
        <f ca="1">25017.5764736324*((RANDBETWEEN(1620,2416)))</f>
        <v>58991445.324825197</v>
      </c>
      <c r="B14483">
        <v>161215223.3065317</v>
      </c>
    </row>
    <row r="14484" spans="1:2" x14ac:dyDescent="0.25">
      <c r="A14484">
        <f ca="1">29131.3327513452*((RANDBETWEEN(1620,2416)))</f>
        <v>50688518.987340607</v>
      </c>
      <c r="B14484">
        <v>161874746.46464345</v>
      </c>
    </row>
    <row r="14485" spans="1:2" x14ac:dyDescent="0.25">
      <c r="A14485">
        <f ca="1">31556.6459254815*((RANDBETWEEN(1620,2416)))</f>
        <v>59547390.86138355</v>
      </c>
      <c r="B14485">
        <v>203317239.50324416</v>
      </c>
    </row>
    <row r="14486" spans="1:2" x14ac:dyDescent="0.25">
      <c r="A14486">
        <f ca="1">26339.3820108688*((RANDBETWEEN(1620,2416)))</f>
        <v>57946640.423911467</v>
      </c>
      <c r="B14486">
        <v>164856834.18250063</v>
      </c>
    </row>
    <row r="14487" spans="1:2" x14ac:dyDescent="0.25">
      <c r="A14487">
        <f ca="1">25940.2791879682*((RANDBETWEEN(1620,2416)))</f>
        <v>61789745.025740273</v>
      </c>
      <c r="B14487">
        <v>170048366.13437569</v>
      </c>
    </row>
    <row r="14488" spans="1:2" x14ac:dyDescent="0.25">
      <c r="A14488">
        <f ca="1">27473.4592085199*((RANDBETWEEN(1620,2416)))</f>
        <v>58628361.950981416</v>
      </c>
      <c r="B14488">
        <v>176771723.28598613</v>
      </c>
    </row>
    <row r="14489" spans="1:2" x14ac:dyDescent="0.25">
      <c r="A14489">
        <f ca="1">27968.1738804988*((RANDBETWEEN(1620,2416)))</f>
        <v>48608686.204306863</v>
      </c>
      <c r="B14489">
        <v>162681752.35869014</v>
      </c>
    </row>
    <row r="14490" spans="1:2" x14ac:dyDescent="0.25">
      <c r="A14490">
        <f ca="1">33351.613748667*((RANDBETWEEN(1620,2416)))</f>
        <v>55964007.870263256</v>
      </c>
      <c r="B14490">
        <v>193834299.31366095</v>
      </c>
    </row>
    <row r="14491" spans="1:2" x14ac:dyDescent="0.25">
      <c r="A14491">
        <f ca="1">31812.084301243*((RANDBETWEEN(1620,2416)))</f>
        <v>75394639.793945998</v>
      </c>
      <c r="B14491">
        <v>191766155.95339003</v>
      </c>
    </row>
    <row r="14492" spans="1:2" x14ac:dyDescent="0.25">
      <c r="A14492">
        <f ca="1">31508.5235459358*((RANDBETWEEN(1620,2416)))</f>
        <v>64781524.410443917</v>
      </c>
      <c r="B14492">
        <v>195937587.6407426</v>
      </c>
    </row>
    <row r="14493" spans="1:2" x14ac:dyDescent="0.25">
      <c r="A14493">
        <f ca="1">35392.2248180161*((RANDBETWEEN(1620,2416)))</f>
        <v>71740039.706118733</v>
      </c>
      <c r="B14493">
        <v>164969181.03856966</v>
      </c>
    </row>
    <row r="14494" spans="1:2" x14ac:dyDescent="0.25">
      <c r="A14494">
        <f ca="1">27230.1761005152*((RANDBETWEEN(1620,2416)))</f>
        <v>63010627.496592149</v>
      </c>
      <c r="B14494">
        <v>151715000.11866626</v>
      </c>
    </row>
    <row r="14495" spans="1:2" x14ac:dyDescent="0.25">
      <c r="A14495">
        <f ca="1">25493.1111854544*((RANDBETWEEN(1620,2416)))</f>
        <v>53790464.601308845</v>
      </c>
      <c r="B14495">
        <v>150996084.85500032</v>
      </c>
    </row>
    <row r="14496" spans="1:2" x14ac:dyDescent="0.25">
      <c r="A14496">
        <f ca="1">24599.252932236*((RANDBETWEEN(1620,2416)))</f>
        <v>50600663.281609416</v>
      </c>
      <c r="B14496">
        <v>146375081.73203146</v>
      </c>
    </row>
    <row r="14497" spans="1:2" x14ac:dyDescent="0.25">
      <c r="A14497">
        <f ca="1">25871.5221248765*((RANDBETWEEN(1620,2416)))</f>
        <v>43567643.258292012</v>
      </c>
      <c r="B14497">
        <v>142988059.75903279</v>
      </c>
    </row>
    <row r="14498" spans="1:2" x14ac:dyDescent="0.25">
      <c r="A14498">
        <f ca="1">28867.7237435282*((RANDBETWEEN(1620,2416)))</f>
        <v>66395764.610114954</v>
      </c>
      <c r="B14498">
        <v>155298463.52770689</v>
      </c>
    </row>
    <row r="14499" spans="1:2" x14ac:dyDescent="0.25">
      <c r="A14499">
        <f ca="1">26528.3556415953*((RANDBETWEEN(1620,2416)))</f>
        <v>47565341.665380426</v>
      </c>
      <c r="B14499">
        <v>182861975.79469213</v>
      </c>
    </row>
    <row r="14500" spans="1:2" x14ac:dyDescent="0.25">
      <c r="A14500">
        <f ca="1">28896.9197408817*((RANDBETWEEN(1620,2416)))</f>
        <v>49384835.83716695</v>
      </c>
      <c r="B14500">
        <v>174755203.52341789</v>
      </c>
    </row>
    <row r="14501" spans="1:2" x14ac:dyDescent="0.25">
      <c r="A14501">
        <f ca="1">30073.0540184441*((RANDBETWEEN(1620,2416)))</f>
        <v>56356903.230564229</v>
      </c>
      <c r="B14501">
        <v>158574239.95862952</v>
      </c>
    </row>
    <row r="14502" spans="1:2" x14ac:dyDescent="0.25">
      <c r="A14502">
        <f ca="1">31637.3225173148*((RANDBETWEEN(1620,2416)))</f>
        <v>66912937.124120727</v>
      </c>
      <c r="B14502">
        <v>143025185.91118395</v>
      </c>
    </row>
    <row r="14503" spans="1:2" x14ac:dyDescent="0.25">
      <c r="A14503">
        <f ca="1">25659.0726430301*((RANDBETWEEN(1620,2416)))</f>
        <v>54294597.712651625</v>
      </c>
      <c r="B14503">
        <v>149485741.40758535</v>
      </c>
    </row>
    <row r="14504" spans="1:2" x14ac:dyDescent="0.25">
      <c r="A14504">
        <f ca="1">29132.7389065668*((RANDBETWEEN(1620,2416)))</f>
        <v>56634044.434365906</v>
      </c>
      <c r="B14504">
        <v>186555592.05234396</v>
      </c>
    </row>
    <row r="14505" spans="1:2" x14ac:dyDescent="0.25">
      <c r="A14505">
        <f ca="1">27515.9467922751*((RANDBETWEEN(1620,2416)))</f>
        <v>49858895.587602444</v>
      </c>
      <c r="B14505">
        <v>151841050.59690189</v>
      </c>
    </row>
    <row r="14506" spans="1:2" x14ac:dyDescent="0.25">
      <c r="A14506">
        <f ca="1">32100.974311176*((RANDBETWEEN(1620,2416)))</f>
        <v>59162095.655497298</v>
      </c>
      <c r="B14506">
        <v>192060750.72661567</v>
      </c>
    </row>
    <row r="14507" spans="1:2" x14ac:dyDescent="0.25">
      <c r="A14507">
        <f ca="1">29510.3440931086*((RANDBETWEEN(1620,2416)))</f>
        <v>69467349.995177642</v>
      </c>
      <c r="B14507">
        <v>187015060.90050715</v>
      </c>
    </row>
    <row r="14508" spans="1:2" x14ac:dyDescent="0.25">
      <c r="A14508">
        <f ca="1">30629.3210776713*((RANDBETWEEN(1620,2416)))</f>
        <v>70906878.294809088</v>
      </c>
      <c r="B14508">
        <v>161413617.81363785</v>
      </c>
    </row>
    <row r="14509" spans="1:2" x14ac:dyDescent="0.25">
      <c r="A14509">
        <f ca="1">25526.1183673865*((RANDBETWEEN(1620,2416)))</f>
        <v>52430647.126611926</v>
      </c>
      <c r="B14509">
        <v>156291066.91139901</v>
      </c>
    </row>
    <row r="14510" spans="1:2" x14ac:dyDescent="0.25">
      <c r="A14510">
        <f ca="1">27561.8674070022*((RANDBETWEEN(1620,2416)))</f>
        <v>57356246.073971495</v>
      </c>
      <c r="B14510">
        <v>201943775.46266091</v>
      </c>
    </row>
    <row r="14511" spans="1:2" x14ac:dyDescent="0.25">
      <c r="A14511">
        <f ca="1">28903.5703596877*((RANDBETWEEN(1620,2416)))</f>
        <v>62547326.258364104</v>
      </c>
      <c r="B14511">
        <v>202912347.54407027</v>
      </c>
    </row>
    <row r="14512" spans="1:2" x14ac:dyDescent="0.25">
      <c r="A14512">
        <f ca="1">27803.7766398076*((RANDBETWEEN(1620,2416)))</f>
        <v>52132081.199639156</v>
      </c>
      <c r="B14512">
        <v>183709650.56660461</v>
      </c>
    </row>
    <row r="14513" spans="1:2" x14ac:dyDescent="0.25">
      <c r="A14513">
        <f ca="1">28035.4213398344*((RANDBETWEEN(1620,2416)))</f>
        <v>46174338.946707323</v>
      </c>
      <c r="B14513">
        <v>200976589.44586575</v>
      </c>
    </row>
    <row r="14514" spans="1:2" x14ac:dyDescent="0.25">
      <c r="A14514">
        <f ca="1">30933.1452261488*((RANDBETWEEN(1620,2416)))</f>
        <v>56576722.618626229</v>
      </c>
      <c r="B14514">
        <v>200995004.903292</v>
      </c>
    </row>
    <row r="14515" spans="1:2" x14ac:dyDescent="0.25">
      <c r="A14515">
        <f ca="1">27763.6073414453*((RANDBETWEEN(1620,2416)))</f>
        <v>57970412.128937773</v>
      </c>
      <c r="B14515">
        <v>179715808.13442677</v>
      </c>
    </row>
    <row r="14516" spans="1:2" x14ac:dyDescent="0.25">
      <c r="A14516">
        <f ca="1">30312.8750908815*((RANDBETWEEN(1620,2416)))</f>
        <v>53714414.661042027</v>
      </c>
      <c r="B14516">
        <v>183850025.22956982</v>
      </c>
    </row>
    <row r="14517" spans="1:2" x14ac:dyDescent="0.25">
      <c r="A14517">
        <f ca="1">27375.5654941933*((RANDBETWEEN(1620,2416)))</f>
        <v>57214931.882863894</v>
      </c>
      <c r="B14517">
        <v>159183290.97701547</v>
      </c>
    </row>
    <row r="14518" spans="1:2" x14ac:dyDescent="0.25">
      <c r="A14518">
        <f ca="1">30388.5525772216*((RANDBETWEEN(1620,2416)))</f>
        <v>51903647.801894516</v>
      </c>
      <c r="B14518">
        <v>197769485.41036785</v>
      </c>
    </row>
    <row r="14519" spans="1:2" x14ac:dyDescent="0.25">
      <c r="A14519">
        <f ca="1">30754.6964612989*((RANDBETWEEN(1620,2416)))</f>
        <v>66276370.874099076</v>
      </c>
      <c r="B14519">
        <v>165229895.86494604</v>
      </c>
    </row>
    <row r="14520" spans="1:2" x14ac:dyDescent="0.25">
      <c r="A14520">
        <f ca="1">27144.3168888295*((RANDBETWEEN(1620,2416)))</f>
        <v>53420015.637216367</v>
      </c>
      <c r="B14520">
        <v>144670835.01088983</v>
      </c>
    </row>
    <row r="14521" spans="1:2" x14ac:dyDescent="0.25">
      <c r="A14521">
        <f ca="1">29950.653275859*((RANDBETWEEN(1620,2416)))</f>
        <v>58703280.420683555</v>
      </c>
      <c r="B14521">
        <v>198233751.35434452</v>
      </c>
    </row>
    <row r="14522" spans="1:2" x14ac:dyDescent="0.25">
      <c r="A14522">
        <f ca="1">27569.4548932661*((RANDBETWEEN(1620,2416)))</f>
        <v>52354394.842312366</v>
      </c>
      <c r="B14522">
        <v>144116807.8839753</v>
      </c>
    </row>
    <row r="14523" spans="1:2" x14ac:dyDescent="0.25">
      <c r="A14523">
        <f ca="1">26681.795042794*((RANDBETWEEN(1620,2416)))</f>
        <v>48053912.872072004</v>
      </c>
      <c r="B14523">
        <v>168126723.92349324</v>
      </c>
    </row>
    <row r="14524" spans="1:2" x14ac:dyDescent="0.25">
      <c r="A14524">
        <f ca="1">27045.3031091688*((RANDBETWEEN(1620,2416)))</f>
        <v>56254230.467071086</v>
      </c>
      <c r="B14524">
        <v>184644667.06293327</v>
      </c>
    </row>
    <row r="14525" spans="1:2" x14ac:dyDescent="0.25">
      <c r="A14525">
        <f ca="1">25297.6192600752*((RANDBETWEEN(1620,2416)))</f>
        <v>57046131.43146956</v>
      </c>
      <c r="B14525">
        <v>162041960.80815798</v>
      </c>
    </row>
    <row r="14526" spans="1:2" x14ac:dyDescent="0.25">
      <c r="A14526">
        <f ca="1">28123.9260199639*((RANDBETWEEN(1620,2416)))</f>
        <v>50538695.057875134</v>
      </c>
      <c r="B14526">
        <v>146768893.32370341</v>
      </c>
    </row>
    <row r="14527" spans="1:2" x14ac:dyDescent="0.25">
      <c r="A14527">
        <f ca="1">26914.4921657707*((RANDBETWEEN(1620,2416)))</f>
        <v>59023481.319535039</v>
      </c>
      <c r="B14527">
        <v>187532032.34796569</v>
      </c>
    </row>
    <row r="14528" spans="1:2" x14ac:dyDescent="0.25">
      <c r="A14528">
        <f ca="1">27889.9817578978*((RANDBETWEEN(1620,2416)))</f>
        <v>55724183.552279711</v>
      </c>
      <c r="B14528">
        <v>172196549.81388575</v>
      </c>
    </row>
    <row r="14529" spans="1:2" x14ac:dyDescent="0.25">
      <c r="A14529">
        <f ca="1">27878.4764178576*((RANDBETWEEN(1620,2416)))</f>
        <v>49066118.495429464</v>
      </c>
      <c r="B14529">
        <v>193220541.18962198</v>
      </c>
    </row>
    <row r="14530" spans="1:2" x14ac:dyDescent="0.25">
      <c r="A14530">
        <f ca="1">27376.174883149*((RANDBETWEEN(1620,2416)))</f>
        <v>45937221.453923993</v>
      </c>
      <c r="B14530">
        <v>161736524.46636161</v>
      </c>
    </row>
    <row r="14531" spans="1:2" x14ac:dyDescent="0.25">
      <c r="A14531">
        <f ca="1">26305.2311376951*((RANDBETWEEN(1620,2416)))</f>
        <v>51400421.643056177</v>
      </c>
      <c r="B14531">
        <v>157469771.89058813</v>
      </c>
    </row>
    <row r="14532" spans="1:2" x14ac:dyDescent="0.25">
      <c r="A14532">
        <f ca="1">26953.219084488*((RANDBETWEEN(1620,2416)))</f>
        <v>44553671.146658666</v>
      </c>
      <c r="B14532">
        <v>190018511.78435725</v>
      </c>
    </row>
    <row r="14533" spans="1:2" x14ac:dyDescent="0.25">
      <c r="A14533">
        <f ca="1">29240.1370252656*((RANDBETWEEN(1620,2416)))</f>
        <v>63801978.989129506</v>
      </c>
      <c r="B14533">
        <v>194196757.2668466</v>
      </c>
    </row>
    <row r="14534" spans="1:2" x14ac:dyDescent="0.25">
      <c r="A14534">
        <f ca="1">24817.9299252046*((RANDBETWEEN(1620,2416)))</f>
        <v>46682526.189309776</v>
      </c>
      <c r="B14534">
        <v>145669178.01500458</v>
      </c>
    </row>
    <row r="14535" spans="1:2" x14ac:dyDescent="0.25">
      <c r="A14535">
        <f ca="1">26245.7149995071*((RANDBETWEEN(1620,2416)))</f>
        <v>54486104.338976733</v>
      </c>
      <c r="B14535">
        <v>176353520.22975129</v>
      </c>
    </row>
    <row r="14536" spans="1:2" x14ac:dyDescent="0.25">
      <c r="A14536">
        <f ca="1">26058.3510513919*((RANDBETWEEN(1620,2416)))</f>
        <v>61289241.672873676</v>
      </c>
      <c r="B14536">
        <v>180034831.38748056</v>
      </c>
    </row>
    <row r="14537" spans="1:2" x14ac:dyDescent="0.25">
      <c r="A14537">
        <f ca="1">27401.8844814142*((RANDBETWEEN(1620,2416)))</f>
        <v>46994231.885625295</v>
      </c>
      <c r="B14537">
        <v>145043990.14176339</v>
      </c>
    </row>
    <row r="14538" spans="1:2" x14ac:dyDescent="0.25">
      <c r="A14538">
        <f ca="1">29013.9156427518*((RANDBETWEEN(1620,2416)))</f>
        <v>65948630.255974866</v>
      </c>
      <c r="B14538">
        <v>167991654.40954149</v>
      </c>
    </row>
    <row r="14539" spans="1:2" x14ac:dyDescent="0.25">
      <c r="A14539">
        <f ca="1">27041.5398772432*((RANDBETWEEN(1620,2416)))</f>
        <v>52298338.122588426</v>
      </c>
      <c r="B14539">
        <v>190434313.93464357</v>
      </c>
    </row>
    <row r="14540" spans="1:2" x14ac:dyDescent="0.25">
      <c r="A14540">
        <f ca="1">27854.4705092489*((RANDBETWEEN(1620,2416)))</f>
        <v>55541814.195442408</v>
      </c>
      <c r="B14540">
        <v>190284592.34079698</v>
      </c>
    </row>
    <row r="14541" spans="1:2" x14ac:dyDescent="0.25">
      <c r="A14541">
        <f ca="1">30450.0845331328*((RANDBETWEEN(1620,2416)))</f>
        <v>66289834.028630115</v>
      </c>
      <c r="B14541">
        <v>184154461.78097838</v>
      </c>
    </row>
    <row r="14542" spans="1:2" x14ac:dyDescent="0.25">
      <c r="A14542">
        <f ca="1">30645.8778099516*((RANDBETWEEN(1620,2416)))</f>
        <v>71098436.519087747</v>
      </c>
      <c r="B14542">
        <v>165292088.42026746</v>
      </c>
    </row>
    <row r="14543" spans="1:2" x14ac:dyDescent="0.25">
      <c r="A14543">
        <f ca="1">26880.6639661002*((RANDBETWEEN(1620,2416)))</f>
        <v>64298548.206911653</v>
      </c>
      <c r="B14543">
        <v>160133200.80826902</v>
      </c>
    </row>
    <row r="14544" spans="1:2" x14ac:dyDescent="0.25">
      <c r="A14544">
        <f ca="1">29425.8681728581*((RANDBETWEEN(1620,2416)))</f>
        <v>62147433.581076257</v>
      </c>
      <c r="B14544">
        <v>144234802.00979787</v>
      </c>
    </row>
    <row r="14545" spans="1:2" x14ac:dyDescent="0.25">
      <c r="A14545">
        <f ca="1">26157.1442660154*((RANDBETWEEN(1620,2416)))</f>
        <v>63117189.113895245</v>
      </c>
      <c r="B14545">
        <v>171148370.91126209</v>
      </c>
    </row>
    <row r="14546" spans="1:2" x14ac:dyDescent="0.25">
      <c r="A14546">
        <f ca="1">26336.2576310808*((RANDBETWEEN(1620,2416)))</f>
        <v>49643845.634587362</v>
      </c>
      <c r="B14546">
        <v>143477112.43257684</v>
      </c>
    </row>
    <row r="14547" spans="1:2" x14ac:dyDescent="0.25">
      <c r="A14547">
        <f ca="1">26630.8657209326*((RANDBETWEEN(1620,2416)))</f>
        <v>49213839.852283418</v>
      </c>
      <c r="B14547">
        <v>148486529.27076632</v>
      </c>
    </row>
    <row r="14548" spans="1:2" x14ac:dyDescent="0.25">
      <c r="A14548">
        <f ca="1">26321.5199392996*((RANDBETWEEN(1620,2416)))</f>
        <v>63119004.814440362</v>
      </c>
      <c r="B14548">
        <v>157603207.98933324</v>
      </c>
    </row>
    <row r="14549" spans="1:2" x14ac:dyDescent="0.25">
      <c r="A14549">
        <f ca="1">26559.4643125659*((RANDBETWEEN(1620,2416)))</f>
        <v>53012690.767881617</v>
      </c>
      <c r="B14549">
        <v>168834074.4049426</v>
      </c>
    </row>
    <row r="14550" spans="1:2" x14ac:dyDescent="0.25">
      <c r="A14550">
        <f ca="1">25679.8062802781*((RANDBETWEEN(1620,2416)))</f>
        <v>45761414.791455641</v>
      </c>
      <c r="B14550">
        <v>153745846.95414943</v>
      </c>
    </row>
    <row r="14551" spans="1:2" x14ac:dyDescent="0.25">
      <c r="A14551">
        <f ca="1">26255.5488118502*((RANDBETWEEN(1620,2416)))</f>
        <v>61122917.633987263</v>
      </c>
      <c r="B14551">
        <v>148182586.85208118</v>
      </c>
    </row>
    <row r="14552" spans="1:2" x14ac:dyDescent="0.25">
      <c r="A14552">
        <f ca="1">32412.9596774502*((RANDBETWEEN(1620,2416)))</f>
        <v>68585822.677484602</v>
      </c>
      <c r="B14552">
        <v>190303815.42973682</v>
      </c>
    </row>
    <row r="14553" spans="1:2" x14ac:dyDescent="0.25">
      <c r="A14553">
        <f ca="1">29179.5683607985*((RANDBETWEEN(1620,2416)))</f>
        <v>65274694.423106238</v>
      </c>
      <c r="B14553">
        <v>176496626.62526888</v>
      </c>
    </row>
    <row r="14554" spans="1:2" x14ac:dyDescent="0.25">
      <c r="A14554">
        <f ca="1">28012.2224218135*((RANDBETWEEN(1620,2416)))</f>
        <v>58153373.747684859</v>
      </c>
      <c r="B14554">
        <v>145331027.16377965</v>
      </c>
    </row>
    <row r="14555" spans="1:2" x14ac:dyDescent="0.25">
      <c r="A14555">
        <f ca="1">29546.1968108829*((RANDBETWEEN(1620,2416)))</f>
        <v>69758570.670494556</v>
      </c>
      <c r="B14555">
        <v>167682302.11830512</v>
      </c>
    </row>
    <row r="14556" spans="1:2" x14ac:dyDescent="0.25">
      <c r="A14556">
        <f ca="1">26805.7694049354*((RANDBETWEEN(1620,2416)))</f>
        <v>51976386.876169771</v>
      </c>
      <c r="B14556">
        <v>170538098.33081543</v>
      </c>
    </row>
    <row r="14557" spans="1:2" x14ac:dyDescent="0.25">
      <c r="A14557">
        <f ca="1">27351.4566368437*((RANDBETWEEN(1620,2416)))</f>
        <v>51584847.217087179</v>
      </c>
      <c r="B14557">
        <v>176995713.66142485</v>
      </c>
    </row>
    <row r="14558" spans="1:2" x14ac:dyDescent="0.25">
      <c r="A14558">
        <f ca="1">25720.3617764546*((RANDBETWEEN(1620,2416)))</f>
        <v>62037512.604808599</v>
      </c>
      <c r="B14558">
        <v>144571879.25063747</v>
      </c>
    </row>
    <row r="14559" spans="1:2" x14ac:dyDescent="0.25">
      <c r="A14559">
        <f ca="1">28386.7997803207*((RANDBETWEEN(1620,2416)))</f>
        <v>59896147.536476582</v>
      </c>
      <c r="B14559">
        <v>177619855.01300001</v>
      </c>
    </row>
    <row r="14560" spans="1:2" x14ac:dyDescent="0.25">
      <c r="A14560">
        <f ca="1">31066.5191266133*((RANDBETWEEN(1620,2416)))</f>
        <v>74217914.193479136</v>
      </c>
      <c r="B14560">
        <v>199137760.69408491</v>
      </c>
    </row>
    <row r="14561" spans="1:2" x14ac:dyDescent="0.25">
      <c r="A14561">
        <f ca="1">28005.8823361746*((RANDBETWEEN(1620,2416)))</f>
        <v>57748129.377191968</v>
      </c>
      <c r="B14561">
        <v>183079101.24344727</v>
      </c>
    </row>
    <row r="14562" spans="1:2" x14ac:dyDescent="0.25">
      <c r="A14562">
        <f ca="1">32696.8572240821*((RANDBETWEEN(1620,2416)))</f>
        <v>62516391.01244504</v>
      </c>
      <c r="B14562">
        <v>177206278.96057677</v>
      </c>
    </row>
    <row r="14563" spans="1:2" x14ac:dyDescent="0.25">
      <c r="A14563">
        <f ca="1">31841.0275749153*((RANDBETWEEN(1620,2416)))</f>
        <v>59924813.895990655</v>
      </c>
      <c r="B14563">
        <v>193677640.97662556</v>
      </c>
    </row>
    <row r="14564" spans="1:2" x14ac:dyDescent="0.25">
      <c r="A14564">
        <f ca="1">29867.6753896637*((RANDBETWEEN(1620,2416)))</f>
        <v>49431002.769893378</v>
      </c>
      <c r="B14564">
        <v>202764545.07121921</v>
      </c>
    </row>
    <row r="14565" spans="1:2" x14ac:dyDescent="0.25">
      <c r="A14565">
        <f ca="1">26658.8719535023*((RANDBETWEEN(1620,2416)))</f>
        <v>50838468.815328926</v>
      </c>
      <c r="B14565">
        <v>179166042.41190532</v>
      </c>
    </row>
    <row r="14566" spans="1:2" x14ac:dyDescent="0.25">
      <c r="A14566">
        <f ca="1">26055.949244368*((RANDBETWEEN(1620,2416)))</f>
        <v>59694179.718847193</v>
      </c>
      <c r="B14566">
        <v>166559341.16968817</v>
      </c>
    </row>
    <row r="14567" spans="1:2" x14ac:dyDescent="0.25">
      <c r="A14567">
        <f ca="1">29909.9356003664*((RANDBETWEEN(1620,2416)))</f>
        <v>54465992.728267267</v>
      </c>
      <c r="B14567">
        <v>171943093.81696081</v>
      </c>
    </row>
    <row r="14568" spans="1:2" x14ac:dyDescent="0.25">
      <c r="A14568">
        <f ca="1">29195.4103352277*((RANDBETWEEN(1620,2416)))</f>
        <v>54391049.454529129</v>
      </c>
      <c r="B14568">
        <v>194031390.89838821</v>
      </c>
    </row>
    <row r="14569" spans="1:2" x14ac:dyDescent="0.25">
      <c r="A14569">
        <f ca="1">30750.8486768155*((RANDBETWEEN(1620,2416)))</f>
        <v>61194188.86686293</v>
      </c>
      <c r="B14569">
        <v>199646648.07417792</v>
      </c>
    </row>
    <row r="14570" spans="1:2" x14ac:dyDescent="0.25">
      <c r="A14570">
        <f ca="1">26491.8091193729*((RANDBETWEEN(1620,2416)))</f>
        <v>61275554.493109494</v>
      </c>
      <c r="B14570">
        <v>189641666.90003538</v>
      </c>
    </row>
    <row r="14571" spans="1:2" x14ac:dyDescent="0.25">
      <c r="A14571">
        <f ca="1">28434.5639161815*((RANDBETWEEN(1620,2416)))</f>
        <v>67105570.842188381</v>
      </c>
      <c r="B14571">
        <v>159439315.14403984</v>
      </c>
    </row>
    <row r="14572" spans="1:2" x14ac:dyDescent="0.25">
      <c r="A14572">
        <f ca="1">25730.3398136013*((RANDBETWEEN(1620,2416)))</f>
        <v>54882814.82241156</v>
      </c>
      <c r="B14572">
        <v>185117663.78728893</v>
      </c>
    </row>
    <row r="14573" spans="1:2" x14ac:dyDescent="0.25">
      <c r="A14573">
        <f ca="1">30822.703618431*((RANDBETWEEN(1620,2416)))</f>
        <v>72063481.059891686</v>
      </c>
      <c r="B14573">
        <v>173157712.42386985</v>
      </c>
    </row>
    <row r="14574" spans="1:2" x14ac:dyDescent="0.25">
      <c r="A14574">
        <f ca="1">26871.0051721606*((RANDBETWEEN(1620,2416)))</f>
        <v>49496391.52711986</v>
      </c>
      <c r="B14574">
        <v>147991081.60527706</v>
      </c>
    </row>
    <row r="14575" spans="1:2" x14ac:dyDescent="0.25">
      <c r="A14575">
        <f ca="1">25844.7783756783*((RANDBETWEEN(1620,2416)))</f>
        <v>59727282.826192632</v>
      </c>
      <c r="B14575">
        <v>162005875.67367437</v>
      </c>
    </row>
    <row r="14576" spans="1:2" x14ac:dyDescent="0.25">
      <c r="A14576">
        <f ca="1">27058.8149563051*((RANDBETWEEN(1620,2416)))</f>
        <v>59502334.088914864</v>
      </c>
      <c r="B14576">
        <v>160258719.15349758</v>
      </c>
    </row>
    <row r="14577" spans="1:2" x14ac:dyDescent="0.25">
      <c r="A14577">
        <f ca="1">30081.4804620847*((RANDBETWEEN(1620,2416)))</f>
        <v>51409250.109702818</v>
      </c>
      <c r="B14577">
        <v>152639296.7044844</v>
      </c>
    </row>
    <row r="14578" spans="1:2" x14ac:dyDescent="0.25">
      <c r="A14578">
        <f ca="1">32182.6856660362*((RANDBETWEEN(1620,2416)))</f>
        <v>58154112.99852749</v>
      </c>
      <c r="B14578">
        <v>200217513.70821309</v>
      </c>
    </row>
    <row r="14579" spans="1:2" x14ac:dyDescent="0.25">
      <c r="A14579">
        <f ca="1">32805.3643477698*((RANDBETWEEN(1620,2416)))</f>
        <v>65315480.416409597</v>
      </c>
      <c r="B14579">
        <v>185066529.05768126</v>
      </c>
    </row>
    <row r="14580" spans="1:2" x14ac:dyDescent="0.25">
      <c r="A14580">
        <f ca="1">30967.7179172309*((RANDBETWEEN(1620,2416)))</f>
        <v>52738023.613044284</v>
      </c>
      <c r="B14580">
        <v>175542057.46432379</v>
      </c>
    </row>
    <row r="14581" spans="1:2" x14ac:dyDescent="0.25">
      <c r="A14581">
        <f ca="1">30345.2308259792*((RANDBETWEEN(1620,2416)))</f>
        <v>59780104.727178961</v>
      </c>
      <c r="B14581">
        <v>147583151.21976513</v>
      </c>
    </row>
    <row r="14582" spans="1:2" x14ac:dyDescent="0.25">
      <c r="A14582">
        <f ca="1">28841.1670053543*((RANDBETWEEN(1620,2416)))</f>
        <v>46751531.715679318</v>
      </c>
      <c r="B14582">
        <v>159150196.17616779</v>
      </c>
    </row>
    <row r="14583" spans="1:2" x14ac:dyDescent="0.25">
      <c r="A14583">
        <f ca="1">32902.7114704725*((RANDBETWEEN(1620,2416)))</f>
        <v>65410590.403299309</v>
      </c>
      <c r="B14583">
        <v>149461381.50999829</v>
      </c>
    </row>
    <row r="14584" spans="1:2" x14ac:dyDescent="0.25">
      <c r="A14584">
        <f ca="1">26653.8868542038*((RANDBETWEEN(1620,2416)))</f>
        <v>55040276.353930824</v>
      </c>
      <c r="B14584">
        <v>151681745.07618934</v>
      </c>
    </row>
    <row r="14585" spans="1:2" x14ac:dyDescent="0.25">
      <c r="A14585">
        <f ca="1">25630.2200421399*((RANDBETWEEN(1620,2416)))</f>
        <v>59231438.517385416</v>
      </c>
      <c r="B14585">
        <v>143423883.05429262</v>
      </c>
    </row>
    <row r="14586" spans="1:2" x14ac:dyDescent="0.25">
      <c r="A14586">
        <f ca="1">32603.4055992794*((RANDBETWEEN(1620,2416)))</f>
        <v>66706567.856125645</v>
      </c>
      <c r="B14586">
        <v>183516016.33827907</v>
      </c>
    </row>
    <row r="14587" spans="1:2" x14ac:dyDescent="0.25">
      <c r="A14587">
        <f ca="1">30117.2516531938*((RANDBETWEEN(1620,2416)))</f>
        <v>70022610.093675703</v>
      </c>
      <c r="B14587">
        <v>202853038.13158497</v>
      </c>
    </row>
    <row r="14588" spans="1:2" x14ac:dyDescent="0.25">
      <c r="A14588">
        <f ca="1">27731.0074596774*((RANDBETWEEN(1620,2416)))</f>
        <v>65805680.701814353</v>
      </c>
      <c r="B14588">
        <v>196105038.64246616</v>
      </c>
    </row>
    <row r="14589" spans="1:2" x14ac:dyDescent="0.25">
      <c r="A14589">
        <f ca="1">27982.71733537*((RANDBETWEEN(1620,2416)))</f>
        <v>49137651.640909731</v>
      </c>
      <c r="B14589">
        <v>195308012.10942045</v>
      </c>
    </row>
    <row r="14590" spans="1:2" x14ac:dyDescent="0.25">
      <c r="A14590">
        <f ca="1">27932.5323069881*((RANDBETWEEN(1620,2416)))</f>
        <v>53099743.915584378</v>
      </c>
      <c r="B14590">
        <v>184507648.5669632</v>
      </c>
    </row>
    <row r="14591" spans="1:2" x14ac:dyDescent="0.25">
      <c r="A14591">
        <f ca="1">27214.3250712893*((RANDBETWEEN(1620,2416)))</f>
        <v>54183721.216937043</v>
      </c>
      <c r="B14591">
        <v>173558741.20321867</v>
      </c>
    </row>
    <row r="14592" spans="1:2" x14ac:dyDescent="0.25">
      <c r="A14592">
        <f ca="1">28489.5603970311*((RANDBETWEEN(1620,2416)))</f>
        <v>54899382.885078937</v>
      </c>
      <c r="B14592">
        <v>182369762.21110097</v>
      </c>
    </row>
    <row r="14593" spans="1:2" x14ac:dyDescent="0.25">
      <c r="A14593">
        <f ca="1">29913.7387934319*((RANDBETWEEN(1620,2416)))</f>
        <v>69130650.351621211</v>
      </c>
      <c r="B14593">
        <v>194272488.88836688</v>
      </c>
    </row>
    <row r="14594" spans="1:2" x14ac:dyDescent="0.25">
      <c r="A14594">
        <f ca="1">30963.4000735691*((RANDBETWEEN(1620,2416)))</f>
        <v>55238705.731247239</v>
      </c>
      <c r="B14594">
        <v>164788493.02295065</v>
      </c>
    </row>
    <row r="14595" spans="1:2" x14ac:dyDescent="0.25">
      <c r="A14595">
        <f ca="1">28600.8453079409*((RANDBETWEEN(1620,2416)))</f>
        <v>61291611.494917363</v>
      </c>
      <c r="B14595">
        <v>145388540.14869946</v>
      </c>
    </row>
    <row r="14596" spans="1:2" x14ac:dyDescent="0.25">
      <c r="A14596">
        <f ca="1">25898.2865178456*((RANDBETWEEN(1620,2416)))</f>
        <v>57131620.058367483</v>
      </c>
      <c r="B14596">
        <v>149135624.54402274</v>
      </c>
    </row>
    <row r="14597" spans="1:2" x14ac:dyDescent="0.25">
      <c r="A14597">
        <f ca="1">26551.6141796736*((RANDBETWEEN(1620,2416)))</f>
        <v>44606711.821851574</v>
      </c>
      <c r="B14597">
        <v>145990093.28104293</v>
      </c>
    </row>
    <row r="14598" spans="1:2" x14ac:dyDescent="0.25">
      <c r="A14598">
        <f ca="1">31472.5748868068*((RANDBETWEEN(1620,2416)))</f>
        <v>71474217.567938313</v>
      </c>
      <c r="B14598">
        <v>174136975.49939856</v>
      </c>
    </row>
    <row r="14599" spans="1:2" x14ac:dyDescent="0.25">
      <c r="A14599">
        <f ca="1">27221.7841071049*((RANDBETWEEN(1620,2416)))</f>
        <v>61140127.104557663</v>
      </c>
      <c r="B14599">
        <v>173669714.29715022</v>
      </c>
    </row>
    <row r="14600" spans="1:2" x14ac:dyDescent="0.25">
      <c r="A14600">
        <f ca="1">27791.3338268051*((RANDBETWEEN(1620,2416)))</f>
        <v>53137030.276851423</v>
      </c>
      <c r="B14600">
        <v>146574356.5202949</v>
      </c>
    </row>
    <row r="14601" spans="1:2" x14ac:dyDescent="0.25">
      <c r="A14601">
        <f ca="1">28724.1088465257*((RANDBETWEEN(1620,2416)))</f>
        <v>51933188.794518441</v>
      </c>
      <c r="B14601">
        <v>154556440.79184353</v>
      </c>
    </row>
    <row r="14602" spans="1:2" x14ac:dyDescent="0.25">
      <c r="A14602">
        <f ca="1">27230.2639621575*((RANDBETWEEN(1620,2416)))</f>
        <v>49913073.842634775</v>
      </c>
      <c r="B14602">
        <v>180590137.25105217</v>
      </c>
    </row>
    <row r="14603" spans="1:2" x14ac:dyDescent="0.25">
      <c r="A14603">
        <f ca="1">27717.4750118097*((RANDBETWEEN(1620,2416)))</f>
        <v>45789268.719509691</v>
      </c>
      <c r="B14603">
        <v>157777080.14060092</v>
      </c>
    </row>
    <row r="14604" spans="1:2" x14ac:dyDescent="0.25">
      <c r="A14604">
        <f ca="1">29754.5068432072*((RANDBETWEEN(1620,2416)))</f>
        <v>49779289.948685698</v>
      </c>
      <c r="B14604">
        <v>195782656.17616355</v>
      </c>
    </row>
    <row r="14605" spans="1:2" x14ac:dyDescent="0.25">
      <c r="A14605">
        <f ca="1">27245.0908657468*((RANDBETWEEN(1620,2416)))</f>
        <v>55961416.638244033</v>
      </c>
      <c r="B14605">
        <v>154829626.74428207</v>
      </c>
    </row>
    <row r="14606" spans="1:2" x14ac:dyDescent="0.25">
      <c r="A14606">
        <f ca="1">28710.3333420405*((RANDBETWEEN(1620,2416)))</f>
        <v>63995333.019408196</v>
      </c>
      <c r="B14606">
        <v>183551983.78690127</v>
      </c>
    </row>
    <row r="14607" spans="1:2" x14ac:dyDescent="0.25">
      <c r="A14607">
        <f ca="1">28288.0221016578*((RANDBETWEEN(1620,2416)))</f>
        <v>52728873.197490163</v>
      </c>
      <c r="B14607">
        <v>188008298.69919324</v>
      </c>
    </row>
    <row r="14608" spans="1:2" x14ac:dyDescent="0.25">
      <c r="A14608">
        <f ca="1">30522.7614034618*((RANDBETWEEN(1620,2416)))</f>
        <v>66722756.427967586</v>
      </c>
      <c r="B14608">
        <v>190057696.62622255</v>
      </c>
    </row>
    <row r="14609" spans="1:2" x14ac:dyDescent="0.25">
      <c r="A14609">
        <f ca="1">27992.1751640142*((RANDBETWEEN(1620,2416)))</f>
        <v>63094362.819688082</v>
      </c>
      <c r="B14609">
        <v>183347431.13076016</v>
      </c>
    </row>
    <row r="14610" spans="1:2" x14ac:dyDescent="0.25">
      <c r="A14610">
        <f ca="1">29057.5191227783*((RANDBETWEEN(1620,2416)))</f>
        <v>66948524.058881283</v>
      </c>
      <c r="B14610">
        <v>157969488.19951594</v>
      </c>
    </row>
    <row r="14611" spans="1:2" x14ac:dyDescent="0.25">
      <c r="A14611">
        <f ca="1">25367.5544078146*((RANDBETWEEN(1620,2416)))</f>
        <v>47868575.167546168</v>
      </c>
      <c r="B14611">
        <v>157706730.17560232</v>
      </c>
    </row>
    <row r="14612" spans="1:2" x14ac:dyDescent="0.25">
      <c r="A14612">
        <f ca="1">26253.736495893*((RANDBETWEEN(1620,2416)))</f>
        <v>62825191.434671901</v>
      </c>
      <c r="B14612">
        <v>147325464.15544492</v>
      </c>
    </row>
    <row r="14613" spans="1:2" x14ac:dyDescent="0.25">
      <c r="A14613">
        <f ca="1">28266.6953275851*((RANDBETWEEN(1620,2416)))</f>
        <v>52180319.574722141</v>
      </c>
      <c r="B14613">
        <v>155138945.61079633</v>
      </c>
    </row>
    <row r="14614" spans="1:2" x14ac:dyDescent="0.25">
      <c r="A14614">
        <f ca="1">26931.8157258478*((RANDBETWEEN(1620,2416)))</f>
        <v>62158630.695256747</v>
      </c>
      <c r="B14614">
        <v>158728990.32138246</v>
      </c>
    </row>
    <row r="14615" spans="1:2" x14ac:dyDescent="0.25">
      <c r="A14615">
        <f ca="1">26497.7428566441*((RANDBETWEEN(1620,2416)))</f>
        <v>55274291.598959506</v>
      </c>
      <c r="B14615">
        <v>185312461.13557383</v>
      </c>
    </row>
    <row r="14616" spans="1:2" x14ac:dyDescent="0.25">
      <c r="A14616">
        <f ca="1">31102.0022393999*((RANDBETWEEN(1620,2416)))</f>
        <v>61177638.40489962</v>
      </c>
      <c r="B14616">
        <v>166496416.97579706</v>
      </c>
    </row>
    <row r="14617" spans="1:2" x14ac:dyDescent="0.25">
      <c r="A14617">
        <f ca="1">26847.3962932489*((RANDBETWEEN(1620,2416)))</f>
        <v>53184692.05692599</v>
      </c>
      <c r="B14617">
        <v>146034219.62442258</v>
      </c>
    </row>
    <row r="14618" spans="1:2" x14ac:dyDescent="0.25">
      <c r="A14618">
        <f ca="1">28341.9996717942*((RANDBETWEEN(1620,2416)))</f>
        <v>54444981.369516566</v>
      </c>
      <c r="B14618">
        <v>154153028.39409667</v>
      </c>
    </row>
    <row r="14619" spans="1:2" x14ac:dyDescent="0.25">
      <c r="A14619">
        <f ca="1">26804.4801418922*((RANDBETWEEN(1620,2416)))</f>
        <v>47524343.291574925</v>
      </c>
      <c r="B14619">
        <v>194417210.01625729</v>
      </c>
    </row>
    <row r="14620" spans="1:2" x14ac:dyDescent="0.25">
      <c r="A14620">
        <f ca="1">25578.6760834928*((RANDBETWEEN(1620,2416)))</f>
        <v>56375402.088018082</v>
      </c>
      <c r="B14620">
        <v>170051464.06867707</v>
      </c>
    </row>
    <row r="14621" spans="1:2" x14ac:dyDescent="0.25">
      <c r="A14621">
        <f ca="1">28394.5525994896*((RANDBETWEEN(1620,2416)))</f>
        <v>56760710.646379724</v>
      </c>
      <c r="B14621">
        <v>174881469.6968264</v>
      </c>
    </row>
    <row r="14622" spans="1:2" x14ac:dyDescent="0.25">
      <c r="A14622">
        <f ca="1">28582.5124724139*((RANDBETWEEN(1620,2416)))</f>
        <v>48447358.640741609</v>
      </c>
      <c r="B14622">
        <v>146824567.37571976</v>
      </c>
    </row>
    <row r="14623" spans="1:2" x14ac:dyDescent="0.25">
      <c r="A14623">
        <f ca="1">28522.6814274747*((RANDBETWEEN(1620,2416)))</f>
        <v>50000260.542363167</v>
      </c>
      <c r="B14623">
        <v>148097956.52833062</v>
      </c>
    </row>
    <row r="14624" spans="1:2" x14ac:dyDescent="0.25">
      <c r="A14624">
        <f ca="1">26320.1093259967*((RANDBETWEEN(1620,2416)))</f>
        <v>49639726.188829802</v>
      </c>
      <c r="B14624">
        <v>153018293.6615662</v>
      </c>
    </row>
    <row r="14625" spans="1:2" x14ac:dyDescent="0.25">
      <c r="A14625">
        <f ca="1">26242.0009826925*((RANDBETWEEN(1620,2416)))</f>
        <v>59700552.235625401</v>
      </c>
      <c r="B14625">
        <v>144510934.11951342</v>
      </c>
    </row>
    <row r="14626" spans="1:2" x14ac:dyDescent="0.25">
      <c r="A14626">
        <f ca="1">28216.8514352363*((RANDBETWEEN(1620,2416)))</f>
        <v>47742912.628419742</v>
      </c>
      <c r="B14626">
        <v>177891502.8072446</v>
      </c>
    </row>
    <row r="14627" spans="1:2" x14ac:dyDescent="0.25">
      <c r="A14627">
        <f ca="1">28352.0089999907*((RANDBETWEEN(1620,2416)))</f>
        <v>64869396.591978654</v>
      </c>
      <c r="B14627">
        <v>150949416.44401082</v>
      </c>
    </row>
    <row r="14628" spans="1:2" x14ac:dyDescent="0.25">
      <c r="A14628">
        <f ca="1">26802.785693255*((RANDBETWEEN(1620,2416)))</f>
        <v>54516866.100080647</v>
      </c>
      <c r="B14628">
        <v>172353997.3607595</v>
      </c>
    </row>
    <row r="14629" spans="1:2" x14ac:dyDescent="0.25">
      <c r="A14629">
        <f ca="1">26256.6310573957*((RANDBETWEEN(1620,2416)))</f>
        <v>43796060.603736058</v>
      </c>
      <c r="B14629">
        <v>200979228.88074359</v>
      </c>
    </row>
    <row r="14630" spans="1:2" x14ac:dyDescent="0.25">
      <c r="A14630">
        <f ca="1">26937.2180969073*((RANDBETWEEN(1620,2416)))</f>
        <v>55167422.662466228</v>
      </c>
      <c r="B14630">
        <v>163757633.00660658</v>
      </c>
    </row>
    <row r="14631" spans="1:2" x14ac:dyDescent="0.25">
      <c r="A14631">
        <f ca="1">30500.0743650696*((RANDBETWEEN(1620,2416)))</f>
        <v>68930168.065057248</v>
      </c>
      <c r="B14631">
        <v>151754440.82584476</v>
      </c>
    </row>
    <row r="14632" spans="1:2" x14ac:dyDescent="0.25">
      <c r="A14632">
        <f ca="1">28464.5578056126*((RANDBETWEEN(1620,2416)))</f>
        <v>53854943.368219063</v>
      </c>
      <c r="B14632">
        <v>169833508.79704797</v>
      </c>
    </row>
    <row r="14633" spans="1:2" x14ac:dyDescent="0.25">
      <c r="A14633">
        <f ca="1">28494.5544448947*((RANDBETWEEN(1620,2416)))</f>
        <v>50748801.466357544</v>
      </c>
      <c r="B14633">
        <v>173626136.82586417</v>
      </c>
    </row>
    <row r="14634" spans="1:2" x14ac:dyDescent="0.25">
      <c r="A14634">
        <f ca="1">31471.9795267194*((RANDBETWEEN(1620,2416)))</f>
        <v>68829219.224935293</v>
      </c>
      <c r="B14634">
        <v>146188166.23090112</v>
      </c>
    </row>
    <row r="14635" spans="1:2" x14ac:dyDescent="0.25">
      <c r="A14635">
        <f ca="1">26442.0502827226*((RANDBETWEEN(1620,2416)))</f>
        <v>53783130.275057681</v>
      </c>
      <c r="B14635">
        <v>147513844.78297502</v>
      </c>
    </row>
    <row r="14636" spans="1:2" x14ac:dyDescent="0.25">
      <c r="A14636">
        <f ca="1">26582.5903927652*((RANDBETWEEN(1620,2416)))</f>
        <v>55079127.293809593</v>
      </c>
      <c r="B14636">
        <v>161823564.4174732</v>
      </c>
    </row>
    <row r="14637" spans="1:2" x14ac:dyDescent="0.25">
      <c r="A14637">
        <f ca="1">25881.8405042438*((RANDBETWEEN(1620,2416)))</f>
        <v>43636783.090155125</v>
      </c>
      <c r="B14637">
        <v>151675332.76472291</v>
      </c>
    </row>
    <row r="14638" spans="1:2" x14ac:dyDescent="0.25">
      <c r="A14638">
        <f ca="1">28509.8839107541*((RANDBETWEEN(1620,2416)))</f>
        <v>59443107.953922197</v>
      </c>
      <c r="B14638">
        <v>180119844.18002549</v>
      </c>
    </row>
    <row r="14639" spans="1:2" x14ac:dyDescent="0.25">
      <c r="A14639">
        <f ca="1">32280.6092059186*((RANDBETWEEN(1620,2416)))</f>
        <v>52294586.913588196</v>
      </c>
      <c r="B14639">
        <v>194791915.02096903</v>
      </c>
    </row>
    <row r="14640" spans="1:2" x14ac:dyDescent="0.25">
      <c r="A14640">
        <f ca="1">27591.2782329636*((RANDBETWEEN(1620,2416)))</f>
        <v>57169128.498700596</v>
      </c>
      <c r="B14640">
        <v>143817541.47723269</v>
      </c>
    </row>
    <row r="14641" spans="1:2" x14ac:dyDescent="0.25">
      <c r="A14641">
        <f ca="1">28657.6669688487*((RANDBETWEEN(1620,2416)))</f>
        <v>48144880.507665798</v>
      </c>
      <c r="B14641">
        <v>177881651.89547133</v>
      </c>
    </row>
    <row r="14642" spans="1:2" x14ac:dyDescent="0.25">
      <c r="A14642">
        <f ca="1">28051.4948284838*((RANDBETWEEN(1620,2416)))</f>
        <v>60058250.427783854</v>
      </c>
      <c r="B14642">
        <v>170080412.87433705</v>
      </c>
    </row>
    <row r="14643" spans="1:2" x14ac:dyDescent="0.25">
      <c r="A14643">
        <f ca="1">27162.0648233647*((RANDBETWEEN(1620,2416)))</f>
        <v>45605106.838429399</v>
      </c>
      <c r="B14643">
        <v>161170006.50712314</v>
      </c>
    </row>
    <row r="14644" spans="1:2" x14ac:dyDescent="0.25">
      <c r="A14644">
        <f ca="1">30623.0956848001*((RANDBETWEEN(1620,2416)))</f>
        <v>52824840.056280099</v>
      </c>
      <c r="B14644">
        <v>166443744.31684363</v>
      </c>
    </row>
    <row r="14645" spans="1:2" x14ac:dyDescent="0.25">
      <c r="A14645">
        <f ca="1">27247.5467714924*((RANDBETWEEN(1620,2416)))</f>
        <v>55721233.147701971</v>
      </c>
      <c r="B14645">
        <v>144900245.96862301</v>
      </c>
    </row>
    <row r="14646" spans="1:2" x14ac:dyDescent="0.25">
      <c r="A14646">
        <f ca="1">30428.3837202692*((RANDBETWEEN(1620,2416)))</f>
        <v>69498428.417094857</v>
      </c>
      <c r="B14646">
        <v>189234254.3826285</v>
      </c>
    </row>
    <row r="14647" spans="1:2" x14ac:dyDescent="0.25">
      <c r="A14647">
        <f ca="1">30151.311725145*((RANDBETWEEN(1620,2416)))</f>
        <v>66875609.406371616</v>
      </c>
      <c r="B14647">
        <v>175785764.78679854</v>
      </c>
    </row>
    <row r="14648" spans="1:2" x14ac:dyDescent="0.25">
      <c r="A14648">
        <f ca="1">27462.8790730262*((RANDBETWEEN(1620,2416)))</f>
        <v>45533453.503077388</v>
      </c>
      <c r="B14648">
        <v>176336150.2933737</v>
      </c>
    </row>
    <row r="14649" spans="1:2" x14ac:dyDescent="0.25">
      <c r="A14649">
        <f ca="1">27250.3014289718*((RANDBETWEEN(1620,2416)))</f>
        <v>54827606.475091182</v>
      </c>
      <c r="B14649">
        <v>144825060.0285973</v>
      </c>
    </row>
    <row r="14650" spans="1:2" x14ac:dyDescent="0.25">
      <c r="A14650">
        <f ca="1">28429.2660213573*((RANDBETWEEN(1620,2416)))</f>
        <v>60042609.837106526</v>
      </c>
      <c r="B14650">
        <v>168910824.14257878</v>
      </c>
    </row>
    <row r="14651" spans="1:2" x14ac:dyDescent="0.25">
      <c r="A14651">
        <f ca="1">29207.0818900996*((RANDBETWEEN(1620,2416)))</f>
        <v>61948220.688901216</v>
      </c>
      <c r="B14651">
        <v>148001231.20676798</v>
      </c>
    </row>
    <row r="14652" spans="1:2" x14ac:dyDescent="0.25">
      <c r="A14652">
        <f ca="1">27939.69239488*((RANDBETWEEN(1620,2416)))</f>
        <v>62892247.58087492</v>
      </c>
      <c r="B14652">
        <v>195906527.88558227</v>
      </c>
    </row>
    <row r="14653" spans="1:2" x14ac:dyDescent="0.25">
      <c r="A14653">
        <f ca="1">26382.6382355799*((RANDBETWEEN(1620,2416)))</f>
        <v>59624762.412410572</v>
      </c>
      <c r="B14653">
        <v>153446748.41835678</v>
      </c>
    </row>
    <row r="14654" spans="1:2" x14ac:dyDescent="0.25">
      <c r="A14654">
        <f ca="1">29892.616220921*((RANDBETWEEN(1620,2416)))</f>
        <v>54852950.765390001</v>
      </c>
      <c r="B14654">
        <v>191912677.00687119</v>
      </c>
    </row>
    <row r="14655" spans="1:2" x14ac:dyDescent="0.25">
      <c r="A14655">
        <f ca="1">28360.5787180982*((RANDBETWEEN(1620,2416)))</f>
        <v>52580512.943354145</v>
      </c>
      <c r="B14655">
        <v>170251835.5130583</v>
      </c>
    </row>
    <row r="14656" spans="1:2" x14ac:dyDescent="0.25">
      <c r="A14656">
        <f ca="1">26620.0585379782*((RANDBETWEEN(1620,2416)))</f>
        <v>44082816.93889188</v>
      </c>
      <c r="B14656">
        <v>163481432.01092201</v>
      </c>
    </row>
    <row r="14657" spans="1:2" x14ac:dyDescent="0.25">
      <c r="A14657">
        <f ca="1">32410.8948637013*((RANDBETWEEN(1620,2416)))</f>
        <v>53964139.948062748</v>
      </c>
      <c r="B14657">
        <v>198283275.60066283</v>
      </c>
    </row>
    <row r="14658" spans="1:2" x14ac:dyDescent="0.25">
      <c r="A14658">
        <f ca="1">27177.2092706533*((RANDBETWEEN(1620,2416)))</f>
        <v>56229645.980981581</v>
      </c>
      <c r="B14658">
        <v>159594654.70324478</v>
      </c>
    </row>
    <row r="14659" spans="1:2" x14ac:dyDescent="0.25">
      <c r="A14659">
        <f ca="1">31038.0172746629*((RANDBETWEEN(1620,2416)))</f>
        <v>70704603.351682007</v>
      </c>
      <c r="B14659">
        <v>159121275.63365939</v>
      </c>
    </row>
    <row r="14660" spans="1:2" x14ac:dyDescent="0.25">
      <c r="A14660">
        <f ca="1">26657.9871572969*((RANDBETWEEN(1620,2416)))</f>
        <v>46998031.358314507</v>
      </c>
      <c r="B14660">
        <v>162065198.68549049</v>
      </c>
    </row>
    <row r="14661" spans="1:2" x14ac:dyDescent="0.25">
      <c r="A14661">
        <f ca="1">26598.0091797715*((RANDBETWEEN(1620,2416)))</f>
        <v>60776450.975777879</v>
      </c>
      <c r="B14661">
        <v>167338971.53463829</v>
      </c>
    </row>
    <row r="14662" spans="1:2" x14ac:dyDescent="0.25">
      <c r="A14662">
        <f ca="1">26308.4543778717*((RANDBETWEEN(1620,2416)))</f>
        <v>44329745.626713865</v>
      </c>
      <c r="B14662">
        <v>152089488.57629436</v>
      </c>
    </row>
    <row r="14663" spans="1:2" x14ac:dyDescent="0.25">
      <c r="A14663">
        <f ca="1">26883.6022528958*((RANDBETWEEN(1620,2416)))</f>
        <v>46831235.124544501</v>
      </c>
      <c r="B14663">
        <v>165395059.45814171</v>
      </c>
    </row>
    <row r="14664" spans="1:2" x14ac:dyDescent="0.25">
      <c r="A14664">
        <f ca="1">29602.8251717799*((RANDBETWEEN(1620,2416)))</f>
        <v>59383267.294590421</v>
      </c>
      <c r="B14664">
        <v>146837619.35976768</v>
      </c>
    </row>
    <row r="14665" spans="1:2" x14ac:dyDescent="0.25">
      <c r="A14665">
        <f ca="1">26081.6673928204*((RANDBETWEEN(1620,2416)))</f>
        <v>57483994.93377611</v>
      </c>
      <c r="B14665">
        <v>153789853.44272721</v>
      </c>
    </row>
    <row r="14666" spans="1:2" x14ac:dyDescent="0.25">
      <c r="A14666">
        <f ca="1">28124.2019398697*((RANDBETWEEN(1620,2416)))</f>
        <v>56670266.90883752</v>
      </c>
      <c r="B14666">
        <v>179588088.09414199</v>
      </c>
    </row>
    <row r="14667" spans="1:2" x14ac:dyDescent="0.25">
      <c r="A14667">
        <f ca="1">25668.6381944709*((RANDBETWEEN(1620,2416)))</f>
        <v>42378921.659071445</v>
      </c>
      <c r="B14667">
        <v>143021455.58602658</v>
      </c>
    </row>
    <row r="14668" spans="1:2" x14ac:dyDescent="0.25">
      <c r="A14668">
        <f ca="1">27073.3460676595*((RANDBETWEEN(1620,2416)))</f>
        <v>57368420.317370445</v>
      </c>
      <c r="B14668">
        <v>145591998.96490562</v>
      </c>
    </row>
    <row r="14669" spans="1:2" x14ac:dyDescent="0.25">
      <c r="A14669">
        <f ca="1">27359.8548481864*((RANDBETWEEN(1620,2416)))</f>
        <v>62489908.473257765</v>
      </c>
      <c r="B14669">
        <v>173361935.59499973</v>
      </c>
    </row>
    <row r="14670" spans="1:2" x14ac:dyDescent="0.25">
      <c r="A14670">
        <f ca="1">28776.1500149046*((RANDBETWEEN(1620,2416)))</f>
        <v>64573680.633445881</v>
      </c>
      <c r="B14670">
        <v>200804744.59219524</v>
      </c>
    </row>
    <row r="14671" spans="1:2" x14ac:dyDescent="0.25">
      <c r="A14671">
        <f ca="1">26386.3353021881*((RANDBETWEEN(1620,2416)))</f>
        <v>53115692.963304646</v>
      </c>
      <c r="B14671">
        <v>148997004.23180705</v>
      </c>
    </row>
    <row r="14672" spans="1:2" x14ac:dyDescent="0.25">
      <c r="A14672">
        <f ca="1">26850.5020946838*((RANDBETWEEN(1620,2416)))</f>
        <v>45753255.569341213</v>
      </c>
      <c r="B14672">
        <v>160291513.42164025</v>
      </c>
    </row>
    <row r="14673" spans="1:2" x14ac:dyDescent="0.25">
      <c r="A14673">
        <f ca="1">27466.6346226415*((RANDBETWEEN(1620,2416)))</f>
        <v>59547663.861886822</v>
      </c>
      <c r="B14673">
        <v>194532079.374354</v>
      </c>
    </row>
    <row r="14674" spans="1:2" x14ac:dyDescent="0.25">
      <c r="A14674">
        <f ca="1">27859.8194642843*((RANDBETWEEN(1620,2416)))</f>
        <v>49506899.188033231</v>
      </c>
      <c r="B14674">
        <v>162462334.85681257</v>
      </c>
    </row>
    <row r="14675" spans="1:2" x14ac:dyDescent="0.25">
      <c r="A14675">
        <f ca="1">28367.7127795811*((RANDBETWEEN(1620,2416)))</f>
        <v>61075685.61443802</v>
      </c>
      <c r="B14675">
        <v>159098997.14679813</v>
      </c>
    </row>
    <row r="14676" spans="1:2" x14ac:dyDescent="0.25">
      <c r="A14676">
        <f ca="1">26210.225883688*((RANDBETWEEN(1620,2416)))</f>
        <v>57295553.781741977</v>
      </c>
      <c r="B14676">
        <v>146065201.08213615</v>
      </c>
    </row>
    <row r="14677" spans="1:2" x14ac:dyDescent="0.25">
      <c r="A14677">
        <f ca="1">30706.1507074823*((RANDBETWEEN(1620,2416)))</f>
        <v>67829886.912828505</v>
      </c>
      <c r="B14677">
        <v>154065040.40720087</v>
      </c>
    </row>
    <row r="14678" spans="1:2" x14ac:dyDescent="0.25">
      <c r="A14678">
        <f ca="1">26444.7601812443*((RANDBETWEEN(1620,2416)))</f>
        <v>51884619.475601293</v>
      </c>
      <c r="B14678">
        <v>143482563.36043543</v>
      </c>
    </row>
    <row r="14679" spans="1:2" x14ac:dyDescent="0.25">
      <c r="A14679">
        <f ca="1">28003.1122301517*((RANDBETWEEN(1620,2416)))</f>
        <v>55586177.776851058</v>
      </c>
      <c r="B14679">
        <v>176203532.7117027</v>
      </c>
    </row>
    <row r="14680" spans="1:2" x14ac:dyDescent="0.25">
      <c r="A14680">
        <f ca="1">26949.675192708*((RANDBETWEEN(1620,2416)))</f>
        <v>55408532.196207665</v>
      </c>
      <c r="B14680">
        <v>176867081.97629631</v>
      </c>
    </row>
    <row r="14681" spans="1:2" x14ac:dyDescent="0.25">
      <c r="A14681">
        <f ca="1">32868.2596794944*((RANDBETWEEN(1620,2416)))</f>
        <v>61693723.418411076</v>
      </c>
      <c r="B14681">
        <v>142975346.85104385</v>
      </c>
    </row>
    <row r="14682" spans="1:2" x14ac:dyDescent="0.25">
      <c r="A14682">
        <f ca="1">26020.0011117848*((RANDBETWEEN(1620,2416)))</f>
        <v>51415522.196886756</v>
      </c>
      <c r="B14682">
        <v>185241659.66852897</v>
      </c>
    </row>
    <row r="14683" spans="1:2" x14ac:dyDescent="0.25">
      <c r="A14683">
        <f ca="1">28126.6259123358*((RANDBETWEEN(1620,2416)))</f>
        <v>48462176.446954578</v>
      </c>
      <c r="B14683">
        <v>153543083.89871714</v>
      </c>
    </row>
    <row r="14684" spans="1:2" x14ac:dyDescent="0.25">
      <c r="A14684">
        <f ca="1">32402.0164740662*((RANDBETWEEN(1620,2416)))</f>
        <v>73584979.412604377</v>
      </c>
      <c r="B14684">
        <v>163711831.04620957</v>
      </c>
    </row>
    <row r="14685" spans="1:2" x14ac:dyDescent="0.25">
      <c r="A14685">
        <f ca="1">27694.669233838*((RANDBETWEEN(1620,2416)))</f>
        <v>44920753.497285202</v>
      </c>
      <c r="B14685">
        <v>160927363.24698368</v>
      </c>
    </row>
    <row r="14686" spans="1:2" x14ac:dyDescent="0.25">
      <c r="A14686">
        <f ca="1">30433.4531534086*((RANDBETWEEN(1620,2416)))</f>
        <v>60593005.228436589</v>
      </c>
      <c r="B14686">
        <v>163057448.90800911</v>
      </c>
    </row>
    <row r="14687" spans="1:2" x14ac:dyDescent="0.25">
      <c r="A14687">
        <f ca="1">28096.0334061127*((RANDBETWEEN(1620,2416)))</f>
        <v>56753987.480347715</v>
      </c>
      <c r="B14687">
        <v>154832790.03851813</v>
      </c>
    </row>
    <row r="14688" spans="1:2" x14ac:dyDescent="0.25">
      <c r="A14688">
        <f ca="1">28429.8750264703*((RANDBETWEEN(1620,2416)))</f>
        <v>55779414.801934771</v>
      </c>
      <c r="B14688">
        <v>162843669.24988887</v>
      </c>
    </row>
    <row r="14689" spans="1:2" x14ac:dyDescent="0.25">
      <c r="A14689">
        <f ca="1">27089.8910481792*((RANDBETWEEN(1620,2416)))</f>
        <v>49791219.746553399</v>
      </c>
      <c r="B14689">
        <v>171008889.11758509</v>
      </c>
    </row>
    <row r="14690" spans="1:2" x14ac:dyDescent="0.25">
      <c r="A14690">
        <f ca="1">27411.0518604409*((RANDBETWEEN(1620,2416)))</f>
        <v>49531770.711816691</v>
      </c>
      <c r="B14690">
        <v>165562692.16344216</v>
      </c>
    </row>
    <row r="14691" spans="1:2" x14ac:dyDescent="0.25">
      <c r="A14691">
        <f ca="1">26438.2963710983*((RANDBETWEEN(1620,2416)))</f>
        <v>48937286.58290302</v>
      </c>
      <c r="B14691">
        <v>149446224.78122225</v>
      </c>
    </row>
    <row r="14692" spans="1:2" x14ac:dyDescent="0.25">
      <c r="A14692">
        <f ca="1">31550.909724854*((RANDBETWEEN(1620,2416)))</f>
        <v>60893255.768968239</v>
      </c>
      <c r="B14692">
        <v>175393904.97385171</v>
      </c>
    </row>
    <row r="14693" spans="1:2" x14ac:dyDescent="0.25">
      <c r="A14693">
        <f ca="1">26084.9982542563*((RANDBETWEEN(1620,2416)))</f>
        <v>50057111.649917752</v>
      </c>
      <c r="B14693">
        <v>179647229.41870725</v>
      </c>
    </row>
    <row r="14694" spans="1:2" x14ac:dyDescent="0.25">
      <c r="A14694">
        <f ca="1">26118.8900255846*((RANDBETWEEN(1620,2416)))</f>
        <v>48163233.207178026</v>
      </c>
      <c r="B14694">
        <v>155154403.83125535</v>
      </c>
    </row>
    <row r="14695" spans="1:2" x14ac:dyDescent="0.25">
      <c r="A14695">
        <f ca="1">30713.3002142799*((RANDBETWEEN(1620,2416)))</f>
        <v>50308385.750990406</v>
      </c>
      <c r="B14695">
        <v>177586922.50011584</v>
      </c>
    </row>
    <row r="14696" spans="1:2" x14ac:dyDescent="0.25">
      <c r="A14696">
        <f ca="1">28589.298339317*((RANDBETWEEN(1620,2416)))</f>
        <v>47972842.613373935</v>
      </c>
      <c r="B14696">
        <v>156873984.62427944</v>
      </c>
    </row>
    <row r="14697" spans="1:2" x14ac:dyDescent="0.25">
      <c r="A14697">
        <f ca="1">29261.8042519293*((RANDBETWEEN(1620,2416)))</f>
        <v>64990467.243535057</v>
      </c>
      <c r="B14697">
        <v>169840182.93361264</v>
      </c>
    </row>
    <row r="14698" spans="1:2" x14ac:dyDescent="0.25">
      <c r="A14698">
        <f ca="1">25863.210281955*((RANDBETWEEN(1620,2416)))</f>
        <v>45053712.311165549</v>
      </c>
      <c r="B14698">
        <v>186405574.42961264</v>
      </c>
    </row>
    <row r="14699" spans="1:2" x14ac:dyDescent="0.25">
      <c r="A14699">
        <f ca="1">26849.309955177*((RANDBETWEEN(1620,2416)))</f>
        <v>50557250.645598322</v>
      </c>
      <c r="B14699">
        <v>158922836.1445609</v>
      </c>
    </row>
    <row r="14700" spans="1:2" x14ac:dyDescent="0.25">
      <c r="A14700">
        <f ca="1">27344.1066319028*((RANDBETWEEN(1620,2416)))</f>
        <v>46676390.020658113</v>
      </c>
      <c r="B14700">
        <v>172904860.47617158</v>
      </c>
    </row>
    <row r="14701" spans="1:2" x14ac:dyDescent="0.25">
      <c r="A14701">
        <f ca="1">25753.6942330597*((RANDBETWEEN(1620,2416)))</f>
        <v>46202127.454109058</v>
      </c>
      <c r="B14701">
        <v>158414961.29889786</v>
      </c>
    </row>
    <row r="14702" spans="1:2" x14ac:dyDescent="0.25">
      <c r="A14702">
        <f ca="1">26255.577000989*((RANDBETWEEN(1620,2416)))</f>
        <v>43741791.283647642</v>
      </c>
      <c r="B14702">
        <v>200417961.37639353</v>
      </c>
    </row>
    <row r="14703" spans="1:2" x14ac:dyDescent="0.25">
      <c r="A14703">
        <f ca="1">26447.7604515633*((RANDBETWEEN(1620,2416)))</f>
        <v>43876834.589143462</v>
      </c>
      <c r="B14703">
        <v>152335789.10813153</v>
      </c>
    </row>
    <row r="14704" spans="1:2" x14ac:dyDescent="0.25">
      <c r="A14704">
        <f ca="1">30047.537261972*((RANDBETWEEN(1620,2416)))</f>
        <v>58442459.974535532</v>
      </c>
      <c r="B14704">
        <v>181509086.66469166</v>
      </c>
    </row>
    <row r="14705" spans="1:2" x14ac:dyDescent="0.25">
      <c r="A14705">
        <f ca="1">26434.7531713273*((RANDBETWEEN(1620,2416)))</f>
        <v>54191244.001221031</v>
      </c>
      <c r="B14705">
        <v>149912399.0411289</v>
      </c>
    </row>
    <row r="14706" spans="1:2" x14ac:dyDescent="0.25">
      <c r="A14706">
        <f ca="1">27317.2626342377*((RANDBETWEEN(1620,2416)))</f>
        <v>49362293.580067471</v>
      </c>
      <c r="B14706">
        <v>144635175.82020974</v>
      </c>
    </row>
    <row r="14707" spans="1:2" x14ac:dyDescent="0.25">
      <c r="A14707">
        <f ca="1">32101.4608346436*((RANDBETWEEN(1620,2416)))</f>
        <v>56530672.529807389</v>
      </c>
      <c r="B14707">
        <v>161730042.68481502</v>
      </c>
    </row>
    <row r="14708" spans="1:2" x14ac:dyDescent="0.25">
      <c r="A14708">
        <f ca="1">27241.2165247647*((RANDBETWEEN(1620,2416)))</f>
        <v>50995557.334359564</v>
      </c>
      <c r="B14708">
        <v>152429420.90137088</v>
      </c>
    </row>
    <row r="14709" spans="1:2" x14ac:dyDescent="0.25">
      <c r="A14709">
        <f ca="1">28622.029289887*((RANDBETWEEN(1620,2416)))</f>
        <v>63455038.935679488</v>
      </c>
      <c r="B14709">
        <v>147939768.18080869</v>
      </c>
    </row>
    <row r="14710" spans="1:2" x14ac:dyDescent="0.25">
      <c r="A14710">
        <f ca="1">26363.4125958439*((RANDBETWEEN(1620,2416)))</f>
        <v>61453114.760912187</v>
      </c>
      <c r="B14710">
        <v>144559444.44009376</v>
      </c>
    </row>
    <row r="14711" spans="1:2" x14ac:dyDescent="0.25">
      <c r="A14711">
        <f ca="1">32353.3839989461*((RANDBETWEEN(1620,2416)))</f>
        <v>76483399.773508653</v>
      </c>
      <c r="B14711">
        <v>169134698.64530253</v>
      </c>
    </row>
    <row r="14712" spans="1:2" x14ac:dyDescent="0.25">
      <c r="A14712">
        <f ca="1">26455.5612957669*((RANDBETWEEN(1620,2416)))</f>
        <v>49101521.764943279</v>
      </c>
      <c r="B14712">
        <v>166390229.36628792</v>
      </c>
    </row>
    <row r="14713" spans="1:2" x14ac:dyDescent="0.25">
      <c r="A14713">
        <f ca="1">25458.9270846864*((RANDBETWEEN(1620,2416)))</f>
        <v>60159444.701113977</v>
      </c>
      <c r="B14713">
        <v>145503149.70843843</v>
      </c>
    </row>
    <row r="14714" spans="1:2" x14ac:dyDescent="0.25">
      <c r="A14714">
        <f ca="1">27391.3476473814*((RANDBETWEEN(1620,2416)))</f>
        <v>61274444.687192276</v>
      </c>
      <c r="B14714">
        <v>149868139.93882659</v>
      </c>
    </row>
    <row r="14715" spans="1:2" x14ac:dyDescent="0.25">
      <c r="A14715">
        <f ca="1">29486.4458729615*((RANDBETWEEN(1620,2416)))</f>
        <v>69646985.151935041</v>
      </c>
      <c r="B14715">
        <v>148104271.71205786</v>
      </c>
    </row>
    <row r="14716" spans="1:2" x14ac:dyDescent="0.25">
      <c r="A14716">
        <f ca="1">29591.7309440419*((RANDBETWEEN(1620,2416)))</f>
        <v>48678397.402948968</v>
      </c>
      <c r="B14716">
        <v>182891553.32051027</v>
      </c>
    </row>
    <row r="14717" spans="1:2" x14ac:dyDescent="0.25">
      <c r="A14717">
        <f ca="1">26042.0765941513*((RANDBETWEEN(1620,2416)))</f>
        <v>58073830.804957353</v>
      </c>
      <c r="B14717">
        <v>149466604.88378718</v>
      </c>
    </row>
    <row r="14718" spans="1:2" x14ac:dyDescent="0.25">
      <c r="A14718">
        <f ca="1">26483.0494702065*((RANDBETWEEN(1620,2416)))</f>
        <v>63426903.481144674</v>
      </c>
      <c r="B14718">
        <v>177277151.02317423</v>
      </c>
    </row>
    <row r="14719" spans="1:2" x14ac:dyDescent="0.25">
      <c r="A14719">
        <f ca="1">28961.3306166431*((RANDBETWEEN(1620,2416)))</f>
        <v>67219248.361228555</v>
      </c>
      <c r="B14719">
        <v>187008565.55827272</v>
      </c>
    </row>
    <row r="14720" spans="1:2" x14ac:dyDescent="0.25">
      <c r="A14720">
        <f ca="1">25102.5669343177*((RANDBETWEEN(1620,2416)))</f>
        <v>43653363.898778483</v>
      </c>
      <c r="B14720">
        <v>162087377.53858536</v>
      </c>
    </row>
    <row r="14721" spans="1:2" x14ac:dyDescent="0.25">
      <c r="A14721">
        <f ca="1">29232.55125839*((RANDBETWEEN(1620,2416)))</f>
        <v>68579565.252182931</v>
      </c>
      <c r="B14721">
        <v>169021247.29178321</v>
      </c>
    </row>
    <row r="14722" spans="1:2" x14ac:dyDescent="0.25">
      <c r="A14722">
        <f ca="1">25999.5478546038*((RANDBETWEEN(1620,2416)))</f>
        <v>45031216.884173699</v>
      </c>
      <c r="B14722">
        <v>168720615.27605617</v>
      </c>
    </row>
    <row r="14723" spans="1:2" x14ac:dyDescent="0.25">
      <c r="A14723">
        <f ca="1">27519.0354178487*((RANDBETWEEN(1620,2416)))</f>
        <v>64036795.417333834</v>
      </c>
      <c r="B14723">
        <v>155914889.74188069</v>
      </c>
    </row>
    <row r="14724" spans="1:2" x14ac:dyDescent="0.25">
      <c r="A14724">
        <f ca="1">30314.3154487519*((RANDBETWEEN(1620,2416)))</f>
        <v>58324742.923398629</v>
      </c>
      <c r="B14724">
        <v>183380348.45482185</v>
      </c>
    </row>
    <row r="14725" spans="1:2" x14ac:dyDescent="0.25">
      <c r="A14725">
        <f ca="1">25239.019859118*((RANDBETWEEN(1620,2416)))</f>
        <v>51613795.611896358</v>
      </c>
      <c r="B14725">
        <v>201252198.58050829</v>
      </c>
    </row>
    <row r="14726" spans="1:2" x14ac:dyDescent="0.25">
      <c r="A14726">
        <f ca="1">27553.3348110491*((RANDBETWEEN(1620,2416)))</f>
        <v>59019243.165267229</v>
      </c>
      <c r="B14726">
        <v>181331200.89630276</v>
      </c>
    </row>
    <row r="14727" spans="1:2" x14ac:dyDescent="0.25">
      <c r="A14727">
        <f ca="1">27120.0880236868*((RANDBETWEEN(1620,2416)))</f>
        <v>49602640.995323069</v>
      </c>
      <c r="B14727">
        <v>144344415.95649359</v>
      </c>
    </row>
    <row r="14728" spans="1:2" x14ac:dyDescent="0.25">
      <c r="A14728">
        <f ca="1">26290.7727640704*((RANDBETWEEN(1620,2416)))</f>
        <v>57287593.852909431</v>
      </c>
      <c r="B14728">
        <v>163324435.69048291</v>
      </c>
    </row>
    <row r="14729" spans="1:2" x14ac:dyDescent="0.25">
      <c r="A14729">
        <f ca="1">26956.6481655019*((RANDBETWEEN(1620,2416)))</f>
        <v>58226360.037484027</v>
      </c>
      <c r="B14729">
        <v>152477915.37379861</v>
      </c>
    </row>
    <row r="14730" spans="1:2" x14ac:dyDescent="0.25">
      <c r="A14730">
        <f ca="1">26366.9991410063*((RANDBETWEEN(1620,2416)))</f>
        <v>50703739.348155133</v>
      </c>
      <c r="B14730">
        <v>146500813.75654319</v>
      </c>
    </row>
    <row r="14731" spans="1:2" x14ac:dyDescent="0.25">
      <c r="A14731">
        <f ca="1">25858.0584040942*((RANDBETWEEN(1620,2416)))</f>
        <v>53681329.246899568</v>
      </c>
      <c r="B14731">
        <v>143182216.8800607</v>
      </c>
    </row>
    <row r="14732" spans="1:2" x14ac:dyDescent="0.25">
      <c r="A14732">
        <f ca="1">27841.2106265845*((RANDBETWEEN(1620,2416)))</f>
        <v>62030217.276030287</v>
      </c>
      <c r="B14732">
        <v>181502232.95355392</v>
      </c>
    </row>
    <row r="14733" spans="1:2" x14ac:dyDescent="0.25">
      <c r="A14733">
        <f ca="1">26134.1301371335*((RANDBETWEEN(1620,2416)))</f>
        <v>45996069.041354991</v>
      </c>
      <c r="B14733">
        <v>149291250.1699388</v>
      </c>
    </row>
    <row r="14734" spans="1:2" x14ac:dyDescent="0.25">
      <c r="A14734">
        <f ca="1">28060.8128819819*((RANDBETWEEN(1620,2416)))</f>
        <v>55251740.564622276</v>
      </c>
      <c r="B14734">
        <v>148678829.00307846</v>
      </c>
    </row>
    <row r="14735" spans="1:2" x14ac:dyDescent="0.25">
      <c r="A14735">
        <f ca="1">28816.8740412317*((RANDBETWEEN(1620,2416)))</f>
        <v>46769786.5689191</v>
      </c>
      <c r="B14735">
        <v>197302805.01284403</v>
      </c>
    </row>
    <row r="14736" spans="1:2" x14ac:dyDescent="0.25">
      <c r="A14736">
        <f ca="1">27221.1338122684*((RANDBETWEEN(1620,2416)))</f>
        <v>65494047.952317864</v>
      </c>
      <c r="B14736">
        <v>192129028.73339075</v>
      </c>
    </row>
    <row r="14737" spans="1:2" x14ac:dyDescent="0.25">
      <c r="A14737">
        <f ca="1">28598.3116425595*((RANDBETWEEN(1620,2416)))</f>
        <v>67978186.77436392</v>
      </c>
      <c r="B14737">
        <v>161936940.04431367</v>
      </c>
    </row>
    <row r="14738" spans="1:2" x14ac:dyDescent="0.25">
      <c r="A14738">
        <f ca="1">28973.9237838154*((RANDBETWEEN(1620,2416)))</f>
        <v>64148267.257367194</v>
      </c>
      <c r="B14738">
        <v>180730770.99885207</v>
      </c>
    </row>
    <row r="14739" spans="1:2" x14ac:dyDescent="0.25">
      <c r="A14739">
        <f ca="1">25859.4995241725*((RANDBETWEEN(1620,2416)))</f>
        <v>51537982.551675752</v>
      </c>
      <c r="B14739">
        <v>184844927.73696792</v>
      </c>
    </row>
    <row r="14740" spans="1:2" x14ac:dyDescent="0.25">
      <c r="A14740">
        <f ca="1">27848.5149450462*((RANDBETWEEN(1620,2416)))</f>
        <v>50489357.595368721</v>
      </c>
      <c r="B14740">
        <v>163113444.89477864</v>
      </c>
    </row>
    <row r="14741" spans="1:2" x14ac:dyDescent="0.25">
      <c r="A14741">
        <f ca="1">30193.8621349788*((RANDBETWEEN(1620,2416)))</f>
        <v>58787449.576803736</v>
      </c>
      <c r="B14741">
        <v>186329359.77271047</v>
      </c>
    </row>
    <row r="14742" spans="1:2" x14ac:dyDescent="0.25">
      <c r="A14742">
        <f ca="1">26022.6725899259*((RANDBETWEEN(1620,2416)))</f>
        <v>46138198.501938559</v>
      </c>
      <c r="B14742">
        <v>160230245.8225404</v>
      </c>
    </row>
    <row r="14743" spans="1:2" x14ac:dyDescent="0.25">
      <c r="A14743">
        <f ca="1">32471.5788035188*((RANDBETWEEN(1620,2416)))</f>
        <v>71794660.734580025</v>
      </c>
      <c r="B14743">
        <v>145218965.3178634</v>
      </c>
    </row>
    <row r="14744" spans="1:2" x14ac:dyDescent="0.25">
      <c r="A14744">
        <f ca="1">26699.2526399841*((RANDBETWEEN(1620,2416)))</f>
        <v>50968873.289729714</v>
      </c>
      <c r="B14744">
        <v>166004669.244102</v>
      </c>
    </row>
    <row r="14745" spans="1:2" x14ac:dyDescent="0.25">
      <c r="A14745">
        <f ca="1">28029.7900441902*((RANDBETWEEN(1620,2416)))</f>
        <v>58974678.252976179</v>
      </c>
      <c r="B14745">
        <v>155933683.02545893</v>
      </c>
    </row>
    <row r="14746" spans="1:2" x14ac:dyDescent="0.25">
      <c r="A14746">
        <f ca="1">30470.4711164327*((RANDBETWEEN(1620,2416)))</f>
        <v>52256857.964682139</v>
      </c>
      <c r="B14746">
        <v>159638470.52252483</v>
      </c>
    </row>
    <row r="14747" spans="1:2" x14ac:dyDescent="0.25">
      <c r="A14747">
        <f ca="1">26559.0720945664*((RANDBETWEEN(1620,2416)))</f>
        <v>61059306.745408148</v>
      </c>
      <c r="B14747">
        <v>159964265.57229441</v>
      </c>
    </row>
    <row r="14748" spans="1:2" x14ac:dyDescent="0.25">
      <c r="A14748">
        <f ca="1">28066.3859038018*((RANDBETWEEN(1620,2416)))</f>
        <v>63317766.598976776</v>
      </c>
      <c r="B14748">
        <v>193472119.70320359</v>
      </c>
    </row>
    <row r="14749" spans="1:2" x14ac:dyDescent="0.25">
      <c r="A14749">
        <f ca="1">31025.8084210012*((RANDBETWEEN(1620,2416)))</f>
        <v>64750862.17462942</v>
      </c>
      <c r="B14749">
        <v>173947970.63586602</v>
      </c>
    </row>
    <row r="14750" spans="1:2" x14ac:dyDescent="0.25">
      <c r="A14750">
        <f ca="1">32466.7354884506*((RANDBETWEEN(1620,2416)))</f>
        <v>64121802.589690007</v>
      </c>
      <c r="B14750">
        <v>144365680.2501207</v>
      </c>
    </row>
    <row r="14751" spans="1:2" x14ac:dyDescent="0.25">
      <c r="A14751">
        <f ca="1">27890.1054645169*((RANDBETWEEN(1620,2416)))</f>
        <v>48473003.297330432</v>
      </c>
      <c r="B14751">
        <v>165029660.90760872</v>
      </c>
    </row>
    <row r="14752" spans="1:2" x14ac:dyDescent="0.25">
      <c r="A14752">
        <f ca="1">26319.3911748832*((RANDBETWEEN(1620,2416)))</f>
        <v>47427542.897139497</v>
      </c>
      <c r="B14752">
        <v>197709463.84322342</v>
      </c>
    </row>
    <row r="14753" spans="1:2" x14ac:dyDescent="0.25">
      <c r="A14753">
        <f ca="1">29032.8876894237*((RANDBETWEEN(1620,2416)))</f>
        <v>58472235.806499287</v>
      </c>
      <c r="B14753">
        <v>178295231.05780175</v>
      </c>
    </row>
    <row r="14754" spans="1:2" x14ac:dyDescent="0.25">
      <c r="A14754">
        <f ca="1">27904.7671586309*((RANDBETWEEN(1620,2416)))</f>
        <v>53326010.040143564</v>
      </c>
      <c r="B14754">
        <v>172744138.38340098</v>
      </c>
    </row>
    <row r="14755" spans="1:2" x14ac:dyDescent="0.25">
      <c r="A14755">
        <f ca="1">25922.1747932374*((RANDBETWEEN(1620,2416)))</f>
        <v>54332878.366625614</v>
      </c>
      <c r="B14755">
        <v>143886849.67950779</v>
      </c>
    </row>
    <row r="14756" spans="1:2" x14ac:dyDescent="0.25">
      <c r="A14756">
        <f ca="1">33632.7485193441*((RANDBETWEEN(1620,2416)))</f>
        <v>65213899.379008286</v>
      </c>
      <c r="B14756">
        <v>166983471.04482991</v>
      </c>
    </row>
    <row r="14757" spans="1:2" x14ac:dyDescent="0.25">
      <c r="A14757">
        <f ca="1">26454.8836904205*((RANDBETWEEN(1620,2416)))</f>
        <v>56639905.981190331</v>
      </c>
      <c r="B14757">
        <v>149627717.63883948</v>
      </c>
    </row>
    <row r="14758" spans="1:2" x14ac:dyDescent="0.25">
      <c r="A14758">
        <f ca="1">27393.4372368421*((RANDBETWEEN(1620,2416)))</f>
        <v>44815663.319473736</v>
      </c>
      <c r="B14758">
        <v>178949318.01823267</v>
      </c>
    </row>
    <row r="14759" spans="1:2" x14ac:dyDescent="0.25">
      <c r="A14759">
        <f ca="1">28033.9444397196*((RANDBETWEEN(1620,2416)))</f>
        <v>52815951.324431665</v>
      </c>
      <c r="B14759">
        <v>146575988.27487344</v>
      </c>
    </row>
    <row r="14760" spans="1:2" x14ac:dyDescent="0.25">
      <c r="A14760">
        <f ca="1">27699.5217562415*((RANDBETWEEN(1620,2416)))</f>
        <v>57393409.078932323</v>
      </c>
      <c r="B14760">
        <v>150561209.25040773</v>
      </c>
    </row>
    <row r="14761" spans="1:2" x14ac:dyDescent="0.25">
      <c r="A14761">
        <f ca="1">27676.9507296198*((RANDBETWEEN(1620,2416)))</f>
        <v>55686024.867994942</v>
      </c>
      <c r="B14761">
        <v>153090903.14459744</v>
      </c>
    </row>
    <row r="14762" spans="1:2" x14ac:dyDescent="0.25">
      <c r="A14762">
        <f ca="1">26755.5368662102*((RANDBETWEEN(1620,2416)))</f>
        <v>52012763.66791264</v>
      </c>
      <c r="B14762">
        <v>197866750.59600145</v>
      </c>
    </row>
    <row r="14763" spans="1:2" x14ac:dyDescent="0.25">
      <c r="A14763">
        <f ca="1">26747.1872286845*((RANDBETWEEN(1620,2416)))</f>
        <v>57559946.916128993</v>
      </c>
      <c r="B14763">
        <v>181585850.70757192</v>
      </c>
    </row>
    <row r="14764" spans="1:2" x14ac:dyDescent="0.25">
      <c r="A14764">
        <f ca="1">29003.6063858752*((RANDBETWEEN(1620,2416)))</f>
        <v>53656671.813869171</v>
      </c>
      <c r="B14764">
        <v>190566088.46731073</v>
      </c>
    </row>
    <row r="14765" spans="1:2" x14ac:dyDescent="0.25">
      <c r="A14765">
        <f ca="1">29218.7906259994*((RANDBETWEEN(1620,2416)))</f>
        <v>54493044.517488815</v>
      </c>
      <c r="B14765">
        <v>177451332.63131979</v>
      </c>
    </row>
    <row r="14766" spans="1:2" x14ac:dyDescent="0.25">
      <c r="A14766">
        <f ca="1">27361.9500307061*((RANDBETWEEN(1620,2416)))</f>
        <v>47773964.753612883</v>
      </c>
      <c r="B14766">
        <v>187416854.66760278</v>
      </c>
    </row>
    <row r="14767" spans="1:2" x14ac:dyDescent="0.25">
      <c r="A14767">
        <f ca="1">28199.1918355008*((RANDBETWEEN(1620,2416)))</f>
        <v>57385355.385244079</v>
      </c>
      <c r="B14767">
        <v>170685886.57098901</v>
      </c>
    </row>
    <row r="14768" spans="1:2" x14ac:dyDescent="0.25">
      <c r="A14768">
        <f ca="1">27067.2820071148*((RANDBETWEEN(1620,2416)))</f>
        <v>59548020.415652454</v>
      </c>
      <c r="B14768">
        <v>146477044.40142635</v>
      </c>
    </row>
    <row r="14769" spans="1:2" x14ac:dyDescent="0.25">
      <c r="A14769">
        <f ca="1">28290.8887818962*((RANDBETWEEN(1620,2416)))</f>
        <v>49339310.035626918</v>
      </c>
      <c r="B14769">
        <v>162621556.17413446</v>
      </c>
    </row>
    <row r="14770" spans="1:2" x14ac:dyDescent="0.25">
      <c r="A14770">
        <f ca="1">30380.8104400839*((RANDBETWEEN(1620,2416)))</f>
        <v>70088529.685273513</v>
      </c>
      <c r="B14770">
        <v>179809253.296857</v>
      </c>
    </row>
    <row r="14771" spans="1:2" x14ac:dyDescent="0.25">
      <c r="A14771">
        <f ca="1">25630.0304480085*((RANDBETWEEN(1620,2416)))</f>
        <v>45775234.380143262</v>
      </c>
      <c r="B14771">
        <v>146919595.89434144</v>
      </c>
    </row>
    <row r="14772" spans="1:2" x14ac:dyDescent="0.25">
      <c r="A14772">
        <f ca="1">27209.6238817481*((RANDBETWEEN(1620,2416)))</f>
        <v>45358443.010874078</v>
      </c>
      <c r="B14772">
        <v>179972131.26866442</v>
      </c>
    </row>
    <row r="14773" spans="1:2" x14ac:dyDescent="0.25">
      <c r="A14773">
        <f ca="1">25861.3242483992*((RANDBETWEEN(1620,2416)))</f>
        <v>50533027.581372082</v>
      </c>
      <c r="B14773">
        <v>143683215.35552341</v>
      </c>
    </row>
    <row r="14774" spans="1:2" x14ac:dyDescent="0.25">
      <c r="A14774">
        <f ca="1">26079.7737702698*((RANDBETWEEN(1620,2416)))</f>
        <v>59540123.517525919</v>
      </c>
      <c r="B14774">
        <v>169815275.11084205</v>
      </c>
    </row>
    <row r="14775" spans="1:2" x14ac:dyDescent="0.25">
      <c r="A14775">
        <f ca="1">28000.3773433348*((RANDBETWEEN(1620,2416)))</f>
        <v>54208730.536696158</v>
      </c>
      <c r="B14775">
        <v>165090721.51863295</v>
      </c>
    </row>
    <row r="14776" spans="1:2" x14ac:dyDescent="0.25">
      <c r="A14776">
        <f ca="1">26875.6340099826*((RANDBETWEEN(1620,2416)))</f>
        <v>44049164.142361544</v>
      </c>
      <c r="B14776">
        <v>167937026.69532377</v>
      </c>
    </row>
    <row r="14777" spans="1:2" x14ac:dyDescent="0.25">
      <c r="A14777">
        <f ca="1">30357.5327683633*((RANDBETWEEN(1620,2416)))</f>
        <v>67788370.671755299</v>
      </c>
      <c r="B14777">
        <v>191744518.73139244</v>
      </c>
    </row>
    <row r="14778" spans="1:2" x14ac:dyDescent="0.25">
      <c r="A14778">
        <f ca="1">28983.0181140358*((RANDBETWEEN(1620,2416)))</f>
        <v>65298739.810922548</v>
      </c>
      <c r="B14778">
        <v>188331078.69778726</v>
      </c>
    </row>
    <row r="14779" spans="1:2" x14ac:dyDescent="0.25">
      <c r="A14779">
        <f ca="1">32401.9652104187*((RANDBETWEEN(1620,2416)))</f>
        <v>63313440.021158047</v>
      </c>
      <c r="B14779">
        <v>197640836.50396508</v>
      </c>
    </row>
    <row r="14780" spans="1:2" x14ac:dyDescent="0.25">
      <c r="A14780">
        <f ca="1">27588.0502932127*((RANDBETWEEN(1620,2416)))</f>
        <v>58403902.470731273</v>
      </c>
      <c r="B14780">
        <v>144177877.2706697</v>
      </c>
    </row>
    <row r="14781" spans="1:2" x14ac:dyDescent="0.25">
      <c r="A14781">
        <f ca="1">29117.7967330861*((RANDBETWEEN(1620,2416)))</f>
        <v>47811422.235727414</v>
      </c>
      <c r="B14781">
        <v>195630704.77140424</v>
      </c>
    </row>
    <row r="14782" spans="1:2" x14ac:dyDescent="0.25">
      <c r="A14782">
        <f ca="1">29629.3710719335*((RANDBETWEEN(1620,2416)))</f>
        <v>56473581.263105288</v>
      </c>
      <c r="B14782">
        <v>201665634.1519289</v>
      </c>
    </row>
    <row r="14783" spans="1:2" x14ac:dyDescent="0.25">
      <c r="A14783">
        <f ca="1">26415.079542291*((RANDBETWEEN(1620,2416)))</f>
        <v>43347145.528899461</v>
      </c>
      <c r="B14783">
        <v>189813927.61984333</v>
      </c>
    </row>
    <row r="14784" spans="1:2" x14ac:dyDescent="0.25">
      <c r="A14784">
        <f ca="1">25827.5758198682*((RANDBETWEEN(1620,2416)))</f>
        <v>44475085.561813071</v>
      </c>
      <c r="B14784">
        <v>143948523.09092605</v>
      </c>
    </row>
    <row r="14785" spans="1:2" x14ac:dyDescent="0.25">
      <c r="A14785">
        <f ca="1">29517.2794418778*((RANDBETWEEN(1620,2416)))</f>
        <v>68686709.261249721</v>
      </c>
      <c r="B14785">
        <v>175043534.18364087</v>
      </c>
    </row>
    <row r="14786" spans="1:2" x14ac:dyDescent="0.25">
      <c r="A14786">
        <f ca="1">29719.617192402*((RANDBETWEEN(1620,2416)))</f>
        <v>62203158.783697382</v>
      </c>
      <c r="B14786">
        <v>144431876.45920575</v>
      </c>
    </row>
    <row r="14787" spans="1:2" x14ac:dyDescent="0.25">
      <c r="A14787">
        <f ca="1">30588.0847920863*((RANDBETWEEN(1620,2416)))</f>
        <v>60656172.142707206</v>
      </c>
      <c r="B14787">
        <v>149936580.7488755</v>
      </c>
    </row>
    <row r="14788" spans="1:2" x14ac:dyDescent="0.25">
      <c r="A14788">
        <f ca="1">30301.40135044*((RANDBETWEEN(1620,2416)))</f>
        <v>60936118.115734778</v>
      </c>
      <c r="B14788">
        <v>184090184.43364385</v>
      </c>
    </row>
    <row r="14789" spans="1:2" x14ac:dyDescent="0.25">
      <c r="A14789">
        <f ca="1">26967.9828384906*((RANDBETWEEN(1620,2416)))</f>
        <v>61244289.026212245</v>
      </c>
      <c r="B14789">
        <v>157503791.68071312</v>
      </c>
    </row>
    <row r="14790" spans="1:2" x14ac:dyDescent="0.25">
      <c r="A14790">
        <f ca="1">29011.9846378197*((RANDBETWEEN(1620,2416)))</f>
        <v>64841785.665526941</v>
      </c>
      <c r="B14790">
        <v>160795856.18130219</v>
      </c>
    </row>
    <row r="14791" spans="1:2" x14ac:dyDescent="0.25">
      <c r="A14791">
        <f ca="1">25405.4373943212*((RANDBETWEEN(1620,2416)))</f>
        <v>53605472.902017683</v>
      </c>
      <c r="B14791">
        <v>162864127.80854458</v>
      </c>
    </row>
    <row r="14792" spans="1:2" x14ac:dyDescent="0.25">
      <c r="A14792">
        <f ca="1">29841.5610035452*((RANDBETWEEN(1620,2416)))</f>
        <v>65173969.231742807</v>
      </c>
      <c r="B14792">
        <v>182909422.22843766</v>
      </c>
    </row>
    <row r="14793" spans="1:2" x14ac:dyDescent="0.25">
      <c r="A14793">
        <f ca="1">25600.3332858535*((RANDBETWEEN(1620,2416)))</f>
        <v>48128626.577404574</v>
      </c>
      <c r="B14793">
        <v>143873854.29363048</v>
      </c>
    </row>
    <row r="14794" spans="1:2" x14ac:dyDescent="0.25">
      <c r="A14794">
        <f ca="1">25764.528015176*((RANDBETWEEN(1620,2416)))</f>
        <v>51529056.030352093</v>
      </c>
      <c r="B14794">
        <v>158443531.1175189</v>
      </c>
    </row>
    <row r="14795" spans="1:2" x14ac:dyDescent="0.25">
      <c r="A14795">
        <f ca="1">27288.5868901396*((RANDBETWEEN(1620,2416)))</f>
        <v>64919548.211642221</v>
      </c>
      <c r="B14795">
        <v>184692858.57655457</v>
      </c>
    </row>
    <row r="14796" spans="1:2" x14ac:dyDescent="0.25">
      <c r="A14796">
        <f ca="1">25978.3300191282*((RANDBETWEEN(1620,2416)))</f>
        <v>60295703.974396661</v>
      </c>
      <c r="B14796">
        <v>152056018.63287386</v>
      </c>
    </row>
    <row r="14797" spans="1:2" x14ac:dyDescent="0.25">
      <c r="A14797">
        <f ca="1">27152.4709249078*((RANDBETWEEN(1620,2416)))</f>
        <v>56097004.930859543</v>
      </c>
      <c r="B14797">
        <v>146119163.00721177</v>
      </c>
    </row>
    <row r="14798" spans="1:2" x14ac:dyDescent="0.25">
      <c r="A14798">
        <f ca="1">25212.4332518624*((RANDBETWEEN(1620,2416)))</f>
        <v>57837321.879772402</v>
      </c>
      <c r="B14798">
        <v>153398442.58198574</v>
      </c>
    </row>
    <row r="14799" spans="1:2" x14ac:dyDescent="0.25">
      <c r="A14799">
        <f ca="1">29095.5716779581*((RANDBETWEEN(1620,2416)))</f>
        <v>49549758.567562692</v>
      </c>
      <c r="B14799">
        <v>189322967.55261344</v>
      </c>
    </row>
    <row r="14800" spans="1:2" x14ac:dyDescent="0.25">
      <c r="A14800">
        <f ca="1">28170.8497216834*((RANDBETWEEN(1620,2416)))</f>
        <v>48932765.966564141</v>
      </c>
      <c r="B14800">
        <v>151717326.29071122</v>
      </c>
    </row>
    <row r="14801" spans="1:2" x14ac:dyDescent="0.25">
      <c r="A14801">
        <f ca="1">33012.5395437118*((RANDBETWEEN(1620,2416)))</f>
        <v>57804956.741039395</v>
      </c>
      <c r="B14801">
        <v>171157802.50319117</v>
      </c>
    </row>
    <row r="14802" spans="1:2" x14ac:dyDescent="0.25">
      <c r="A14802">
        <f ca="1">30899.1094899867*((RANDBETWEEN(1620,2416)))</f>
        <v>67978040.8779708</v>
      </c>
      <c r="B14802">
        <v>187153739.82922256</v>
      </c>
    </row>
    <row r="14803" spans="1:2" x14ac:dyDescent="0.25">
      <c r="A14803">
        <f ca="1">26999.8836316183*((RANDBETWEEN(1620,2416)))</f>
        <v>49328787.394966677</v>
      </c>
      <c r="B14803">
        <v>153820889.88694489</v>
      </c>
    </row>
    <row r="14804" spans="1:2" x14ac:dyDescent="0.25">
      <c r="A14804">
        <f ca="1">30340.1850060854*((RANDBETWEEN(1620,2416)))</f>
        <v>56281043.186288483</v>
      </c>
      <c r="B14804">
        <v>195383312.03496385</v>
      </c>
    </row>
    <row r="14805" spans="1:2" x14ac:dyDescent="0.25">
      <c r="A14805">
        <f ca="1">31446.2869422439*((RANDBETWEEN(1620,2416)))</f>
        <v>66917698.61309509</v>
      </c>
      <c r="B14805">
        <v>163704999.52279636</v>
      </c>
    </row>
    <row r="14806" spans="1:2" x14ac:dyDescent="0.25">
      <c r="A14806">
        <f ca="1">27750.8751604814*((RANDBETWEEN(1620,2416)))</f>
        <v>62966735.739132375</v>
      </c>
      <c r="B14806">
        <v>162212514.32266051</v>
      </c>
    </row>
    <row r="14807" spans="1:2" x14ac:dyDescent="0.25">
      <c r="A14807">
        <f ca="1">28013.4910351822*((RANDBETWEEN(1620,2416)))</f>
        <v>58660250.227671653</v>
      </c>
      <c r="B14807">
        <v>171613137.17039648</v>
      </c>
    </row>
    <row r="14808" spans="1:2" x14ac:dyDescent="0.25">
      <c r="A14808">
        <f ca="1">28789.7498932949*((RANDBETWEEN(1620,2416)))</f>
        <v>52627662.804943159</v>
      </c>
      <c r="B14808">
        <v>200436766.75013572</v>
      </c>
    </row>
    <row r="14809" spans="1:2" x14ac:dyDescent="0.25">
      <c r="A14809">
        <f ca="1">29798.4740007213*((RANDBETWEEN(1620,2416)))</f>
        <v>59418157.157438315</v>
      </c>
      <c r="B14809">
        <v>180077548.57986298</v>
      </c>
    </row>
    <row r="14810" spans="1:2" x14ac:dyDescent="0.25">
      <c r="A14810">
        <f ca="1">31976.0676595211*((RANDBETWEEN(1620,2416)))</f>
        <v>64175967.792658806</v>
      </c>
      <c r="B14810">
        <v>185966411.65148199</v>
      </c>
    </row>
    <row r="14811" spans="1:2" x14ac:dyDescent="0.25">
      <c r="A14811">
        <f ca="1">32054.027606122*((RANDBETWEEN(1620,2416)))</f>
        <v>63499028.687727652</v>
      </c>
      <c r="B14811">
        <v>180755548.91902581</v>
      </c>
    </row>
    <row r="14812" spans="1:2" x14ac:dyDescent="0.25">
      <c r="A14812">
        <f ca="1">27460.1009744192*((RANDBETWEEN(1620,2416)))</f>
        <v>48714219.128619649</v>
      </c>
      <c r="B14812">
        <v>175699756.40238044</v>
      </c>
    </row>
    <row r="14813" spans="1:2" x14ac:dyDescent="0.25">
      <c r="A14813">
        <f ca="1">28111.5919626586*((RANDBETWEEN(1620,2416)))</f>
        <v>67580267.078231186</v>
      </c>
      <c r="B14813">
        <v>151956253.40789533</v>
      </c>
    </row>
    <row r="14814" spans="1:2" x14ac:dyDescent="0.25">
      <c r="A14814">
        <f ca="1">29742.2393224963*((RANDBETWEEN(1620,2416)))</f>
        <v>56183090.080195598</v>
      </c>
      <c r="B14814">
        <v>170064804.12426412</v>
      </c>
    </row>
    <row r="14815" spans="1:2" x14ac:dyDescent="0.25">
      <c r="A14815">
        <f ca="1">30466.9181959069*((RANDBETWEEN(1620,2416)))</f>
        <v>68154496.004243642</v>
      </c>
      <c r="B14815">
        <v>171532940.98235434</v>
      </c>
    </row>
    <row r="14816" spans="1:2" x14ac:dyDescent="0.25">
      <c r="A14816">
        <f ca="1">29884.8159291909*((RANDBETWEEN(1620,2416)))</f>
        <v>66164982.46722877</v>
      </c>
      <c r="B14816">
        <v>158615633.82871532</v>
      </c>
    </row>
    <row r="14817" spans="1:2" x14ac:dyDescent="0.25">
      <c r="A14817">
        <f ca="1">27731.5114323853*((RANDBETWEEN(1620,2416)))</f>
        <v>51525148.24137181</v>
      </c>
      <c r="B14817">
        <v>193587067.96820092</v>
      </c>
    </row>
    <row r="14818" spans="1:2" x14ac:dyDescent="0.25">
      <c r="A14818">
        <f ca="1">26539.1783352305*((RANDBETWEEN(1620,2416)))</f>
        <v>60429709.069319777</v>
      </c>
      <c r="B14818">
        <v>153938434.56105715</v>
      </c>
    </row>
    <row r="14819" spans="1:2" x14ac:dyDescent="0.25">
      <c r="A14819">
        <f ca="1">27549.8709722423*((RANDBETWEEN(1620,2416)))</f>
        <v>47192928.975451104</v>
      </c>
      <c r="B14819">
        <v>176766654.82667458</v>
      </c>
    </row>
    <row r="14820" spans="1:2" x14ac:dyDescent="0.25">
      <c r="A14820">
        <f ca="1">27229.4424970982*((RANDBETWEEN(1620,2416)))</f>
        <v>65296203.108041398</v>
      </c>
      <c r="B14820">
        <v>179002548.21995065</v>
      </c>
    </row>
    <row r="14821" spans="1:2" x14ac:dyDescent="0.25">
      <c r="A14821">
        <f ca="1">26144.2456032666*((RANDBETWEEN(1620,2416)))</f>
        <v>49281902.96215757</v>
      </c>
      <c r="B14821">
        <v>151174013.06019187</v>
      </c>
    </row>
    <row r="14822" spans="1:2" x14ac:dyDescent="0.25">
      <c r="A14822">
        <f ca="1">26845.5647004119*((RANDBETWEEN(1620,2416)))</f>
        <v>43597197.073468931</v>
      </c>
      <c r="B14822">
        <v>157441538.45935145</v>
      </c>
    </row>
    <row r="14823" spans="1:2" x14ac:dyDescent="0.25">
      <c r="A14823">
        <f ca="1">28663.8594399285*((RANDBETWEEN(1620,2416)))</f>
        <v>66643473.197833784</v>
      </c>
      <c r="B14823">
        <v>188592446.62827754</v>
      </c>
    </row>
    <row r="14824" spans="1:2" x14ac:dyDescent="0.25">
      <c r="A14824">
        <f ca="1">28053.6443615357*((RANDBETWEEN(1620,2416)))</f>
        <v>63232914.390901454</v>
      </c>
      <c r="B14824">
        <v>175548321.50803894</v>
      </c>
    </row>
    <row r="14825" spans="1:2" x14ac:dyDescent="0.25">
      <c r="A14825">
        <f ca="1">30636.5492894229*((RANDBETWEEN(1620,2416)))</f>
        <v>70923611.605013996</v>
      </c>
      <c r="B14825">
        <v>174133977.29257327</v>
      </c>
    </row>
    <row r="14826" spans="1:2" x14ac:dyDescent="0.25">
      <c r="A14826">
        <f ca="1">30633.3739623989*((RANDBETWEEN(1620,2416)))</f>
        <v>49687332.567010939</v>
      </c>
      <c r="B14826">
        <v>166439058.07544625</v>
      </c>
    </row>
    <row r="14827" spans="1:2" x14ac:dyDescent="0.25">
      <c r="A14827">
        <f ca="1">26871.4354932124*((RANDBETWEEN(1620,2416)))</f>
        <v>55355157.11601758</v>
      </c>
      <c r="B14827">
        <v>149284244.73459041</v>
      </c>
    </row>
    <row r="14828" spans="1:2" x14ac:dyDescent="0.25">
      <c r="A14828">
        <f ca="1">24734.9661818*((RANDBETWEEN(1620,2416)))</f>
        <v>48901028.141418688</v>
      </c>
      <c r="B14828">
        <v>158304545.83349857</v>
      </c>
    </row>
    <row r="14829" spans="1:2" x14ac:dyDescent="0.25">
      <c r="A14829">
        <f ca="1">32671.1305116779*((RANDBETWEEN(1620,2416)))</f>
        <v>67923280.333778366</v>
      </c>
      <c r="B14829">
        <v>192917995.8467406</v>
      </c>
    </row>
    <row r="14830" spans="1:2" x14ac:dyDescent="0.25">
      <c r="A14830">
        <f ca="1">30488.159789149*((RANDBETWEEN(1620,2416)))</f>
        <v>71403270.22618705</v>
      </c>
      <c r="B14830">
        <v>153788292.8807838</v>
      </c>
    </row>
    <row r="14831" spans="1:2" x14ac:dyDescent="0.25">
      <c r="A14831">
        <f ca="1">33245.629368445*((RANDBETWEEN(1620,2416)))</f>
        <v>62202572.548360579</v>
      </c>
      <c r="B14831">
        <v>146725476.24137497</v>
      </c>
    </row>
    <row r="14832" spans="1:2" x14ac:dyDescent="0.25">
      <c r="A14832">
        <f ca="1">26022.3354738226*((RANDBETWEEN(1620,2416)))</f>
        <v>46085556.124139778</v>
      </c>
      <c r="B14832">
        <v>143405188.80457771</v>
      </c>
    </row>
    <row r="14833" spans="1:2" x14ac:dyDescent="0.25">
      <c r="A14833">
        <f ca="1">30833.5224033772*((RANDBETWEEN(1620,2416)))</f>
        <v>50166140.950294673</v>
      </c>
      <c r="B14833">
        <v>201397485.53423208</v>
      </c>
    </row>
    <row r="14834" spans="1:2" x14ac:dyDescent="0.25">
      <c r="A14834">
        <f ca="1">26617.9199971633*((RANDBETWEEN(1620,2416)))</f>
        <v>47512987.194936544</v>
      </c>
      <c r="B14834">
        <v>170558738.1159392</v>
      </c>
    </row>
    <row r="14835" spans="1:2" x14ac:dyDescent="0.25">
      <c r="A14835">
        <f ca="1">27357.9933402002*((RANDBETWEEN(1620,2416)))</f>
        <v>60433807.288502261</v>
      </c>
      <c r="B14835">
        <v>170412984.13201562</v>
      </c>
    </row>
    <row r="14836" spans="1:2" x14ac:dyDescent="0.25">
      <c r="A14836">
        <f ca="1">25765.950067648*((RANDBETWEEN(1620,2416)))</f>
        <v>51171176.834348932</v>
      </c>
      <c r="B14836">
        <v>143198951.72456142</v>
      </c>
    </row>
    <row r="14837" spans="1:2" x14ac:dyDescent="0.25">
      <c r="A14837">
        <f ca="1">29980.8405659541*((RANDBETWEEN(1620,2416)))</f>
        <v>69855358.518673018</v>
      </c>
      <c r="B14837">
        <v>197022545.03723747</v>
      </c>
    </row>
    <row r="14838" spans="1:2" x14ac:dyDescent="0.25">
      <c r="A14838">
        <f ca="1">28873.8034127978*((RANDBETWEEN(1620,2416)))</f>
        <v>60923725.201003455</v>
      </c>
      <c r="B14838">
        <v>193471562.78365037</v>
      </c>
    </row>
    <row r="14839" spans="1:2" x14ac:dyDescent="0.25">
      <c r="A14839">
        <f ca="1">28169.4140070828*((RANDBETWEEN(1620,2416)))</f>
        <v>46592210.767715</v>
      </c>
      <c r="B14839">
        <v>174382334.13117066</v>
      </c>
    </row>
    <row r="14840" spans="1:2" x14ac:dyDescent="0.25">
      <c r="A14840">
        <f ca="1">26478.2349803825*((RANDBETWEEN(1620,2416)))</f>
        <v>54042077.594960675</v>
      </c>
      <c r="B14840">
        <v>164835678.28318429</v>
      </c>
    </row>
    <row r="14841" spans="1:2" x14ac:dyDescent="0.25">
      <c r="A14841">
        <f ca="1">27363.7511556138*((RANDBETWEEN(1620,2416)))</f>
        <v>48488567.04774759</v>
      </c>
      <c r="B14841">
        <v>149415054.62301728</v>
      </c>
    </row>
    <row r="14842" spans="1:2" x14ac:dyDescent="0.25">
      <c r="A14842">
        <f ca="1">29433.8353594384*((RANDBETWEEN(1620,2416)))</f>
        <v>57602015.798420973</v>
      </c>
      <c r="B14842">
        <v>166539949.99252748</v>
      </c>
    </row>
    <row r="14843" spans="1:2" x14ac:dyDescent="0.25">
      <c r="A14843">
        <f ca="1">26738.451811078*((RANDBETWEEN(1620,2416)))</f>
        <v>50482197.01931531</v>
      </c>
      <c r="B14843">
        <v>165056686.44016069</v>
      </c>
    </row>
    <row r="14844" spans="1:2" x14ac:dyDescent="0.25">
      <c r="A14844">
        <f ca="1">29126.3958880165*((RANDBETWEEN(1620,2416)))</f>
        <v>48728460.320651688</v>
      </c>
      <c r="B14844">
        <v>202774785.78368759</v>
      </c>
    </row>
    <row r="14845" spans="1:2" x14ac:dyDescent="0.25">
      <c r="A14845">
        <f ca="1">26419.9678411266*((RANDBETWEEN(1620,2416)))</f>
        <v>55164892.852272391</v>
      </c>
      <c r="B14845">
        <v>145060751.82101643</v>
      </c>
    </row>
    <row r="14846" spans="1:2" x14ac:dyDescent="0.25">
      <c r="A14846">
        <f ca="1">27599.9678644397*((RANDBETWEEN(1620,2416)))</f>
        <v>49983541.802500278</v>
      </c>
      <c r="B14846">
        <v>160881694.39259133</v>
      </c>
    </row>
    <row r="14847" spans="1:2" x14ac:dyDescent="0.25">
      <c r="A14847">
        <f ca="1">26503.8231239575*((RANDBETWEEN(1620,2416)))</f>
        <v>59607098.205780439</v>
      </c>
      <c r="B14847">
        <v>167933979.62053138</v>
      </c>
    </row>
    <row r="14848" spans="1:2" x14ac:dyDescent="0.25">
      <c r="A14848">
        <f ca="1">27039.1465837727*((RANDBETWEEN(1620,2416)))</f>
        <v>62703780.927768886</v>
      </c>
      <c r="B14848">
        <v>173754142.10798982</v>
      </c>
    </row>
    <row r="14849" spans="1:2" x14ac:dyDescent="0.25">
      <c r="A14849">
        <f ca="1">26150.9254766985*((RANDBETWEEN(1620,2416)))</f>
        <v>56721357.358959071</v>
      </c>
      <c r="B14849">
        <v>164187014.04249784</v>
      </c>
    </row>
    <row r="14850" spans="1:2" x14ac:dyDescent="0.25">
      <c r="A14850">
        <f ca="1">27170.4327830849*((RANDBETWEEN(1620,2416)))</f>
        <v>60100997.316183805</v>
      </c>
      <c r="B14850">
        <v>159313287.47597808</v>
      </c>
    </row>
    <row r="14851" spans="1:2" x14ac:dyDescent="0.25">
      <c r="A14851">
        <f ca="1">29792.4781195129*((RANDBETWEEN(1620,2416)))</f>
        <v>51213269.887442738</v>
      </c>
      <c r="B14851">
        <v>159089967.23433849</v>
      </c>
    </row>
    <row r="14852" spans="1:2" x14ac:dyDescent="0.25">
      <c r="A14852">
        <f ca="1">31591.3474285289*((RANDBETWEEN(1620,2416)))</f>
        <v>70069608.596477106</v>
      </c>
      <c r="B14852">
        <v>182091268.38001218</v>
      </c>
    </row>
    <row r="14853" spans="1:2" x14ac:dyDescent="0.25">
      <c r="A14853">
        <f ca="1">28121.4322590112*((RANDBETWEEN(1620,2416)))</f>
        <v>57733300.427750021</v>
      </c>
      <c r="B14853">
        <v>150591151.14365315</v>
      </c>
    </row>
    <row r="14854" spans="1:2" x14ac:dyDescent="0.25">
      <c r="A14854">
        <f ca="1">29461.0845160204*((RANDBETWEEN(1620,2416)))</f>
        <v>48787555.958529852</v>
      </c>
      <c r="B14854">
        <v>203501862.16204721</v>
      </c>
    </row>
    <row r="14855" spans="1:2" x14ac:dyDescent="0.25">
      <c r="A14855">
        <f ca="1">27068.3206720016*((RANDBETWEEN(1620,2416)))</f>
        <v>57980342.879427321</v>
      </c>
      <c r="B14855">
        <v>193740334.50783178</v>
      </c>
    </row>
    <row r="14856" spans="1:2" x14ac:dyDescent="0.25">
      <c r="A14856">
        <f ca="1">29765.7758143605*((RANDBETWEEN(1620,2416)))</f>
        <v>68699410.579544067</v>
      </c>
      <c r="B14856">
        <v>152495322.28908357</v>
      </c>
    </row>
    <row r="14857" spans="1:2" x14ac:dyDescent="0.25">
      <c r="A14857">
        <f ca="1">31301.7126998614*((RANDBETWEEN(1620,2416)))</f>
        <v>66328329.211006284</v>
      </c>
      <c r="B14857">
        <v>184966688.11351117</v>
      </c>
    </row>
    <row r="14858" spans="1:2" x14ac:dyDescent="0.25">
      <c r="A14858">
        <f ca="1">28055.812954607*((RANDBETWEEN(1620,2416)))</f>
        <v>46825151.821239106</v>
      </c>
      <c r="B14858">
        <v>190427620.65964356</v>
      </c>
    </row>
    <row r="14859" spans="1:2" x14ac:dyDescent="0.25">
      <c r="A14859">
        <f ca="1">24897.1756536415*((RANDBETWEEN(1620,2416)))</f>
        <v>42947628.002531536</v>
      </c>
      <c r="B14859">
        <v>179055623.48802927</v>
      </c>
    </row>
    <row r="14860" spans="1:2" x14ac:dyDescent="0.25">
      <c r="A14860">
        <f ca="1">27472.6060043031*((RANDBETWEEN(1620,2416)))</f>
        <v>45467162.937121652</v>
      </c>
      <c r="B14860">
        <v>155417248.72504252</v>
      </c>
    </row>
    <row r="14861" spans="1:2" x14ac:dyDescent="0.25">
      <c r="A14861">
        <f ca="1">27550.7779717331*((RANDBETWEEN(1620,2416)))</f>
        <v>59041317.193423994</v>
      </c>
      <c r="B14861">
        <v>154528095.41017923</v>
      </c>
    </row>
    <row r="14862" spans="1:2" x14ac:dyDescent="0.25">
      <c r="A14862">
        <f ca="1">26258.6556474041*((RANDBETWEEN(1620,2416)))</f>
        <v>54197865.256242089</v>
      </c>
      <c r="B14862">
        <v>148736886.07628459</v>
      </c>
    </row>
    <row r="14863" spans="1:2" x14ac:dyDescent="0.25">
      <c r="A14863">
        <f ca="1">30628.723541564*((RANDBETWEEN(1620,2416)))</f>
        <v>56418108.763560854</v>
      </c>
      <c r="B14863">
        <v>151110173.56829986</v>
      </c>
    </row>
    <row r="14864" spans="1:2" x14ac:dyDescent="0.25">
      <c r="A14864">
        <f ca="1">29142.1264812937*((RANDBETWEEN(1620,2416)))</f>
        <v>52455827.666328661</v>
      </c>
      <c r="B14864">
        <v>165048137.07787341</v>
      </c>
    </row>
    <row r="14865" spans="1:2" x14ac:dyDescent="0.25">
      <c r="A14865">
        <f ca="1">26562.9763989588*((RANDBETWEEN(1620,2416)))</f>
        <v>46166452.981390327</v>
      </c>
      <c r="B14865">
        <v>157667906.8764846</v>
      </c>
    </row>
    <row r="14866" spans="1:2" x14ac:dyDescent="0.25">
      <c r="A14866">
        <f ca="1">25798.7239648211*((RANDBETWEEN(1620,2416)))</f>
        <v>43083869.021251276</v>
      </c>
      <c r="B14866">
        <v>148142125.74350536</v>
      </c>
    </row>
    <row r="14867" spans="1:2" x14ac:dyDescent="0.25">
      <c r="A14867">
        <f ca="1">29299.5767582769*((RANDBETWEEN(1620,2416)))</f>
        <v>50776166.522093885</v>
      </c>
      <c r="B14867">
        <v>164460449.30162871</v>
      </c>
    </row>
    <row r="14868" spans="1:2" x14ac:dyDescent="0.25">
      <c r="A14868">
        <f ca="1">29525.0874044477*((RANDBETWEEN(1620,2416)))</f>
        <v>49247845.790618807</v>
      </c>
      <c r="B14868">
        <v>156837296.95906284</v>
      </c>
    </row>
    <row r="14869" spans="1:2" x14ac:dyDescent="0.25">
      <c r="A14869">
        <f ca="1">27837.2889946203*((RANDBETWEEN(1620,2416)))</f>
        <v>62272015.480965652</v>
      </c>
      <c r="B14869">
        <v>171779171.44548917</v>
      </c>
    </row>
    <row r="14870" spans="1:2" x14ac:dyDescent="0.25">
      <c r="A14870">
        <f ca="1">27315.7834451035*((RANDBETWEEN(1620,2416)))</f>
        <v>55287145.692889452</v>
      </c>
      <c r="B14870">
        <v>172029190.62394714</v>
      </c>
    </row>
    <row r="14871" spans="1:2" x14ac:dyDescent="0.25">
      <c r="A14871">
        <f ca="1">27194.9490775702*((RANDBETWEEN(1620,2416)))</f>
        <v>48950908.339626417</v>
      </c>
      <c r="B14871">
        <v>145946477.3451972</v>
      </c>
    </row>
    <row r="14872" spans="1:2" x14ac:dyDescent="0.25">
      <c r="A14872">
        <f ca="1">28345.9741047016*((RANDBETWEEN(1620,2416)))</f>
        <v>56181720.675518557</v>
      </c>
      <c r="B14872">
        <v>189823668.19674465</v>
      </c>
    </row>
    <row r="14873" spans="1:2" x14ac:dyDescent="0.25">
      <c r="A14873">
        <f ca="1">27528.6003131305*((RANDBETWEEN(1620,2416)))</f>
        <v>46550863.1295036</v>
      </c>
      <c r="B14873">
        <v>183347996.09208679</v>
      </c>
    </row>
    <row r="14874" spans="1:2" x14ac:dyDescent="0.25">
      <c r="A14874">
        <f ca="1">26381.5644691402*((RANDBETWEEN(1620,2416)))</f>
        <v>50784511.603094816</v>
      </c>
      <c r="B14874">
        <v>168271136.17209893</v>
      </c>
    </row>
    <row r="14875" spans="1:2" x14ac:dyDescent="0.25">
      <c r="A14875">
        <f ca="1">27084.7295768818*((RANDBETWEEN(1620,2416)))</f>
        <v>52733968.486188881</v>
      </c>
      <c r="B14875">
        <v>151272116.94267273</v>
      </c>
    </row>
    <row r="14876" spans="1:2" x14ac:dyDescent="0.25">
      <c r="A14876">
        <f ca="1">28658.8027715765*((RANDBETWEEN(1620,2416)))</f>
        <v>47373000.981415905</v>
      </c>
      <c r="B14876">
        <v>147302947.27579647</v>
      </c>
    </row>
    <row r="14877" spans="1:2" x14ac:dyDescent="0.25">
      <c r="A14877">
        <f ca="1">27952.8342027031*((RANDBETWEEN(1620,2416)))</f>
        <v>56548583.592068359</v>
      </c>
      <c r="B14877">
        <v>147303813.23094347</v>
      </c>
    </row>
    <row r="14878" spans="1:2" x14ac:dyDescent="0.25">
      <c r="A14878">
        <f ca="1">27688.1320717663*((RANDBETWEEN(1620,2416)))</f>
        <v>53271966.106078409</v>
      </c>
      <c r="B14878">
        <v>162138581.14268824</v>
      </c>
    </row>
    <row r="14879" spans="1:2" x14ac:dyDescent="0.25">
      <c r="A14879">
        <f ca="1">27340.7161964559*((RANDBETWEEN(1620,2416)))</f>
        <v>51373205.733140595</v>
      </c>
      <c r="B14879">
        <v>146970410.04862192</v>
      </c>
    </row>
    <row r="14880" spans="1:2" x14ac:dyDescent="0.25">
      <c r="A14880">
        <f ca="1">27653.410397055*((RANDBETWEEN(1620,2416)))</f>
        <v>50965235.361772381</v>
      </c>
      <c r="B14880">
        <v>169190561.3161211</v>
      </c>
    </row>
    <row r="14881" spans="1:2" x14ac:dyDescent="0.25">
      <c r="A14881">
        <f ca="1">26479.684832149*((RANDBETWEEN(1620,2416)))</f>
        <v>50549718.344572425</v>
      </c>
      <c r="B14881">
        <v>145126055.1758588</v>
      </c>
    </row>
    <row r="14882" spans="1:2" x14ac:dyDescent="0.25">
      <c r="A14882">
        <f ca="1">30038.9734172942*((RANDBETWEEN(1620,2416)))</f>
        <v>55331789.034655921</v>
      </c>
      <c r="B14882">
        <v>191965207.26793024</v>
      </c>
    </row>
    <row r="14883" spans="1:2" x14ac:dyDescent="0.25">
      <c r="A14883">
        <f ca="1">27517.1993988408*((RANDBETWEEN(1620,2416)))</f>
        <v>65463417.369842261</v>
      </c>
      <c r="B14883">
        <v>156276465.02198488</v>
      </c>
    </row>
    <row r="14884" spans="1:2" x14ac:dyDescent="0.25">
      <c r="A14884">
        <f ca="1">31524.3098467622*((RANDBETWEEN(1620,2416)))</f>
        <v>68439276.677320793</v>
      </c>
      <c r="B14884">
        <v>180575458.48083258</v>
      </c>
    </row>
    <row r="14885" spans="1:2" x14ac:dyDescent="0.25">
      <c r="A14885">
        <f ca="1">28363.0710022417*((RANDBETWEEN(1620,2416)))</f>
        <v>47649959.283766091</v>
      </c>
      <c r="B14885">
        <v>193038780.00487235</v>
      </c>
    </row>
    <row r="14886" spans="1:2" x14ac:dyDescent="0.25">
      <c r="A14886">
        <f ca="1">27513.2891199611*((RANDBETWEEN(1620,2416)))</f>
        <v>54283719.433683164</v>
      </c>
      <c r="B14886">
        <v>166775692.79602402</v>
      </c>
    </row>
    <row r="14887" spans="1:2" x14ac:dyDescent="0.25">
      <c r="A14887">
        <f ca="1">26318.4847996833*((RANDBETWEEN(1620,2416)))</f>
        <v>57032156.560913615</v>
      </c>
      <c r="B14887">
        <v>167453741.24415034</v>
      </c>
    </row>
    <row r="14888" spans="1:2" x14ac:dyDescent="0.25">
      <c r="A14888">
        <f ca="1">31526.4692363865*((RANDBETWEEN(1620,2416)))</f>
        <v>73204461.566889361</v>
      </c>
      <c r="B14888">
        <v>150662513.40215701</v>
      </c>
    </row>
    <row r="14889" spans="1:2" x14ac:dyDescent="0.25">
      <c r="A14889">
        <f ca="1">25707.5816271265*((RANDBETWEEN(1620,2416)))</f>
        <v>42057603.54197903</v>
      </c>
      <c r="B14889">
        <v>174491381.44027689</v>
      </c>
    </row>
    <row r="14890" spans="1:2" x14ac:dyDescent="0.25">
      <c r="A14890">
        <f ca="1">26262.0696840741*((RANDBETWEEN(1620,2416)))</f>
        <v>55675587.730237186</v>
      </c>
      <c r="B14890">
        <v>148494445.06612754</v>
      </c>
    </row>
    <row r="14891" spans="1:2" x14ac:dyDescent="0.25">
      <c r="A14891">
        <f ca="1">29213.2757814407*((RANDBETWEEN(1620,2416)))</f>
        <v>63655727.927759342</v>
      </c>
      <c r="B14891">
        <v>173879989.0264248</v>
      </c>
    </row>
    <row r="14892" spans="1:2" x14ac:dyDescent="0.25">
      <c r="A14892">
        <f ca="1">26261.2090929736*((RANDBETWEEN(1620,2416)))</f>
        <v>60794699.050233975</v>
      </c>
      <c r="B14892">
        <v>147146137.08705795</v>
      </c>
    </row>
    <row r="14893" spans="1:2" x14ac:dyDescent="0.25">
      <c r="A14893">
        <f ca="1">26656.5879645092*((RANDBETWEEN(1620,2416)))</f>
        <v>56565279.660688542</v>
      </c>
      <c r="B14893">
        <v>163587597.91194704</v>
      </c>
    </row>
    <row r="14894" spans="1:2" x14ac:dyDescent="0.25">
      <c r="A14894">
        <f ca="1">27374.7935572133*((RANDBETWEEN(1620,2416)))</f>
        <v>46893021.363506451</v>
      </c>
      <c r="B14894">
        <v>153706595.3255699</v>
      </c>
    </row>
    <row r="14895" spans="1:2" x14ac:dyDescent="0.25">
      <c r="A14895">
        <f ca="1">28002.4201827866*((RANDBETWEEN(1620,2416)))</f>
        <v>63089452.671818279</v>
      </c>
      <c r="B14895">
        <v>163643618.7002891</v>
      </c>
    </row>
    <row r="14896" spans="1:2" x14ac:dyDescent="0.25">
      <c r="A14896">
        <f ca="1">28544.0913065443*((RANDBETWEEN(1620,2416)))</f>
        <v>60285120.839421473</v>
      </c>
      <c r="B14896">
        <v>151093007.48756644</v>
      </c>
    </row>
    <row r="14897" spans="1:2" x14ac:dyDescent="0.25">
      <c r="A14897">
        <f ca="1">26906.6189000074*((RANDBETWEEN(1620,2416)))</f>
        <v>51095669.291114092</v>
      </c>
      <c r="B14897">
        <v>162179962.52500677</v>
      </c>
    </row>
    <row r="14898" spans="1:2" x14ac:dyDescent="0.25">
      <c r="A14898">
        <f ca="1">26394.1141111348*((RANDBETWEEN(1620,2416)))</f>
        <v>61023191.824943624</v>
      </c>
      <c r="B14898">
        <v>151530353.34249043</v>
      </c>
    </row>
    <row r="14899" spans="1:2" x14ac:dyDescent="0.25">
      <c r="A14899">
        <f ca="1">25782.6645288311*((RANDBETWEEN(1620,2416)))</f>
        <v>60460348.320108898</v>
      </c>
      <c r="B14899">
        <v>155919515.80211207</v>
      </c>
    </row>
    <row r="14900" spans="1:2" x14ac:dyDescent="0.25">
      <c r="A14900">
        <f ca="1">26421.857018881*((RANDBETWEEN(1620,2416)))</f>
        <v>44837891.361041039</v>
      </c>
      <c r="B14900">
        <v>151844931.51093709</v>
      </c>
    </row>
    <row r="14901" spans="1:2" x14ac:dyDescent="0.25">
      <c r="A14901">
        <f ca="1">30621.9015557077*((RANDBETWEEN(1620,2416)))</f>
        <v>72298309.573025867</v>
      </c>
      <c r="B14901">
        <v>202280482.4987205</v>
      </c>
    </row>
    <row r="14902" spans="1:2" x14ac:dyDescent="0.25">
      <c r="A14902">
        <f ca="1">28541.0375830816*((RANDBETWEEN(1620,2416)))</f>
        <v>67528094.92157118</v>
      </c>
      <c r="B14902">
        <v>181032221.28981414</v>
      </c>
    </row>
    <row r="14903" spans="1:2" x14ac:dyDescent="0.25">
      <c r="A14903">
        <f ca="1">25821.1940735763*((RANDBETWEEN(1620,2416)))</f>
        <v>56057812.33373417</v>
      </c>
      <c r="B14903">
        <v>144972544.97179383</v>
      </c>
    </row>
    <row r="14904" spans="1:2" x14ac:dyDescent="0.25">
      <c r="A14904">
        <f ca="1">27052.3032555167*((RANDBETWEEN(1620,2416)))</f>
        <v>52779043.651512988</v>
      </c>
      <c r="B14904">
        <v>195213247.16077417</v>
      </c>
    </row>
    <row r="14905" spans="1:2" x14ac:dyDescent="0.25">
      <c r="A14905">
        <f ca="1">27153.0580366654*((RANDBETWEEN(1620,2416)))</f>
        <v>57754554.44398734</v>
      </c>
      <c r="B14905">
        <v>146811421.53214496</v>
      </c>
    </row>
    <row r="14906" spans="1:2" x14ac:dyDescent="0.25">
      <c r="A14906">
        <f ca="1">27672.9154279698*((RANDBETWEEN(1620,2416)))</f>
        <v>62872863.85234727</v>
      </c>
      <c r="B14906">
        <v>168587104.54237568</v>
      </c>
    </row>
    <row r="14907" spans="1:2" x14ac:dyDescent="0.25">
      <c r="A14907">
        <f ca="1">29659.4376473475*((RANDBETWEEN(1620,2416)))</f>
        <v>69551381.28302978</v>
      </c>
      <c r="B14907">
        <v>189818058.27548268</v>
      </c>
    </row>
    <row r="14908" spans="1:2" x14ac:dyDescent="0.25">
      <c r="A14908">
        <f ca="1">26496.7691556723*((RANDBETWEEN(1620,2416)))</f>
        <v>58557859.834035814</v>
      </c>
      <c r="B14908">
        <v>186301049.4511342</v>
      </c>
    </row>
    <row r="14909" spans="1:2" x14ac:dyDescent="0.25">
      <c r="A14909">
        <f ca="1">29190.4162686068*((RANDBETWEEN(1620,2416)))</f>
        <v>56249932.149605215</v>
      </c>
      <c r="B14909">
        <v>188814203.5540055</v>
      </c>
    </row>
    <row r="14910" spans="1:2" x14ac:dyDescent="0.25">
      <c r="A14910">
        <f ca="1">32541.4831448698*((RANDBETWEEN(1620,2416)))</f>
        <v>65310756.671753734</v>
      </c>
      <c r="B14910">
        <v>198148575.32248971</v>
      </c>
    </row>
    <row r="14911" spans="1:2" x14ac:dyDescent="0.25">
      <c r="A14911">
        <f ca="1">27083.1429725902*((RANDBETWEEN(1620,2416)))</f>
        <v>52974627.654386528</v>
      </c>
      <c r="B14911">
        <v>144594438.93201375</v>
      </c>
    </row>
    <row r="14912" spans="1:2" x14ac:dyDescent="0.25">
      <c r="A14912">
        <f ca="1">27365.5187759635*((RANDBETWEEN(1620,2416)))</f>
        <v>48710623.421214946</v>
      </c>
      <c r="B14912">
        <v>143535102.51932675</v>
      </c>
    </row>
    <row r="14913" spans="1:2" x14ac:dyDescent="0.25">
      <c r="A14913">
        <f ca="1">26090.1372476495*((RANDBETWEEN(1620,2416)))</f>
        <v>44170602.360270575</v>
      </c>
      <c r="B14913">
        <v>147070807.65113536</v>
      </c>
    </row>
    <row r="14914" spans="1:2" x14ac:dyDescent="0.25">
      <c r="A14914">
        <f ca="1">28558.9426634419*((RANDBETWEEN(1620,2416)))</f>
        <v>65942598.609887443</v>
      </c>
      <c r="B14914">
        <v>148349147.92244256</v>
      </c>
    </row>
    <row r="14915" spans="1:2" x14ac:dyDescent="0.25">
      <c r="A14915">
        <f ca="1">26625.1752739214*((RANDBETWEEN(1620,2416)))</f>
        <v>56844749.209822208</v>
      </c>
      <c r="B14915">
        <v>144990638.01461697</v>
      </c>
    </row>
    <row r="14916" spans="1:2" x14ac:dyDescent="0.25">
      <c r="A14916">
        <f ca="1">28794.4050654913*((RANDBETWEEN(1620,2416)))</f>
        <v>52175461.97867015</v>
      </c>
      <c r="B14916">
        <v>152553135.82828796</v>
      </c>
    </row>
    <row r="14917" spans="1:2" x14ac:dyDescent="0.25">
      <c r="A14917">
        <f ca="1">26039.9926603891*((RANDBETWEEN(1620,2416)))</f>
        <v>56168264.168459274</v>
      </c>
      <c r="B14917">
        <v>191378080.67229515</v>
      </c>
    </row>
    <row r="14918" spans="1:2" x14ac:dyDescent="0.25">
      <c r="A14918">
        <f ca="1">30893.4556653194*((RANDBETWEEN(1620,2416)))</f>
        <v>71271202.219891772</v>
      </c>
      <c r="B14918">
        <v>179941366.48346332</v>
      </c>
    </row>
    <row r="14919" spans="1:2" x14ac:dyDescent="0.25">
      <c r="A14919">
        <f ca="1">26431.8394083603*((RANDBETWEEN(1620,2416)))</f>
        <v>61506890.303254366</v>
      </c>
      <c r="B14919">
        <v>156833244.09287226</v>
      </c>
    </row>
    <row r="14920" spans="1:2" x14ac:dyDescent="0.25">
      <c r="A14920">
        <f ca="1">25416.7721327627*((RANDBETWEEN(1620,2416)))</f>
        <v>49715206.291683763</v>
      </c>
      <c r="B14920">
        <v>153889381.91277716</v>
      </c>
    </row>
    <row r="14921" spans="1:2" x14ac:dyDescent="0.25">
      <c r="A14921">
        <f ca="1">27213.5301144739*((RANDBETWEEN(1620,2416)))</f>
        <v>65040336.973592512</v>
      </c>
      <c r="B14921">
        <v>202062015.96701089</v>
      </c>
    </row>
    <row r="14922" spans="1:2" x14ac:dyDescent="0.25">
      <c r="A14922">
        <f ca="1">26811.355729179*((RANDBETWEEN(1620,2416)))</f>
        <v>57671226.173463941</v>
      </c>
      <c r="B14922">
        <v>183539102.47891414</v>
      </c>
    </row>
    <row r="14923" spans="1:2" x14ac:dyDescent="0.25">
      <c r="A14923">
        <f ca="1">27478.5661536652*((RANDBETWEEN(1620,2416)))</f>
        <v>54380082.418103404</v>
      </c>
      <c r="B14923">
        <v>149442840.29872188</v>
      </c>
    </row>
    <row r="14924" spans="1:2" x14ac:dyDescent="0.25">
      <c r="A14924">
        <f ca="1">28030.1184803526*((RANDBETWEEN(1620,2416)))</f>
        <v>57349622.410801351</v>
      </c>
      <c r="B14924">
        <v>157087641.32458284</v>
      </c>
    </row>
    <row r="14925" spans="1:2" x14ac:dyDescent="0.25">
      <c r="A14925">
        <f ca="1">26379.7348354945*((RANDBETWEEN(1620,2416)))</f>
        <v>58457492.395455897</v>
      </c>
      <c r="B14925">
        <v>153793711.16504425</v>
      </c>
    </row>
    <row r="14926" spans="1:2" x14ac:dyDescent="0.25">
      <c r="A14926">
        <f ca="1">29603.5206767833*((RANDBETWEEN(1620,2416)))</f>
        <v>66341489.836671442</v>
      </c>
      <c r="B14926">
        <v>153517990.39730021</v>
      </c>
    </row>
    <row r="14927" spans="1:2" x14ac:dyDescent="0.25">
      <c r="A14927">
        <f ca="1">26762.3346046784*((RANDBETWEEN(1620,2416)))</f>
        <v>53738767.886194304</v>
      </c>
      <c r="B14927">
        <v>172292767.31307968</v>
      </c>
    </row>
    <row r="14928" spans="1:2" x14ac:dyDescent="0.25">
      <c r="A14928">
        <f ca="1">30235.1020317706*((RANDBETWEEN(1620,2416)))</f>
        <v>67212631.816625968</v>
      </c>
      <c r="B14928">
        <v>186264697.73580512</v>
      </c>
    </row>
    <row r="14929" spans="1:2" x14ac:dyDescent="0.25">
      <c r="A14929">
        <f ca="1">26407.9618613701*((RANDBETWEEN(1620,2416)))</f>
        <v>59576361.959251009</v>
      </c>
      <c r="B14929">
        <v>155315519.7668789</v>
      </c>
    </row>
    <row r="14930" spans="1:2" x14ac:dyDescent="0.25">
      <c r="A14930">
        <f ca="1">27603.5041646049*((RANDBETWEEN(1620,2416)))</f>
        <v>46208265.971548617</v>
      </c>
      <c r="B14930">
        <v>143147257.61005503</v>
      </c>
    </row>
    <row r="14931" spans="1:2" x14ac:dyDescent="0.25">
      <c r="A14931">
        <f ca="1">26137.8885152147*((RANDBETWEEN(1620,2416)))</f>
        <v>61502451.676300131</v>
      </c>
      <c r="B14931">
        <v>147712669.32454821</v>
      </c>
    </row>
    <row r="14932" spans="1:2" x14ac:dyDescent="0.25">
      <c r="A14932">
        <f ca="1">27294.1016722588*((RANDBETWEEN(1620,2416)))</f>
        <v>55570791.004718862</v>
      </c>
      <c r="B14932">
        <v>143698774.25032836</v>
      </c>
    </row>
    <row r="14933" spans="1:2" x14ac:dyDescent="0.25">
      <c r="A14933">
        <f ca="1">26079.6315157081*((RANDBETWEEN(1620,2416)))</f>
        <v>59696276.539455749</v>
      </c>
      <c r="B14933">
        <v>162044107.03605336</v>
      </c>
    </row>
    <row r="14934" spans="1:2" x14ac:dyDescent="0.25">
      <c r="A14934">
        <f ca="1">29906.2768652327*((RANDBETWEEN(1620,2416)))</f>
        <v>58825646.593912669</v>
      </c>
      <c r="B14934">
        <v>196051503.64699703</v>
      </c>
    </row>
    <row r="14935" spans="1:2" x14ac:dyDescent="0.25">
      <c r="A14935">
        <f ca="1">29727.416034495*((RANDBETWEEN(1620,2416)))</f>
        <v>64300400.882612653</v>
      </c>
      <c r="B14935">
        <v>176556065.2537908</v>
      </c>
    </row>
    <row r="14936" spans="1:2" x14ac:dyDescent="0.25">
      <c r="A14936">
        <f ca="1">31921.1847249475*((RANDBETWEEN(1620,2416)))</f>
        <v>75110547.657801569</v>
      </c>
      <c r="B14936">
        <v>199232018.5017966</v>
      </c>
    </row>
    <row r="14937" spans="1:2" x14ac:dyDescent="0.25">
      <c r="A14937">
        <f ca="1">25951.7530368975*((RANDBETWEEN(1620,2416)))</f>
        <v>60208067.045602247</v>
      </c>
      <c r="B14937">
        <v>166152507.21751368</v>
      </c>
    </row>
    <row r="14938" spans="1:2" x14ac:dyDescent="0.25">
      <c r="A14938">
        <f ca="1">27522.4514552434*((RANDBETWEEN(1620,2416)))</f>
        <v>64209879.245082781</v>
      </c>
      <c r="B14938">
        <v>202347642.41736481</v>
      </c>
    </row>
    <row r="14939" spans="1:2" x14ac:dyDescent="0.25">
      <c r="A14939">
        <f ca="1">27400.6658691699*((RANDBETWEEN(1620,2416)))</f>
        <v>51184443.843609467</v>
      </c>
      <c r="B14939">
        <v>201460943.74634498</v>
      </c>
    </row>
    <row r="14940" spans="1:2" x14ac:dyDescent="0.25">
      <c r="A14940">
        <f ca="1">29139.3735685988*((RANDBETWEEN(1620,2416)))</f>
        <v>58045632.148648821</v>
      </c>
      <c r="B14940">
        <v>143567123.66227069</v>
      </c>
    </row>
    <row r="14941" spans="1:2" x14ac:dyDescent="0.25">
      <c r="A14941">
        <f ca="1">28813.2013922457*((RANDBETWEEN(1620,2416)))</f>
        <v>60795854.93763835</v>
      </c>
      <c r="B14941">
        <v>187585895.05566248</v>
      </c>
    </row>
    <row r="14942" spans="1:2" x14ac:dyDescent="0.25">
      <c r="A14942">
        <f ca="1">27295.3258801511*((RANDBETWEEN(1620,2416)))</f>
        <v>50305285.597118407</v>
      </c>
      <c r="B14942">
        <v>160076865.91662231</v>
      </c>
    </row>
    <row r="14943" spans="1:2" x14ac:dyDescent="0.25">
      <c r="A14943">
        <f ca="1">27947.3398146386*((RANDBETWEEN(1620,2416)))</f>
        <v>53435313.725589022</v>
      </c>
      <c r="B14943">
        <v>145315207.0887081</v>
      </c>
    </row>
    <row r="14944" spans="1:2" x14ac:dyDescent="0.25">
      <c r="A14944">
        <f ca="1">25585.0623487275*((RANDBETWEEN(1620,2416)))</f>
        <v>60150481.581858262</v>
      </c>
      <c r="B14944">
        <v>174889114.68436813</v>
      </c>
    </row>
    <row r="14945" spans="1:2" x14ac:dyDescent="0.25">
      <c r="A14945">
        <f ca="1">28864.3412899029*((RANDBETWEEN(1620,2416)))</f>
        <v>47914806.541238837</v>
      </c>
      <c r="B14945">
        <v>164930724.4207342</v>
      </c>
    </row>
    <row r="14946" spans="1:2" x14ac:dyDescent="0.25">
      <c r="A14946">
        <f ca="1">27231.2031041807*((RANDBETWEEN(1620,2416)))</f>
        <v>59445716.376426525</v>
      </c>
      <c r="B14946">
        <v>172849075.38229999</v>
      </c>
    </row>
    <row r="14947" spans="1:2" x14ac:dyDescent="0.25">
      <c r="A14947">
        <f ca="1">26210.6053715238*((RANDBETWEEN(1620,2416)))</f>
        <v>53600687.984766096</v>
      </c>
      <c r="B14947">
        <v>147117763.05532551</v>
      </c>
    </row>
    <row r="14948" spans="1:2" x14ac:dyDescent="0.25">
      <c r="A14948">
        <f ca="1">27906.6916101653*((RANDBETWEEN(1620,2416)))</f>
        <v>66892339.789566316</v>
      </c>
      <c r="B14948">
        <v>147127592.45719665</v>
      </c>
    </row>
    <row r="14949" spans="1:2" x14ac:dyDescent="0.25">
      <c r="A14949">
        <f ca="1">27674.9314002852*((RANDBETWEEN(1620,2416)))</f>
        <v>45193162.976665728</v>
      </c>
      <c r="B14949">
        <v>155817653.07796624</v>
      </c>
    </row>
    <row r="14950" spans="1:2" x14ac:dyDescent="0.25">
      <c r="A14950">
        <f ca="1">27782.19898558*((RANDBETWEEN(1620,2416)))</f>
        <v>60954144.574362442</v>
      </c>
      <c r="B14950">
        <v>184847756.82475775</v>
      </c>
    </row>
    <row r="14951" spans="1:2" x14ac:dyDescent="0.25">
      <c r="A14951">
        <f ca="1">25810.0653992635*((RANDBETWEEN(1620,2416)))</f>
        <v>49839236.285977826</v>
      </c>
      <c r="B14951">
        <v>157774142.19182506</v>
      </c>
    </row>
    <row r="14952" spans="1:2" x14ac:dyDescent="0.25">
      <c r="A14952">
        <f ca="1">25866.5415859432*((RANDBETWEEN(1620,2416)))</f>
        <v>49844825.636112504</v>
      </c>
      <c r="B14952">
        <v>154822253.05051929</v>
      </c>
    </row>
    <row r="14953" spans="1:2" x14ac:dyDescent="0.25">
      <c r="A14953">
        <f ca="1">26375.7309216082*((RANDBETWEEN(1620,2416)))</f>
        <v>55626416.513671637</v>
      </c>
      <c r="B14953">
        <v>143322624.7296575</v>
      </c>
    </row>
    <row r="14954" spans="1:2" x14ac:dyDescent="0.25">
      <c r="A14954">
        <f ca="1">28755.9610713411*((RANDBETWEEN(1620,2416)))</f>
        <v>69273110.220860764</v>
      </c>
      <c r="B14954">
        <v>190106130.41931546</v>
      </c>
    </row>
    <row r="14955" spans="1:2" x14ac:dyDescent="0.25">
      <c r="A14955">
        <f ca="1">27504.6568320924*((RANDBETWEEN(1620,2416)))</f>
        <v>44585048.724821799</v>
      </c>
      <c r="B14955">
        <v>150668946.0518845</v>
      </c>
    </row>
    <row r="14956" spans="1:2" x14ac:dyDescent="0.25">
      <c r="A14956">
        <f ca="1">26796.8155824633*((RANDBETWEEN(1620,2416)))</f>
        <v>49359734.302897401</v>
      </c>
      <c r="B14956">
        <v>150090064.36311722</v>
      </c>
    </row>
    <row r="14957" spans="1:2" x14ac:dyDescent="0.25">
      <c r="A14957">
        <f ca="1">29650.5723493254*((RANDBETWEEN(1620,2416)))</f>
        <v>70212555.323202476</v>
      </c>
      <c r="B14957">
        <v>154913004.10919943</v>
      </c>
    </row>
    <row r="14958" spans="1:2" x14ac:dyDescent="0.25">
      <c r="A14958">
        <f ca="1">27738.3642825108*((RANDBETWEEN(1620,2416)))</f>
        <v>47654509.83735349</v>
      </c>
      <c r="B14958">
        <v>155280117.78763083</v>
      </c>
    </row>
    <row r="14959" spans="1:2" x14ac:dyDescent="0.25">
      <c r="A14959">
        <f ca="1">27293.1904173015*((RANDBETWEEN(1620,2416)))</f>
        <v>53712998.741249375</v>
      </c>
      <c r="B14959">
        <v>149250092.49637502</v>
      </c>
    </row>
    <row r="14960" spans="1:2" x14ac:dyDescent="0.25">
      <c r="A14960">
        <f ca="1">30430.1124006805*((RANDBETWEEN(1620,2416)))</f>
        <v>65881193.347473189</v>
      </c>
      <c r="B14960">
        <v>200530824.90815711</v>
      </c>
    </row>
    <row r="14961" spans="1:2" x14ac:dyDescent="0.25">
      <c r="A14961">
        <f ca="1">26766.5326231375*((RANDBETWEEN(1620,2416)))</f>
        <v>64266444.828153327</v>
      </c>
      <c r="B14961">
        <v>146819043.05337453</v>
      </c>
    </row>
    <row r="14962" spans="1:2" x14ac:dyDescent="0.25">
      <c r="A14962">
        <f ca="1">27073.1095211603*((RANDBETWEEN(1620,2416)))</f>
        <v>65192047.726954021</v>
      </c>
      <c r="B14962">
        <v>193252974.57780993</v>
      </c>
    </row>
    <row r="14963" spans="1:2" x14ac:dyDescent="0.25">
      <c r="A14963">
        <f ca="1">27301.4880753288*((RANDBETWEEN(1620,2416)))</f>
        <v>52227746.688103989</v>
      </c>
      <c r="B14963">
        <v>184383467.71528184</v>
      </c>
    </row>
    <row r="14964" spans="1:2" x14ac:dyDescent="0.25">
      <c r="A14964">
        <f ca="1">30389.5605894413*((RANDBETWEEN(1620,2416)))</f>
        <v>72235985.521101996</v>
      </c>
      <c r="B14964">
        <v>181142478.19790873</v>
      </c>
    </row>
    <row r="14965" spans="1:2" x14ac:dyDescent="0.25">
      <c r="A14965">
        <f ca="1">29089.8725880581*((RANDBETWEEN(1620,2416)))</f>
        <v>56957970.527417682</v>
      </c>
      <c r="B14965">
        <v>145351797.2150034</v>
      </c>
    </row>
    <row r="14966" spans="1:2" x14ac:dyDescent="0.25">
      <c r="A14966">
        <f ca="1">29710.4648116297*((RANDBETWEEN(1620,2416)))</f>
        <v>67383334.192776069</v>
      </c>
      <c r="B14966">
        <v>146245255.35536954</v>
      </c>
    </row>
    <row r="14967" spans="1:2" x14ac:dyDescent="0.25">
      <c r="A14967">
        <f ca="1">28426.9930724008*((RANDBETWEEN(1620,2416)))</f>
        <v>49519821.932122245</v>
      </c>
      <c r="B14967">
        <v>157172964.20591331</v>
      </c>
    </row>
    <row r="14968" spans="1:2" x14ac:dyDescent="0.25">
      <c r="A14968">
        <f ca="1">30649.6618766585*((RANDBETWEEN(1620,2416)))</f>
        <v>59582942.688224189</v>
      </c>
      <c r="B14968">
        <v>191414848.25446862</v>
      </c>
    </row>
    <row r="14969" spans="1:2" x14ac:dyDescent="0.25">
      <c r="A14969">
        <f ca="1">27796.4721698517*((RANDBETWEEN(1620,2416)))</f>
        <v>52146181.790641703</v>
      </c>
      <c r="B14969">
        <v>159696551.4224897</v>
      </c>
    </row>
    <row r="14970" spans="1:2" x14ac:dyDescent="0.25">
      <c r="A14970">
        <f ca="1">27196.2271954681*((RANDBETWEEN(1620,2416)))</f>
        <v>54990771.38923654</v>
      </c>
      <c r="B14970">
        <v>148643291.09411085</v>
      </c>
    </row>
    <row r="14971" spans="1:2" x14ac:dyDescent="0.25">
      <c r="A14971">
        <f ca="1">26551.9824522621*((RANDBETWEEN(1620,2416)))</f>
        <v>46465969.291458607</v>
      </c>
      <c r="B14971">
        <v>168744509.67289096</v>
      </c>
    </row>
    <row r="14972" spans="1:2" x14ac:dyDescent="0.25">
      <c r="A14972">
        <f ca="1">25965.6881699773*((RANDBETWEEN(1620,2416)))</f>
        <v>60629881.876897104</v>
      </c>
      <c r="B14972">
        <v>144009616.19650039</v>
      </c>
    </row>
    <row r="14973" spans="1:2" x14ac:dyDescent="0.25">
      <c r="A14973">
        <f ca="1">28122.0476089668*((RANDBETWEEN(1620,2416)))</f>
        <v>59674985.026227541</v>
      </c>
      <c r="B14973">
        <v>154977644.51126155</v>
      </c>
    </row>
    <row r="14974" spans="1:2" x14ac:dyDescent="0.25">
      <c r="A14974">
        <f ca="1">29713.3961286958*((RANDBETWEEN(1620,2416)))</f>
        <v>65518038.463774234</v>
      </c>
      <c r="B14974">
        <v>170925119.25203073</v>
      </c>
    </row>
    <row r="14975" spans="1:2" x14ac:dyDescent="0.25">
      <c r="A14975">
        <f ca="1">28797.5162711758*((RANDBETWEEN(1620,2416)))</f>
        <v>68336506.111500248</v>
      </c>
      <c r="B14975">
        <v>174548469.52240464</v>
      </c>
    </row>
    <row r="14976" spans="1:2" x14ac:dyDescent="0.25">
      <c r="A14976">
        <f ca="1">26323.7763365141*((RANDBETWEEN(1620,2416)))</f>
        <v>53279323.305104449</v>
      </c>
      <c r="B14976">
        <v>160036076.44872412</v>
      </c>
    </row>
    <row r="14977" spans="1:2" x14ac:dyDescent="0.25">
      <c r="A14977">
        <f ca="1">34748.2313248724*((RANDBETWEEN(1620,2416)))</f>
        <v>71789845.917186469</v>
      </c>
      <c r="B14977">
        <v>181340451.54044634</v>
      </c>
    </row>
    <row r="14978" spans="1:2" x14ac:dyDescent="0.25">
      <c r="A14978">
        <f ca="1">26995.8971284455*((RANDBETWEEN(1620,2416)))</f>
        <v>51157225.058404148</v>
      </c>
      <c r="B14978">
        <v>154465237.47786045</v>
      </c>
    </row>
    <row r="14979" spans="1:2" x14ac:dyDescent="0.25">
      <c r="A14979">
        <f ca="1">27044.5045835077*((RANDBETWEEN(1620,2416)))</f>
        <v>64095475.862913221</v>
      </c>
      <c r="B14979">
        <v>163034722.42709327</v>
      </c>
    </row>
    <row r="14980" spans="1:2" x14ac:dyDescent="0.25">
      <c r="A14980">
        <f ca="1">27676.3394061487*((RANDBETWEEN(1620,2416)))</f>
        <v>52585044.871682592</v>
      </c>
      <c r="B14980">
        <v>165967318.19918913</v>
      </c>
    </row>
    <row r="14981" spans="1:2" x14ac:dyDescent="0.25">
      <c r="A14981">
        <f ca="1">30016.8091056664*((RANDBETWEEN(1620,2416)))</f>
        <v>50038020.779145822</v>
      </c>
      <c r="B14981">
        <v>149960159.95002905</v>
      </c>
    </row>
    <row r="14982" spans="1:2" x14ac:dyDescent="0.25">
      <c r="A14982">
        <f ca="1">25932.2949760052*((RANDBETWEEN(1620,2416)))</f>
        <v>62470898.597196549</v>
      </c>
      <c r="B14982">
        <v>163792858.7717669</v>
      </c>
    </row>
    <row r="14983" spans="1:2" x14ac:dyDescent="0.25">
      <c r="A14983">
        <f ca="1">26744.8745882452*((RANDBETWEEN(1620,2416)))</f>
        <v>43380186.582133733</v>
      </c>
      <c r="B14983">
        <v>181235483.47288635</v>
      </c>
    </row>
    <row r="14984" spans="1:2" x14ac:dyDescent="0.25">
      <c r="A14984">
        <f ca="1">27228.0876942893*((RANDBETWEEN(1620,2416)))</f>
        <v>52577437.337672651</v>
      </c>
      <c r="B14984">
        <v>152089600.63951316</v>
      </c>
    </row>
    <row r="14985" spans="1:2" x14ac:dyDescent="0.25">
      <c r="A14985">
        <f ca="1">26244.5227660294*((RANDBETWEEN(1620,2416)))</f>
        <v>61622139.454637051</v>
      </c>
      <c r="B14985">
        <v>154589043.48931056</v>
      </c>
    </row>
    <row r="14986" spans="1:2" x14ac:dyDescent="0.25">
      <c r="A14986">
        <f ca="1">27546.7798817132*((RANDBETWEEN(1620,2416)))</f>
        <v>51264557.359868295</v>
      </c>
      <c r="B14986">
        <v>149454071.28154987</v>
      </c>
    </row>
    <row r="14987" spans="1:2" x14ac:dyDescent="0.25">
      <c r="A14987">
        <f ca="1">27029.1471039321*((RANDBETWEEN(1620,2416)))</f>
        <v>50733709.114080563</v>
      </c>
      <c r="B14987">
        <v>146559559.1042946</v>
      </c>
    </row>
    <row r="14988" spans="1:2" x14ac:dyDescent="0.25">
      <c r="A14988">
        <f ca="1">26211.9657797045*((RANDBETWEEN(1620,2416)))</f>
        <v>54075285.403530374</v>
      </c>
      <c r="B14988">
        <v>145595554.12093371</v>
      </c>
    </row>
    <row r="14989" spans="1:2" x14ac:dyDescent="0.25">
      <c r="A14989">
        <f ca="1">27339.9274981817*((RANDBETWEEN(1620,2416)))</f>
        <v>61268777.523425221</v>
      </c>
      <c r="B14989">
        <v>191785589.43457216</v>
      </c>
    </row>
    <row r="14990" spans="1:2" x14ac:dyDescent="0.25">
      <c r="A14990">
        <f ca="1">33233.6059406433*((RANDBETWEEN(1620,2416)))</f>
        <v>55201019.467408478</v>
      </c>
      <c r="B14990">
        <v>144801532.81997859</v>
      </c>
    </row>
    <row r="14991" spans="1:2" x14ac:dyDescent="0.25">
      <c r="A14991">
        <f ca="1">27479.1642937828*((RANDBETWEEN(1620,2416)))</f>
        <v>61306015.539429404</v>
      </c>
      <c r="B14991">
        <v>170181124.20838439</v>
      </c>
    </row>
    <row r="14992" spans="1:2" x14ac:dyDescent="0.25">
      <c r="A14992">
        <f ca="1">25985.7782451213*((RANDBETWEEN(1620,2416)))</f>
        <v>61274465.10199596</v>
      </c>
      <c r="B14992">
        <v>199157877.55442575</v>
      </c>
    </row>
    <row r="14993" spans="1:2" x14ac:dyDescent="0.25">
      <c r="A14993">
        <f ca="1">30062.989414713*((RANDBETWEEN(1620,2416)))</f>
        <v>52790609.412235975</v>
      </c>
      <c r="B14993">
        <v>185739449.36220801</v>
      </c>
    </row>
    <row r="14994" spans="1:2" x14ac:dyDescent="0.25">
      <c r="A14994">
        <f ca="1">26686.5873373934*((RANDBETWEEN(1620,2416)))</f>
        <v>46808274.189788036</v>
      </c>
      <c r="B14994">
        <v>160598891.79785702</v>
      </c>
    </row>
    <row r="14995" spans="1:2" x14ac:dyDescent="0.25">
      <c r="A14995">
        <f ca="1">26897.7551887743*((RANDBETWEEN(1620,2416)))</f>
        <v>48039390.767150931</v>
      </c>
      <c r="B14995">
        <v>198865644.30598253</v>
      </c>
    </row>
    <row r="14996" spans="1:2" x14ac:dyDescent="0.25">
      <c r="A14996">
        <f ca="1">26637.9771896356*((RANDBETWEEN(1620,2416)))</f>
        <v>57271650.957716569</v>
      </c>
      <c r="B14996">
        <v>185296294.7476356</v>
      </c>
    </row>
    <row r="14997" spans="1:2" x14ac:dyDescent="0.25">
      <c r="A14997">
        <f ca="1">33229.3715299521*((RANDBETWEEN(1620,2416)))</f>
        <v>57553271.489877038</v>
      </c>
      <c r="B14997">
        <v>168060866.5670836</v>
      </c>
    </row>
    <row r="14998" spans="1:2" x14ac:dyDescent="0.25">
      <c r="A14998">
        <f ca="1">28529.5107213223*((RANDBETWEEN(1620,2416)))</f>
        <v>65931699.276975781</v>
      </c>
      <c r="B14998">
        <v>196060286.06094491</v>
      </c>
    </row>
    <row r="14999" spans="1:2" x14ac:dyDescent="0.25">
      <c r="A14999">
        <f ca="1">30823.7191265763*((RANDBETWEEN(1620,2416)))</f>
        <v>54557982.854040094</v>
      </c>
      <c r="B14999">
        <v>168722229.29449657</v>
      </c>
    </row>
    <row r="15000" spans="1:2" x14ac:dyDescent="0.25">
      <c r="A15000">
        <f ca="1">26579.5691742456*((RANDBETWEEN(1620,2416)))</f>
        <v>60388781.163885966</v>
      </c>
      <c r="B15000">
        <v>145128911.73052776</v>
      </c>
    </row>
    <row r="15001" spans="1:2" x14ac:dyDescent="0.25">
      <c r="A15001">
        <f ca="1">25991.643214082*((RANDBETWEEN(1620,2416)))</f>
        <v>46395083.137136385</v>
      </c>
      <c r="B15001">
        <v>156021591.00907987</v>
      </c>
    </row>
    <row r="15002" spans="1:2" x14ac:dyDescent="0.25">
      <c r="A15002">
        <f ca="1">33597.4373493369*((RANDBETWEEN(1620,2416)))</f>
        <v>56376499.872187354</v>
      </c>
      <c r="B15002">
        <v>198467586.82357964</v>
      </c>
    </row>
    <row r="15003" spans="1:2" x14ac:dyDescent="0.25">
      <c r="A15003">
        <f ca="1">27361.3984823984*((RANDBETWEEN(1620,2416)))</f>
        <v>50262889.012165844</v>
      </c>
      <c r="B15003">
        <v>163478283.61623919</v>
      </c>
    </row>
    <row r="15004" spans="1:2" x14ac:dyDescent="0.25">
      <c r="A15004">
        <f ca="1">32050.0068039906*((RANDBETWEEN(1620,2416)))</f>
        <v>68875464.621775866</v>
      </c>
      <c r="B15004">
        <v>148400476.41832143</v>
      </c>
    </row>
    <row r="15005" spans="1:2" x14ac:dyDescent="0.25">
      <c r="A15005">
        <f ca="1">31055.6977014421*((RANDBETWEEN(1620,2416)))</f>
        <v>67204529.825920671</v>
      </c>
      <c r="B15005">
        <v>168252733.89559138</v>
      </c>
    </row>
    <row r="15006" spans="1:2" x14ac:dyDescent="0.25">
      <c r="A15006">
        <f ca="1">27164.042526535*((RANDBETWEEN(1620,2416)))</f>
        <v>61445064.195022225</v>
      </c>
      <c r="B15006">
        <v>152044041.34232166</v>
      </c>
    </row>
    <row r="15007" spans="1:2" x14ac:dyDescent="0.25">
      <c r="A15007">
        <f ca="1">29326.8281801734*((RANDBETWEEN(1620,2416)))</f>
        <v>58682983.188526966</v>
      </c>
      <c r="B15007">
        <v>143152191.855342</v>
      </c>
    </row>
    <row r="15008" spans="1:2" x14ac:dyDescent="0.25">
      <c r="A15008">
        <f ca="1">28307.1819754957*((RANDBETWEEN(1620,2416)))</f>
        <v>60265990.425830267</v>
      </c>
      <c r="B15008">
        <v>154333296.56681323</v>
      </c>
    </row>
    <row r="15009" spans="1:2" x14ac:dyDescent="0.25">
      <c r="A15009">
        <f ca="1">26363.3844979431*((RANDBETWEEN(1620,2416)))</f>
        <v>59554885.580853514</v>
      </c>
      <c r="B15009">
        <v>150577949.97542384</v>
      </c>
    </row>
    <row r="15010" spans="1:2" x14ac:dyDescent="0.25">
      <c r="A15010">
        <f ca="1">26301.1860608049*((RANDBETWEEN(1620,2416)))</f>
        <v>42818330.906990431</v>
      </c>
      <c r="B15010">
        <v>164234530.01607284</v>
      </c>
    </row>
    <row r="15011" spans="1:2" x14ac:dyDescent="0.25">
      <c r="A15011">
        <f ca="1">26793.1000087657*((RANDBETWEEN(1620,2416)))</f>
        <v>50290648.716453157</v>
      </c>
      <c r="B15011">
        <v>173199739.21858558</v>
      </c>
    </row>
    <row r="15012" spans="1:2" x14ac:dyDescent="0.25">
      <c r="A15012">
        <f ca="1">30751.0750863238*((RANDBETWEEN(1620,2416)))</f>
        <v>70881228.073976398</v>
      </c>
      <c r="B15012">
        <v>151091792.66401142</v>
      </c>
    </row>
    <row r="15013" spans="1:2" x14ac:dyDescent="0.25">
      <c r="A15013">
        <f ca="1">27079.5503997889*((RANDBETWEEN(1620,2416)))</f>
        <v>46847622.191634767</v>
      </c>
      <c r="B15013">
        <v>162501251.71871066</v>
      </c>
    </row>
    <row r="15014" spans="1:2" x14ac:dyDescent="0.25">
      <c r="A15014">
        <f ca="1">29219.7984299633*((RANDBETWEEN(1620,2416)))</f>
        <v>52361878.786494218</v>
      </c>
      <c r="B15014">
        <v>174865027.94720709</v>
      </c>
    </row>
    <row r="15015" spans="1:2" x14ac:dyDescent="0.25">
      <c r="A15015">
        <f ca="1">30021.1864215071*((RANDBETWEEN(1620,2416)))</f>
        <v>62023771.146833569</v>
      </c>
      <c r="B15015">
        <v>166742306.87355271</v>
      </c>
    </row>
    <row r="15016" spans="1:2" x14ac:dyDescent="0.25">
      <c r="A15016">
        <f ca="1">25493.4055922817*((RANDBETWEEN(1620,2416)))</f>
        <v>55422663.757620364</v>
      </c>
      <c r="B15016">
        <v>154956071.75739318</v>
      </c>
    </row>
    <row r="15017" spans="1:2" x14ac:dyDescent="0.25">
      <c r="A15017">
        <f ca="1">28740.8274296191*((RANDBETWEEN(1620,2416)))</f>
        <v>63086116.20801387</v>
      </c>
      <c r="B15017">
        <v>166100232.82610971</v>
      </c>
    </row>
    <row r="15018" spans="1:2" x14ac:dyDescent="0.25">
      <c r="A15018">
        <f ca="1">26710.5026463598*((RANDBETWEEN(1620,2416)))</f>
        <v>60659551.50988315</v>
      </c>
      <c r="B15018">
        <v>146837546.87581924</v>
      </c>
    </row>
    <row r="15019" spans="1:2" x14ac:dyDescent="0.25">
      <c r="A15019">
        <f ca="1">26662.1835007867*((RANDBETWEEN(1620,2416)))</f>
        <v>48845120.173441239</v>
      </c>
      <c r="B15019">
        <v>155481040.01092279</v>
      </c>
    </row>
    <row r="15020" spans="1:2" x14ac:dyDescent="0.25">
      <c r="A15020">
        <f ca="1">25482.7023183996*((RANDBETWEEN(1620,2416)))</f>
        <v>41587770.183628172</v>
      </c>
      <c r="B15020">
        <v>154176317.73015264</v>
      </c>
    </row>
    <row r="15021" spans="1:2" x14ac:dyDescent="0.25">
      <c r="A15021">
        <f ca="1">27686.125497108*((RANDBETWEEN(1620,2416)))</f>
        <v>63484285.764868662</v>
      </c>
      <c r="B15021">
        <v>166613750.80206764</v>
      </c>
    </row>
    <row r="15022" spans="1:2" x14ac:dyDescent="0.25">
      <c r="A15022">
        <f ca="1">31538.1676166058*((RANDBETWEEN(1620,2416)))</f>
        <v>64558629.111192152</v>
      </c>
      <c r="B15022">
        <v>158051155.96831435</v>
      </c>
    </row>
    <row r="15023" spans="1:2" x14ac:dyDescent="0.25">
      <c r="A15023">
        <f ca="1">25777.9261386218*((RANDBETWEEN(1620,2416)))</f>
        <v>59289230.118830144</v>
      </c>
      <c r="B15023">
        <v>151380822.55637649</v>
      </c>
    </row>
    <row r="15024" spans="1:2" x14ac:dyDescent="0.25">
      <c r="A15024">
        <f ca="1">29393.1728982938*((RANDBETWEEN(1620,2416)))</f>
        <v>58521807.240502931</v>
      </c>
      <c r="B15024">
        <v>194340587.78010964</v>
      </c>
    </row>
    <row r="15025" spans="1:2" x14ac:dyDescent="0.25">
      <c r="A15025">
        <f ca="1">27639.774728348*((RANDBETWEEN(1620,2416)))</f>
        <v>63875519.397212148</v>
      </c>
      <c r="B15025">
        <v>151748206.71170893</v>
      </c>
    </row>
    <row r="15026" spans="1:2" x14ac:dyDescent="0.25">
      <c r="A15026">
        <f ca="1">32105.9760197416*((RANDBETWEEN(1620,2416)))</f>
        <v>69027848.442444533</v>
      </c>
      <c r="B15026">
        <v>166531688.87093174</v>
      </c>
    </row>
    <row r="15027" spans="1:2" x14ac:dyDescent="0.25">
      <c r="A15027">
        <f ca="1">27079.6407594336*((RANDBETWEEN(1620,2416)))</f>
        <v>58356625.836579487</v>
      </c>
      <c r="B15027">
        <v>176582828.76745263</v>
      </c>
    </row>
    <row r="15028" spans="1:2" x14ac:dyDescent="0.25">
      <c r="A15028">
        <f ca="1">32053.4699411568*((RANDBETWEEN(1620,2416)))</f>
        <v>71030489.389603466</v>
      </c>
      <c r="B15028">
        <v>143818931.31559515</v>
      </c>
    </row>
    <row r="15029" spans="1:2" x14ac:dyDescent="0.25">
      <c r="A15029">
        <f ca="1">25846.3436767773*((RANDBETWEEN(1620,2416)))</f>
        <v>45515411.214804798</v>
      </c>
      <c r="B15029">
        <v>154796574.52977532</v>
      </c>
    </row>
    <row r="15030" spans="1:2" x14ac:dyDescent="0.25">
      <c r="A15030">
        <f ca="1">25439.1807383246*((RANDBETWEEN(1620,2416)))</f>
        <v>43602755.785488427</v>
      </c>
      <c r="B15030">
        <v>151260010.16733906</v>
      </c>
    </row>
    <row r="15031" spans="1:2" x14ac:dyDescent="0.25">
      <c r="A15031">
        <f ca="1">25578.8556178822*((RANDBETWEEN(1620,2416)))</f>
        <v>57015269.172259383</v>
      </c>
      <c r="B15031">
        <v>178452130.14305526</v>
      </c>
    </row>
    <row r="15032" spans="1:2" x14ac:dyDescent="0.25">
      <c r="A15032">
        <f ca="1">26285.2688508107*((RANDBETWEEN(1620,2416)))</f>
        <v>42844988.226821475</v>
      </c>
      <c r="B15032">
        <v>157329508.09633976</v>
      </c>
    </row>
    <row r="15033" spans="1:2" x14ac:dyDescent="0.25">
      <c r="A15033">
        <f ca="1">29854.2971847231*((RANDBETWEEN(1620,2416)))</f>
        <v>60007137.341293402</v>
      </c>
      <c r="B15033">
        <v>162453883.07410413</v>
      </c>
    </row>
    <row r="15034" spans="1:2" x14ac:dyDescent="0.25">
      <c r="A15034">
        <f ca="1">29344.2998425347*((RANDBETWEEN(1620,2416)))</f>
        <v>69839433.625232592</v>
      </c>
      <c r="B15034">
        <v>165162988.56723058</v>
      </c>
    </row>
    <row r="15035" spans="1:2" x14ac:dyDescent="0.25">
      <c r="A15035">
        <f ca="1">26127.7134068868*((RANDBETWEEN(1620,2416)))</f>
        <v>47343416.693278931</v>
      </c>
      <c r="B15035">
        <v>143994201.84406903</v>
      </c>
    </row>
    <row r="15036" spans="1:2" x14ac:dyDescent="0.25">
      <c r="A15036">
        <f ca="1">26702.2615122947*((RANDBETWEEN(1620,2416)))</f>
        <v>62509994.200281993</v>
      </c>
      <c r="B15036">
        <v>186380165.93183354</v>
      </c>
    </row>
    <row r="15037" spans="1:2" x14ac:dyDescent="0.25">
      <c r="A15037">
        <f ca="1">26580.5934075941*((RANDBETWEEN(1620,2416)))</f>
        <v>62836522.815552562</v>
      </c>
      <c r="B15037">
        <v>160256811.65521297</v>
      </c>
    </row>
    <row r="15038" spans="1:2" x14ac:dyDescent="0.25">
      <c r="A15038">
        <f ca="1">26153.5619039884*((RANDBETWEEN(1620,2416)))</f>
        <v>42394923.846365258</v>
      </c>
      <c r="B15038">
        <v>156426138.71996185</v>
      </c>
    </row>
    <row r="15039" spans="1:2" x14ac:dyDescent="0.25">
      <c r="A15039">
        <f ca="1">27097.4116393045*((RANDBETWEEN(1620,2416)))</f>
        <v>46336573.903210729</v>
      </c>
      <c r="B15039">
        <v>168602140.81181306</v>
      </c>
    </row>
    <row r="15040" spans="1:2" x14ac:dyDescent="0.25">
      <c r="A15040">
        <f ca="1">26718.8685580215*((RANDBETWEEN(1620,2416)))</f>
        <v>60651831.626708865</v>
      </c>
      <c r="B15040">
        <v>187072322.845864</v>
      </c>
    </row>
    <row r="15041" spans="1:2" x14ac:dyDescent="0.25">
      <c r="A15041">
        <f ca="1">30568.8947721074*((RANDBETWEEN(1620,2416)))</f>
        <v>50805503.111242466</v>
      </c>
      <c r="B15041">
        <v>189093679.66031003</v>
      </c>
    </row>
    <row r="15042" spans="1:2" x14ac:dyDescent="0.25">
      <c r="A15042">
        <f ca="1">26434.19935677*((RANDBETWEEN(1620,2416)))</f>
        <v>50489320.771430664</v>
      </c>
      <c r="B15042">
        <v>159382702.94040623</v>
      </c>
    </row>
    <row r="15043" spans="1:2" x14ac:dyDescent="0.25">
      <c r="A15043">
        <f ca="1">26747.6877860341*((RANDBETWEEN(1620,2416)))</f>
        <v>53147655.630849697</v>
      </c>
      <c r="B15043">
        <v>156980614.30703074</v>
      </c>
    </row>
    <row r="15044" spans="1:2" x14ac:dyDescent="0.25">
      <c r="A15044">
        <f ca="1">28770.0633619542*((RANDBETWEEN(1620,2416)))</f>
        <v>68300130.421279296</v>
      </c>
      <c r="B15044">
        <v>174600831.4849661</v>
      </c>
    </row>
    <row r="15045" spans="1:2" x14ac:dyDescent="0.25">
      <c r="A15045">
        <f ca="1">29360.7646216915*((RANDBETWEEN(1620,2416)))</f>
        <v>69467569.094922155</v>
      </c>
      <c r="B15045">
        <v>188156928.32200453</v>
      </c>
    </row>
    <row r="15046" spans="1:2" x14ac:dyDescent="0.25">
      <c r="A15046">
        <f ca="1">27487.5423190184*((RANDBETWEEN(1620,2416)))</f>
        <v>57393988.362110466</v>
      </c>
      <c r="B15046">
        <v>163782864.92983416</v>
      </c>
    </row>
    <row r="15047" spans="1:2" x14ac:dyDescent="0.25">
      <c r="A15047">
        <f ca="1">27617.0053967067*((RANDBETWEEN(1620,2416)))</f>
        <v>60812645.883548178</v>
      </c>
      <c r="B15047">
        <v>184959518.40503946</v>
      </c>
    </row>
    <row r="15048" spans="1:2" x14ac:dyDescent="0.25">
      <c r="A15048">
        <f ca="1">26497.6967985818*((RANDBETWEEN(1620,2416)))</f>
        <v>63567974.619797714</v>
      </c>
      <c r="B15048">
        <v>145647042.72714329</v>
      </c>
    </row>
    <row r="15049" spans="1:2" x14ac:dyDescent="0.25">
      <c r="A15049">
        <f ca="1">26900.9687225966*((RANDBETWEEN(1620,2416)))</f>
        <v>57379766.285298631</v>
      </c>
      <c r="B15049">
        <v>190238198.06011331</v>
      </c>
    </row>
    <row r="15050" spans="1:2" x14ac:dyDescent="0.25">
      <c r="A15050">
        <f ca="1">27678.7052681972*((RANDBETWEEN(1620,2416)))</f>
        <v>54388655.852007583</v>
      </c>
      <c r="B15050">
        <v>191455676.086537</v>
      </c>
    </row>
    <row r="15051" spans="1:2" x14ac:dyDescent="0.25">
      <c r="A15051">
        <f ca="1">26601.084527436*((RANDBETWEEN(1620,2416)))</f>
        <v>46073078.401519224</v>
      </c>
      <c r="B15051">
        <v>146597666.47662199</v>
      </c>
    </row>
    <row r="15052" spans="1:2" x14ac:dyDescent="0.25">
      <c r="A15052">
        <f ca="1">28015.8883518156*((RANDBETWEEN(1620,2416)))</f>
        <v>63960273.107195109</v>
      </c>
      <c r="B15052">
        <v>183240037.03604314</v>
      </c>
    </row>
    <row r="15053" spans="1:2" x14ac:dyDescent="0.25">
      <c r="A15053">
        <f ca="1">27906.3443119677*((RANDBETWEEN(1620,2416)))</f>
        <v>48110537.593832314</v>
      </c>
      <c r="B15053">
        <v>162965087.60910404</v>
      </c>
    </row>
    <row r="15054" spans="1:2" x14ac:dyDescent="0.25">
      <c r="A15054">
        <f ca="1">25931.2320772793*((RANDBETWEEN(1620,2416)))</f>
        <v>53366475.615040727</v>
      </c>
      <c r="B15054">
        <v>143490685.66569856</v>
      </c>
    </row>
    <row r="15055" spans="1:2" x14ac:dyDescent="0.25">
      <c r="A15055">
        <f ca="1">25563.0880194068*((RANDBETWEEN(1620,2416)))</f>
        <v>60840149.486188091</v>
      </c>
      <c r="B15055">
        <v>148836487.54072753</v>
      </c>
    </row>
    <row r="15056" spans="1:2" x14ac:dyDescent="0.25">
      <c r="A15056">
        <f ca="1">27182.1903322065*((RANDBETWEEN(1620,2416)))</f>
        <v>49063853.549632706</v>
      </c>
      <c r="B15056">
        <v>148317223.15094128</v>
      </c>
    </row>
    <row r="15057" spans="1:2" x14ac:dyDescent="0.25">
      <c r="A15057">
        <f ca="1">27256.4651145325*((RANDBETWEEN(1620,2416)))</f>
        <v>54758238.415095858</v>
      </c>
      <c r="B15057">
        <v>143811923.83122945</v>
      </c>
    </row>
    <row r="15058" spans="1:2" x14ac:dyDescent="0.25">
      <c r="A15058">
        <f ca="1">26865.1867482486*((RANDBETWEEN(1620,2416)))</f>
        <v>44220097.387617201</v>
      </c>
      <c r="B15058">
        <v>145061727.28349322</v>
      </c>
    </row>
    <row r="15059" spans="1:2" x14ac:dyDescent="0.25">
      <c r="A15059">
        <f ca="1">32093.622036513*((RANDBETWEEN(1620,2416)))</f>
        <v>64989584.623938791</v>
      </c>
      <c r="B15059">
        <v>175474138.91192269</v>
      </c>
    </row>
    <row r="15060" spans="1:2" x14ac:dyDescent="0.25">
      <c r="A15060">
        <f ca="1">31770.7177792057*((RANDBETWEEN(1620,2416)))</f>
        <v>75550766.878951266</v>
      </c>
      <c r="B15060">
        <v>153724783.1189974</v>
      </c>
    </row>
    <row r="15061" spans="1:2" x14ac:dyDescent="0.25">
      <c r="A15061">
        <f ca="1">28171.151815471*((RANDBETWEEN(1620,2416)))</f>
        <v>51017955.937817991</v>
      </c>
      <c r="B15061">
        <v>153242269.7051577</v>
      </c>
    </row>
    <row r="15062" spans="1:2" x14ac:dyDescent="0.25">
      <c r="A15062">
        <f ca="1">28107.1874759739*((RANDBETWEEN(1620,2416)))</f>
        <v>67710214.629621208</v>
      </c>
      <c r="B15062">
        <v>152426091.9724516</v>
      </c>
    </row>
    <row r="15063" spans="1:2" x14ac:dyDescent="0.25">
      <c r="A15063">
        <f ca="1">28240.7983133396*((RANDBETWEEN(1620,2416)))</f>
        <v>60322345.197293304</v>
      </c>
      <c r="B15063">
        <v>182886109.61607239</v>
      </c>
    </row>
    <row r="15064" spans="1:2" x14ac:dyDescent="0.25">
      <c r="A15064">
        <f ca="1">27996.8927465096*((RANDBETWEEN(1620,2416)))</f>
        <v>57337636.344851688</v>
      </c>
      <c r="B15064">
        <v>143353126.12893945</v>
      </c>
    </row>
    <row r="15065" spans="1:2" x14ac:dyDescent="0.25">
      <c r="A15065">
        <f ca="1">29636.927709308*((RANDBETWEEN(1620,2416)))</f>
        <v>70565524.875862345</v>
      </c>
      <c r="B15065">
        <v>153903385.2630285</v>
      </c>
    </row>
    <row r="15066" spans="1:2" x14ac:dyDescent="0.25">
      <c r="A15066">
        <f ca="1">29405.608666639*((RANDBETWEEN(1620,2416)))</f>
        <v>70220593.495933875</v>
      </c>
      <c r="B15066">
        <v>164418049.37291256</v>
      </c>
    </row>
    <row r="15067" spans="1:2" x14ac:dyDescent="0.25">
      <c r="A15067">
        <f ca="1">30749.262573649*((RANDBETWEEN(1620,2416)))</f>
        <v>69493333.416446805</v>
      </c>
      <c r="B15067">
        <v>172969935.62756729</v>
      </c>
    </row>
    <row r="15068" spans="1:2" x14ac:dyDescent="0.25">
      <c r="A15068">
        <f ca="1">26743.5969759917*((RANDBETWEEN(1620,2416)))</f>
        <v>50812834.254384302</v>
      </c>
      <c r="B15068">
        <v>157924019.55904913</v>
      </c>
    </row>
    <row r="15069" spans="1:2" x14ac:dyDescent="0.25">
      <c r="A15069">
        <f ca="1">26926.6953747633*((RANDBETWEEN(1620,2416)))</f>
        <v>60881258.242339864</v>
      </c>
      <c r="B15069">
        <v>154244955.91312844</v>
      </c>
    </row>
    <row r="15070" spans="1:2" x14ac:dyDescent="0.25">
      <c r="A15070">
        <f ca="1">26984.2878191789*((RANDBETWEEN(1620,2416)))</f>
        <v>50595539.660960421</v>
      </c>
      <c r="B15070">
        <v>193070382.16909856</v>
      </c>
    </row>
    <row r="15071" spans="1:2" x14ac:dyDescent="0.25">
      <c r="A15071">
        <f ca="1">26345.1302467221*((RANDBETWEEN(1620,2416)))</f>
        <v>59329233.315618195</v>
      </c>
      <c r="B15071">
        <v>174993201.31593525</v>
      </c>
    </row>
    <row r="15072" spans="1:2" x14ac:dyDescent="0.25">
      <c r="A15072">
        <f ca="1">26238.5309627239*((RANDBETWEEN(1620,2416)))</f>
        <v>58931740.542277962</v>
      </c>
      <c r="B15072">
        <v>170064297.11781538</v>
      </c>
    </row>
    <row r="15073" spans="1:2" x14ac:dyDescent="0.25">
      <c r="A15073">
        <f ca="1">30600.5509022147*((RANDBETWEEN(1620,2416)))</f>
        <v>53061355.264440343</v>
      </c>
      <c r="B15073">
        <v>175011194.92580453</v>
      </c>
    </row>
    <row r="15074" spans="1:2" x14ac:dyDescent="0.25">
      <c r="A15074">
        <f ca="1">27720.019425397*((RANDBETWEEN(1620,2416)))</f>
        <v>52917517.083082937</v>
      </c>
      <c r="B15074">
        <v>178253035.87691298</v>
      </c>
    </row>
    <row r="15075" spans="1:2" x14ac:dyDescent="0.25">
      <c r="A15075">
        <f ca="1">30239.1104652416*((RANDBETWEEN(1620,2416)))</f>
        <v>65558391.488643877</v>
      </c>
      <c r="B15075">
        <v>202624223.46897626</v>
      </c>
    </row>
    <row r="15076" spans="1:2" x14ac:dyDescent="0.25">
      <c r="A15076">
        <f ca="1">30172.3031197929*((RANDBETWEEN(1620,2416)))</f>
        <v>71357496.878310263</v>
      </c>
      <c r="B15076">
        <v>150810301.69106057</v>
      </c>
    </row>
    <row r="15077" spans="1:2" x14ac:dyDescent="0.25">
      <c r="A15077">
        <f ca="1">26824.7426126085*((RANDBETWEEN(1620,2416)))</f>
        <v>52040000.668460451</v>
      </c>
      <c r="B15077">
        <v>184419295.03545862</v>
      </c>
    </row>
    <row r="15078" spans="1:2" x14ac:dyDescent="0.25">
      <c r="A15078">
        <f ca="1">30384.5333591082*((RANDBETWEEN(1620,2416)))</f>
        <v>72497496.594832078</v>
      </c>
      <c r="B15078">
        <v>149654996.79241422</v>
      </c>
    </row>
    <row r="15079" spans="1:2" x14ac:dyDescent="0.25">
      <c r="A15079">
        <f ca="1">28940.4965793194*((RANDBETWEEN(1620,2416)))</f>
        <v>59993649.40892911</v>
      </c>
      <c r="B15079">
        <v>175193862.14243999</v>
      </c>
    </row>
    <row r="15080" spans="1:2" x14ac:dyDescent="0.25">
      <c r="A15080">
        <f ca="1">29063.3514389207*((RANDBETWEEN(1620,2416)))</f>
        <v>64985653.8174266</v>
      </c>
      <c r="B15080">
        <v>160940538.42657351</v>
      </c>
    </row>
    <row r="15081" spans="1:2" x14ac:dyDescent="0.25">
      <c r="A15081">
        <f ca="1">28767.7485378901*((RANDBETWEEN(1620,2416)))</f>
        <v>47322946.344829135</v>
      </c>
      <c r="B15081">
        <v>149949867.84864146</v>
      </c>
    </row>
    <row r="15082" spans="1:2" x14ac:dyDescent="0.25">
      <c r="A15082">
        <f ca="1">26625.281504734*((RANDBETWEEN(1620,2416)))</f>
        <v>44251217.860867932</v>
      </c>
      <c r="B15082">
        <v>143222384.19183487</v>
      </c>
    </row>
    <row r="15083" spans="1:2" x14ac:dyDescent="0.25">
      <c r="A15083">
        <f ca="1">26468.4334244201*((RANDBETWEEN(1620,2416)))</f>
        <v>51666382.04446812</v>
      </c>
      <c r="B15083">
        <v>143778158.71811259</v>
      </c>
    </row>
    <row r="15084" spans="1:2" x14ac:dyDescent="0.25">
      <c r="A15084">
        <f ca="1">31036.2829430404*((RANDBETWEEN(1620,2416)))</f>
        <v>65610702.141587347</v>
      </c>
      <c r="B15084">
        <v>195526152.40097904</v>
      </c>
    </row>
    <row r="15085" spans="1:2" x14ac:dyDescent="0.25">
      <c r="A15085">
        <f ca="1">27065.3984034208*((RANDBETWEEN(1620,2416)))</f>
        <v>50422837.225573018</v>
      </c>
      <c r="B15085">
        <v>151147787.36498138</v>
      </c>
    </row>
    <row r="15086" spans="1:2" x14ac:dyDescent="0.25">
      <c r="A15086">
        <f ca="1">26345.6628423707*((RANDBETWEEN(1620,2416)))</f>
        <v>62913442.867581218</v>
      </c>
      <c r="B15086">
        <v>150611314.69579434</v>
      </c>
    </row>
    <row r="15087" spans="1:2" x14ac:dyDescent="0.25">
      <c r="A15087">
        <f ca="1">25802.7013919029*((RANDBETWEEN(1620,2416)))</f>
        <v>56765943.062186308</v>
      </c>
      <c r="B15087">
        <v>143136217.25396827</v>
      </c>
    </row>
    <row r="15088" spans="1:2" x14ac:dyDescent="0.25">
      <c r="A15088">
        <f ca="1">29100.9019727823*((RANDBETWEEN(1620,2416)))</f>
        <v>63236259.986855909</v>
      </c>
      <c r="B15088">
        <v>154155066.37244871</v>
      </c>
    </row>
    <row r="15089" spans="1:2" x14ac:dyDescent="0.25">
      <c r="A15089">
        <f ca="1">27831.0790646256*((RANDBETWEEN(1620,2416)))</f>
        <v>62341617.104761317</v>
      </c>
      <c r="B15089">
        <v>190082077.54108199</v>
      </c>
    </row>
    <row r="15090" spans="1:2" x14ac:dyDescent="0.25">
      <c r="A15090">
        <f ca="1">26089.346646411*((RANDBETWEEN(1620,2416)))</f>
        <v>43412672.819627829</v>
      </c>
      <c r="B15090">
        <v>149276846.19475806</v>
      </c>
    </row>
    <row r="15091" spans="1:2" x14ac:dyDescent="0.25">
      <c r="A15091">
        <f ca="1">31927.1191121498*((RANDBETWEEN(1620,2416)))</f>
        <v>63918092.462523863</v>
      </c>
      <c r="B15091">
        <v>179146413.48617429</v>
      </c>
    </row>
    <row r="15092" spans="1:2" x14ac:dyDescent="0.25">
      <c r="A15092">
        <f ca="1">26940.6365333521*((RANDBETWEEN(1620,2416)))</f>
        <v>64199536.858977951</v>
      </c>
      <c r="B15092">
        <v>194885016.4478164</v>
      </c>
    </row>
    <row r="15093" spans="1:2" x14ac:dyDescent="0.25">
      <c r="A15093">
        <f ca="1">26506.5587648943*((RANDBETWEEN(1620,2416)))</f>
        <v>47287700.836571507</v>
      </c>
      <c r="B15093">
        <v>151224198.67748109</v>
      </c>
    </row>
    <row r="15094" spans="1:2" x14ac:dyDescent="0.25">
      <c r="A15094">
        <f ca="1">28057.9201014392*((RANDBETWEEN(1620,2416)))</f>
        <v>52636658.110299915</v>
      </c>
      <c r="B15094">
        <v>200584458.0743027</v>
      </c>
    </row>
    <row r="15095" spans="1:2" x14ac:dyDescent="0.25">
      <c r="A15095">
        <f ca="1">29501.018805158*((RANDBETWEEN(1620,2416)))</f>
        <v>51833290.040662661</v>
      </c>
      <c r="B15095">
        <v>192023109.4413299</v>
      </c>
    </row>
    <row r="15096" spans="1:2" x14ac:dyDescent="0.25">
      <c r="A15096">
        <f ca="1">29230.3630609235*((RANDBETWEEN(1620,2416)))</f>
        <v>49720847.566630833</v>
      </c>
      <c r="B15096">
        <v>149729238.53444773</v>
      </c>
    </row>
    <row r="15097" spans="1:2" x14ac:dyDescent="0.25">
      <c r="A15097">
        <f ca="1">26666.1554607716*((RANDBETWEEN(1620,2416)))</f>
        <v>46905767.45549719</v>
      </c>
      <c r="B15097">
        <v>143499806.06668326</v>
      </c>
    </row>
    <row r="15098" spans="1:2" x14ac:dyDescent="0.25">
      <c r="A15098">
        <f ca="1">27306.4760692686*((RANDBETWEEN(1620,2416)))</f>
        <v>62750282.007179268</v>
      </c>
      <c r="B15098">
        <v>194259796.97110805</v>
      </c>
    </row>
    <row r="15099" spans="1:2" x14ac:dyDescent="0.25">
      <c r="A15099">
        <f ca="1">26835.6592797986*((RANDBETWEEN(1620,2416)))</f>
        <v>53644482.900317378</v>
      </c>
      <c r="B15099">
        <v>188176471.49978325</v>
      </c>
    </row>
    <row r="15100" spans="1:2" x14ac:dyDescent="0.25">
      <c r="A15100">
        <f ca="1">27651.3470986049*((RANDBETWEEN(1620,2416)))</f>
        <v>48611068.199347422</v>
      </c>
      <c r="B15100">
        <v>154511994.6976158</v>
      </c>
    </row>
    <row r="15101" spans="1:2" x14ac:dyDescent="0.25">
      <c r="A15101">
        <f ca="1">30473.0588877446*((RANDBETWEEN(1620,2416)))</f>
        <v>72312568.740617841</v>
      </c>
      <c r="B15101">
        <v>145544236.09396198</v>
      </c>
    </row>
    <row r="15102" spans="1:2" x14ac:dyDescent="0.25">
      <c r="A15102">
        <f ca="1">31489.7514426892*((RANDBETWEEN(1620,2416)))</f>
        <v>70316614.971524969</v>
      </c>
      <c r="B15102">
        <v>164049814.60894024</v>
      </c>
    </row>
    <row r="15103" spans="1:2" x14ac:dyDescent="0.25">
      <c r="A15103">
        <f ca="1">26456.8779103065*((RANDBETWEEN(1620,2416)))</f>
        <v>53654548.402101539</v>
      </c>
      <c r="B15103">
        <v>144532690.27078778</v>
      </c>
    </row>
    <row r="15104" spans="1:2" x14ac:dyDescent="0.25">
      <c r="A15104">
        <f ca="1">31351.7231094164*((RANDBETWEEN(1620,2416)))</f>
        <v>51354122.453224115</v>
      </c>
      <c r="B15104">
        <v>173279405.0151388</v>
      </c>
    </row>
    <row r="15105" spans="1:2" x14ac:dyDescent="0.25">
      <c r="A15105">
        <f ca="1">30962.909627061*((RANDBETWEEN(1620,2416)))</f>
        <v>60656339.95941256</v>
      </c>
      <c r="B15105">
        <v>168384031.33655486</v>
      </c>
    </row>
    <row r="15106" spans="1:2" x14ac:dyDescent="0.25">
      <c r="A15106">
        <f ca="1">26591.6444457815*((RANDBETWEEN(1620,2416)))</f>
        <v>61612840.180875733</v>
      </c>
      <c r="B15106">
        <v>203028306.17242852</v>
      </c>
    </row>
    <row r="15107" spans="1:2" x14ac:dyDescent="0.25">
      <c r="A15107">
        <f ca="1">27975.5383769585*((RANDBETWEEN(1620,2416)))</f>
        <v>64036007.344857894</v>
      </c>
      <c r="B15107">
        <v>168980939.00658959</v>
      </c>
    </row>
    <row r="15108" spans="1:2" x14ac:dyDescent="0.25">
      <c r="A15108">
        <f ca="1">26857.7442313866*((RANDBETWEEN(1620,2416)))</f>
        <v>56347547.397449106</v>
      </c>
      <c r="B15108">
        <v>164667352.03835106</v>
      </c>
    </row>
    <row r="15109" spans="1:2" x14ac:dyDescent="0.25">
      <c r="A15109">
        <f ca="1">26300.2884567659*((RANDBETWEEN(1620,2416)))</f>
        <v>49576043.741003811</v>
      </c>
      <c r="B15109">
        <v>158093026.24222928</v>
      </c>
    </row>
    <row r="15110" spans="1:2" x14ac:dyDescent="0.25">
      <c r="A15110">
        <f ca="1">29787.2944201497*((RANDBETWEEN(1620,2416)))</f>
        <v>63804384.647960752</v>
      </c>
      <c r="B15110">
        <v>198434981.28432924</v>
      </c>
    </row>
    <row r="15111" spans="1:2" x14ac:dyDescent="0.25">
      <c r="A15111">
        <f ca="1">26394.7035828307*((RANDBETWEEN(1620,2416)))</f>
        <v>62740210.416388534</v>
      </c>
      <c r="B15111">
        <v>159991808.40530685</v>
      </c>
    </row>
    <row r="15112" spans="1:2" x14ac:dyDescent="0.25">
      <c r="A15112">
        <f ca="1">31476.3733746464*((RANDBETWEEN(1620,2416)))</f>
        <v>57664716.022352174</v>
      </c>
      <c r="B15112">
        <v>172423873.43724442</v>
      </c>
    </row>
    <row r="15113" spans="1:2" x14ac:dyDescent="0.25">
      <c r="A15113">
        <f ca="1">28820.971657381*((RANDBETWEEN(1620,2416)))</f>
        <v>62772076.269775867</v>
      </c>
      <c r="B15113">
        <v>146499289.35290551</v>
      </c>
    </row>
    <row r="15114" spans="1:2" x14ac:dyDescent="0.25">
      <c r="A15114">
        <f ca="1">27148.46295011*((RANDBETWEEN(1620,2416)))</f>
        <v>59237946.157140017</v>
      </c>
      <c r="B15114">
        <v>154468932.94469249</v>
      </c>
    </row>
    <row r="15115" spans="1:2" x14ac:dyDescent="0.25">
      <c r="A15115">
        <f ca="1">26927.5652535622*((RANDBETWEEN(1620,2416)))</f>
        <v>51135446.416514628</v>
      </c>
      <c r="B15115">
        <v>152557642.29588786</v>
      </c>
    </row>
    <row r="15116" spans="1:2" x14ac:dyDescent="0.25">
      <c r="A15116">
        <f ca="1">31658.2339745826*((RANDBETWEEN(1620,2416)))</f>
        <v>56003415.901036687</v>
      </c>
      <c r="B15116">
        <v>185830026.7853795</v>
      </c>
    </row>
    <row r="15117" spans="1:2" x14ac:dyDescent="0.25">
      <c r="A15117">
        <f ca="1">26006.0732656136*((RANDBETWEEN(1620,2416)))</f>
        <v>60776193.221739016</v>
      </c>
      <c r="B15117">
        <v>144508047.42426047</v>
      </c>
    </row>
    <row r="15118" spans="1:2" x14ac:dyDescent="0.25">
      <c r="A15118">
        <f ca="1">29919.8167293849*((RANDBETWEEN(1620,2416)))</f>
        <v>68067583.05935055</v>
      </c>
      <c r="B15118">
        <v>175786359.66194782</v>
      </c>
    </row>
    <row r="15119" spans="1:2" x14ac:dyDescent="0.25">
      <c r="A15119">
        <f ca="1">27387.8338599217*((RANDBETWEEN(1620,2416)))</f>
        <v>46942747.235905744</v>
      </c>
      <c r="B15119">
        <v>163530801.81230804</v>
      </c>
    </row>
    <row r="15120" spans="1:2" x14ac:dyDescent="0.25">
      <c r="A15120">
        <f ca="1">27942.040667268*((RANDBETWEEN(1620,2416)))</f>
        <v>64881418.429396406</v>
      </c>
      <c r="B15120">
        <v>171732889.4773429</v>
      </c>
    </row>
    <row r="15121" spans="1:2" x14ac:dyDescent="0.25">
      <c r="A15121">
        <f ca="1">31015.36480436*((RANDBETWEEN(1620,2416)))</f>
        <v>54618057.420477889</v>
      </c>
      <c r="B15121">
        <v>160154128.38627794</v>
      </c>
    </row>
    <row r="15122" spans="1:2" x14ac:dyDescent="0.25">
      <c r="A15122">
        <f ca="1">28482.8297590725*((RANDBETWEEN(1620,2416)))</f>
        <v>52892614.862597652</v>
      </c>
      <c r="B15122">
        <v>181099201.91336182</v>
      </c>
    </row>
    <row r="15123" spans="1:2" x14ac:dyDescent="0.25">
      <c r="A15123">
        <f ca="1">25376.4786879259*((RANDBETWEEN(1620,2416)))</f>
        <v>41236777.867879622</v>
      </c>
      <c r="B15123">
        <v>151464838.82896772</v>
      </c>
    </row>
    <row r="15124" spans="1:2" x14ac:dyDescent="0.25">
      <c r="A15124">
        <f ca="1">30945.1300579274*((RANDBETWEEN(1620,2416)))</f>
        <v>51833092.847028382</v>
      </c>
      <c r="B15124">
        <v>148604712.77712178</v>
      </c>
    </row>
    <row r="15125" spans="1:2" x14ac:dyDescent="0.25">
      <c r="A15125">
        <f ca="1">24770.6846912171*((RANDBETWEEN(1620,2416)))</f>
        <v>40252362.623227835</v>
      </c>
      <c r="B15125">
        <v>144384308.02441686</v>
      </c>
    </row>
    <row r="15126" spans="1:2" x14ac:dyDescent="0.25">
      <c r="A15126">
        <f ca="1">27176.5702307444*((RANDBETWEEN(1620,2416)))</f>
        <v>48917826.415339857</v>
      </c>
      <c r="B15126">
        <v>147374165.12939093</v>
      </c>
    </row>
    <row r="15127" spans="1:2" x14ac:dyDescent="0.25">
      <c r="A15127">
        <f ca="1">26386.4695240672*((RANDBETWEEN(1620,2416)))</f>
        <v>59607034.65486791</v>
      </c>
      <c r="B15127">
        <v>155837904.41731709</v>
      </c>
    </row>
    <row r="15128" spans="1:2" x14ac:dyDescent="0.25">
      <c r="A15128">
        <f ca="1">26705.8395045222*((RANDBETWEEN(1620,2416)))</f>
        <v>53304855.651026279</v>
      </c>
      <c r="B15128">
        <v>186869345.9378038</v>
      </c>
    </row>
    <row r="15129" spans="1:2" x14ac:dyDescent="0.25">
      <c r="A15129">
        <f ca="1">27917.727396285*((RANDBETWEEN(1620,2416)))</f>
        <v>64964551.651155204</v>
      </c>
      <c r="B15129">
        <v>160644365.31302294</v>
      </c>
    </row>
    <row r="15130" spans="1:2" x14ac:dyDescent="0.25">
      <c r="A15130">
        <f ca="1">29903.7746557207*((RANDBETWEEN(1620,2416)))</f>
        <v>53109103.788560003</v>
      </c>
      <c r="B15130">
        <v>154961383.11789843</v>
      </c>
    </row>
    <row r="15131" spans="1:2" x14ac:dyDescent="0.25">
      <c r="A15131">
        <f ca="1">32294.6821018323*((RANDBETWEEN(1620,2416)))</f>
        <v>69272093.108430222</v>
      </c>
      <c r="B15131">
        <v>173554226.23628503</v>
      </c>
    </row>
    <row r="15132" spans="1:2" x14ac:dyDescent="0.25">
      <c r="A15132">
        <f ca="1">27036.513367329*((RANDBETWEEN(1620,2416)))</f>
        <v>64752449.514752842</v>
      </c>
      <c r="B15132">
        <v>153217932.1617111</v>
      </c>
    </row>
    <row r="15133" spans="1:2" x14ac:dyDescent="0.25">
      <c r="A15133">
        <f ca="1">27704.4279435236*((RANDBETWEEN(1620,2416)))</f>
        <v>58733387.240269952</v>
      </c>
      <c r="B15133">
        <v>188270669.84939125</v>
      </c>
    </row>
    <row r="15134" spans="1:2" x14ac:dyDescent="0.25">
      <c r="A15134">
        <f ca="1">26800.7333903195*((RANDBETWEEN(1620,2416)))</f>
        <v>45722051.16388505</v>
      </c>
      <c r="B15134">
        <v>183403346.96372229</v>
      </c>
    </row>
    <row r="15135" spans="1:2" x14ac:dyDescent="0.25">
      <c r="A15135">
        <f ca="1">27303.9192118316*((RANDBETWEEN(1620,2416)))</f>
        <v>59713671.316275604</v>
      </c>
      <c r="B15135">
        <v>184705219.01908228</v>
      </c>
    </row>
    <row r="15136" spans="1:2" x14ac:dyDescent="0.25">
      <c r="A15136">
        <f ca="1">25136.6143930784*((RANDBETWEEN(1620,2416)))</f>
        <v>53239349.284540243</v>
      </c>
      <c r="B15136">
        <v>167968831.71566373</v>
      </c>
    </row>
    <row r="15137" spans="1:2" x14ac:dyDescent="0.25">
      <c r="A15137">
        <f ca="1">28594.5432696927*((RANDBETWEEN(1620,2416)))</f>
        <v>46323160.096902251</v>
      </c>
      <c r="B15137">
        <v>151073844.70707744</v>
      </c>
    </row>
    <row r="15138" spans="1:2" x14ac:dyDescent="0.25">
      <c r="A15138">
        <f ca="1">25836.5194951068*((RANDBETWEEN(1620,2416)))</f>
        <v>49941992.184041373</v>
      </c>
      <c r="B15138">
        <v>152259209.79883283</v>
      </c>
    </row>
    <row r="15139" spans="1:2" x14ac:dyDescent="0.25">
      <c r="A15139">
        <f ca="1">26838.9956610773*((RANDBETWEEN(1620,2416)))</f>
        <v>50001048.916587055</v>
      </c>
      <c r="B15139">
        <v>150733306.49612826</v>
      </c>
    </row>
    <row r="15140" spans="1:2" x14ac:dyDescent="0.25">
      <c r="A15140">
        <f ca="1">27547.9423029726*((RANDBETWEEN(1620,2416)))</f>
        <v>48677214.049352542</v>
      </c>
      <c r="B15140">
        <v>156510796.81724468</v>
      </c>
    </row>
    <row r="15141" spans="1:2" x14ac:dyDescent="0.25">
      <c r="A15141">
        <f ca="1">27495.4592653085*((RANDBETWEEN(1620,2416)))</f>
        <v>66264056.829393588</v>
      </c>
      <c r="B15141">
        <v>170069556.24736547</v>
      </c>
    </row>
    <row r="15142" spans="1:2" x14ac:dyDescent="0.25">
      <c r="A15142">
        <f ca="1">26893.6019395522*((RANDBETWEEN(1620,2416)))</f>
        <v>61424986.829937316</v>
      </c>
      <c r="B15142">
        <v>176853291.62823406</v>
      </c>
    </row>
    <row r="15143" spans="1:2" x14ac:dyDescent="0.25">
      <c r="A15143">
        <f ca="1">30560.654722829*((RANDBETWEEN(1620,2416)))</f>
        <v>64849709.321843222</v>
      </c>
      <c r="B15143">
        <v>162056711.14599949</v>
      </c>
    </row>
    <row r="15144" spans="1:2" x14ac:dyDescent="0.25">
      <c r="A15144">
        <f ca="1">27322.6939777841*((RANDBETWEEN(1620,2416)))</f>
        <v>56940494.249702051</v>
      </c>
      <c r="B15144">
        <v>161747268.9156054</v>
      </c>
    </row>
    <row r="15145" spans="1:2" x14ac:dyDescent="0.25">
      <c r="A15145">
        <f ca="1">27662.4982414745*((RANDBETWEEN(1620,2416)))</f>
        <v>58838133.759616166</v>
      </c>
      <c r="B15145">
        <v>151490515.0617702</v>
      </c>
    </row>
    <row r="15146" spans="1:2" x14ac:dyDescent="0.25">
      <c r="A15146">
        <f ca="1">26615.2762835409*((RANDBETWEEN(1620,2416)))</f>
        <v>43223208.6844704</v>
      </c>
      <c r="B15146">
        <v>159853724.41555792</v>
      </c>
    </row>
    <row r="15147" spans="1:2" x14ac:dyDescent="0.25">
      <c r="A15147">
        <f ca="1">26145.7637665004*((RANDBETWEEN(1620,2416)))</f>
        <v>58331198.96306248</v>
      </c>
      <c r="B15147">
        <v>149254917.21262079</v>
      </c>
    </row>
    <row r="15148" spans="1:2" x14ac:dyDescent="0.25">
      <c r="A15148">
        <f ca="1">32662.8118338852*((RANDBETWEEN(1620,2416)))</f>
        <v>70453685.125690341</v>
      </c>
      <c r="B15148">
        <v>199322723.36264041</v>
      </c>
    </row>
    <row r="15149" spans="1:2" x14ac:dyDescent="0.25">
      <c r="A15149">
        <f ca="1">28065.1135836213*((RANDBETWEEN(1620,2416)))</f>
        <v>63763938.061987586</v>
      </c>
      <c r="B15149">
        <v>200033917.11931485</v>
      </c>
    </row>
    <row r="15150" spans="1:2" x14ac:dyDescent="0.25">
      <c r="A15150">
        <f ca="1">26533.6432213153*((RANDBETWEEN(1620,2416)))</f>
        <v>53067286.442630596</v>
      </c>
      <c r="B15150">
        <v>143274060.16435617</v>
      </c>
    </row>
    <row r="15151" spans="1:2" x14ac:dyDescent="0.25">
      <c r="A15151">
        <f ca="1">25345.4536085168*((RANDBETWEEN(1620,2416)))</f>
        <v>46939780.0829731</v>
      </c>
      <c r="B15151">
        <v>159963692.55132318</v>
      </c>
    </row>
    <row r="15152" spans="1:2" x14ac:dyDescent="0.25">
      <c r="A15152">
        <f ca="1">29006.5148700752*((RANDBETWEEN(1620,2416)))</f>
        <v>68861466.301558599</v>
      </c>
      <c r="B15152">
        <v>163230288.30787995</v>
      </c>
    </row>
    <row r="15153" spans="1:2" x14ac:dyDescent="0.25">
      <c r="A15153">
        <f ca="1">26440.4250094405*((RANDBETWEEN(1620,2416)))</f>
        <v>50183926.667918161</v>
      </c>
      <c r="B15153">
        <v>157247454.01417482</v>
      </c>
    </row>
    <row r="15154" spans="1:2" x14ac:dyDescent="0.25">
      <c r="A15154">
        <f ca="1">29950.2392462199*((RANDBETWEEN(1620,2416)))</f>
        <v>67987043.088919178</v>
      </c>
      <c r="B15154">
        <v>162227879.32814053</v>
      </c>
    </row>
    <row r="15155" spans="1:2" x14ac:dyDescent="0.25">
      <c r="A15155">
        <f ca="1">29219.98496891*((RANDBETWEEN(1620,2416)))</f>
        <v>65920286.089860924</v>
      </c>
      <c r="B15155">
        <v>175781998.40911967</v>
      </c>
    </row>
    <row r="15156" spans="1:2" x14ac:dyDescent="0.25">
      <c r="A15156">
        <f ca="1">26702.8864140361*((RANDBETWEEN(1620,2416)))</f>
        <v>48305521.522991218</v>
      </c>
      <c r="B15156">
        <v>145218559.19144851</v>
      </c>
    </row>
    <row r="15157" spans="1:2" x14ac:dyDescent="0.25">
      <c r="A15157">
        <f ca="1">32495.8896332136*((RANDBETWEEN(1620,2416)))</f>
        <v>62879546.440268338</v>
      </c>
      <c r="B15157">
        <v>201885475.31181163</v>
      </c>
    </row>
    <row r="15158" spans="1:2" x14ac:dyDescent="0.25">
      <c r="A15158">
        <f ca="1">33274.5878844152*((RANDBETWEEN(1620,2416)))</f>
        <v>71972933.593989983</v>
      </c>
      <c r="B15158">
        <v>157647060.11670193</v>
      </c>
    </row>
    <row r="15159" spans="1:2" x14ac:dyDescent="0.25">
      <c r="A15159">
        <f ca="1">26765.8806081644*((RANDBETWEEN(1620,2416)))</f>
        <v>54950352.888561659</v>
      </c>
      <c r="B15159">
        <v>168742671.23321679</v>
      </c>
    </row>
    <row r="15160" spans="1:2" x14ac:dyDescent="0.25">
      <c r="A15160">
        <f ca="1">27533.8540684143*((RANDBETWEEN(1620,2416)))</f>
        <v>50084080.550445542</v>
      </c>
      <c r="B15160">
        <v>156936391.56147358</v>
      </c>
    </row>
    <row r="15161" spans="1:2" x14ac:dyDescent="0.25">
      <c r="A15161">
        <f ca="1">25867.5831160209*((RANDBETWEEN(1620,2416)))</f>
        <v>58176194.427931085</v>
      </c>
      <c r="B15161">
        <v>143312248.26375622</v>
      </c>
    </row>
    <row r="15162" spans="1:2" x14ac:dyDescent="0.25">
      <c r="A15162">
        <f ca="1">29235.679461803*((RANDBETWEEN(1620,2416)))</f>
        <v>52185687.839318313</v>
      </c>
      <c r="B15162">
        <v>163210309.47385702</v>
      </c>
    </row>
    <row r="15163" spans="1:2" x14ac:dyDescent="0.25">
      <c r="A15163">
        <f ca="1">33750.9063951734*((RANDBETWEEN(1620,2416)))</f>
        <v>55722746.458431318</v>
      </c>
      <c r="B15163">
        <v>165344263.78441432</v>
      </c>
    </row>
    <row r="15164" spans="1:2" x14ac:dyDescent="0.25">
      <c r="A15164">
        <f ca="1">29634.7169057868*((RANDBETWEEN(1620,2416)))</f>
        <v>67507885.11138238</v>
      </c>
      <c r="B15164">
        <v>145518755.74212497</v>
      </c>
    </row>
    <row r="15165" spans="1:2" x14ac:dyDescent="0.25">
      <c r="A15165">
        <f ca="1">28058.9752170552*((RANDBETWEEN(1620,2416)))</f>
        <v>61757804.452738427</v>
      </c>
      <c r="B15165">
        <v>148664310.06794178</v>
      </c>
    </row>
    <row r="15166" spans="1:2" x14ac:dyDescent="0.25">
      <c r="A15166">
        <f ca="1">26817.5861391118*((RANDBETWEEN(1620,2416)))</f>
        <v>55029686.757457457</v>
      </c>
      <c r="B15166">
        <v>146349329.51199654</v>
      </c>
    </row>
    <row r="15167" spans="1:2" x14ac:dyDescent="0.25">
      <c r="A15167">
        <f ca="1">27243.971808116*((RANDBETWEEN(1620,2416)))</f>
        <v>54678651.418888904</v>
      </c>
      <c r="B15167">
        <v>166393157.82385477</v>
      </c>
    </row>
    <row r="15168" spans="1:2" x14ac:dyDescent="0.25">
      <c r="A15168">
        <f ca="1">28073.8366121412*((RANDBETWEEN(1620,2416)))</f>
        <v>65524334.652737595</v>
      </c>
      <c r="B15168">
        <v>168931349.44251841</v>
      </c>
    </row>
    <row r="15169" spans="1:2" x14ac:dyDescent="0.25">
      <c r="A15169">
        <f ca="1">27670.2355321413*((RANDBETWEEN(1620,2416)))</f>
        <v>66021181.979689196</v>
      </c>
      <c r="B15169">
        <v>162892122.51127261</v>
      </c>
    </row>
    <row r="15170" spans="1:2" x14ac:dyDescent="0.25">
      <c r="A15170">
        <f ca="1">25828.8391047469*((RANDBETWEEN(1620,2416)))</f>
        <v>45742874.054506801</v>
      </c>
      <c r="B15170">
        <v>162236868.77012998</v>
      </c>
    </row>
    <row r="15171" spans="1:2" x14ac:dyDescent="0.25">
      <c r="A15171">
        <f ca="1">25461.1979021908*((RANDBETWEEN(1620,2416)))</f>
        <v>41450830.184766605</v>
      </c>
      <c r="B15171">
        <v>151601153.86753014</v>
      </c>
    </row>
    <row r="15172" spans="1:2" x14ac:dyDescent="0.25">
      <c r="A15172">
        <f ca="1">26979.4128358383*((RANDBETWEEN(1620,2416)))</f>
        <v>48266169.563314758</v>
      </c>
      <c r="B15172">
        <v>148809466.27706143</v>
      </c>
    </row>
    <row r="15173" spans="1:2" x14ac:dyDescent="0.25">
      <c r="A15173">
        <f ca="1">26914.9241475975*((RANDBETWEEN(1620,2416)))</f>
        <v>64084434.395429701</v>
      </c>
      <c r="B15173">
        <v>169951277.225914</v>
      </c>
    </row>
    <row r="15174" spans="1:2" x14ac:dyDescent="0.25">
      <c r="A15174">
        <f ca="1">31063.6062041371*((RANDBETWEEN(1620,2416)))</f>
        <v>61537003.890395515</v>
      </c>
      <c r="B15174">
        <v>169542504.53146601</v>
      </c>
    </row>
    <row r="15175" spans="1:2" x14ac:dyDescent="0.25">
      <c r="A15175">
        <f ca="1">27577.5523933711*((RANDBETWEEN(1620,2416)))</f>
        <v>64035076.657407783</v>
      </c>
      <c r="B15175">
        <v>146917762.41663161</v>
      </c>
    </row>
    <row r="15176" spans="1:2" x14ac:dyDescent="0.25">
      <c r="A15176">
        <f ca="1">26325.1714741015*((RANDBETWEEN(1620,2416)))</f>
        <v>45884773.879358888</v>
      </c>
      <c r="B15176">
        <v>147565070.28769013</v>
      </c>
    </row>
    <row r="15177" spans="1:2" x14ac:dyDescent="0.25">
      <c r="A15177">
        <f ca="1">26982.8630989993*((RANDBETWEEN(1620,2416)))</f>
        <v>64030334.133925356</v>
      </c>
      <c r="B15177">
        <v>151923007.98585781</v>
      </c>
    </row>
    <row r="15178" spans="1:2" x14ac:dyDescent="0.25">
      <c r="A15178">
        <f ca="1">29599.9179544578*((RANDBETWEEN(1620,2416)))</f>
        <v>64705420.648444839</v>
      </c>
      <c r="B15178">
        <v>183619803.65766236</v>
      </c>
    </row>
    <row r="15179" spans="1:2" x14ac:dyDescent="0.25">
      <c r="A15179">
        <f ca="1">28341.456107188*((RANDBETWEEN(1620,2416)))</f>
        <v>57476472.985377274</v>
      </c>
      <c r="B15179">
        <v>186819824.89514995</v>
      </c>
    </row>
    <row r="15180" spans="1:2" x14ac:dyDescent="0.25">
      <c r="A15180">
        <f ca="1">25836.132883144*((RANDBETWEEN(1620,2416)))</f>
        <v>51052198.577092633</v>
      </c>
      <c r="B15180">
        <v>161498903.24554512</v>
      </c>
    </row>
    <row r="15181" spans="1:2" x14ac:dyDescent="0.25">
      <c r="A15181">
        <f ca="1">27171.0445666943*((RANDBETWEEN(1620,2416)))</f>
        <v>55456101.960623085</v>
      </c>
      <c r="B15181">
        <v>153380204.42156872</v>
      </c>
    </row>
    <row r="15182" spans="1:2" x14ac:dyDescent="0.25">
      <c r="A15182">
        <f ca="1">29532.6533960891*((RANDBETWEEN(1620,2416)))</f>
        <v>63672400.721968107</v>
      </c>
      <c r="B15182">
        <v>170147493.57441449</v>
      </c>
    </row>
    <row r="15183" spans="1:2" x14ac:dyDescent="0.25">
      <c r="A15183">
        <f ca="1">27778.3405492473*((RANDBETWEEN(1620,2416)))</f>
        <v>48084307.490747072</v>
      </c>
      <c r="B15183">
        <v>152126900.88637456</v>
      </c>
    </row>
    <row r="15184" spans="1:2" x14ac:dyDescent="0.25">
      <c r="A15184">
        <f ca="1">29532.3020697355*((RANDBETWEEN(1620,2416)))</f>
        <v>57765182.848402582</v>
      </c>
      <c r="B15184">
        <v>167577399.33278301</v>
      </c>
    </row>
    <row r="15185" spans="1:2" x14ac:dyDescent="0.25">
      <c r="A15185">
        <f ca="1">27456.3078871722*((RANDBETWEEN(1620,2416)))</f>
        <v>44616500.316654757</v>
      </c>
      <c r="B15185">
        <v>184544524.45326257</v>
      </c>
    </row>
    <row r="15186" spans="1:2" x14ac:dyDescent="0.25">
      <c r="A15186">
        <f ca="1">25228.7908405555*((RANDBETWEEN(1620,2416)))</f>
        <v>41122929.070105463</v>
      </c>
      <c r="B15186">
        <v>144900028.65549299</v>
      </c>
    </row>
    <row r="15187" spans="1:2" x14ac:dyDescent="0.25">
      <c r="A15187">
        <f ca="1">28126.7611585488*((RANDBETWEEN(1620,2416)))</f>
        <v>66407283.0953338</v>
      </c>
      <c r="B15187">
        <v>191057054.87021875</v>
      </c>
    </row>
    <row r="15188" spans="1:2" x14ac:dyDescent="0.25">
      <c r="A15188">
        <f ca="1">31061.2670202013*((RANDBETWEEN(1620,2416)))</f>
        <v>53673869.41090782</v>
      </c>
      <c r="B15188">
        <v>169543285.58073023</v>
      </c>
    </row>
    <row r="15189" spans="1:2" x14ac:dyDescent="0.25">
      <c r="A15189">
        <f ca="1">26314.2711763196*((RANDBETWEEN(1620,2416)))</f>
        <v>50023429.506183639</v>
      </c>
      <c r="B15189">
        <v>145970880.4028253</v>
      </c>
    </row>
    <row r="15190" spans="1:2" x14ac:dyDescent="0.25">
      <c r="A15190">
        <f ca="1">32844.3599734519*((RANDBETWEEN(1620,2416)))</f>
        <v>57149186.35380628</v>
      </c>
      <c r="B15190">
        <v>167706264.84805936</v>
      </c>
    </row>
    <row r="15191" spans="1:2" x14ac:dyDescent="0.25">
      <c r="A15191">
        <f ca="1">27832.5544943017*((RANDBETWEEN(1620,2416)))</f>
        <v>51963379.240861244</v>
      </c>
      <c r="B15191">
        <v>174551060.06009868</v>
      </c>
    </row>
    <row r="15192" spans="1:2" x14ac:dyDescent="0.25">
      <c r="A15192">
        <f ca="1">28573.7644437066*((RANDBETWEEN(1620,2416)))</f>
        <v>53432939.509731404</v>
      </c>
      <c r="B15192">
        <v>201213998.11216027</v>
      </c>
    </row>
    <row r="15193" spans="1:2" x14ac:dyDescent="0.25">
      <c r="A15193">
        <f ca="1">26217.8463784926*((RANDBETWEEN(1620,2416)))</f>
        <v>52566781.988877758</v>
      </c>
      <c r="B15193">
        <v>160792598.39606917</v>
      </c>
    </row>
    <row r="15194" spans="1:2" x14ac:dyDescent="0.25">
      <c r="A15194">
        <f ca="1">30337.5760789224*((RANDBETWEEN(1620,2416)))</f>
        <v>70140475.894468546</v>
      </c>
      <c r="B15194">
        <v>200365356.51959819</v>
      </c>
    </row>
    <row r="15195" spans="1:2" x14ac:dyDescent="0.25">
      <c r="A15195">
        <f ca="1">28400.5119795247*((RANDBETWEEN(1620,2416)))</f>
        <v>53449763.545465529</v>
      </c>
      <c r="B15195">
        <v>144853661.72420853</v>
      </c>
    </row>
    <row r="15196" spans="1:2" x14ac:dyDescent="0.25">
      <c r="A15196">
        <f ca="1">28578.5351683955*((RANDBETWEEN(1620,2416)))</f>
        <v>60672230.162503593</v>
      </c>
      <c r="B15196">
        <v>161682089.28004265</v>
      </c>
    </row>
    <row r="15197" spans="1:2" x14ac:dyDescent="0.25">
      <c r="A15197">
        <f ca="1">26938.7377605618*((RANDBETWEEN(1620,2416)))</f>
        <v>57756653.758644432</v>
      </c>
      <c r="B15197">
        <v>145716589.01582915</v>
      </c>
    </row>
    <row r="15198" spans="1:2" x14ac:dyDescent="0.25">
      <c r="A15198">
        <f ca="1">32768.3021886885*((RANDBETWEEN(1620,2416)))</f>
        <v>67535470.810887098</v>
      </c>
      <c r="B15198">
        <v>149754617.89101952</v>
      </c>
    </row>
    <row r="15199" spans="1:2" x14ac:dyDescent="0.25">
      <c r="A15199">
        <f ca="1">30694.5406979438*((RANDBETWEEN(1620,2416)))</f>
        <v>70597443.605270803</v>
      </c>
      <c r="B15199">
        <v>188817622.51110283</v>
      </c>
    </row>
    <row r="15200" spans="1:2" x14ac:dyDescent="0.25">
      <c r="A15200">
        <f ca="1">27074.1896567258*((RANDBETWEEN(1620,2416)))</f>
        <v>64057532.727813199</v>
      </c>
      <c r="B15200">
        <v>156899599.25007159</v>
      </c>
    </row>
    <row r="15201" spans="1:2" x14ac:dyDescent="0.25">
      <c r="A15201">
        <f ca="1">34142.7693280033*((RANDBETWEEN(1620,2416)))</f>
        <v>65280974.955142319</v>
      </c>
      <c r="B15201">
        <v>166116449.98878023</v>
      </c>
    </row>
    <row r="15202" spans="1:2" x14ac:dyDescent="0.25">
      <c r="A15202">
        <f ca="1">31551.3635664123*((RANDBETWEEN(1620,2416)))</f>
        <v>73703985.291139275</v>
      </c>
      <c r="B15202">
        <v>169516345.58362538</v>
      </c>
    </row>
    <row r="15203" spans="1:2" x14ac:dyDescent="0.25">
      <c r="A15203">
        <f ca="1">26992.6206174642*((RANDBETWEEN(1620,2416)))</f>
        <v>49855370.280456461</v>
      </c>
      <c r="B15203">
        <v>175832095.18418097</v>
      </c>
    </row>
    <row r="15204" spans="1:2" x14ac:dyDescent="0.25">
      <c r="A15204">
        <f ca="1">27060.1794050414*((RANDBETWEEN(1620,2416)))</f>
        <v>55256886.345094465</v>
      </c>
      <c r="B15204">
        <v>147706279.39074636</v>
      </c>
    </row>
    <row r="15205" spans="1:2" x14ac:dyDescent="0.25">
      <c r="A15205">
        <f ca="1">32445.4671844617*((RANDBETWEEN(1620,2416)))</f>
        <v>62879315.403486721</v>
      </c>
      <c r="B15205">
        <v>187654250.31037632</v>
      </c>
    </row>
    <row r="15206" spans="1:2" x14ac:dyDescent="0.25">
      <c r="A15206">
        <f ca="1">27549.2565268179*((RANDBETWEEN(1620,2416)))</f>
        <v>60691012.12857981</v>
      </c>
      <c r="B15206">
        <v>164855352.46496469</v>
      </c>
    </row>
    <row r="15207" spans="1:2" x14ac:dyDescent="0.25">
      <c r="A15207">
        <f ca="1">26268.7574628878*((RANDBETWEEN(1620,2416)))</f>
        <v>48176901.186936267</v>
      </c>
      <c r="B15207">
        <v>169869100.25937998</v>
      </c>
    </row>
    <row r="15208" spans="1:2" x14ac:dyDescent="0.25">
      <c r="A15208">
        <f ca="1">27536.0666741692*((RANDBETWEEN(1620,2416)))</f>
        <v>57247482.615597785</v>
      </c>
      <c r="B15208">
        <v>172007891.85118037</v>
      </c>
    </row>
    <row r="15209" spans="1:2" x14ac:dyDescent="0.25">
      <c r="A15209">
        <f ca="1">29745.7026648878*((RANDBETWEEN(1620,2416)))</f>
        <v>71538414.909055158</v>
      </c>
      <c r="B15209">
        <v>191286910.46153212</v>
      </c>
    </row>
    <row r="15210" spans="1:2" x14ac:dyDescent="0.25">
      <c r="A15210">
        <f ca="1">28721.9064153268*((RANDBETWEEN(1620,2416)))</f>
        <v>62843531.236735009</v>
      </c>
      <c r="B15210">
        <v>164762606.09353411</v>
      </c>
    </row>
    <row r="15211" spans="1:2" x14ac:dyDescent="0.25">
      <c r="A15211">
        <f ca="1">26341.787357581*((RANDBETWEEN(1620,2416)))</f>
        <v>46809356.134421468</v>
      </c>
      <c r="B15211">
        <v>154580944.30699342</v>
      </c>
    </row>
    <row r="15212" spans="1:2" x14ac:dyDescent="0.25">
      <c r="A15212">
        <f ca="1">27397.3640907713*((RANDBETWEEN(1620,2416)))</f>
        <v>64329010.885130964</v>
      </c>
      <c r="B15212">
        <v>182738277.38060308</v>
      </c>
    </row>
    <row r="15213" spans="1:2" x14ac:dyDescent="0.25">
      <c r="A15213">
        <f ca="1">28435.0521324444*((RANDBETWEEN(1620,2416)))</f>
        <v>52889196.966346666</v>
      </c>
      <c r="B15213">
        <v>188786308.16261956</v>
      </c>
    </row>
    <row r="15214" spans="1:2" x14ac:dyDescent="0.25">
      <c r="A15214">
        <f ca="1">26847.2574274305*((RANDBETWEEN(1620,2416)))</f>
        <v>59976773.092879735</v>
      </c>
      <c r="B15214">
        <v>158855851.99201339</v>
      </c>
    </row>
    <row r="15215" spans="1:2" x14ac:dyDescent="0.25">
      <c r="A15215">
        <f ca="1">27002.1653398035*((RANDBETWEEN(1620,2416)))</f>
        <v>53194265.719412804</v>
      </c>
      <c r="B15215">
        <v>203105668.71746746</v>
      </c>
    </row>
    <row r="15216" spans="1:2" x14ac:dyDescent="0.25">
      <c r="A15216">
        <f ca="1">29225.8186531826*((RANDBETWEEN(1620,2416)))</f>
        <v>64033768.669122972</v>
      </c>
      <c r="B15216">
        <v>165227824.18586183</v>
      </c>
    </row>
    <row r="15217" spans="1:2" x14ac:dyDescent="0.25">
      <c r="A15217">
        <f ca="1">27473.0190983705*((RANDBETWEEN(1620,2416)))</f>
        <v>46017306.989770517</v>
      </c>
      <c r="B15217">
        <v>178107692.12416044</v>
      </c>
    </row>
    <row r="15218" spans="1:2" x14ac:dyDescent="0.25">
      <c r="A15218">
        <f ca="1">30230.7694736884*((RANDBETWEEN(1620,2416)))</f>
        <v>55020000.442112945</v>
      </c>
      <c r="B15218">
        <v>156458372.11047345</v>
      </c>
    </row>
    <row r="15219" spans="1:2" x14ac:dyDescent="0.25">
      <c r="A15219">
        <f ca="1">27231.2790996992*((RANDBETWEEN(1620,2416)))</f>
        <v>52120668.196824297</v>
      </c>
      <c r="B15219">
        <v>165791861.22213462</v>
      </c>
    </row>
    <row r="15220" spans="1:2" x14ac:dyDescent="0.25">
      <c r="A15220">
        <f ca="1">31800.5445442505*((RANDBETWEEN(1620,2416)))</f>
        <v>56064360.031513564</v>
      </c>
      <c r="B15220">
        <v>177663920.30091748</v>
      </c>
    </row>
    <row r="15221" spans="1:2" x14ac:dyDescent="0.25">
      <c r="A15221">
        <f ca="1">31400.6202196667*((RANDBETWEEN(1620,2416)))</f>
        <v>53977666.157607093</v>
      </c>
      <c r="B15221">
        <v>145194887.01915443</v>
      </c>
    </row>
    <row r="15222" spans="1:2" x14ac:dyDescent="0.25">
      <c r="A15222">
        <f ca="1">27540.3523570983*((RANDBETWEEN(1620,2416)))</f>
        <v>59239297.920118384</v>
      </c>
      <c r="B15222">
        <v>167221464.17368805</v>
      </c>
    </row>
    <row r="15223" spans="1:2" x14ac:dyDescent="0.25">
      <c r="A15223">
        <f ca="1">26163.1556075042*((RANDBETWEEN(1620,2416)))</f>
        <v>46308785.425282389</v>
      </c>
      <c r="B15223">
        <v>153579610.98348606</v>
      </c>
    </row>
    <row r="15224" spans="1:2" x14ac:dyDescent="0.25">
      <c r="A15224">
        <f ca="1">29684.4197008804*((RANDBETWEEN(1620,2416)))</f>
        <v>56103553.234663986</v>
      </c>
      <c r="B15224">
        <v>201005153.99554601</v>
      </c>
    </row>
    <row r="15225" spans="1:2" x14ac:dyDescent="0.25">
      <c r="A15225">
        <f ca="1">27606.5702526716*((RANDBETWEEN(1620,2416)))</f>
        <v>63136226.167859852</v>
      </c>
      <c r="B15225">
        <v>148128691.72319746</v>
      </c>
    </row>
    <row r="15226" spans="1:2" x14ac:dyDescent="0.25">
      <c r="A15226">
        <f ca="1">26635.8822163196*((RANDBETWEEN(1620,2416)))</f>
        <v>51060986.208684728</v>
      </c>
      <c r="B15226">
        <v>144540251.93927765</v>
      </c>
    </row>
    <row r="15227" spans="1:2" x14ac:dyDescent="0.25">
      <c r="A15227">
        <f ca="1">32385.4248730536*((RANDBETWEEN(1620,2416)))</f>
        <v>73417758.187212452</v>
      </c>
      <c r="B15227">
        <v>191873509.64587587</v>
      </c>
    </row>
    <row r="15228" spans="1:2" x14ac:dyDescent="0.25">
      <c r="A15228">
        <f ca="1">29431.6471168874*((RANDBETWEEN(1620,2416)))</f>
        <v>51946857.161306337</v>
      </c>
      <c r="B15228">
        <v>157231160.46500885</v>
      </c>
    </row>
    <row r="15229" spans="1:2" x14ac:dyDescent="0.25">
      <c r="A15229">
        <f ca="1">31446.6299803702*((RANDBETWEEN(1620,2416)))</f>
        <v>57610226.124038294</v>
      </c>
      <c r="B15229">
        <v>167245215.53217459</v>
      </c>
    </row>
    <row r="15230" spans="1:2" x14ac:dyDescent="0.25">
      <c r="A15230">
        <f ca="1">27604.1399981554*((RANDBETWEEN(1620,2416)))</f>
        <v>51785366.636539571</v>
      </c>
      <c r="B15230">
        <v>166767630.06604597</v>
      </c>
    </row>
    <row r="15231" spans="1:2" x14ac:dyDescent="0.25">
      <c r="A15231">
        <f ca="1">31137.6038846665*((RANDBETWEEN(1620,2416)))</f>
        <v>69094343.020074919</v>
      </c>
      <c r="B15231">
        <v>166739243.01181698</v>
      </c>
    </row>
    <row r="15232" spans="1:2" x14ac:dyDescent="0.25">
      <c r="A15232">
        <f ca="1">25979.3507367931*((RANDBETWEEN(1620,2416)))</f>
        <v>58063848.896732539</v>
      </c>
      <c r="B15232">
        <v>161417578.00168568</v>
      </c>
    </row>
    <row r="15233" spans="1:2" x14ac:dyDescent="0.25">
      <c r="A15233">
        <f ca="1">27325.1874484957*((RANDBETWEEN(1620,2416)))</f>
        <v>54021895.585676007</v>
      </c>
      <c r="B15233">
        <v>161170783.55119243</v>
      </c>
    </row>
    <row r="15234" spans="1:2" x14ac:dyDescent="0.25">
      <c r="A15234">
        <f ca="1">28314.8063458981*((RANDBETWEEN(1620,2416)))</f>
        <v>52439021.35260345</v>
      </c>
      <c r="B15234">
        <v>170608495.46554443</v>
      </c>
    </row>
    <row r="15235" spans="1:2" x14ac:dyDescent="0.25">
      <c r="A15235">
        <f ca="1">27618.7969671486*((RANDBETWEEN(1620,2416)))</f>
        <v>53000471.379958145</v>
      </c>
      <c r="B15235">
        <v>199430791.44400775</v>
      </c>
    </row>
    <row r="15236" spans="1:2" x14ac:dyDescent="0.25">
      <c r="A15236">
        <f ca="1">28448.9997032029*((RANDBETWEEN(1620,2416)))</f>
        <v>59970491.374351762</v>
      </c>
      <c r="B15236">
        <v>178397715.14578775</v>
      </c>
    </row>
    <row r="15237" spans="1:2" x14ac:dyDescent="0.25">
      <c r="A15237">
        <f ca="1">27164.0451048685*((RANDBETWEEN(1620,2416)))</f>
        <v>64949231.845740609</v>
      </c>
      <c r="B15237">
        <v>146911171.0864256</v>
      </c>
    </row>
    <row r="15238" spans="1:2" x14ac:dyDescent="0.25">
      <c r="A15238">
        <f ca="1">26646.9719664326*((RANDBETWEEN(1620,2416)))</f>
        <v>61741034.046224229</v>
      </c>
      <c r="B15238">
        <v>147757201.96861023</v>
      </c>
    </row>
    <row r="15239" spans="1:2" x14ac:dyDescent="0.25">
      <c r="A15239">
        <f ca="1">28313.0132749751*((RANDBETWEEN(1620,2416)))</f>
        <v>49236330.085181631</v>
      </c>
      <c r="B15239">
        <v>181345268.65219438</v>
      </c>
    </row>
    <row r="15240" spans="1:2" x14ac:dyDescent="0.25">
      <c r="A15240">
        <f ca="1">27231.3894696683*((RANDBETWEEN(1620,2416)))</f>
        <v>64129922.201068796</v>
      </c>
      <c r="B15240">
        <v>192401242.27020568</v>
      </c>
    </row>
    <row r="15241" spans="1:2" x14ac:dyDescent="0.25">
      <c r="A15241">
        <f ca="1">31235.9681988183*((RANDBETWEEN(1620,2416)))</f>
        <v>73029693.648837268</v>
      </c>
      <c r="B15241">
        <v>171525261.39098063</v>
      </c>
    </row>
    <row r="15242" spans="1:2" x14ac:dyDescent="0.25">
      <c r="A15242">
        <f ca="1">29070.58718761*((RANDBETWEEN(1620,2416)))</f>
        <v>59478421.385850057</v>
      </c>
      <c r="B15242">
        <v>149393193.54283088</v>
      </c>
    </row>
    <row r="15243" spans="1:2" x14ac:dyDescent="0.25">
      <c r="A15243">
        <f ca="1">31367.6354793034*((RANDBETWEEN(1620,2416)))</f>
        <v>75658736.776079878</v>
      </c>
      <c r="B15243">
        <v>166711467.99778673</v>
      </c>
    </row>
    <row r="15244" spans="1:2" x14ac:dyDescent="0.25">
      <c r="A15244">
        <f ca="1">26469.6944726006*((RANDBETWEEN(1620,2416)))</f>
        <v>57968630.894995421</v>
      </c>
      <c r="B15244">
        <v>149357240.00036779</v>
      </c>
    </row>
    <row r="15245" spans="1:2" x14ac:dyDescent="0.25">
      <c r="A15245">
        <f ca="1">26506.6290693816*((RANDBETWEEN(1620,2416)))</f>
        <v>46757693.678389095</v>
      </c>
      <c r="B15245">
        <v>196986412.09832513</v>
      </c>
    </row>
    <row r="15246" spans="1:2" x14ac:dyDescent="0.25">
      <c r="A15246">
        <f ca="1">29064.847982181*((RANDBETWEEN(1620,2416)))</f>
        <v>65773750.983675554</v>
      </c>
      <c r="B15246">
        <v>154670921.00650567</v>
      </c>
    </row>
    <row r="15247" spans="1:2" x14ac:dyDescent="0.25">
      <c r="A15247">
        <f ca="1">28558.5943376876*((RANDBETWEEN(1620,2416)))</f>
        <v>67369724.042605057</v>
      </c>
      <c r="B15247">
        <v>153912204.08932155</v>
      </c>
    </row>
    <row r="15248" spans="1:2" x14ac:dyDescent="0.25">
      <c r="A15248">
        <f ca="1">28881.3810858387*((RANDBETWEEN(1620,2416)))</f>
        <v>47654278.791633919</v>
      </c>
      <c r="B15248">
        <v>166604185.0425075</v>
      </c>
    </row>
    <row r="15249" spans="1:2" x14ac:dyDescent="0.25">
      <c r="A15249">
        <f ca="1">29247.0037303207*((RANDBETWEEN(1620,2416)))</f>
        <v>47818851.099074274</v>
      </c>
      <c r="B15249">
        <v>164913188.8971498</v>
      </c>
    </row>
    <row r="15250" spans="1:2" x14ac:dyDescent="0.25">
      <c r="A15250">
        <f ca="1">29525.3325299359*((RANDBETWEEN(1620,2416)))</f>
        <v>54149459.859902412</v>
      </c>
      <c r="B15250">
        <v>202482920.09899586</v>
      </c>
    </row>
    <row r="15251" spans="1:2" x14ac:dyDescent="0.25">
      <c r="A15251">
        <f ca="1">27293.3825957949*((RANDBETWEEN(1620,2416)))</f>
        <v>64658023.369438097</v>
      </c>
      <c r="B15251">
        <v>156294661.5611608</v>
      </c>
    </row>
    <row r="15252" spans="1:2" x14ac:dyDescent="0.25">
      <c r="A15252">
        <f ca="1">29390.8567020526*((RANDBETWEEN(1620,2416)))</f>
        <v>62308616.208351508</v>
      </c>
      <c r="B15252">
        <v>193049114.27545241</v>
      </c>
    </row>
    <row r="15253" spans="1:2" x14ac:dyDescent="0.25">
      <c r="A15253">
        <f ca="1">26365.8587706694*((RANDBETWEEN(1620,2416)))</f>
        <v>62803475.591734543</v>
      </c>
      <c r="B15253">
        <v>148450422.99776751</v>
      </c>
    </row>
    <row r="15254" spans="1:2" x14ac:dyDescent="0.25">
      <c r="A15254">
        <f ca="1">27437.0618346078*((RANDBETWEEN(1620,2416)))</f>
        <v>66287941.392412394</v>
      </c>
      <c r="B15254">
        <v>153638240.018278</v>
      </c>
    </row>
    <row r="15255" spans="1:2" x14ac:dyDescent="0.25">
      <c r="A15255">
        <f ca="1">26819.0962730334*((RANDBETWEEN(1620,2416)))</f>
        <v>49186222.564743176</v>
      </c>
      <c r="B15255">
        <v>154442147.4695937</v>
      </c>
    </row>
    <row r="15256" spans="1:2" x14ac:dyDescent="0.25">
      <c r="A15256">
        <f ca="1">27126.0655438832*((RANDBETWEEN(1620,2416)))</f>
        <v>47687623.226146638</v>
      </c>
      <c r="B15256">
        <v>149926885.25920379</v>
      </c>
    </row>
    <row r="15257" spans="1:2" x14ac:dyDescent="0.25">
      <c r="A15257">
        <f ca="1">26649.0934693933*((RANDBETWEEN(1620,2416)))</f>
        <v>47328790.001642428</v>
      </c>
      <c r="B15257">
        <v>180686023.40901551</v>
      </c>
    </row>
    <row r="15258" spans="1:2" x14ac:dyDescent="0.25">
      <c r="A15258">
        <f ca="1">28317.6517822656*((RANDBETWEEN(1620,2416)))</f>
        <v>64507610.760000944</v>
      </c>
      <c r="B15258">
        <v>154964757.18859041</v>
      </c>
    </row>
    <row r="15259" spans="1:2" x14ac:dyDescent="0.25">
      <c r="A15259">
        <f ca="1">27408.8040982638*((RANDBETWEEN(1620,2416)))</f>
        <v>44977847.525250956</v>
      </c>
      <c r="B15259">
        <v>149945656.67833179</v>
      </c>
    </row>
    <row r="15260" spans="1:2" x14ac:dyDescent="0.25">
      <c r="A15260">
        <f ca="1">28670.9898664295*((RANDBETWEEN(1620,2416)))</f>
        <v>62044022.070953399</v>
      </c>
      <c r="B15260">
        <v>151637954.81263614</v>
      </c>
    </row>
    <row r="15261" spans="1:2" x14ac:dyDescent="0.25">
      <c r="A15261">
        <f ca="1">27457.6883991514*((RANDBETWEEN(1620,2416)))</f>
        <v>52910965.545164831</v>
      </c>
      <c r="B15261">
        <v>176848305.89005652</v>
      </c>
    </row>
    <row r="15262" spans="1:2" x14ac:dyDescent="0.25">
      <c r="A15262">
        <f ca="1">30224.6710941241*((RANDBETWEEN(1620,2416)))</f>
        <v>72055615.888391897</v>
      </c>
      <c r="B15262">
        <v>178168642.06257412</v>
      </c>
    </row>
    <row r="15263" spans="1:2" x14ac:dyDescent="0.25">
      <c r="A15263">
        <f ca="1">29185.0619809102*((RANDBETWEEN(1620,2416)))</f>
        <v>68760006.027024508</v>
      </c>
      <c r="B15263">
        <v>165780353.25339365</v>
      </c>
    </row>
    <row r="15264" spans="1:2" x14ac:dyDescent="0.25">
      <c r="A15264">
        <f ca="1">27935.886469497*((RANDBETWEEN(1620,2416)))</f>
        <v>51932812.946795009</v>
      </c>
      <c r="B15264">
        <v>160795459.81609392</v>
      </c>
    </row>
    <row r="15265" spans="1:2" x14ac:dyDescent="0.25">
      <c r="A15265">
        <f ca="1">26681.8329345971*((RANDBETWEEN(1620,2416)))</f>
        <v>51282482.900295608</v>
      </c>
      <c r="B15265">
        <v>145736814.82488921</v>
      </c>
    </row>
    <row r="15266" spans="1:2" x14ac:dyDescent="0.25">
      <c r="A15266">
        <f ca="1">27457.0709189734*((RANDBETWEEN(1620,2416)))</f>
        <v>56671394.376761146</v>
      </c>
      <c r="B15266">
        <v>158861659.58868474</v>
      </c>
    </row>
    <row r="15267" spans="1:2" x14ac:dyDescent="0.25">
      <c r="A15267">
        <f ca="1">26864.2512780043*((RANDBETWEEN(1620,2416)))</f>
        <v>45696091.423885271</v>
      </c>
      <c r="B15267">
        <v>184783056.11740834</v>
      </c>
    </row>
    <row r="15268" spans="1:2" x14ac:dyDescent="0.25">
      <c r="A15268">
        <f ca="1">28588.7656191392*((RANDBETWEEN(1620,2416)))</f>
        <v>56405634.566561706</v>
      </c>
      <c r="B15268">
        <v>164040883.25296673</v>
      </c>
    </row>
    <row r="15269" spans="1:2" x14ac:dyDescent="0.25">
      <c r="A15269">
        <f ca="1">27502.014047593*((RANDBETWEEN(1620,2416)))</f>
        <v>63474648.421844542</v>
      </c>
      <c r="B15269">
        <v>143840114.87408704</v>
      </c>
    </row>
    <row r="15270" spans="1:2" x14ac:dyDescent="0.25">
      <c r="A15270">
        <f ca="1">26458.3469772084*((RANDBETWEEN(1620,2416)))</f>
        <v>45217314.984049104</v>
      </c>
      <c r="B15270">
        <v>169990772.81582934</v>
      </c>
    </row>
    <row r="15271" spans="1:2" x14ac:dyDescent="0.25">
      <c r="A15271">
        <f ca="1">27814.1274537923*((RANDBETWEEN(1620,2416)))</f>
        <v>55350113.633046597</v>
      </c>
      <c r="B15271">
        <v>179870683.05005556</v>
      </c>
    </row>
    <row r="15272" spans="1:2" x14ac:dyDescent="0.25">
      <c r="A15272">
        <f ca="1">26336.8306072656*((RANDBETWEEN(1620,2416)))</f>
        <v>55939428.209832229</v>
      </c>
      <c r="B15272">
        <v>175276674.00723279</v>
      </c>
    </row>
    <row r="15273" spans="1:2" x14ac:dyDescent="0.25">
      <c r="A15273">
        <f ca="1">26643.0117967664*((RANDBETWEEN(1620,2416)))</f>
        <v>54964533.336729117</v>
      </c>
      <c r="B15273">
        <v>196905217.82965124</v>
      </c>
    </row>
    <row r="15274" spans="1:2" x14ac:dyDescent="0.25">
      <c r="A15274">
        <f ca="1">26774.9043782096*((RANDBETWEEN(1620,2416)))</f>
        <v>50336820.231033966</v>
      </c>
      <c r="B15274">
        <v>175636648.82369453</v>
      </c>
    </row>
    <row r="15275" spans="1:2" x14ac:dyDescent="0.25">
      <c r="A15275">
        <f ca="1">25344.720625316*((RANDBETWEEN(1620,2416)))</f>
        <v>50131857.396875091</v>
      </c>
      <c r="B15275">
        <v>145746212.26544619</v>
      </c>
    </row>
    <row r="15276" spans="1:2" x14ac:dyDescent="0.25">
      <c r="A15276">
        <f ca="1">26937.3944495084*((RANDBETWEEN(1620,2416)))</f>
        <v>45847445.353063293</v>
      </c>
      <c r="B15276">
        <v>177466285.19950813</v>
      </c>
    </row>
    <row r="15277" spans="1:2" x14ac:dyDescent="0.25">
      <c r="A15277">
        <f ca="1">26869.7833878241*((RANDBETWEEN(1620,2416)))</f>
        <v>54680009.19422204</v>
      </c>
      <c r="B15277">
        <v>165498417.43827745</v>
      </c>
    </row>
    <row r="15278" spans="1:2" x14ac:dyDescent="0.25">
      <c r="A15278">
        <f ca="1">26105.7530888956*((RANDBETWEEN(1620,2416)))</f>
        <v>52994678.77045799</v>
      </c>
      <c r="B15278">
        <v>144342405.82937375</v>
      </c>
    </row>
    <row r="15279" spans="1:2" x14ac:dyDescent="0.25">
      <c r="A15279">
        <f ca="1">27351.7480041017*((RANDBETWEEN(1620,2416)))</f>
        <v>50026347.099502005</v>
      </c>
      <c r="B15279">
        <v>181066939.90251273</v>
      </c>
    </row>
    <row r="15280" spans="1:2" x14ac:dyDescent="0.25">
      <c r="A15280">
        <f ca="1">26376.8041045913*((RANDBETWEEN(1620,2416)))</f>
        <v>50142304.602828011</v>
      </c>
      <c r="B15280">
        <v>144148154.21715415</v>
      </c>
    </row>
    <row r="15281" spans="1:2" x14ac:dyDescent="0.25">
      <c r="A15281">
        <f ca="1">26559.3911750444*((RANDBETWEEN(1620,2416)))</f>
        <v>59997664.664425291</v>
      </c>
      <c r="B15281">
        <v>182633007.16740313</v>
      </c>
    </row>
    <row r="15282" spans="1:2" x14ac:dyDescent="0.25">
      <c r="A15282">
        <f ca="1">25716.2405675682*((RANDBETWEEN(1620,2416)))</f>
        <v>43974771.370541543</v>
      </c>
      <c r="B15282">
        <v>149813443.33808571</v>
      </c>
    </row>
    <row r="15283" spans="1:2" x14ac:dyDescent="0.25">
      <c r="A15283">
        <f ca="1">26839.9872307771*((RANDBETWEEN(1620,2416)))</f>
        <v>51479095.508630395</v>
      </c>
      <c r="B15283">
        <v>152614473.47984284</v>
      </c>
    </row>
    <row r="15284" spans="1:2" x14ac:dyDescent="0.25">
      <c r="A15284">
        <f ca="1">26897.0669860703*((RANDBETWEEN(1620,2416)))</f>
        <v>52825839.560641989</v>
      </c>
      <c r="B15284">
        <v>147938952.38022524</v>
      </c>
    </row>
    <row r="15285" spans="1:2" x14ac:dyDescent="0.25">
      <c r="A15285">
        <f ca="1">28067.5112437229*((RANDBETWEEN(1620,2416)))</f>
        <v>62394077.494796023</v>
      </c>
      <c r="B15285">
        <v>157437243.11644423</v>
      </c>
    </row>
    <row r="15286" spans="1:2" x14ac:dyDescent="0.25">
      <c r="A15286">
        <f ca="1">25834.5521350107*((RANDBETWEEN(1620,2416)))</f>
        <v>55389279.777462915</v>
      </c>
      <c r="B15286">
        <v>143611406.85208628</v>
      </c>
    </row>
    <row r="15287" spans="1:2" x14ac:dyDescent="0.25">
      <c r="A15287">
        <f ca="1">29218.7919242088*((RANDBETWEEN(1620,2416)))</f>
        <v>50373197.277335979</v>
      </c>
      <c r="B15287">
        <v>156778708.79550529</v>
      </c>
    </row>
    <row r="15288" spans="1:2" x14ac:dyDescent="0.25">
      <c r="A15288">
        <f ca="1">27442.259020313*((RANDBETWEEN(1620,2416)))</f>
        <v>58452011.713266619</v>
      </c>
      <c r="B15288">
        <v>167651852.52535927</v>
      </c>
    </row>
    <row r="15289" spans="1:2" x14ac:dyDescent="0.25">
      <c r="A15289">
        <f ca="1">27755.7785718467*((RANDBETWEEN(1620,2416)))</f>
        <v>62644792.236657947</v>
      </c>
      <c r="B15289">
        <v>143732980.05619264</v>
      </c>
    </row>
    <row r="15290" spans="1:2" x14ac:dyDescent="0.25">
      <c r="A15290">
        <f ca="1">25933.9594192617*((RANDBETWEEN(1620,2416)))</f>
        <v>56976908.844117999</v>
      </c>
      <c r="B15290">
        <v>161858597.65208995</v>
      </c>
    </row>
    <row r="15291" spans="1:2" x14ac:dyDescent="0.25">
      <c r="A15291">
        <f ca="1">27849.7652745462*((RANDBETWEEN(1620,2416)))</f>
        <v>51438516.462086774</v>
      </c>
      <c r="B15291">
        <v>168707944.65716961</v>
      </c>
    </row>
    <row r="15292" spans="1:2" x14ac:dyDescent="0.25">
      <c r="A15292">
        <f ca="1">27121.2469768196*((RANDBETWEEN(1620,2416)))</f>
        <v>44099147.584308736</v>
      </c>
      <c r="B15292">
        <v>156696455.1933904</v>
      </c>
    </row>
    <row r="15293" spans="1:2" x14ac:dyDescent="0.25">
      <c r="A15293">
        <f ca="1">29726.6189739492*((RANDBETWEEN(1620,2416)))</f>
        <v>49197554.401885875</v>
      </c>
      <c r="B15293">
        <v>192374220.06911588</v>
      </c>
    </row>
    <row r="15294" spans="1:2" x14ac:dyDescent="0.25">
      <c r="A15294">
        <f ca="1">25527.0815590354*((RANDBETWEEN(1620,2416)))</f>
        <v>50109661.100386515</v>
      </c>
      <c r="B15294">
        <v>143563220.53850693</v>
      </c>
    </row>
    <row r="15295" spans="1:2" x14ac:dyDescent="0.25">
      <c r="A15295">
        <f ca="1">29724.5944599196*((RANDBETWEEN(1620,2416)))</f>
        <v>63253937.010708883</v>
      </c>
      <c r="B15295">
        <v>159744628.62708071</v>
      </c>
    </row>
    <row r="15296" spans="1:2" x14ac:dyDescent="0.25">
      <c r="A15296">
        <f ca="1">25561.3150492985*((RANDBETWEEN(1620,2416)))</f>
        <v>61756137.159105353</v>
      </c>
      <c r="B15296">
        <v>202770573.02076569</v>
      </c>
    </row>
    <row r="15297" spans="1:2" x14ac:dyDescent="0.25">
      <c r="A15297">
        <f ca="1">26568.4397583693*((RANDBETWEEN(1620,2416)))</f>
        <v>62967202.227335177</v>
      </c>
      <c r="B15297">
        <v>186501536.84081095</v>
      </c>
    </row>
    <row r="15298" spans="1:2" x14ac:dyDescent="0.25">
      <c r="A15298">
        <f ca="1">25931.7184463672*((RANDBETWEEN(1620,2416)))</f>
        <v>48466381.776260205</v>
      </c>
      <c r="B15298">
        <v>146752092.60158104</v>
      </c>
    </row>
    <row r="15299" spans="1:2" x14ac:dyDescent="0.25">
      <c r="A15299">
        <f ca="1">27316.8029178126*((RANDBETWEEN(1620,2416)))</f>
        <v>56026762.784433581</v>
      </c>
      <c r="B15299">
        <v>171597067.28774434</v>
      </c>
    </row>
    <row r="15300" spans="1:2" x14ac:dyDescent="0.25">
      <c r="A15300">
        <f ca="1">29529.1608388677*((RANDBETWEEN(1620,2416)))</f>
        <v>63192404.195176862</v>
      </c>
      <c r="B15300">
        <v>178015994.96691087</v>
      </c>
    </row>
    <row r="15301" spans="1:2" x14ac:dyDescent="0.25">
      <c r="A15301">
        <f ca="1">29351.5273998218*((RANDBETWEEN(1620,2416)))</f>
        <v>65923530.539999738</v>
      </c>
      <c r="B15301">
        <v>156276785.04302809</v>
      </c>
    </row>
    <row r="15302" spans="1:2" x14ac:dyDescent="0.25">
      <c r="A15302">
        <f ca="1">26085.9493878324*((RANDBETWEEN(1620,2416)))</f>
        <v>62475848.783858657</v>
      </c>
      <c r="B15302">
        <v>164443937.10742092</v>
      </c>
    </row>
    <row r="15303" spans="1:2" x14ac:dyDescent="0.25">
      <c r="A15303">
        <f ca="1">29753.7638957008*((RANDBETWEEN(1620,2416)))</f>
        <v>67570797.80713661</v>
      </c>
      <c r="B15303">
        <v>168034107.62288138</v>
      </c>
    </row>
    <row r="15304" spans="1:2" x14ac:dyDescent="0.25">
      <c r="A15304">
        <f ca="1">26303.858811082*((RANDBETWEEN(1620,2416)))</f>
        <v>49714293.152944945</v>
      </c>
      <c r="B15304">
        <v>179634829.44466147</v>
      </c>
    </row>
    <row r="15305" spans="1:2" x14ac:dyDescent="0.25">
      <c r="A15305">
        <f ca="1">30495.8976914102*((RANDBETWEEN(1620,2416)))</f>
        <v>59436504.600558557</v>
      </c>
      <c r="B15305">
        <v>157370120.10368925</v>
      </c>
    </row>
    <row r="15306" spans="1:2" x14ac:dyDescent="0.25">
      <c r="A15306">
        <f ca="1">27096.5225904114*((RANDBETWEEN(1620,2416)))</f>
        <v>57254952.233539239</v>
      </c>
      <c r="B15306">
        <v>148324083.54785931</v>
      </c>
    </row>
    <row r="15307" spans="1:2" x14ac:dyDescent="0.25">
      <c r="A15307">
        <f ca="1">29771.705160083*((RANDBETWEEN(1620,2416)))</f>
        <v>64664143.607700355</v>
      </c>
      <c r="B15307">
        <v>184136957.90802005</v>
      </c>
    </row>
    <row r="15308" spans="1:2" x14ac:dyDescent="0.25">
      <c r="A15308">
        <f ca="1">30451.0427656328*((RANDBETWEEN(1620,2416)))</f>
        <v>64099445.021657117</v>
      </c>
      <c r="B15308">
        <v>184406069.18806216</v>
      </c>
    </row>
    <row r="15309" spans="1:2" x14ac:dyDescent="0.25">
      <c r="A15309">
        <f ca="1">30361.4002264698*((RANDBETWEEN(1620,2416)))</f>
        <v>51614380.384998649</v>
      </c>
      <c r="B15309">
        <v>152510330.13413918</v>
      </c>
    </row>
    <row r="15310" spans="1:2" x14ac:dyDescent="0.25">
      <c r="A15310">
        <f ca="1">33906.9390415957*((RANDBETWEEN(1620,2416)))</f>
        <v>63575510.702992</v>
      </c>
      <c r="B15310">
        <v>202404154.68193948</v>
      </c>
    </row>
    <row r="15311" spans="1:2" x14ac:dyDescent="0.25">
      <c r="A15311">
        <f ca="1">26482.9760852967*((RANDBETWEEN(1620,2416)))</f>
        <v>57759370.842032209</v>
      </c>
      <c r="B15311">
        <v>145821498.2316511</v>
      </c>
    </row>
    <row r="15312" spans="1:2" x14ac:dyDescent="0.25">
      <c r="A15312">
        <f ca="1">27096.514389079*((RANDBETWEEN(1620,2416)))</f>
        <v>58338795.479687057</v>
      </c>
      <c r="B15312">
        <v>182004779.61873075</v>
      </c>
    </row>
    <row r="15313" spans="1:2" x14ac:dyDescent="0.25">
      <c r="A15313">
        <f ca="1">31305.8413580272*((RANDBETWEEN(1620,2416)))</f>
        <v>71283400.772227898</v>
      </c>
      <c r="B15313">
        <v>192420249.2295768</v>
      </c>
    </row>
    <row r="15314" spans="1:2" x14ac:dyDescent="0.25">
      <c r="A15314">
        <f ca="1">28329.0718711233*((RANDBETWEEN(1620,2416)))</f>
        <v>62437274.403955825</v>
      </c>
      <c r="B15314">
        <v>159672828.00350693</v>
      </c>
    </row>
    <row r="15315" spans="1:2" x14ac:dyDescent="0.25">
      <c r="A15315">
        <f ca="1">28947.9858593702*((RANDBETWEEN(1620,2416)))</f>
        <v>65509291.999754705</v>
      </c>
      <c r="B15315">
        <v>151274806.95309681</v>
      </c>
    </row>
    <row r="15316" spans="1:2" x14ac:dyDescent="0.25">
      <c r="A15316">
        <f ca="1">29751.6609921853*((RANDBETWEEN(1620,2416)))</f>
        <v>60247113.509175248</v>
      </c>
      <c r="B15316">
        <v>199284961.06352782</v>
      </c>
    </row>
    <row r="15317" spans="1:2" x14ac:dyDescent="0.25">
      <c r="A15317">
        <f ca="1">31554.5584345889*((RANDBETWEEN(1620,2416)))</f>
        <v>61562943.505882852</v>
      </c>
      <c r="B15317">
        <v>176432553.68107152</v>
      </c>
    </row>
    <row r="15318" spans="1:2" x14ac:dyDescent="0.25">
      <c r="A15318">
        <f ca="1">30827.801002974*((RANDBETWEEN(1620,2416)))</f>
        <v>51328288.669951692</v>
      </c>
      <c r="B15318">
        <v>173387556.66928002</v>
      </c>
    </row>
    <row r="15319" spans="1:2" x14ac:dyDescent="0.25">
      <c r="A15319">
        <f ca="1">26710.4688301715*((RANDBETWEEN(1620,2416)))</f>
        <v>48773316.083893195</v>
      </c>
      <c r="B15319">
        <v>165612519.37942499</v>
      </c>
    </row>
    <row r="15320" spans="1:2" x14ac:dyDescent="0.25">
      <c r="A15320">
        <f ca="1">29818.7369400097*((RANDBETWEEN(1620,2416)))</f>
        <v>54329738.704697765</v>
      </c>
      <c r="B15320">
        <v>156526396.53699648</v>
      </c>
    </row>
    <row r="15321" spans="1:2" x14ac:dyDescent="0.25">
      <c r="A15321">
        <f ca="1">26595.8941598413*((RANDBETWEEN(1620,2416)))</f>
        <v>55159884.487510912</v>
      </c>
      <c r="B15321">
        <v>148367377.27172527</v>
      </c>
    </row>
    <row r="15322" spans="1:2" x14ac:dyDescent="0.25">
      <c r="A15322">
        <f ca="1">26960.1362184119*((RANDBETWEEN(1620,2416)))</f>
        <v>50442414.864648759</v>
      </c>
      <c r="B15322">
        <v>170428385.89817992</v>
      </c>
    </row>
    <row r="15323" spans="1:2" x14ac:dyDescent="0.25">
      <c r="A15323">
        <f ca="1">26890.1067390881*((RANDBETWEEN(1620,2416)))</f>
        <v>52570158.674917266</v>
      </c>
      <c r="B15323">
        <v>160981842.7293365</v>
      </c>
    </row>
    <row r="15324" spans="1:2" x14ac:dyDescent="0.25">
      <c r="A15324">
        <f ca="1">29173.3739852793*((RANDBETWEEN(1620,2416)))</f>
        <v>49011268.295269154</v>
      </c>
      <c r="B15324">
        <v>193764446.56445047</v>
      </c>
    </row>
    <row r="15325" spans="1:2" x14ac:dyDescent="0.25">
      <c r="A15325">
        <f ca="1">27646.5137953395*((RANDBETWEEN(1620,2416)))</f>
        <v>50897231.897220023</v>
      </c>
      <c r="B15325">
        <v>181030254.42442426</v>
      </c>
    </row>
    <row r="15326" spans="1:2" x14ac:dyDescent="0.25">
      <c r="A15326">
        <f ca="1">31526.3262304996*((RANDBETWEEN(1620,2416)))</f>
        <v>74654340.513822973</v>
      </c>
      <c r="B15326">
        <v>190521138.0166952</v>
      </c>
    </row>
    <row r="15327" spans="1:2" x14ac:dyDescent="0.25">
      <c r="A15327">
        <f ca="1">28766.6023890602*((RANDBETWEEN(1620,2416)))</f>
        <v>46688195.677444771</v>
      </c>
      <c r="B15327">
        <v>194980394.55256304</v>
      </c>
    </row>
    <row r="15328" spans="1:2" x14ac:dyDescent="0.25">
      <c r="A15328">
        <f ca="1">26774.5201124049*((RANDBETWEEN(1620,2416)))</f>
        <v>48676077.564352095</v>
      </c>
      <c r="B15328">
        <v>171088932.10413238</v>
      </c>
    </row>
    <row r="15329" spans="1:2" x14ac:dyDescent="0.25">
      <c r="A15329">
        <f ca="1">27793.9067049102*((RANDBETWEEN(1620,2416)))</f>
        <v>53336506.966722719</v>
      </c>
      <c r="B15329">
        <v>161859643.520392</v>
      </c>
    </row>
    <row r="15330" spans="1:2" x14ac:dyDescent="0.25">
      <c r="A15330">
        <f ca="1">26057.6574622236*((RANDBETWEEN(1620,2416)))</f>
        <v>60219246.395198815</v>
      </c>
      <c r="B15330">
        <v>174973450.34330487</v>
      </c>
    </row>
    <row r="15331" spans="1:2" x14ac:dyDescent="0.25">
      <c r="A15331">
        <f ca="1">30455.5019189117*((RANDBETWEEN(1620,2416)))</f>
        <v>53266672.8561766</v>
      </c>
      <c r="B15331">
        <v>156321992.98925009</v>
      </c>
    </row>
    <row r="15332" spans="1:2" x14ac:dyDescent="0.25">
      <c r="A15332">
        <f ca="1">28527.2638847521*((RANDBETWEEN(1620,2416)))</f>
        <v>46813240.034878165</v>
      </c>
      <c r="B15332">
        <v>148464122.32482541</v>
      </c>
    </row>
    <row r="15333" spans="1:2" x14ac:dyDescent="0.25">
      <c r="A15333">
        <f ca="1">30100.8434798828*((RANDBETWEEN(1620,2416)))</f>
        <v>59990981.055406474</v>
      </c>
      <c r="B15333">
        <v>191686854.39610961</v>
      </c>
    </row>
    <row r="15334" spans="1:2" x14ac:dyDescent="0.25">
      <c r="A15334">
        <f ca="1">26437.4809617787*((RANDBETWEEN(1620,2416)))</f>
        <v>48486340.083902203</v>
      </c>
      <c r="B15334">
        <v>174030629.58037803</v>
      </c>
    </row>
    <row r="15335" spans="1:2" x14ac:dyDescent="0.25">
      <c r="A15335">
        <f ca="1">31900.2077294452*((RANDBETWEEN(1620,2416)))</f>
        <v>58760182.637638099</v>
      </c>
      <c r="B15335">
        <v>171511718.81797773</v>
      </c>
    </row>
    <row r="15336" spans="1:2" x14ac:dyDescent="0.25">
      <c r="A15336">
        <f ca="1">26339.8799588864*((RANDBETWEEN(1620,2416)))</f>
        <v>60239305.465973288</v>
      </c>
      <c r="B15336">
        <v>144594774.16840029</v>
      </c>
    </row>
    <row r="15337" spans="1:2" x14ac:dyDescent="0.25">
      <c r="A15337">
        <f ca="1">30997.9940648134*((RANDBETWEEN(1620,2416)))</f>
        <v>65622753.435210049</v>
      </c>
      <c r="B15337">
        <v>181439758.36782625</v>
      </c>
    </row>
    <row r="15338" spans="1:2" x14ac:dyDescent="0.25">
      <c r="A15338">
        <f ca="1">31936.3855174025*((RANDBETWEEN(1620,2416)))</f>
        <v>56878702.606493786</v>
      </c>
      <c r="B15338">
        <v>171618811.54486209</v>
      </c>
    </row>
    <row r="15339" spans="1:2" x14ac:dyDescent="0.25">
      <c r="A15339">
        <f ca="1">27317.956292904*((RANDBETWEEN(1620,2416)))</f>
        <v>49472818.846449174</v>
      </c>
      <c r="B15339">
        <v>201744844.61465359</v>
      </c>
    </row>
    <row r="15340" spans="1:2" x14ac:dyDescent="0.25">
      <c r="A15340">
        <f ca="1">27898.4262820638*((RANDBETWEEN(1620,2416)))</f>
        <v>57498656.567333415</v>
      </c>
      <c r="B15340">
        <v>179644852.04395586</v>
      </c>
    </row>
    <row r="15341" spans="1:2" x14ac:dyDescent="0.25">
      <c r="A15341">
        <f ca="1">25953.6892485739*((RANDBETWEEN(1620,2416)))</f>
        <v>61250706.626634471</v>
      </c>
      <c r="B15341">
        <v>180023616.18541107</v>
      </c>
    </row>
    <row r="15342" spans="1:2" x14ac:dyDescent="0.25">
      <c r="A15342">
        <f ca="1">26157.5809416269*((RANDBETWEEN(1620,2416)))</f>
        <v>43761632.915341876</v>
      </c>
      <c r="B15342">
        <v>150095796.15157086</v>
      </c>
    </row>
    <row r="15343" spans="1:2" x14ac:dyDescent="0.25">
      <c r="A15343">
        <f ca="1">29816.8256282339*((RANDBETWEEN(1620,2416)))</f>
        <v>50778054.044882357</v>
      </c>
      <c r="B15343">
        <v>152579854.78352511</v>
      </c>
    </row>
    <row r="15344" spans="1:2" x14ac:dyDescent="0.25">
      <c r="A15344">
        <f ca="1">29679.7151679364*((RANDBETWEEN(1620,2416)))</f>
        <v>50692953.506835312</v>
      </c>
      <c r="B15344">
        <v>186377497.15009677</v>
      </c>
    </row>
    <row r="15345" spans="1:2" x14ac:dyDescent="0.25">
      <c r="A15345">
        <f ca="1">26123.1719233718*((RANDBETWEEN(1620,2416)))</f>
        <v>61572316.223387219</v>
      </c>
      <c r="B15345">
        <v>201786078.50656936</v>
      </c>
    </row>
    <row r="15346" spans="1:2" x14ac:dyDescent="0.25">
      <c r="A15346">
        <f ca="1">27089.9383196733*((RANDBETWEEN(1620,2416)))</f>
        <v>56347071.704920493</v>
      </c>
      <c r="B15346">
        <v>181563133.42946798</v>
      </c>
    </row>
    <row r="15347" spans="1:2" x14ac:dyDescent="0.25">
      <c r="A15347">
        <f ca="1">29246.245419658*((RANDBETWEEN(1620,2416)))</f>
        <v>54047061.5355279</v>
      </c>
      <c r="B15347">
        <v>191455567.18208551</v>
      </c>
    </row>
    <row r="15348" spans="1:2" x14ac:dyDescent="0.25">
      <c r="A15348">
        <f ca="1">30200.2403488502*((RANDBETWEEN(1620,2416)))</f>
        <v>61608490.311654344</v>
      </c>
      <c r="B15348">
        <v>184883986.42049941</v>
      </c>
    </row>
    <row r="15349" spans="1:2" x14ac:dyDescent="0.25">
      <c r="A15349">
        <f ca="1">31671.1619409961*((RANDBETWEEN(1620,2416)))</f>
        <v>73793807.322520927</v>
      </c>
      <c r="B15349">
        <v>198665795.93732226</v>
      </c>
    </row>
    <row r="15350" spans="1:2" x14ac:dyDescent="0.25">
      <c r="A15350">
        <f ca="1">26164.7274119735*((RANDBETWEEN(1620,2416)))</f>
        <v>60780661.778014436</v>
      </c>
      <c r="B15350">
        <v>183077915.10881421</v>
      </c>
    </row>
    <row r="15351" spans="1:2" x14ac:dyDescent="0.25">
      <c r="A15351">
        <f ca="1">25949.4902567724*((RANDBETWEEN(1620,2416)))</f>
        <v>44295779.868310571</v>
      </c>
      <c r="B15351">
        <v>143742063.83502391</v>
      </c>
    </row>
    <row r="15352" spans="1:2" x14ac:dyDescent="0.25">
      <c r="A15352">
        <f ca="1">25808.2212452461*((RANDBETWEEN(1620,2416)))</f>
        <v>48209757.286119677</v>
      </c>
      <c r="B15352">
        <v>174063053.88323534</v>
      </c>
    </row>
    <row r="15353" spans="1:2" x14ac:dyDescent="0.25">
      <c r="A15353">
        <f ca="1">26002.5201775028*((RANDBETWEEN(1620,2416)))</f>
        <v>42254095.288442113</v>
      </c>
      <c r="B15353">
        <v>146368523.78293145</v>
      </c>
    </row>
    <row r="15354" spans="1:2" x14ac:dyDescent="0.25">
      <c r="A15354">
        <f ca="1">30688.208445274*((RANDBETWEEN(1620,2416)))</f>
        <v>58921360.214926071</v>
      </c>
      <c r="B15354">
        <v>144717360.03120732</v>
      </c>
    </row>
    <row r="15355" spans="1:2" x14ac:dyDescent="0.25">
      <c r="A15355">
        <f ca="1">25310.3487594218*((RANDBETWEEN(1620,2416)))</f>
        <v>51936835.654333606</v>
      </c>
      <c r="B15355">
        <v>179201296.16247723</v>
      </c>
    </row>
    <row r="15356" spans="1:2" x14ac:dyDescent="0.25">
      <c r="A15356">
        <f ca="1">28161.3321465573*((RANDBETWEEN(1620,2416)))</f>
        <v>61757801.397400215</v>
      </c>
      <c r="B15356">
        <v>146721524.89861599</v>
      </c>
    </row>
    <row r="15357" spans="1:2" x14ac:dyDescent="0.25">
      <c r="A15357">
        <f ca="1">25914.0222132258*((RANDBETWEEN(1620,2416)))</f>
        <v>44027923.740270704</v>
      </c>
      <c r="B15357">
        <v>146643079.87959632</v>
      </c>
    </row>
    <row r="15358" spans="1:2" x14ac:dyDescent="0.25">
      <c r="A15358">
        <f ca="1">27980.7547614196*((RANDBETWEEN(1620,2416)))</f>
        <v>50029589.513418309</v>
      </c>
      <c r="B15358">
        <v>165039869.77278751</v>
      </c>
    </row>
    <row r="15359" spans="1:2" x14ac:dyDescent="0.25">
      <c r="A15359">
        <f ca="1">26482.0242137738*((RANDBETWEEN(1620,2416)))</f>
        <v>47535233.463723883</v>
      </c>
      <c r="B15359">
        <v>170305860.25769794</v>
      </c>
    </row>
    <row r="15360" spans="1:2" x14ac:dyDescent="0.25">
      <c r="A15360">
        <f ca="1">27658.5392506697*((RANDBETWEEN(1620,2416)))</f>
        <v>59797761.859947823</v>
      </c>
      <c r="B15360">
        <v>162401898.42782927</v>
      </c>
    </row>
    <row r="15361" spans="1:2" x14ac:dyDescent="0.25">
      <c r="A15361">
        <f ca="1">27577.3623867091*((RANDBETWEEN(1620,2416)))</f>
        <v>58160657.273569591</v>
      </c>
      <c r="B15361">
        <v>195624131.35725072</v>
      </c>
    </row>
    <row r="15362" spans="1:2" x14ac:dyDescent="0.25">
      <c r="A15362">
        <f ca="1">26512.843489504*((RANDBETWEEN(1620,2416)))</f>
        <v>59972051.973258078</v>
      </c>
      <c r="B15362">
        <v>162705309.74452958</v>
      </c>
    </row>
    <row r="15363" spans="1:2" x14ac:dyDescent="0.25">
      <c r="A15363">
        <f ca="1">25269.4449311371*((RANDBETWEEN(1620,2416)))</f>
        <v>49427034.285304092</v>
      </c>
      <c r="B15363">
        <v>147706647.29040107</v>
      </c>
    </row>
    <row r="15364" spans="1:2" x14ac:dyDescent="0.25">
      <c r="A15364">
        <f ca="1">30175.7650381911*((RANDBETWEEN(1620,2416)))</f>
        <v>63188051.989972256</v>
      </c>
      <c r="B15364">
        <v>176790279.25626302</v>
      </c>
    </row>
    <row r="15365" spans="1:2" x14ac:dyDescent="0.25">
      <c r="A15365">
        <f ca="1">28897.9236366401*((RANDBETWEEN(1620,2416)))</f>
        <v>58402703.669649579</v>
      </c>
      <c r="B15365">
        <v>163175845.2789405</v>
      </c>
    </row>
    <row r="15366" spans="1:2" x14ac:dyDescent="0.25">
      <c r="A15366">
        <f ca="1">30132.043353466*((RANDBETWEEN(1620,2416)))</f>
        <v>71443074.791067988</v>
      </c>
      <c r="B15366">
        <v>179817922.40125954</v>
      </c>
    </row>
    <row r="15367" spans="1:2" x14ac:dyDescent="0.25">
      <c r="A15367">
        <f ca="1">27444.3812060854*((RANDBETWEEN(1620,2416)))</f>
        <v>56315870.234887183</v>
      </c>
      <c r="B15367">
        <v>176280431.42091855</v>
      </c>
    </row>
    <row r="15368" spans="1:2" x14ac:dyDescent="0.25">
      <c r="A15368">
        <f ca="1">26596.2965772245*((RANDBETWEEN(1620,2416)))</f>
        <v>44788163.436045997</v>
      </c>
      <c r="B15368">
        <v>148765074.24881417</v>
      </c>
    </row>
    <row r="15369" spans="1:2" x14ac:dyDescent="0.25">
      <c r="A15369">
        <f ca="1">30454.319623132*((RANDBETWEEN(1620,2416)))</f>
        <v>53843237.093697451</v>
      </c>
      <c r="B15369">
        <v>166553522.90688634</v>
      </c>
    </row>
    <row r="15370" spans="1:2" x14ac:dyDescent="0.25">
      <c r="A15370">
        <f ca="1">25030.1012102098*((RANDBETWEEN(1620,2416)))</f>
        <v>55216403.269722871</v>
      </c>
      <c r="B15370">
        <v>145299641.81263468</v>
      </c>
    </row>
    <row r="15371" spans="1:2" x14ac:dyDescent="0.25">
      <c r="A15371">
        <f ca="1">25812.6294557228*((RANDBETWEEN(1620,2416)))</f>
        <v>44294472.146020308</v>
      </c>
      <c r="B15371">
        <v>144728169.47742575</v>
      </c>
    </row>
    <row r="15372" spans="1:2" x14ac:dyDescent="0.25">
      <c r="A15372">
        <f ca="1">29580.1952254982*((RANDBETWEEN(1620,2416)))</f>
        <v>52149884.182553411</v>
      </c>
      <c r="B15372">
        <v>193881812.35829693</v>
      </c>
    </row>
    <row r="15373" spans="1:2" x14ac:dyDescent="0.25">
      <c r="A15373">
        <f ca="1">27608.5232378361*((RANDBETWEEN(1620,2416)))</f>
        <v>63168301.168168977</v>
      </c>
      <c r="B15373">
        <v>200312769.92703909</v>
      </c>
    </row>
    <row r="15374" spans="1:2" x14ac:dyDescent="0.25">
      <c r="A15374">
        <f ca="1">30712.7009690133*((RANDBETWEEN(1620,2416)))</f>
        <v>50737382.000809915</v>
      </c>
      <c r="B15374">
        <v>152758334.89075387</v>
      </c>
    </row>
    <row r="15375" spans="1:2" x14ac:dyDescent="0.25">
      <c r="A15375">
        <f ca="1">29581.4359809482*((RANDBETWEEN(1620,2416)))</f>
        <v>59310779.141801111</v>
      </c>
      <c r="B15375">
        <v>171007754.24536282</v>
      </c>
    </row>
    <row r="15376" spans="1:2" x14ac:dyDescent="0.25">
      <c r="A15376">
        <f ca="1">26137.8762403041*((RANDBETWEEN(1620,2416)))</f>
        <v>42944530.662819669</v>
      </c>
      <c r="B15376">
        <v>174075174.72924486</v>
      </c>
    </row>
    <row r="15377" spans="1:2" x14ac:dyDescent="0.25">
      <c r="A15377">
        <f ca="1">26844.0981977636*((RANDBETWEEN(1620,2416)))</f>
        <v>63217851.255733289</v>
      </c>
      <c r="B15377">
        <v>178064683.97615692</v>
      </c>
    </row>
    <row r="15378" spans="1:2" x14ac:dyDescent="0.25">
      <c r="A15378">
        <f ca="1">28216.2871214302*((RANDBETWEEN(1620,2416)))</f>
        <v>47685525.235216998</v>
      </c>
      <c r="B15378">
        <v>149978588.42146885</v>
      </c>
    </row>
    <row r="15379" spans="1:2" x14ac:dyDescent="0.25">
      <c r="A15379">
        <f ca="1">29792.6548246548*((RANDBETWEEN(1620,2416)))</f>
        <v>64977780.172572047</v>
      </c>
      <c r="B15379">
        <v>159409888.22540489</v>
      </c>
    </row>
    <row r="15380" spans="1:2" x14ac:dyDescent="0.25">
      <c r="A15380">
        <f ca="1">29581.7557931061*((RANDBETWEEN(1620,2416)))</f>
        <v>67239330.917730257</v>
      </c>
      <c r="B15380">
        <v>161471894.41183424</v>
      </c>
    </row>
    <row r="15381" spans="1:2" x14ac:dyDescent="0.25">
      <c r="A15381">
        <f ca="1">26100.5894709094*((RANDBETWEEN(1620,2416)))</f>
        <v>56429474.436106019</v>
      </c>
      <c r="B15381">
        <v>194486906.27819422</v>
      </c>
    </row>
    <row r="15382" spans="1:2" x14ac:dyDescent="0.25">
      <c r="A15382">
        <f ca="1">30826.3925138768*((RANDBETWEEN(1620,2416)))</f>
        <v>69482688.726278394</v>
      </c>
      <c r="B15382">
        <v>180850306.10647136</v>
      </c>
    </row>
    <row r="15383" spans="1:2" x14ac:dyDescent="0.25">
      <c r="A15383">
        <f ca="1">26083.5660074166*((RANDBETWEEN(1620,2416)))</f>
        <v>46950418.813349798</v>
      </c>
      <c r="B15383">
        <v>153830915.7383849</v>
      </c>
    </row>
    <row r="15384" spans="1:2" x14ac:dyDescent="0.25">
      <c r="A15384">
        <f ca="1">28881.8324979723*((RANDBETWEEN(1620,2416)))</f>
        <v>52593816.978807509</v>
      </c>
      <c r="B15384">
        <v>177393723.05461812</v>
      </c>
    </row>
    <row r="15385" spans="1:2" x14ac:dyDescent="0.25">
      <c r="A15385">
        <f ca="1">31265.0322507377*((RANDBETWEEN(1620,2416)))</f>
        <v>60654162.566431046</v>
      </c>
      <c r="B15385">
        <v>167179579.70649385</v>
      </c>
    </row>
    <row r="15386" spans="1:2" x14ac:dyDescent="0.25">
      <c r="A15386">
        <f ca="1">28096.7573995097*((RANDBETWEEN(1620,2416)))</f>
        <v>54058161.236656606</v>
      </c>
      <c r="B15386">
        <v>199530373.627893</v>
      </c>
    </row>
    <row r="15387" spans="1:2" x14ac:dyDescent="0.25">
      <c r="A15387">
        <f ca="1">32484.6873283949*((RANDBETWEEN(1620,2416)))</f>
        <v>69159899.322152823</v>
      </c>
      <c r="B15387">
        <v>146483119.70653203</v>
      </c>
    </row>
    <row r="15388" spans="1:2" x14ac:dyDescent="0.25">
      <c r="A15388">
        <f ca="1">26406.5907227441*((RANDBETWEEN(1620,2416)))</f>
        <v>61844235.472666733</v>
      </c>
      <c r="B15388">
        <v>157525222.72624955</v>
      </c>
    </row>
    <row r="15389" spans="1:2" x14ac:dyDescent="0.25">
      <c r="A15389">
        <f ca="1">25860.6723013097*((RANDBETWEEN(1620,2416)))</f>
        <v>43704536.189213373</v>
      </c>
      <c r="B15389">
        <v>172300504.95025766</v>
      </c>
    </row>
    <row r="15390" spans="1:2" x14ac:dyDescent="0.25">
      <c r="A15390">
        <f ca="1">28366.3765473468*((RANDBETWEEN(1620,2416)))</f>
        <v>55456266.150062956</v>
      </c>
      <c r="B15390">
        <v>167629602.23097742</v>
      </c>
    </row>
    <row r="15391" spans="1:2" x14ac:dyDescent="0.25">
      <c r="A15391">
        <f ca="1">30631.5106962593*((RANDBETWEEN(1620,2416)))</f>
        <v>60834180.242771067</v>
      </c>
      <c r="B15391">
        <v>195389159.47099093</v>
      </c>
    </row>
    <row r="15392" spans="1:2" x14ac:dyDescent="0.25">
      <c r="A15392">
        <f ca="1">27028.63479325*((RANDBETWEEN(1620,2416)))</f>
        <v>51543606.55072768</v>
      </c>
      <c r="B15392">
        <v>165147010.42026407</v>
      </c>
    </row>
    <row r="15393" spans="1:2" x14ac:dyDescent="0.25">
      <c r="A15393">
        <f ca="1">27385.2337291018*((RANDBETWEEN(1620,2416)))</f>
        <v>58713941.115194358</v>
      </c>
      <c r="B15393">
        <v>176377276.26001403</v>
      </c>
    </row>
    <row r="15394" spans="1:2" x14ac:dyDescent="0.25">
      <c r="A15394">
        <f ca="1">28442.5808364944*((RANDBETWEEN(1620,2416)))</f>
        <v>53870248.10432031</v>
      </c>
      <c r="B15394">
        <v>148090371.42481068</v>
      </c>
    </row>
    <row r="15395" spans="1:2" x14ac:dyDescent="0.25">
      <c r="A15395">
        <f ca="1">28267.6476720691*((RANDBETWEEN(1620,2416)))</f>
        <v>61736542.515799023</v>
      </c>
      <c r="B15395">
        <v>201636477.03415629</v>
      </c>
    </row>
    <row r="15396" spans="1:2" x14ac:dyDescent="0.25">
      <c r="A15396">
        <f ca="1">28122.0263597585*((RANDBETWEEN(1620,2416)))</f>
        <v>60715454.910718702</v>
      </c>
      <c r="B15396">
        <v>173622620.39898336</v>
      </c>
    </row>
    <row r="15397" spans="1:2" x14ac:dyDescent="0.25">
      <c r="A15397">
        <f ca="1">30316.7572016313*((RANDBETWEEN(1620,2416)))</f>
        <v>73002751.341528252</v>
      </c>
      <c r="B15397">
        <v>161319527.81123188</v>
      </c>
    </row>
    <row r="15398" spans="1:2" x14ac:dyDescent="0.25">
      <c r="A15398">
        <f ca="1">26384.5339583608*((RANDBETWEEN(1620,2416)))</f>
        <v>45486936.544214092</v>
      </c>
      <c r="B15398">
        <v>196400577.06581327</v>
      </c>
    </row>
    <row r="15399" spans="1:2" x14ac:dyDescent="0.25">
      <c r="A15399">
        <f ca="1">27363.091326848*((RANDBETWEEN(1620,2416)))</f>
        <v>45067011.41531866</v>
      </c>
      <c r="B15399">
        <v>149393765.41477722</v>
      </c>
    </row>
    <row r="15400" spans="1:2" x14ac:dyDescent="0.25">
      <c r="A15400">
        <f ca="1">34902.0369946445*((RANDBETWEEN(1620,2416)))</f>
        <v>83764888.787146822</v>
      </c>
      <c r="B15400">
        <v>156713625.18278918</v>
      </c>
    </row>
    <row r="15401" spans="1:2" x14ac:dyDescent="0.25">
      <c r="A15401">
        <f ca="1">29965.2491867455*((RANDBETWEEN(1620,2416)))</f>
        <v>71706841.303882092</v>
      </c>
      <c r="B15401">
        <v>189724172.99987549</v>
      </c>
    </row>
    <row r="15402" spans="1:2" x14ac:dyDescent="0.25">
      <c r="A15402">
        <f ca="1">28566.084203437*((RANDBETWEEN(1620,2416)))</f>
        <v>47105472.851467609</v>
      </c>
      <c r="B15402">
        <v>151612498.91854867</v>
      </c>
    </row>
    <row r="15403" spans="1:2" x14ac:dyDescent="0.25">
      <c r="A15403">
        <f ca="1">28367.5609774691*((RANDBETWEEN(1620,2416)))</f>
        <v>68082146.345925882</v>
      </c>
      <c r="B15403">
        <v>180562659.07403332</v>
      </c>
    </row>
    <row r="15404" spans="1:2" x14ac:dyDescent="0.25">
      <c r="A15404">
        <f ca="1">30282.8990014057*((RANDBETWEEN(1620,2416)))</f>
        <v>58869955.658732757</v>
      </c>
      <c r="B15404">
        <v>155006501.87607348</v>
      </c>
    </row>
    <row r="15405" spans="1:2" x14ac:dyDescent="0.25">
      <c r="A15405">
        <f ca="1">33511.7796629179*((RANDBETWEEN(1620,2416)))</f>
        <v>75166921.783924893</v>
      </c>
      <c r="B15405">
        <v>197395828.80778325</v>
      </c>
    </row>
    <row r="15406" spans="1:2" x14ac:dyDescent="0.25">
      <c r="A15406">
        <f ca="1">26523.8626978194*((RANDBETWEEN(1620,2416)))</f>
        <v>44241802.979962796</v>
      </c>
      <c r="B15406">
        <v>162813877.39756736</v>
      </c>
    </row>
    <row r="15407" spans="1:2" x14ac:dyDescent="0.25">
      <c r="A15407">
        <f ca="1">28441.7088183421*((RANDBETWEEN(1620,2416)))</f>
        <v>60779931.744797118</v>
      </c>
      <c r="B15407">
        <v>153706610.75436351</v>
      </c>
    </row>
    <row r="15408" spans="1:2" x14ac:dyDescent="0.25">
      <c r="A15408">
        <f ca="1">30240.6087396438*((RANDBETWEEN(1620,2416)))</f>
        <v>72063370.626571208</v>
      </c>
      <c r="B15408">
        <v>156076549.52850637</v>
      </c>
    </row>
    <row r="15409" spans="1:2" x14ac:dyDescent="0.25">
      <c r="A15409">
        <f ca="1">27860.9515298403*((RANDBETWEEN(1620,2416)))</f>
        <v>49508910.868526123</v>
      </c>
      <c r="B15409">
        <v>193928778.42520091</v>
      </c>
    </row>
    <row r="15410" spans="1:2" x14ac:dyDescent="0.25">
      <c r="A15410">
        <f ca="1">26144.5728007987*((RANDBETWEEN(1620,2416)))</f>
        <v>43426135.422126636</v>
      </c>
      <c r="B15410">
        <v>160224735.68821523</v>
      </c>
    </row>
    <row r="15411" spans="1:2" x14ac:dyDescent="0.25">
      <c r="A15411">
        <f ca="1">29148.4794253333*((RANDBETWEEN(1620,2416)))</f>
        <v>54391062.607672028</v>
      </c>
      <c r="B15411">
        <v>161518801.07397541</v>
      </c>
    </row>
    <row r="15412" spans="1:2" x14ac:dyDescent="0.25">
      <c r="A15412">
        <f ca="1">27630.9620559111*((RANDBETWEEN(1620,2416)))</f>
        <v>51006755.955211893</v>
      </c>
      <c r="B15412">
        <v>144774675.49714214</v>
      </c>
    </row>
    <row r="15413" spans="1:2" x14ac:dyDescent="0.25">
      <c r="A15413">
        <f ca="1">27419.6345042811*((RANDBETWEEN(1620,2416)))</f>
        <v>47710164.037449136</v>
      </c>
      <c r="B15413">
        <v>148328543.22289312</v>
      </c>
    </row>
    <row r="15414" spans="1:2" x14ac:dyDescent="0.25">
      <c r="A15414">
        <f ca="1">27239.3836088946*((RANDBETWEEN(1620,2416)))</f>
        <v>54342570.299744733</v>
      </c>
      <c r="B15414">
        <v>147508248.77047393</v>
      </c>
    </row>
    <row r="15415" spans="1:2" x14ac:dyDescent="0.25">
      <c r="A15415">
        <f ca="1">25941.3701429892*((RANDBETWEEN(1620,2416)))</f>
        <v>53517046.604986757</v>
      </c>
      <c r="B15415">
        <v>183386396.14832717</v>
      </c>
    </row>
    <row r="15416" spans="1:2" x14ac:dyDescent="0.25">
      <c r="A15416">
        <f ca="1">27876.9321707004*((RANDBETWEEN(1620,2416)))</f>
        <v>59266357.794908963</v>
      </c>
      <c r="B15416">
        <v>195240190.33874246</v>
      </c>
    </row>
    <row r="15417" spans="1:2" x14ac:dyDescent="0.25">
      <c r="A15417">
        <f ca="1">28090.5332176236*((RANDBETWEEN(1620,2416)))</f>
        <v>49973058.594152354</v>
      </c>
      <c r="B15417">
        <v>193988129.46381003</v>
      </c>
    </row>
    <row r="15418" spans="1:2" x14ac:dyDescent="0.25">
      <c r="A15418">
        <f ca="1">30855.337641369*((RANDBETWEEN(1620,2416)))</f>
        <v>54768224.313429922</v>
      </c>
      <c r="B15418">
        <v>201332896.86407572</v>
      </c>
    </row>
    <row r="15419" spans="1:2" x14ac:dyDescent="0.25">
      <c r="A15419">
        <f ca="1">25622.9299865026*((RANDBETWEEN(1620,2416)))</f>
        <v>57062265.079941265</v>
      </c>
      <c r="B15419">
        <v>154474418.91719505</v>
      </c>
    </row>
    <row r="15420" spans="1:2" x14ac:dyDescent="0.25">
      <c r="A15420">
        <f ca="1">28424.02386246*((RANDBETWEEN(1620,2416)))</f>
        <v>67109120.339268044</v>
      </c>
      <c r="B15420">
        <v>161809642.00283343</v>
      </c>
    </row>
    <row r="15421" spans="1:2" x14ac:dyDescent="0.25">
      <c r="A15421">
        <f ca="1">26505.8250159939*((RANDBETWEEN(1620,2416)))</f>
        <v>59373048.035826363</v>
      </c>
      <c r="B15421">
        <v>146566326.95462915</v>
      </c>
    </row>
    <row r="15422" spans="1:2" x14ac:dyDescent="0.25">
      <c r="A15422">
        <f ca="1">26992.4770123711*((RANDBETWEEN(1620,2416)))</f>
        <v>47533752.018785447</v>
      </c>
      <c r="B15422">
        <v>179817914.1849336</v>
      </c>
    </row>
    <row r="15423" spans="1:2" x14ac:dyDescent="0.25">
      <c r="A15423">
        <f ca="1">27583.7397657106*((RANDBETWEEN(1620,2416)))</f>
        <v>60684227.484563276</v>
      </c>
      <c r="B15423">
        <v>175482238.14520827</v>
      </c>
    </row>
    <row r="15424" spans="1:2" x14ac:dyDescent="0.25">
      <c r="A15424">
        <f ca="1">32223.9463302466*((RANDBETWEEN(1620,2416)))</f>
        <v>77401919.0852523</v>
      </c>
      <c r="B15424">
        <v>176974691.54770526</v>
      </c>
    </row>
    <row r="15425" spans="1:2" x14ac:dyDescent="0.25">
      <c r="A15425">
        <f ca="1">27910.0360037546*((RANDBETWEEN(1620,2416)))</f>
        <v>52833698.155107491</v>
      </c>
      <c r="B15425">
        <v>189326211.44148013</v>
      </c>
    </row>
    <row r="15426" spans="1:2" x14ac:dyDescent="0.25">
      <c r="A15426">
        <f ca="1">28950.1772054799*((RANDBETWEEN(1620,2416)))</f>
        <v>49794304.793425485</v>
      </c>
      <c r="B15426">
        <v>172731310.54162714</v>
      </c>
    </row>
    <row r="15427" spans="1:2" x14ac:dyDescent="0.25">
      <c r="A15427">
        <f ca="1">28393.3984813419*((RANDBETWEEN(1620,2416)))</f>
        <v>56133748.797612995</v>
      </c>
      <c r="B15427">
        <v>144899726.41634792</v>
      </c>
    </row>
    <row r="15428" spans="1:2" x14ac:dyDescent="0.25">
      <c r="A15428">
        <f ca="1">26081.2337744457*((RANDBETWEEN(1620,2416)))</f>
        <v>56909252.095840566</v>
      </c>
      <c r="B15428">
        <v>172927068.52395472</v>
      </c>
    </row>
    <row r="15429" spans="1:2" x14ac:dyDescent="0.25">
      <c r="A15429">
        <f ca="1">29286.2846831542*((RANDBETWEEN(1620,2416)))</f>
        <v>57371831.694299161</v>
      </c>
      <c r="B15429">
        <v>160175976.70544237</v>
      </c>
    </row>
    <row r="15430" spans="1:2" x14ac:dyDescent="0.25">
      <c r="A15430">
        <f ca="1">26806.3711273773*((RANDBETWEEN(1620,2416)))</f>
        <v>58813178.253465697</v>
      </c>
      <c r="B15430">
        <v>172410936.69287992</v>
      </c>
    </row>
    <row r="15431" spans="1:2" x14ac:dyDescent="0.25">
      <c r="A15431">
        <f ca="1">28274.4517832186*((RANDBETWEEN(1620,2416)))</f>
        <v>47331432.285107955</v>
      </c>
      <c r="B15431">
        <v>191631782.03551733</v>
      </c>
    </row>
    <row r="15432" spans="1:2" x14ac:dyDescent="0.25">
      <c r="A15432">
        <f ca="1">27033.3752564435*((RANDBETWEEN(1620,2416)))</f>
        <v>46362238.564800546</v>
      </c>
      <c r="B15432">
        <v>146653599.46233833</v>
      </c>
    </row>
    <row r="15433" spans="1:2" x14ac:dyDescent="0.25">
      <c r="A15433">
        <f ca="1">32711.8779841144*((RANDBETWEEN(1620,2416)))</f>
        <v>72522233.49078159</v>
      </c>
      <c r="B15433">
        <v>188525594.00312105</v>
      </c>
    </row>
    <row r="15434" spans="1:2" x14ac:dyDescent="0.25">
      <c r="A15434">
        <f ca="1">26315.1471941123*((RANDBETWEEN(1620,2416)))</f>
        <v>51761894.530818887</v>
      </c>
      <c r="B15434">
        <v>198775617.3519209</v>
      </c>
    </row>
    <row r="15435" spans="1:2" x14ac:dyDescent="0.25">
      <c r="A15435">
        <f ca="1">26994.1560354811*((RANDBETWEEN(1620,2416)))</f>
        <v>47644685.402624138</v>
      </c>
      <c r="B15435">
        <v>187554815.94748068</v>
      </c>
    </row>
    <row r="15436" spans="1:2" x14ac:dyDescent="0.25">
      <c r="A15436">
        <f ca="1">27180.4943367699*((RANDBETWEEN(1620,2416)))</f>
        <v>46533006.304550007</v>
      </c>
      <c r="B15436">
        <v>186629936.27489763</v>
      </c>
    </row>
    <row r="15437" spans="1:2" x14ac:dyDescent="0.25">
      <c r="A15437">
        <f ca="1">26066.9670933879*((RANDBETWEEN(1620,2416)))</f>
        <v>44809116.433533832</v>
      </c>
      <c r="B15437">
        <v>143945085.61186159</v>
      </c>
    </row>
    <row r="15438" spans="1:2" x14ac:dyDescent="0.25">
      <c r="A15438">
        <f ca="1">27670.212346821*((RANDBETWEEN(1620,2416)))</f>
        <v>61261850.135861784</v>
      </c>
      <c r="B15438">
        <v>179735968.93101826</v>
      </c>
    </row>
    <row r="15439" spans="1:2" x14ac:dyDescent="0.25">
      <c r="A15439">
        <f ca="1">33089.4796607645*((RANDBETWEEN(1620,2416)))</f>
        <v>61281716.331735939</v>
      </c>
      <c r="B15439">
        <v>198811514.43822131</v>
      </c>
    </row>
    <row r="15440" spans="1:2" x14ac:dyDescent="0.25">
      <c r="A15440">
        <f ca="1">26973.1990351752*((RANDBETWEEN(1620,2416)))</f>
        <v>43777502.03408929</v>
      </c>
      <c r="B15440">
        <v>183562272.76214078</v>
      </c>
    </row>
    <row r="15441" spans="1:2" x14ac:dyDescent="0.25">
      <c r="A15441">
        <f ca="1">28707.8468755969*((RANDBETWEEN(1620,2416)))</f>
        <v>54717156.144887783</v>
      </c>
      <c r="B15441">
        <v>166880694.31003171</v>
      </c>
    </row>
    <row r="15442" spans="1:2" x14ac:dyDescent="0.25">
      <c r="A15442">
        <f ca="1">30485.840633007*((RANDBETWEEN(1620,2416)))</f>
        <v>50027264.47876443</v>
      </c>
      <c r="B15442">
        <v>191500132.27412403</v>
      </c>
    </row>
    <row r="15443" spans="1:2" x14ac:dyDescent="0.25">
      <c r="A15443">
        <f ca="1">26815.6107072952*((RANDBETWEEN(1620,2416)))</f>
        <v>57519484.967148267</v>
      </c>
      <c r="B15443">
        <v>183530121.82768768</v>
      </c>
    </row>
    <row r="15444" spans="1:2" x14ac:dyDescent="0.25">
      <c r="A15444">
        <f ca="1">27857.7347919285*((RANDBETWEEN(1620,2416)))</f>
        <v>51787528.978194989</v>
      </c>
      <c r="B15444">
        <v>178348918.20400113</v>
      </c>
    </row>
    <row r="15445" spans="1:2" x14ac:dyDescent="0.25">
      <c r="A15445">
        <f ca="1">26275.4998143979*((RANDBETWEEN(1620,2416)))</f>
        <v>63245128.053255759</v>
      </c>
      <c r="B15445">
        <v>160524503.77817205</v>
      </c>
    </row>
    <row r="15446" spans="1:2" x14ac:dyDescent="0.25">
      <c r="A15446">
        <f ca="1">28670.4975436866*((RANDBETWEEN(1620,2416)))</f>
        <v>56251516.180713169</v>
      </c>
      <c r="B15446">
        <v>152120094.12309259</v>
      </c>
    </row>
    <row r="15447" spans="1:2" x14ac:dyDescent="0.25">
      <c r="A15447">
        <f ca="1">29820.7334295283*((RANDBETWEEN(1620,2416)))</f>
        <v>65605613.544962302</v>
      </c>
      <c r="B15447">
        <v>185776494.35290653</v>
      </c>
    </row>
    <row r="15448" spans="1:2" x14ac:dyDescent="0.25">
      <c r="A15448">
        <f ca="1">25901.8368248642*((RANDBETWEEN(1620,2416)))</f>
        <v>46001662.200958759</v>
      </c>
      <c r="B15448">
        <v>166857037.08990592</v>
      </c>
    </row>
    <row r="15449" spans="1:2" x14ac:dyDescent="0.25">
      <c r="A15449">
        <f ca="1">28472.4617385634*((RANDBETWEEN(1620,2416)))</f>
        <v>64205401.220460378</v>
      </c>
      <c r="B15449">
        <v>158761994.8217611</v>
      </c>
    </row>
    <row r="15450" spans="1:2" x14ac:dyDescent="0.25">
      <c r="A15450">
        <f ca="1">25556.899553778*((RANDBETWEEN(1620,2416)))</f>
        <v>49145917.841915026</v>
      </c>
      <c r="B15450">
        <v>159461981.0390535</v>
      </c>
    </row>
    <row r="15451" spans="1:2" x14ac:dyDescent="0.25">
      <c r="A15451">
        <f ca="1">32149.9377739732*((RANDBETWEEN(1620,2416)))</f>
        <v>74523555.760069966</v>
      </c>
      <c r="B15451">
        <v>200557796.69138664</v>
      </c>
    </row>
    <row r="15452" spans="1:2" x14ac:dyDescent="0.25">
      <c r="A15452">
        <f ca="1">28705.3952796256*((RANDBETWEEN(1620,2416)))</f>
        <v>58817354.927952848</v>
      </c>
      <c r="B15452">
        <v>148506117.20619845</v>
      </c>
    </row>
    <row r="15453" spans="1:2" x14ac:dyDescent="0.25">
      <c r="A15453">
        <f ca="1">27193.2552289836*((RANDBETWEEN(1620,2416)))</f>
        <v>44379392.533701263</v>
      </c>
      <c r="B15453">
        <v>144535468.83904257</v>
      </c>
    </row>
    <row r="15454" spans="1:2" x14ac:dyDescent="0.25">
      <c r="A15454">
        <f ca="1">26597.7173600983*((RANDBETWEEN(1620,2416)))</f>
        <v>44950142.338566124</v>
      </c>
      <c r="B15454">
        <v>173519692.83488116</v>
      </c>
    </row>
    <row r="15455" spans="1:2" x14ac:dyDescent="0.25">
      <c r="A15455">
        <f ca="1">28936.3299739212*((RANDBETWEEN(1620,2416)))</f>
        <v>69591873.587280586</v>
      </c>
      <c r="B15455">
        <v>177739739.53998351</v>
      </c>
    </row>
    <row r="15456" spans="1:2" x14ac:dyDescent="0.25">
      <c r="A15456">
        <f ca="1">32045.1820553029*((RANDBETWEEN(1620,2416)))</f>
        <v>61110162.179462671</v>
      </c>
      <c r="B15456">
        <v>184269280.02288601</v>
      </c>
    </row>
    <row r="15457" spans="1:2" x14ac:dyDescent="0.25">
      <c r="A15457">
        <f ca="1">26993.6628037927*((RANDBETWEEN(1620,2416)))</f>
        <v>48399637.407200262</v>
      </c>
      <c r="B15457">
        <v>168547350.27662629</v>
      </c>
    </row>
    <row r="15458" spans="1:2" x14ac:dyDescent="0.25">
      <c r="A15458">
        <f ca="1">28090.2549538035*((RANDBETWEEN(1620,2416)))</f>
        <v>55674885.318438478</v>
      </c>
      <c r="B15458">
        <v>155945971.0495289</v>
      </c>
    </row>
    <row r="15459" spans="1:2" x14ac:dyDescent="0.25">
      <c r="A15459">
        <f ca="1">26157.2058733479*((RANDBETWEEN(1620,2416)))</f>
        <v>48443145.277440317</v>
      </c>
      <c r="B15459">
        <v>162411320.31671435</v>
      </c>
    </row>
    <row r="15460" spans="1:2" x14ac:dyDescent="0.25">
      <c r="A15460">
        <f ca="1">26595.1737104846*((RANDBETWEEN(1620,2416)))</f>
        <v>57897693.167725019</v>
      </c>
      <c r="B15460">
        <v>200807151.07299575</v>
      </c>
    </row>
    <row r="15461" spans="1:2" x14ac:dyDescent="0.25">
      <c r="A15461">
        <f ca="1">26622.0420532479*((RANDBETWEEN(1620,2416)))</f>
        <v>60645011.797298685</v>
      </c>
      <c r="B15461">
        <v>185612186.62186563</v>
      </c>
    </row>
    <row r="15462" spans="1:2" x14ac:dyDescent="0.25">
      <c r="A15462">
        <f ca="1">28124.3987425687*((RANDBETWEEN(1620,2416)))</f>
        <v>50764539.730336592</v>
      </c>
      <c r="B15462">
        <v>143866285.07636416</v>
      </c>
    </row>
    <row r="15463" spans="1:2" x14ac:dyDescent="0.25">
      <c r="A15463">
        <f ca="1">28318.6866854757*((RANDBETWEEN(1620,2416)))</f>
        <v>57118791.04460445</v>
      </c>
      <c r="B15463">
        <v>159773749.39323616</v>
      </c>
    </row>
    <row r="15464" spans="1:2" x14ac:dyDescent="0.25">
      <c r="A15464">
        <f ca="1">29533.0965581537*((RANDBETWEEN(1620,2416)))</f>
        <v>60808645.813238487</v>
      </c>
      <c r="B15464">
        <v>165710093.36970979</v>
      </c>
    </row>
    <row r="15465" spans="1:2" x14ac:dyDescent="0.25">
      <c r="A15465">
        <f ca="1">28137.0680054941*((RANDBETWEEN(1620,2416)))</f>
        <v>67416414.941163823</v>
      </c>
      <c r="B15465">
        <v>149293998.74325389</v>
      </c>
    </row>
    <row r="15466" spans="1:2" x14ac:dyDescent="0.25">
      <c r="A15466">
        <f ca="1">31711.3266051178*((RANDBETWEEN(1620,2416)))</f>
        <v>62185911.472636022</v>
      </c>
      <c r="B15466">
        <v>163465277.5218311</v>
      </c>
    </row>
    <row r="15467" spans="1:2" x14ac:dyDescent="0.25">
      <c r="A15467">
        <f ca="1">27749.70906676*((RANDBETWEEN(1620,2416)))</f>
        <v>47285504.249759093</v>
      </c>
      <c r="B15467">
        <v>188933646.9633916</v>
      </c>
    </row>
    <row r="15468" spans="1:2" x14ac:dyDescent="0.25">
      <c r="A15468">
        <f ca="1">24935.0027161396*((RANDBETWEEN(1620,2416)))</f>
        <v>45705859.978683963</v>
      </c>
      <c r="B15468">
        <v>184477180.33333147</v>
      </c>
    </row>
    <row r="15469" spans="1:2" x14ac:dyDescent="0.25">
      <c r="A15469">
        <f ca="1">26687.2808100271*((RANDBETWEEN(1620,2416)))</f>
        <v>52440506.791703351</v>
      </c>
      <c r="B15469">
        <v>160670492.46506286</v>
      </c>
    </row>
    <row r="15470" spans="1:2" x14ac:dyDescent="0.25">
      <c r="A15470">
        <f ca="1">28178.4442212186*((RANDBETWEEN(1620,2416)))</f>
        <v>68079121.238464162</v>
      </c>
      <c r="B15470">
        <v>143397156.82790053</v>
      </c>
    </row>
    <row r="15471" spans="1:2" x14ac:dyDescent="0.25">
      <c r="A15471">
        <f ca="1">27445.2242751259*((RANDBETWEEN(1620,2416)))</f>
        <v>64221824.803794503</v>
      </c>
      <c r="B15471">
        <v>179228723.63388479</v>
      </c>
    </row>
    <row r="15472" spans="1:2" x14ac:dyDescent="0.25">
      <c r="A15472">
        <f ca="1">29455.7747616821*((RANDBETWEEN(1620,2416)))</f>
        <v>58204610.929083876</v>
      </c>
      <c r="B15472">
        <v>174411771.5492574</v>
      </c>
    </row>
    <row r="15473" spans="1:2" x14ac:dyDescent="0.25">
      <c r="A15473">
        <f ca="1">29129.9824031279*((RANDBETWEEN(1620,2416)))</f>
        <v>55900436.231602378</v>
      </c>
      <c r="B15473">
        <v>171122063.14351475</v>
      </c>
    </row>
    <row r="15474" spans="1:2" x14ac:dyDescent="0.25">
      <c r="A15474">
        <f ca="1">29292.2044275306*((RANDBETWEEN(1620,2416)))</f>
        <v>54395623.621924415</v>
      </c>
      <c r="B15474">
        <v>143721283.55932879</v>
      </c>
    </row>
    <row r="15475" spans="1:2" x14ac:dyDescent="0.25">
      <c r="A15475">
        <f ca="1">26599.1280198355*((RANDBETWEEN(1620,2416)))</f>
        <v>52772669.991353564</v>
      </c>
      <c r="B15475">
        <v>180240422.57648224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22684-E111-4FAA-98D5-FF3E9E054970}">
  <dimension ref="A1:B8715"/>
  <sheetViews>
    <sheetView topLeftCell="A8700" workbookViewId="0">
      <selection activeCell="A8715" sqref="A1:A8715"/>
    </sheetView>
  </sheetViews>
  <sheetFormatPr defaultRowHeight="13.8" x14ac:dyDescent="0.25"/>
  <sheetData>
    <row r="1" spans="1:2" x14ac:dyDescent="0.25">
      <c r="A1">
        <f ca="1">26070.4312836876*((RANDBETWEEN(1587,2416)))</f>
        <v>43381197.656056128</v>
      </c>
      <c r="B1">
        <v>232199690.83408156</v>
      </c>
    </row>
    <row r="2" spans="1:2" x14ac:dyDescent="0.25">
      <c r="A2">
        <f ca="1">27110.0414485774*((RANDBETWEEN(1587,2416)))</f>
        <v>47713672.94949618</v>
      </c>
      <c r="B2">
        <v>219671426.86524063</v>
      </c>
    </row>
    <row r="3" spans="1:2" x14ac:dyDescent="0.25">
      <c r="A3">
        <f ca="1">29551.6406200519*((RANDBETWEEN(1587,2416)))</f>
        <v>55025154.834536612</v>
      </c>
      <c r="B3">
        <v>246907568.21112758</v>
      </c>
    </row>
    <row r="4" spans="1:2" x14ac:dyDescent="0.25">
      <c r="A4">
        <f ca="1">29575.3372087235*((RANDBETWEEN(1587,2416)))</f>
        <v>66012152.649870753</v>
      </c>
      <c r="B4">
        <v>232557679.48313206</v>
      </c>
    </row>
    <row r="5" spans="1:2" x14ac:dyDescent="0.25">
      <c r="A5">
        <f ca="1">32665.0538339566*((RANDBETWEEN(1587,2416)))</f>
        <v>55922572.163733751</v>
      </c>
      <c r="B5">
        <v>205821270.72427288</v>
      </c>
    </row>
    <row r="6" spans="1:2" x14ac:dyDescent="0.25">
      <c r="A6">
        <f ca="1">28154.3360973696*((RANDBETWEEN(1587,2416)))</f>
        <v>66782085.222960792</v>
      </c>
      <c r="B6">
        <v>240477115.12409532</v>
      </c>
    </row>
    <row r="7" spans="1:2" x14ac:dyDescent="0.25">
      <c r="A7">
        <f ca="1">26992.1633378354*((RANDBETWEEN(1587,2416)))</f>
        <v>51393078.995238602</v>
      </c>
      <c r="B7">
        <v>236468276.0079484</v>
      </c>
    </row>
    <row r="8" spans="1:2" x14ac:dyDescent="0.25">
      <c r="A8">
        <f ca="1">30772.8882632249*((RANDBETWEEN(1587,2416)))</f>
        <v>61730413.856029212</v>
      </c>
      <c r="B8">
        <v>225862428.82400352</v>
      </c>
    </row>
    <row r="9" spans="1:2" x14ac:dyDescent="0.25">
      <c r="A9">
        <f ca="1">33075.7286943453*((RANDBETWEEN(1587,2416)))</f>
        <v>55071088.27608496</v>
      </c>
      <c r="B9">
        <v>262193188.65965262</v>
      </c>
    </row>
    <row r="10" spans="1:2" x14ac:dyDescent="0.25">
      <c r="A10">
        <f ca="1">30193.1902730722*((RANDBETWEEN(1587,2416)))</f>
        <v>48520456.768827103</v>
      </c>
      <c r="B10">
        <v>240862782.93492097</v>
      </c>
    </row>
    <row r="11" spans="1:2" x14ac:dyDescent="0.25">
      <c r="A11">
        <f ca="1">25897.6009590814*((RANDBETWEEN(1587,2416)))</f>
        <v>52002382.72583548</v>
      </c>
      <c r="B11">
        <v>207529636.40724352</v>
      </c>
    </row>
    <row r="12" spans="1:2" x14ac:dyDescent="0.25">
      <c r="A12">
        <f ca="1">32859.5127861315*((RANDBETWEEN(1587,2416)))</f>
        <v>74065341.819940597</v>
      </c>
      <c r="B12">
        <v>263195218.35545534</v>
      </c>
    </row>
    <row r="13" spans="1:2" x14ac:dyDescent="0.25">
      <c r="A13">
        <f ca="1">28078.8283657721*((RANDBETWEEN(1587,2416)))</f>
        <v>54107902.26084289</v>
      </c>
      <c r="B13">
        <v>207789927.7130039</v>
      </c>
    </row>
    <row r="14" spans="1:2" x14ac:dyDescent="0.25">
      <c r="A14">
        <f ca="1">26858.7726458361*((RANDBETWEEN(1587,2416)))</f>
        <v>48775531.124838412</v>
      </c>
      <c r="B14">
        <v>265086333.90719154</v>
      </c>
    </row>
    <row r="15" spans="1:2" x14ac:dyDescent="0.25">
      <c r="A15">
        <f ca="1">28974.1956935734*((RANDBETWEEN(1587,2416)))</f>
        <v>50096384.35418833</v>
      </c>
      <c r="B15">
        <v>242351017.01313755</v>
      </c>
    </row>
    <row r="16" spans="1:2" x14ac:dyDescent="0.25">
      <c r="A16">
        <f ca="1">30202.6619193875*((RANDBETWEEN(1587,2416)))</f>
        <v>57536070.956433192</v>
      </c>
      <c r="B16">
        <v>213825617.7063117</v>
      </c>
    </row>
    <row r="17" spans="1:2" x14ac:dyDescent="0.25">
      <c r="A17">
        <f ca="1">27100.8452294023*((RANDBETWEEN(1587,2416)))</f>
        <v>49106731.555676959</v>
      </c>
      <c r="B17">
        <v>247910158.23870477</v>
      </c>
    </row>
    <row r="18" spans="1:2" x14ac:dyDescent="0.25">
      <c r="A18">
        <f ca="1">33422.1485522857*((RANDBETWEEN(1587,2416)))</f>
        <v>60661199.622398503</v>
      </c>
      <c r="B18">
        <v>239921296.44479346</v>
      </c>
    </row>
    <row r="19" spans="1:2" x14ac:dyDescent="0.25">
      <c r="A19">
        <f ca="1">27110.8496961769*((RANDBETWEEN(1587,2416)))</f>
        <v>63520720.83814247</v>
      </c>
      <c r="B19">
        <v>238997756.16378245</v>
      </c>
    </row>
    <row r="20" spans="1:2" x14ac:dyDescent="0.25">
      <c r="A20">
        <f ca="1">27482.7424671317*((RANDBETWEEN(1587,2416)))</f>
        <v>47655075.438006289</v>
      </c>
      <c r="B20">
        <v>241739739.70478952</v>
      </c>
    </row>
    <row r="21" spans="1:2" x14ac:dyDescent="0.25">
      <c r="A21">
        <f ca="1">29892.8546158854*((RANDBETWEEN(1587,2416)))</f>
        <v>72011886.769667879</v>
      </c>
      <c r="B21">
        <v>232103594.97444355</v>
      </c>
    </row>
    <row r="22" spans="1:2" x14ac:dyDescent="0.25">
      <c r="A22">
        <f ca="1">29488.2284889119*((RANDBETWEEN(1587,2416)))</f>
        <v>49068412.205549337</v>
      </c>
      <c r="B22">
        <v>249823398.15730259</v>
      </c>
    </row>
    <row r="23" spans="1:2" x14ac:dyDescent="0.25">
      <c r="A23">
        <f ca="1">31544.4950335584*((RANDBETWEEN(1587,2416)))</f>
        <v>71858359.686445981</v>
      </c>
      <c r="B23">
        <v>212669882.91927734</v>
      </c>
    </row>
    <row r="24" spans="1:2" x14ac:dyDescent="0.25">
      <c r="A24">
        <f ca="1">28075.4424828117*((RANDBETWEEN(1587,2416)))</f>
        <v>59632239.833492018</v>
      </c>
      <c r="B24">
        <v>263792548.6497404</v>
      </c>
    </row>
    <row r="25" spans="1:2" x14ac:dyDescent="0.25">
      <c r="A25">
        <f ca="1">29103.8179348745*((RANDBETWEEN(1587,2416)))</f>
        <v>54016686.087127045</v>
      </c>
      <c r="B25">
        <v>241629381.24722648</v>
      </c>
    </row>
    <row r="26" spans="1:2" x14ac:dyDescent="0.25">
      <c r="A26">
        <f ca="1">27421.4388772233*((RANDBETWEEN(1587,2416)))</f>
        <v>55555835.165254377</v>
      </c>
      <c r="B26">
        <v>249615177.91499415</v>
      </c>
    </row>
    <row r="27" spans="1:2" x14ac:dyDescent="0.25">
      <c r="A27">
        <f ca="1">30334.3385401033*((RANDBETWEEN(1587,2416)))</f>
        <v>49444971.820368372</v>
      </c>
      <c r="B27">
        <v>207470144.75022432</v>
      </c>
    </row>
    <row r="28" spans="1:2" x14ac:dyDescent="0.25">
      <c r="A28">
        <f ca="1">29787.6966824977*((RANDBETWEEN(1587,2416)))</f>
        <v>52575284.644608416</v>
      </c>
      <c r="B28">
        <v>252609536.76579845</v>
      </c>
    </row>
    <row r="29" spans="1:2" x14ac:dyDescent="0.25">
      <c r="A29">
        <f ca="1">30680.1542899898*((RANDBETWEEN(1587,2416)))</f>
        <v>52463063.835882507</v>
      </c>
      <c r="B29">
        <v>235052794.24047273</v>
      </c>
    </row>
    <row r="30" spans="1:2" x14ac:dyDescent="0.25">
      <c r="A30">
        <f ca="1">29790.1213043146*((RANDBETWEEN(1587,2416)))</f>
        <v>48587687.847337104</v>
      </c>
      <c r="B30">
        <v>244553939.91934848</v>
      </c>
    </row>
    <row r="31" spans="1:2" x14ac:dyDescent="0.25">
      <c r="A31">
        <f ca="1">31791.3252607848*((RANDBETWEEN(1587,2416)))</f>
        <v>65839834.615085363</v>
      </c>
      <c r="B31">
        <v>242623636.69499075</v>
      </c>
    </row>
    <row r="32" spans="1:2" x14ac:dyDescent="0.25">
      <c r="A32">
        <f ca="1">32743.9624081354*((RANDBETWEEN(1587,2416)))</f>
        <v>53438146.650077008</v>
      </c>
      <c r="B32">
        <v>215341926.58293831</v>
      </c>
    </row>
    <row r="33" spans="1:2" x14ac:dyDescent="0.25">
      <c r="A33">
        <f ca="1">28592.0236365111*((RANDBETWEEN(1587,2416)))</f>
        <v>48835176.371160872</v>
      </c>
      <c r="B33">
        <v>234806561.35123831</v>
      </c>
    </row>
    <row r="34" spans="1:2" x14ac:dyDescent="0.25">
      <c r="A34">
        <f ca="1">25508.4325078862*((RANDBETWEEN(1587,2416)))</f>
        <v>55123722.649542116</v>
      </c>
      <c r="B34">
        <v>210082887.74934599</v>
      </c>
    </row>
    <row r="35" spans="1:2" x14ac:dyDescent="0.25">
      <c r="A35">
        <f ca="1">33122.5249406498*((RANDBETWEEN(1587,2416)))</f>
        <v>74856906.365868479</v>
      </c>
      <c r="B35">
        <v>206352517.66824111</v>
      </c>
    </row>
    <row r="36" spans="1:2" x14ac:dyDescent="0.25">
      <c r="A36">
        <f ca="1">29603.3061830161*((RANDBETWEEN(1587,2416)))</f>
        <v>55032546.194227017</v>
      </c>
      <c r="B36">
        <v>231222283.61778843</v>
      </c>
    </row>
    <row r="37" spans="1:2" x14ac:dyDescent="0.25">
      <c r="A37">
        <f ca="1">28792.3116943865*((RANDBETWEEN(1587,2416)))</f>
        <v>48140745.15301425</v>
      </c>
      <c r="B37">
        <v>222054933.68188024</v>
      </c>
    </row>
    <row r="38" spans="1:2" x14ac:dyDescent="0.25">
      <c r="A38">
        <f ca="1">27849.2455464122*((RANDBETWEEN(1587,2416)))</f>
        <v>65027988.350872546</v>
      </c>
      <c r="B38">
        <v>238988392.56645608</v>
      </c>
    </row>
    <row r="39" spans="1:2" x14ac:dyDescent="0.25">
      <c r="A39">
        <f ca="1">30738.8143337489*((RANDBETWEEN(1587,2416)))</f>
        <v>68609033.59292762</v>
      </c>
      <c r="B39">
        <v>262612763.28595549</v>
      </c>
    </row>
    <row r="40" spans="1:2" x14ac:dyDescent="0.25">
      <c r="A40">
        <f ca="1">30636.0093047825*((RANDBETWEEN(1587,2416)))</f>
        <v>59158133.967535079</v>
      </c>
      <c r="B40">
        <v>232470561.89935556</v>
      </c>
    </row>
    <row r="41" spans="1:2" x14ac:dyDescent="0.25">
      <c r="A41">
        <f ca="1">28357.8847704802*((RANDBETWEEN(1587,2416)))</f>
        <v>60345578.791581765</v>
      </c>
      <c r="B41">
        <v>253640617.56287187</v>
      </c>
    </row>
    <row r="42" spans="1:2" x14ac:dyDescent="0.25">
      <c r="A42">
        <f ca="1">33605.3311509927*((RANDBETWEEN(1587,2416)))</f>
        <v>70403168.761329785</v>
      </c>
      <c r="B42">
        <v>241997897.17026669</v>
      </c>
    </row>
    <row r="43" spans="1:2" x14ac:dyDescent="0.25">
      <c r="A43">
        <f ca="1">29743.2821645345*((RANDBETWEEN(1587,2416)))</f>
        <v>71175674.219731018</v>
      </c>
      <c r="B43">
        <v>260651530.45935246</v>
      </c>
    </row>
    <row r="44" spans="1:2" x14ac:dyDescent="0.25">
      <c r="A44">
        <f ca="1">31228.6511908687*((RANDBETWEEN(1587,2416)))</f>
        <v>67891087.688948572</v>
      </c>
      <c r="B44">
        <v>219831164.35147098</v>
      </c>
    </row>
    <row r="45" spans="1:2" x14ac:dyDescent="0.25">
      <c r="A45">
        <f ca="1">33334.0581744549*((RANDBETWEEN(1587,2416)))</f>
        <v>72234904.06404382</v>
      </c>
      <c r="B45">
        <v>226127069.16852796</v>
      </c>
    </row>
    <row r="46" spans="1:2" x14ac:dyDescent="0.25">
      <c r="A46">
        <f ca="1">28111.3192729062*((RANDBETWEEN(1587,2416)))</f>
        <v>67860724.724795565</v>
      </c>
      <c r="B46">
        <v>211840847.38494959</v>
      </c>
    </row>
    <row r="47" spans="1:2" x14ac:dyDescent="0.25">
      <c r="A47">
        <f ca="1">27847.5529526921*((RANDBETWEEN(1587,2416)))</f>
        <v>51573668.068385817</v>
      </c>
      <c r="B47">
        <v>250912380.04828984</v>
      </c>
    </row>
    <row r="48" spans="1:2" x14ac:dyDescent="0.25">
      <c r="A48">
        <f ca="1">27529.1185049313*((RANDBETWEEN(1587,2416)))</f>
        <v>48451248.568679094</v>
      </c>
      <c r="B48">
        <v>204163800.19117054</v>
      </c>
    </row>
    <row r="49" spans="1:2" x14ac:dyDescent="0.25">
      <c r="A49">
        <f ca="1">27278.8829956859*((RANDBETWEEN(1587,2416)))</f>
        <v>62659594.241090454</v>
      </c>
      <c r="B49">
        <v>267869252.76677334</v>
      </c>
    </row>
    <row r="50" spans="1:2" x14ac:dyDescent="0.25">
      <c r="A50">
        <f ca="1">29565.0992248421*((RANDBETWEEN(1587,2416)))</f>
        <v>52891962.513242491</v>
      </c>
      <c r="B50">
        <v>213722404.34567463</v>
      </c>
    </row>
    <row r="51" spans="1:2" x14ac:dyDescent="0.25">
      <c r="A51">
        <f ca="1">30359.5355468226*((RANDBETWEEN(1587,2416)))</f>
        <v>61326261.804581717</v>
      </c>
      <c r="B51">
        <v>252190221.05190122</v>
      </c>
    </row>
    <row r="52" spans="1:2" x14ac:dyDescent="0.25">
      <c r="A52">
        <f ca="1">24146.9843517225*((RANDBETWEEN(1587,2416)))</f>
        <v>47835176.000762232</v>
      </c>
      <c r="B52">
        <v>255633377.65140364</v>
      </c>
    </row>
    <row r="53" spans="1:2" x14ac:dyDescent="0.25">
      <c r="A53">
        <f ca="1">31449.2683270983*((RANDBETWEEN(1587,2416)))</f>
        <v>74251722.52027908</v>
      </c>
      <c r="B53">
        <v>230056840.69066304</v>
      </c>
    </row>
    <row r="54" spans="1:2" x14ac:dyDescent="0.25">
      <c r="A54">
        <f ca="1">27454.5348303125*((RANDBETWEEN(1587,2416)))</f>
        <v>63914157.084967591</v>
      </c>
      <c r="B54">
        <v>207739495.23742619</v>
      </c>
    </row>
    <row r="55" spans="1:2" x14ac:dyDescent="0.25">
      <c r="A55">
        <f ca="1">30190.3185601187*((RANDBETWEEN(1587,2416)))</f>
        <v>67928216.760267034</v>
      </c>
      <c r="B55">
        <v>266371431.47907516</v>
      </c>
    </row>
    <row r="56" spans="1:2" x14ac:dyDescent="0.25">
      <c r="A56">
        <f ca="1">30371.9746741665*((RANDBETWEEN(1587,2416)))</f>
        <v>63781146.815749608</v>
      </c>
      <c r="B56">
        <v>236947280.32077786</v>
      </c>
    </row>
    <row r="57" spans="1:2" x14ac:dyDescent="0.25">
      <c r="A57">
        <f ca="1">29296.73089964*((RANDBETWEEN(1587,2416)))</f>
        <v>58593461.799279988</v>
      </c>
      <c r="B57">
        <v>229015137.79358178</v>
      </c>
    </row>
    <row r="58" spans="1:2" x14ac:dyDescent="0.25">
      <c r="A58">
        <f ca="1">29591.7681183091*((RANDBETWEEN(1587,2416)))</f>
        <v>47642746.670477584</v>
      </c>
      <c r="B58">
        <v>262299516.42891082</v>
      </c>
    </row>
    <row r="59" spans="1:2" x14ac:dyDescent="0.25">
      <c r="A59">
        <f ca="1">33949.7546328053*((RANDBETWEEN(1587,2416)))</f>
        <v>72482726.141039386</v>
      </c>
      <c r="B59">
        <v>264790500.59643275</v>
      </c>
    </row>
    <row r="60" spans="1:2" x14ac:dyDescent="0.25">
      <c r="A60">
        <f ca="1">30520.9960988348*((RANDBETWEEN(1587,2416)))</f>
        <v>50207038.582583323</v>
      </c>
      <c r="B60">
        <v>223256498.04818121</v>
      </c>
    </row>
    <row r="61" spans="1:2" x14ac:dyDescent="0.25">
      <c r="A61">
        <f ca="1">30984.4100921542*((RANDBETWEEN(1587,2416)))</f>
        <v>72131706.694534987</v>
      </c>
      <c r="B61">
        <v>259866897.4590795</v>
      </c>
    </row>
    <row r="62" spans="1:2" x14ac:dyDescent="0.25">
      <c r="A62">
        <f ca="1">30164.1821222385*((RANDBETWEEN(1587,2416)))</f>
        <v>69015648.695681691</v>
      </c>
      <c r="B62">
        <v>259431248.10129762</v>
      </c>
    </row>
    <row r="63" spans="1:2" x14ac:dyDescent="0.25">
      <c r="A63">
        <f ca="1">27934.8351243706*((RANDBETWEEN(1587,2416)))</f>
        <v>52294011.352821745</v>
      </c>
      <c r="B63">
        <v>226398594.61556381</v>
      </c>
    </row>
    <row r="64" spans="1:2" x14ac:dyDescent="0.25">
      <c r="A64">
        <f ca="1">27105.2784694239*((RANDBETWEEN(1587,2416)))</f>
        <v>60471876.265284829</v>
      </c>
      <c r="B64">
        <v>241898889.76600266</v>
      </c>
    </row>
    <row r="65" spans="1:2" x14ac:dyDescent="0.25">
      <c r="A65">
        <f ca="1">30791.4841054009*((RANDBETWEEN(1587,2416)))</f>
        <v>74084310.757594466</v>
      </c>
      <c r="B65">
        <v>265329861.06342143</v>
      </c>
    </row>
    <row r="66" spans="1:2" x14ac:dyDescent="0.25">
      <c r="A66">
        <f ca="1">27964.4718621764*((RANDBETWEEN(1587,2416)))</f>
        <v>58921142.213605642</v>
      </c>
      <c r="B66">
        <v>229257508.27658498</v>
      </c>
    </row>
    <row r="67" spans="1:2" x14ac:dyDescent="0.25">
      <c r="A67">
        <f ca="1">29597.4294771114*((RANDBETWEEN(1587,2416)))</f>
        <v>62006614.754548289</v>
      </c>
      <c r="B67">
        <v>218367478.691948</v>
      </c>
    </row>
    <row r="68" spans="1:2" x14ac:dyDescent="0.25">
      <c r="A68">
        <f ca="1">28476.01604188*((RANDBETWEEN(1587,2416)))</f>
        <v>66178261.2813292</v>
      </c>
      <c r="B68">
        <v>218826795.97822756</v>
      </c>
    </row>
    <row r="69" spans="1:2" x14ac:dyDescent="0.25">
      <c r="A69">
        <f ca="1">30488.5053154699*((RANDBETWEEN(1587,2416)))</f>
        <v>58690372.732279584</v>
      </c>
      <c r="B69">
        <v>217158021.3879098</v>
      </c>
    </row>
    <row r="70" spans="1:2" x14ac:dyDescent="0.25">
      <c r="A70">
        <f ca="1">28350.5837953968*((RANDBETWEEN(1587,2416)))</f>
        <v>67984699.941361472</v>
      </c>
      <c r="B70">
        <v>220532845.7158522</v>
      </c>
    </row>
    <row r="71" spans="1:2" x14ac:dyDescent="0.25">
      <c r="A71">
        <f ca="1">27745.6494784766*((RANDBETWEEN(1587,2416)))</f>
        <v>61928289.635959767</v>
      </c>
      <c r="B71">
        <v>211965254.84314728</v>
      </c>
    </row>
    <row r="72" spans="1:2" x14ac:dyDescent="0.25">
      <c r="A72">
        <f ca="1">27721.8235459595*((RANDBETWEEN(1587,2416)))</f>
        <v>56025805.386384189</v>
      </c>
      <c r="B72">
        <v>255752307.27916071</v>
      </c>
    </row>
    <row r="73" spans="1:2" x14ac:dyDescent="0.25">
      <c r="A73">
        <f ca="1">30468.0325738531*((RANDBETWEEN(1587,2416)))</f>
        <v>51643315.212680966</v>
      </c>
      <c r="B73">
        <v>259829160.62274191</v>
      </c>
    </row>
    <row r="74" spans="1:2" x14ac:dyDescent="0.25">
      <c r="A74">
        <f ca="1">30919.8947679166*((RANDBETWEEN(1587,2416)))</f>
        <v>73651189.337177381</v>
      </c>
      <c r="B74">
        <v>243204092.42621446</v>
      </c>
    </row>
    <row r="75" spans="1:2" x14ac:dyDescent="0.25">
      <c r="A75">
        <f ca="1">28500.1067095765*((RANDBETWEEN(1587,2416)))</f>
        <v>58567719.288179629</v>
      </c>
      <c r="B75">
        <v>239421557.72259212</v>
      </c>
    </row>
    <row r="76" spans="1:2" x14ac:dyDescent="0.25">
      <c r="A76">
        <f ca="1">34065.8444090359*((RANDBETWEEN(1587,2416)))</f>
        <v>75251450.299560219</v>
      </c>
      <c r="B76">
        <v>266373128.47814769</v>
      </c>
    </row>
    <row r="77" spans="1:2" x14ac:dyDescent="0.25">
      <c r="A77">
        <f ca="1">27219.8538022264*((RANDBETWEEN(1587,2416)))</f>
        <v>56562856.20102641</v>
      </c>
      <c r="B77">
        <v>204629846.47544479</v>
      </c>
    </row>
    <row r="78" spans="1:2" x14ac:dyDescent="0.25">
      <c r="A78">
        <f ca="1">26690.9479253401*((RANDBETWEEN(1587,2416)))</f>
        <v>46388867.494241148</v>
      </c>
      <c r="B78">
        <v>238038541.82997638</v>
      </c>
    </row>
    <row r="79" spans="1:2" x14ac:dyDescent="0.25">
      <c r="A79">
        <f ca="1">30382.1111207418*((RANDBETWEEN(1587,2416)))</f>
        <v>53624426.128109306</v>
      </c>
      <c r="B79">
        <v>262353644.45778391</v>
      </c>
    </row>
    <row r="80" spans="1:2" x14ac:dyDescent="0.25">
      <c r="A80">
        <f ca="1">27582.4768853553*((RANDBETWEEN(1587,2416)))</f>
        <v>49896700.685607724</v>
      </c>
      <c r="B80">
        <v>242063504.75898463</v>
      </c>
    </row>
    <row r="81" spans="1:2" x14ac:dyDescent="0.25">
      <c r="A81">
        <f ca="1">31379.0213764291*((RANDBETWEEN(1587,2416)))</f>
        <v>74933103.04691273</v>
      </c>
      <c r="B81">
        <v>238569920.13163096</v>
      </c>
    </row>
    <row r="82" spans="1:2" x14ac:dyDescent="0.25">
      <c r="A82">
        <f ca="1">30985.9981974825*((RANDBETWEEN(1587,2416)))</f>
        <v>51064925.029451147</v>
      </c>
      <c r="B82">
        <v>239137188.84290522</v>
      </c>
    </row>
    <row r="83" spans="1:2" x14ac:dyDescent="0.25">
      <c r="A83">
        <f ca="1">27495.0691669056*((RANDBETWEEN(1587,2416)))</f>
        <v>56199921.377154991</v>
      </c>
      <c r="B83">
        <v>219616782.41152737</v>
      </c>
    </row>
    <row r="84" spans="1:2" x14ac:dyDescent="0.25">
      <c r="A84">
        <f ca="1">32593.3297099917*((RANDBETWEEN(1587,2416)))</f>
        <v>77246191.412680283</v>
      </c>
      <c r="B84">
        <v>252742164.15335175</v>
      </c>
    </row>
    <row r="85" spans="1:2" x14ac:dyDescent="0.25">
      <c r="A85">
        <f ca="1">29774.1403636408*((RANDBETWEEN(1587,2416)))</f>
        <v>55588320.058917336</v>
      </c>
      <c r="B85">
        <v>244021092.08418378</v>
      </c>
    </row>
    <row r="86" spans="1:2" x14ac:dyDescent="0.25">
      <c r="A86">
        <f ca="1">27175.0774469367*((RANDBETWEEN(1587,2416)))</f>
        <v>56551336.167075291</v>
      </c>
      <c r="B86">
        <v>235069248.90525302</v>
      </c>
    </row>
    <row r="87" spans="1:2" x14ac:dyDescent="0.25">
      <c r="A87">
        <f ca="1">30050.9462278123*((RANDBETWEEN(1587,2416)))</f>
        <v>49974723.576851845</v>
      </c>
      <c r="B87">
        <v>222516012.77053952</v>
      </c>
    </row>
    <row r="88" spans="1:2" x14ac:dyDescent="0.25">
      <c r="A88">
        <f ca="1">32258.3750422411*((RANDBETWEEN(1587,2416)))</f>
        <v>58871534.452090032</v>
      </c>
      <c r="B88">
        <v>243391782.19141832</v>
      </c>
    </row>
    <row r="89" spans="1:2" x14ac:dyDescent="0.25">
      <c r="A89">
        <f ca="1">31521.4392552035*((RANDBETWEEN(1587,2416)))</f>
        <v>73413432.02536884</v>
      </c>
      <c r="B89">
        <v>233617124.66007102</v>
      </c>
    </row>
    <row r="90" spans="1:2" x14ac:dyDescent="0.25">
      <c r="A90">
        <f ca="1">30150.0015707715*((RANDBETWEEN(1587,2416)))</f>
        <v>65696853.422711</v>
      </c>
      <c r="B90">
        <v>230526764.7189441</v>
      </c>
    </row>
    <row r="91" spans="1:2" x14ac:dyDescent="0.25">
      <c r="A91">
        <f ca="1">33359.6713010357*((RANDBETWEEN(1587,2416)))</f>
        <v>62749541.717248119</v>
      </c>
      <c r="B91">
        <v>262947055.88362139</v>
      </c>
    </row>
    <row r="92" spans="1:2" x14ac:dyDescent="0.25">
      <c r="A92">
        <f ca="1">33317.477418387*((RANDBETWEEN(1587,2416)))</f>
        <v>66601637.359355591</v>
      </c>
      <c r="B92">
        <v>252027354.37651789</v>
      </c>
    </row>
    <row r="93" spans="1:2" x14ac:dyDescent="0.25">
      <c r="A93">
        <f ca="1">32111.1504973789*((RANDBETWEEN(1587,2416)))</f>
        <v>73117089.682531714</v>
      </c>
      <c r="B93">
        <v>249503282.9212594</v>
      </c>
    </row>
    <row r="94" spans="1:2" x14ac:dyDescent="0.25">
      <c r="A94">
        <f ca="1">26826.3881661206*((RANDBETWEEN(1587,2416)))</f>
        <v>52633373.581928685</v>
      </c>
      <c r="B94">
        <v>267715454.75772682</v>
      </c>
    </row>
    <row r="95" spans="1:2" x14ac:dyDescent="0.25">
      <c r="A95">
        <f ca="1">30776.0816774119*((RANDBETWEEN(1587,2416)))</f>
        <v>63090967.438694373</v>
      </c>
      <c r="B95">
        <v>208022320.41072154</v>
      </c>
    </row>
    <row r="96" spans="1:2" x14ac:dyDescent="0.25">
      <c r="A96">
        <f ca="1">27140.6239490237*((RANDBETWEEN(1587,2416)))</f>
        <v>44130654.541112602</v>
      </c>
      <c r="B96">
        <v>204759401.23144063</v>
      </c>
    </row>
    <row r="97" spans="1:2" x14ac:dyDescent="0.25">
      <c r="A97">
        <f ca="1">26789.7919149975*((RANDBETWEEN(1587,2416)))</f>
        <v>45971282.926135644</v>
      </c>
      <c r="B97">
        <v>257577937.40098831</v>
      </c>
    </row>
    <row r="98" spans="1:2" x14ac:dyDescent="0.25">
      <c r="A98">
        <f ca="1">28968.1504616585*((RANDBETWEEN(1587,2416)))</f>
        <v>48405779.421431296</v>
      </c>
      <c r="B98">
        <v>250470347.5535031</v>
      </c>
    </row>
    <row r="99" spans="1:2" x14ac:dyDescent="0.25">
      <c r="A99">
        <f ca="1">33262.6051222699*((RANDBETWEEN(1587,2416)))</f>
        <v>70649773.279701173</v>
      </c>
      <c r="B99">
        <v>211902872.83522373</v>
      </c>
    </row>
    <row r="100" spans="1:2" x14ac:dyDescent="0.25">
      <c r="A100">
        <f ca="1">28046.0666283264*((RANDBETWEEN(1587,2416)))</f>
        <v>47145438.002216667</v>
      </c>
      <c r="B100">
        <v>224592150.7169458</v>
      </c>
    </row>
    <row r="101" spans="1:2" x14ac:dyDescent="0.25">
      <c r="A101">
        <f ca="1">28641.9767252979*((RANDBETWEEN(1587,2416)))</f>
        <v>51240496.361557856</v>
      </c>
      <c r="B101">
        <v>257113377.89071208</v>
      </c>
    </row>
    <row r="102" spans="1:2" x14ac:dyDescent="0.25">
      <c r="A102">
        <f ca="1">29041.5747209051*((RANDBETWEEN(1587,2416)))</f>
        <v>62700759.822434008</v>
      </c>
      <c r="B102">
        <v>248070337.61709529</v>
      </c>
    </row>
    <row r="103" spans="1:2" x14ac:dyDescent="0.25">
      <c r="A103">
        <f ca="1">30132.7313467762*((RANDBETWEEN(1587,2416)))</f>
        <v>70118865.843948156</v>
      </c>
      <c r="B103">
        <v>226195969.52442122</v>
      </c>
    </row>
    <row r="104" spans="1:2" x14ac:dyDescent="0.25">
      <c r="A104">
        <f ca="1">29070.6964827537*((RANDBETWEEN(1587,2416)))</f>
        <v>46571255.765371457</v>
      </c>
      <c r="B104">
        <v>207650551.7966575</v>
      </c>
    </row>
    <row r="105" spans="1:2" x14ac:dyDescent="0.25">
      <c r="A105">
        <f ca="1">33756.1356929462*((RANDBETWEEN(1587,2416)))</f>
        <v>78955601.385801241</v>
      </c>
      <c r="B105">
        <v>260947930.26515883</v>
      </c>
    </row>
    <row r="106" spans="1:2" x14ac:dyDescent="0.25">
      <c r="A106">
        <f ca="1">28160.6266015652*((RANDBETWEEN(1587,2416)))</f>
        <v>64882083.690006323</v>
      </c>
      <c r="B106">
        <v>261499941.65045071</v>
      </c>
    </row>
    <row r="107" spans="1:2" x14ac:dyDescent="0.25">
      <c r="A107">
        <f ca="1">28502.0221484426*((RANDBETWEEN(1587,2416)))</f>
        <v>51902182.332314</v>
      </c>
      <c r="B107">
        <v>235914745.12000129</v>
      </c>
    </row>
    <row r="108" spans="1:2" x14ac:dyDescent="0.25">
      <c r="A108">
        <f ca="1">31627.312822905*((RANDBETWEEN(1587,2416)))</f>
        <v>71003317.287421703</v>
      </c>
      <c r="B108">
        <v>244519961.02420577</v>
      </c>
    </row>
    <row r="109" spans="1:2" x14ac:dyDescent="0.25">
      <c r="A109">
        <f ca="1">34284.710871349*((RANDBETWEEN(1587,2416)))</f>
        <v>80980487.078126416</v>
      </c>
      <c r="B109">
        <v>218330322.59324723</v>
      </c>
    </row>
    <row r="110" spans="1:2" x14ac:dyDescent="0.25">
      <c r="A110">
        <f ca="1">31627.2130399625*((RANDBETWEEN(1587,2416)))</f>
        <v>67587354.266399816</v>
      </c>
      <c r="B110">
        <v>267580124.90633774</v>
      </c>
    </row>
    <row r="111" spans="1:2" x14ac:dyDescent="0.25">
      <c r="A111">
        <f ca="1">27626.9500819269*((RANDBETWEEN(1587,2416)))</f>
        <v>60779290.180239201</v>
      </c>
      <c r="B111">
        <v>256165343.94189391</v>
      </c>
    </row>
    <row r="112" spans="1:2" x14ac:dyDescent="0.25">
      <c r="A112">
        <f ca="1">28149.9865371788*((RANDBETWEEN(1587,2416)))</f>
        <v>49234326.453525759</v>
      </c>
      <c r="B112">
        <v>206363417.63166159</v>
      </c>
    </row>
    <row r="113" spans="1:2" x14ac:dyDescent="0.25">
      <c r="A113">
        <f ca="1">29037.7252198551*((RANDBETWEEN(1587,2416)))</f>
        <v>54823225.215086386</v>
      </c>
      <c r="B113">
        <v>226598421.2296778</v>
      </c>
    </row>
    <row r="114" spans="1:2" x14ac:dyDescent="0.25">
      <c r="A114">
        <f ca="1">32640.4682848053*((RANDBETWEEN(1587,2416)))</f>
        <v>75497403.14275457</v>
      </c>
      <c r="B114">
        <v>250142176.23575282</v>
      </c>
    </row>
    <row r="115" spans="1:2" x14ac:dyDescent="0.25">
      <c r="A115">
        <f ca="1">28204.6473535138*((RANDBETWEEN(1587,2416)))</f>
        <v>44845389.292086862</v>
      </c>
      <c r="B115">
        <v>233540334.36725155</v>
      </c>
    </row>
    <row r="116" spans="1:2" x14ac:dyDescent="0.25">
      <c r="A116">
        <f ca="1">32058.0227854272*((RANDBETWEEN(1587,2416)))</f>
        <v>74342554.839405775</v>
      </c>
      <c r="B116">
        <v>259325370.9355199</v>
      </c>
    </row>
    <row r="117" spans="1:2" x14ac:dyDescent="0.25">
      <c r="A117">
        <f ca="1">29543.2876741894*((RANDBETWEEN(1587,2416)))</f>
        <v>60061503.841626965</v>
      </c>
      <c r="B117">
        <v>206420216.36693242</v>
      </c>
    </row>
    <row r="118" spans="1:2" x14ac:dyDescent="0.25">
      <c r="A118">
        <f ca="1">28963.462593673*((RANDBETWEEN(1587,2416)))</f>
        <v>69077858.285909995</v>
      </c>
      <c r="B118">
        <v>224223499.09197348</v>
      </c>
    </row>
    <row r="119" spans="1:2" x14ac:dyDescent="0.25">
      <c r="A119">
        <f ca="1">32178.1448344723*((RANDBETWEEN(1587,2416)))</f>
        <v>75940421.809354663</v>
      </c>
      <c r="B119">
        <v>255549439.98848021</v>
      </c>
    </row>
    <row r="120" spans="1:2" x14ac:dyDescent="0.25">
      <c r="A120">
        <f ca="1">32807.2255280695*((RANDBETWEEN(1587,2416)))</f>
        <v>53967885.993674293</v>
      </c>
      <c r="B120">
        <v>247838501.05318648</v>
      </c>
    </row>
    <row r="121" spans="1:2" x14ac:dyDescent="0.25">
      <c r="A121">
        <f ca="1">32626.8676259145*((RANDBETWEEN(1587,2416)))</f>
        <v>78337109.169820622</v>
      </c>
      <c r="B121">
        <v>265260360.16625193</v>
      </c>
    </row>
    <row r="122" spans="1:2" x14ac:dyDescent="0.25">
      <c r="A122">
        <f ca="1">32554.8032383726*((RANDBETWEEN(1587,2416)))</f>
        <v>58956748.664692804</v>
      </c>
      <c r="B122">
        <v>228965177.83206576</v>
      </c>
    </row>
    <row r="123" spans="1:2" x14ac:dyDescent="0.25">
      <c r="A123">
        <f ca="1">32225.2133189829*((RANDBETWEEN(1587,2416)))</f>
        <v>73537936.793919072</v>
      </c>
      <c r="B123">
        <v>221243190.14181048</v>
      </c>
    </row>
    <row r="124" spans="1:2" x14ac:dyDescent="0.25">
      <c r="A124">
        <f ca="1">28744.3988594153*((RANDBETWEEN(1587,2416)))</f>
        <v>47399513.719175801</v>
      </c>
      <c r="B124">
        <v>263579013.06691772</v>
      </c>
    </row>
    <row r="125" spans="1:2" x14ac:dyDescent="0.25">
      <c r="A125">
        <f ca="1">32259.2587277944*((RANDBETWEEN(1587,2416)))</f>
        <v>59066702.730591543</v>
      </c>
      <c r="B125">
        <v>260687308.72081462</v>
      </c>
    </row>
    <row r="126" spans="1:2" x14ac:dyDescent="0.25">
      <c r="A126">
        <f ca="1">29859.2740951404*((RANDBETWEEN(1587,2416)))</f>
        <v>48730335.323269136</v>
      </c>
      <c r="B126">
        <v>228985742.26731169</v>
      </c>
    </row>
    <row r="127" spans="1:2" x14ac:dyDescent="0.25">
      <c r="A127">
        <f ca="1">26642.0803067205*((RANDBETWEEN(1587,2416)))</f>
        <v>44891905.316824123</v>
      </c>
      <c r="B127">
        <v>208390074.57442287</v>
      </c>
    </row>
    <row r="128" spans="1:2" x14ac:dyDescent="0.25">
      <c r="A128">
        <f ca="1">29227.5125435356*((RANDBETWEEN(1587,2416)))</f>
        <v>61436231.366511852</v>
      </c>
      <c r="B128">
        <v>206330545.65795216</v>
      </c>
    </row>
    <row r="129" spans="1:2" x14ac:dyDescent="0.25">
      <c r="A129">
        <f ca="1">30779.0022260946*((RANDBETWEEN(1587,2416)))</f>
        <v>57218165.138309836</v>
      </c>
      <c r="B129">
        <v>251408227.0138514</v>
      </c>
    </row>
    <row r="130" spans="1:2" x14ac:dyDescent="0.25">
      <c r="A130">
        <f ca="1">27580.7032933347*((RANDBETWEEN(1587,2416)))</f>
        <v>56871410.190856196</v>
      </c>
      <c r="B130">
        <v>224929129.1944164</v>
      </c>
    </row>
    <row r="131" spans="1:2" x14ac:dyDescent="0.25">
      <c r="A131">
        <f ca="1">29913.6343312356*((RANDBETWEEN(1587,2416)))</f>
        <v>63267336.610563345</v>
      </c>
      <c r="B131">
        <v>231818149.49686176</v>
      </c>
    </row>
    <row r="132" spans="1:2" x14ac:dyDescent="0.25">
      <c r="A132">
        <f ca="1">33041.3141106499*((RANDBETWEEN(1587,2416)))</f>
        <v>66313917.420074351</v>
      </c>
      <c r="B132">
        <v>238629946.84526739</v>
      </c>
    </row>
    <row r="133" spans="1:2" x14ac:dyDescent="0.25">
      <c r="A133">
        <f ca="1">31174.6715014404*((RANDBETWEEN(1587,2416)))</f>
        <v>65248587.452514775</v>
      </c>
      <c r="B133">
        <v>225049160.60777447</v>
      </c>
    </row>
    <row r="134" spans="1:2" x14ac:dyDescent="0.25">
      <c r="A134">
        <f ca="1">30336.1340448808*((RANDBETWEEN(1587,2416)))</f>
        <v>52966890.042361863</v>
      </c>
      <c r="B134">
        <v>245338101.79168439</v>
      </c>
    </row>
    <row r="135" spans="1:2" x14ac:dyDescent="0.25">
      <c r="A135">
        <f ca="1">29387.9313855064*((RANDBETWEEN(1587,2416)))</f>
        <v>49342336.796265289</v>
      </c>
      <c r="B135">
        <v>242028332.87464717</v>
      </c>
    </row>
    <row r="136" spans="1:2" x14ac:dyDescent="0.25">
      <c r="A136">
        <f ca="1">32284.6382911724*((RANDBETWEEN(1587,2416)))</f>
        <v>62277067.26367157</v>
      </c>
      <c r="B136">
        <v>206833410.45535308</v>
      </c>
    </row>
    <row r="137" spans="1:2" x14ac:dyDescent="0.25">
      <c r="A137">
        <f ca="1">31894.9146939374*((RANDBETWEEN(1587,2416)))</f>
        <v>59005592.183784187</v>
      </c>
      <c r="B137">
        <v>253205687.42591542</v>
      </c>
    </row>
    <row r="138" spans="1:2" x14ac:dyDescent="0.25">
      <c r="A138">
        <f ca="1">29649.6061469823*((RANDBETWEEN(1587,2416)))</f>
        <v>65169834.311067142</v>
      </c>
      <c r="B138">
        <v>210768798.3217755</v>
      </c>
    </row>
    <row r="139" spans="1:2" x14ac:dyDescent="0.25">
      <c r="A139">
        <f ca="1">30502.5252897569*((RANDBETWEEN(1587,2416)))</f>
        <v>57649772.797640562</v>
      </c>
      <c r="B139">
        <v>256916402.89865428</v>
      </c>
    </row>
    <row r="140" spans="1:2" x14ac:dyDescent="0.25">
      <c r="A140">
        <f ca="1">26424.2890125443*((RANDBETWEEN(1587,2416)))</f>
        <v>46480324.373065509</v>
      </c>
      <c r="B140">
        <v>218984265.70874825</v>
      </c>
    </row>
    <row r="141" spans="1:2" x14ac:dyDescent="0.25">
      <c r="A141">
        <f ca="1">29588.6947429395*((RANDBETWEEN(1587,2416)))</f>
        <v>52312812.305517115</v>
      </c>
      <c r="B141">
        <v>226272820.48387644</v>
      </c>
    </row>
    <row r="142" spans="1:2" x14ac:dyDescent="0.25">
      <c r="A142">
        <f ca="1">27133.8241749652*((RANDBETWEEN(1587,2416)))</f>
        <v>57605108.723451257</v>
      </c>
      <c r="B142">
        <v>206899156.95144111</v>
      </c>
    </row>
    <row r="143" spans="1:2" x14ac:dyDescent="0.25">
      <c r="A143">
        <f ca="1">33460.4716505232*((RANDBETWEEN(1587,2416)))</f>
        <v>53971740.772293918</v>
      </c>
      <c r="B143">
        <v>267882675.49183124</v>
      </c>
    </row>
    <row r="144" spans="1:2" x14ac:dyDescent="0.25">
      <c r="A144">
        <f ca="1">29169.2696136969*((RANDBETWEEN(1587,2416)))</f>
        <v>61838851.581037395</v>
      </c>
      <c r="B144">
        <v>264282313.06440097</v>
      </c>
    </row>
    <row r="145" spans="1:2" x14ac:dyDescent="0.25">
      <c r="A145">
        <f ca="1">28398.7440087396*((RANDBETWEEN(1587,2416)))</f>
        <v>51685714.095906146</v>
      </c>
      <c r="B145">
        <v>221562119.23743916</v>
      </c>
    </row>
    <row r="146" spans="1:2" x14ac:dyDescent="0.25">
      <c r="A146">
        <f ca="1">28850.2512049963*((RANDBETWEEN(1587,2416)))</f>
        <v>66672930.534746401</v>
      </c>
      <c r="B146">
        <v>262729861.21200946</v>
      </c>
    </row>
    <row r="147" spans="1:2" x14ac:dyDescent="0.25">
      <c r="A147">
        <f ca="1">27108.1111824614*((RANDBETWEEN(1587,2416)))</f>
        <v>60993250.160538226</v>
      </c>
      <c r="B147">
        <v>210783435.69295859</v>
      </c>
    </row>
    <row r="148" spans="1:2" x14ac:dyDescent="0.25">
      <c r="A148">
        <f ca="1">29048.5787802053*((RANDBETWEEN(1587,2416)))</f>
        <v>46158191.681746148</v>
      </c>
      <c r="B148">
        <v>238061039.85736299</v>
      </c>
    </row>
    <row r="149" spans="1:2" x14ac:dyDescent="0.25">
      <c r="A149">
        <f ca="1">28065.7611885094*((RANDBETWEEN(1587,2416)))</f>
        <v>47908254.348785542</v>
      </c>
      <c r="B149">
        <v>219860049.05353853</v>
      </c>
    </row>
    <row r="150" spans="1:2" x14ac:dyDescent="0.25">
      <c r="A150">
        <f ca="1">30728.6475266205*((RANDBETWEEN(1587,2416)))</f>
        <v>64991089.518802382</v>
      </c>
      <c r="B150">
        <v>255442092.21631253</v>
      </c>
    </row>
    <row r="151" spans="1:2" x14ac:dyDescent="0.25">
      <c r="A151">
        <f ca="1">31917.4245730861*((RANDBETWEEN(1587,2416)))</f>
        <v>75388956.841629267</v>
      </c>
      <c r="B151">
        <v>242199426.64170113</v>
      </c>
    </row>
    <row r="152" spans="1:2" x14ac:dyDescent="0.25">
      <c r="A152">
        <f ca="1">26818.2193512083*((RANDBETWEEN(1587,2416)))</f>
        <v>60099629.566057898</v>
      </c>
      <c r="B152">
        <v>240398440.82914633</v>
      </c>
    </row>
    <row r="153" spans="1:2" x14ac:dyDescent="0.25">
      <c r="A153">
        <f ca="1">30062.0116350147*((RANDBETWEEN(1587,2416)))</f>
        <v>56817201.990177855</v>
      </c>
      <c r="B153">
        <v>223921337.47235969</v>
      </c>
    </row>
    <row r="154" spans="1:2" x14ac:dyDescent="0.25">
      <c r="A154">
        <f ca="1">26973.7784743208*((RANDBETWEEN(1587,2416)))</f>
        <v>62633113.617372811</v>
      </c>
      <c r="B154">
        <v>254471570.15143082</v>
      </c>
    </row>
    <row r="155" spans="1:2" x14ac:dyDescent="0.25">
      <c r="A155">
        <f ca="1">26370.655268895*((RANDBETWEEN(1587,2416)))</f>
        <v>44909225.922928229</v>
      </c>
      <c r="B155">
        <v>208911206.26825872</v>
      </c>
    </row>
    <row r="156" spans="1:2" x14ac:dyDescent="0.25">
      <c r="A156">
        <f ca="1">29263.3346966749*((RANDBETWEEN(1587,2416)))</f>
        <v>47699235.555580169</v>
      </c>
      <c r="B156">
        <v>219324413.73090297</v>
      </c>
    </row>
    <row r="157" spans="1:2" x14ac:dyDescent="0.25">
      <c r="A157">
        <f ca="1">29024.5320814358*((RANDBETWEEN(1587,2416)))</f>
        <v>46555349.458622977</v>
      </c>
      <c r="B157">
        <v>241629329.83345413</v>
      </c>
    </row>
    <row r="158" spans="1:2" x14ac:dyDescent="0.25">
      <c r="A158">
        <f ca="1">28179.8259068995*((RANDBETWEEN(1587,2416)))</f>
        <v>59966669.52988223</v>
      </c>
      <c r="B158">
        <v>218310194.14020884</v>
      </c>
    </row>
    <row r="159" spans="1:2" x14ac:dyDescent="0.25">
      <c r="A159">
        <f ca="1">30378.7073498862*((RANDBETWEEN(1587,2416)))</f>
        <v>58995449.673478939</v>
      </c>
      <c r="B159">
        <v>210394205.83612317</v>
      </c>
    </row>
    <row r="160" spans="1:2" x14ac:dyDescent="0.25">
      <c r="A160">
        <f ca="1">27635.3483744405*((RANDBETWEEN(1587,2416)))</f>
        <v>64417997.060820751</v>
      </c>
      <c r="B160">
        <v>247476374.12742198</v>
      </c>
    </row>
    <row r="161" spans="1:2" x14ac:dyDescent="0.25">
      <c r="A161">
        <f ca="1">28343.7679644076*((RANDBETWEEN(1587,2416)))</f>
        <v>62923164.880984969</v>
      </c>
      <c r="B161">
        <v>213810400.75039497</v>
      </c>
    </row>
    <row r="162" spans="1:2" x14ac:dyDescent="0.25">
      <c r="A162">
        <f ca="1">31675.2519419108*((RANDBETWEEN(1587,2416)))</f>
        <v>75450450.125631467</v>
      </c>
      <c r="B162">
        <v>230285243.01859522</v>
      </c>
    </row>
    <row r="163" spans="1:2" x14ac:dyDescent="0.25">
      <c r="A163">
        <f ca="1">26612.8112212429*((RANDBETWEEN(1587,2416)))</f>
        <v>58069154.084751956</v>
      </c>
      <c r="B163">
        <v>245517110.89287913</v>
      </c>
    </row>
    <row r="164" spans="1:2" x14ac:dyDescent="0.25">
      <c r="A164">
        <f ca="1">31867.0366356619*((RANDBETWEEN(1587,2416)))</f>
        <v>73517253.518471897</v>
      </c>
      <c r="B164">
        <v>237810865.71495447</v>
      </c>
    </row>
    <row r="165" spans="1:2" x14ac:dyDescent="0.25">
      <c r="A165">
        <f ca="1">28283.0373012373*((RANDBETWEEN(1587,2416)))</f>
        <v>53737770.872350827</v>
      </c>
      <c r="B165">
        <v>239925264.39167702</v>
      </c>
    </row>
    <row r="166" spans="1:2" x14ac:dyDescent="0.25">
      <c r="A166">
        <f ca="1">27496.9252752488*((RANDBETWEEN(1587,2416)))</f>
        <v>43967583.515122883</v>
      </c>
      <c r="B166">
        <v>260360869.15534309</v>
      </c>
    </row>
    <row r="167" spans="1:2" x14ac:dyDescent="0.25">
      <c r="A167">
        <f ca="1">30315.2886583454*((RANDBETWEEN(1587,2416)))</f>
        <v>69785794.491511062</v>
      </c>
      <c r="B167">
        <v>246903399.824534</v>
      </c>
    </row>
    <row r="168" spans="1:2" x14ac:dyDescent="0.25">
      <c r="A168">
        <f ca="1">30594.6367573903*((RANDBETWEEN(1587,2416)))</f>
        <v>67430579.413288295</v>
      </c>
      <c r="B168">
        <v>228967818.35434857</v>
      </c>
    </row>
    <row r="169" spans="1:2" x14ac:dyDescent="0.25">
      <c r="A169">
        <f ca="1">29452.9541582404*((RANDBETWEEN(1587,2416)))</f>
        <v>53250941.118098721</v>
      </c>
      <c r="B169">
        <v>247965194.39030567</v>
      </c>
    </row>
    <row r="170" spans="1:2" x14ac:dyDescent="0.25">
      <c r="A170">
        <f ca="1">32588.8862754355*((RANDBETWEEN(1587,2416)))</f>
        <v>68795138.927444249</v>
      </c>
      <c r="B170">
        <v>218431280.23524395</v>
      </c>
    </row>
    <row r="171" spans="1:2" x14ac:dyDescent="0.25">
      <c r="A171">
        <f ca="1">31476.0541368551*((RANDBETWEEN(1587,2416)))</f>
        <v>56971657.987707652</v>
      </c>
      <c r="B171">
        <v>246472934.73771107</v>
      </c>
    </row>
    <row r="172" spans="1:2" x14ac:dyDescent="0.25">
      <c r="A172">
        <f ca="1">29605.7026105097*((RANDBETWEEN(1587,2416)))</f>
        <v>69336555.513813704</v>
      </c>
      <c r="B172">
        <v>225974340.58684611</v>
      </c>
    </row>
    <row r="173" spans="1:2" x14ac:dyDescent="0.25">
      <c r="A173">
        <f ca="1">27746.4151085224*((RANDBETWEEN(1587,2416)))</f>
        <v>52246499.649347708</v>
      </c>
      <c r="B173">
        <v>209206238.91838437</v>
      </c>
    </row>
    <row r="174" spans="1:2" x14ac:dyDescent="0.25">
      <c r="A174">
        <f ca="1">27945.8508593782*((RANDBETWEEN(1587,2416)))</f>
        <v>59245203.821881771</v>
      </c>
      <c r="B174">
        <v>223541202.24132317</v>
      </c>
    </row>
    <row r="175" spans="1:2" x14ac:dyDescent="0.25">
      <c r="A175">
        <f ca="1">25933.2925449553*((RANDBETWEEN(1587,2416)))</f>
        <v>53241049.594793297</v>
      </c>
      <c r="B175">
        <v>243377042.23451918</v>
      </c>
    </row>
    <row r="176" spans="1:2" x14ac:dyDescent="0.25">
      <c r="A176">
        <f ca="1">27119.1747226011*((RANDBETWEEN(1587,2416)))</f>
        <v>60665593.854458608</v>
      </c>
      <c r="B176">
        <v>231442215.17894804</v>
      </c>
    </row>
    <row r="177" spans="1:2" x14ac:dyDescent="0.25">
      <c r="A177">
        <f ca="1">29060.0174463507*((RANDBETWEEN(1587,2416)))</f>
        <v>50825970.513667323</v>
      </c>
      <c r="B177">
        <v>219837026.91979811</v>
      </c>
    </row>
    <row r="178" spans="1:2" x14ac:dyDescent="0.25">
      <c r="A178">
        <f ca="1">29263.2179331691*((RANDBETWEEN(1587,2416)))</f>
        <v>61862442.710719422</v>
      </c>
      <c r="B178">
        <v>219127651.10044011</v>
      </c>
    </row>
    <row r="179" spans="1:2" x14ac:dyDescent="0.25">
      <c r="A179">
        <f ca="1">28819.5091733369*((RANDBETWEEN(1587,2416)))</f>
        <v>68936265.942621812</v>
      </c>
      <c r="B179">
        <v>247063469.34379873</v>
      </c>
    </row>
    <row r="180" spans="1:2" x14ac:dyDescent="0.25">
      <c r="A180">
        <f ca="1">26053.1876643943*((RANDBETWEEN(1587,2416)))</f>
        <v>45410706.099039331</v>
      </c>
      <c r="B180">
        <v>225765454.95907956</v>
      </c>
    </row>
    <row r="181" spans="1:2" x14ac:dyDescent="0.25">
      <c r="A181">
        <f ca="1">27933.2508168332*((RANDBETWEEN(1587,2416)))</f>
        <v>50531250.727651201</v>
      </c>
      <c r="B181">
        <v>266042939.30000159</v>
      </c>
    </row>
    <row r="182" spans="1:2" x14ac:dyDescent="0.25">
      <c r="A182">
        <f ca="1">33070.5294672175*((RANDBETWEEN(1587,2416)))</f>
        <v>56980522.27201578</v>
      </c>
      <c r="B182">
        <v>258993587.1883741</v>
      </c>
    </row>
    <row r="183" spans="1:2" x14ac:dyDescent="0.25">
      <c r="A183">
        <f ca="1">31353.4143037125*((RANDBETWEEN(1587,2416)))</f>
        <v>56875093.546934552</v>
      </c>
      <c r="B183">
        <v>217460908.80293822</v>
      </c>
    </row>
    <row r="184" spans="1:2" x14ac:dyDescent="0.25">
      <c r="A184">
        <f ca="1">30402.0389779963*((RANDBETWEEN(1587,2416)))</f>
        <v>73390522.09288311</v>
      </c>
      <c r="B184">
        <v>236222833.09906831</v>
      </c>
    </row>
    <row r="185" spans="1:2" x14ac:dyDescent="0.25">
      <c r="A185">
        <f ca="1">24664.3222203854*((RANDBETWEEN(1587,2416)))</f>
        <v>50019245.462941661</v>
      </c>
      <c r="B185">
        <v>207081961.85223141</v>
      </c>
    </row>
    <row r="186" spans="1:2" x14ac:dyDescent="0.25">
      <c r="A186">
        <f ca="1">32759.7589851575*((RANDBETWEEN(1587,2416)))</f>
        <v>57558896.53692174</v>
      </c>
      <c r="B186">
        <v>260136881.06049958</v>
      </c>
    </row>
    <row r="187" spans="1:2" x14ac:dyDescent="0.25">
      <c r="A187">
        <f ca="1">31801.7791907392*((RANDBETWEEN(1587,2416)))</f>
        <v>68501032.376852185</v>
      </c>
      <c r="B187">
        <v>255448476.79327953</v>
      </c>
    </row>
    <row r="188" spans="1:2" x14ac:dyDescent="0.25">
      <c r="A188">
        <f ca="1">29822.2922348614*((RANDBETWEEN(1587,2416)))</f>
        <v>51711854.735249586</v>
      </c>
      <c r="B188">
        <v>259017433.26804411</v>
      </c>
    </row>
    <row r="189" spans="1:2" x14ac:dyDescent="0.25">
      <c r="A189">
        <f ca="1">32622.7485131685*((RANDBETWEEN(1587,2416)))</f>
        <v>67365975.679692969</v>
      </c>
      <c r="B189">
        <v>207554251.97293422</v>
      </c>
    </row>
    <row r="190" spans="1:2" x14ac:dyDescent="0.25">
      <c r="A190">
        <f ca="1">29079.1644255338*((RANDBETWEEN(1587,2416)))</f>
        <v>64642982.517961629</v>
      </c>
      <c r="B190">
        <v>264211260.07535228</v>
      </c>
    </row>
    <row r="191" spans="1:2" x14ac:dyDescent="0.25">
      <c r="A191">
        <f ca="1">31004.4185684075*((RANDBETWEEN(1587,2416)))</f>
        <v>74627635.494156942</v>
      </c>
      <c r="B191">
        <v>210414766.68288261</v>
      </c>
    </row>
    <row r="192" spans="1:2" x14ac:dyDescent="0.25">
      <c r="A192">
        <f ca="1">30859.1331289002*((RANDBETWEEN(1587,2416)))</f>
        <v>53324582.046739586</v>
      </c>
      <c r="B192">
        <v>233920563.6309945</v>
      </c>
    </row>
    <row r="193" spans="1:2" x14ac:dyDescent="0.25">
      <c r="A193">
        <f ca="1">29228.1530842387*((RANDBETWEEN(1587,2416)))</f>
        <v>59654660.444931209</v>
      </c>
      <c r="B193">
        <v>253879795.48053759</v>
      </c>
    </row>
    <row r="194" spans="1:2" x14ac:dyDescent="0.25">
      <c r="A194">
        <f ca="1">29751.4454907325*((RANDBETWEEN(1587,2416)))</f>
        <v>69588631.002823323</v>
      </c>
      <c r="B194">
        <v>255568163.24255183</v>
      </c>
    </row>
    <row r="195" spans="1:2" x14ac:dyDescent="0.25">
      <c r="A195">
        <f ca="1">27974.4374838882*((RANDBETWEEN(1587,2416)))</f>
        <v>46269719.598351046</v>
      </c>
      <c r="B195">
        <v>243554131.76046675</v>
      </c>
    </row>
    <row r="196" spans="1:2" x14ac:dyDescent="0.25">
      <c r="A196">
        <f ca="1">30539.4622153161*((RANDBETWEEN(1587,2416)))</f>
        <v>69477276.53984414</v>
      </c>
      <c r="B196">
        <v>246141428.18808964</v>
      </c>
    </row>
    <row r="197" spans="1:2" x14ac:dyDescent="0.25">
      <c r="A197">
        <f ca="1">29709.5529012786*((RANDBETWEEN(1587,2416)))</f>
        <v>60756035.683114648</v>
      </c>
      <c r="B197">
        <v>223569978.9240191</v>
      </c>
    </row>
    <row r="198" spans="1:2" x14ac:dyDescent="0.25">
      <c r="A198">
        <f ca="1">29905.2798537531*((RANDBETWEEN(1587,2416)))</f>
        <v>58973211.871601023</v>
      </c>
      <c r="B198">
        <v>212659103.59419703</v>
      </c>
    </row>
    <row r="199" spans="1:2" x14ac:dyDescent="0.25">
      <c r="A199">
        <f ca="1">31755.8274101088*((RANDBETWEEN(1587,2416)))</f>
        <v>68846633.825115874</v>
      </c>
      <c r="B199">
        <v>261096476.0641866</v>
      </c>
    </row>
    <row r="200" spans="1:2" x14ac:dyDescent="0.25">
      <c r="A200">
        <f ca="1">31558.924280821*((RANDBETWEEN(1587,2416)))</f>
        <v>66968037.323902175</v>
      </c>
      <c r="B200">
        <v>244067845.0884909</v>
      </c>
    </row>
    <row r="201" spans="1:2" x14ac:dyDescent="0.25">
      <c r="A201">
        <f ca="1">27897.901794907*((RANDBETWEEN(1587,2416)))</f>
        <v>51136853.990064479</v>
      </c>
      <c r="B201">
        <v>253670508.03990471</v>
      </c>
    </row>
    <row r="202" spans="1:2" x14ac:dyDescent="0.25">
      <c r="A202">
        <f ca="1">30876.2448301528*((RANDBETWEEN(1587,2416)))</f>
        <v>49618125.442055583</v>
      </c>
      <c r="B202">
        <v>255282275.68101799</v>
      </c>
    </row>
    <row r="203" spans="1:2" x14ac:dyDescent="0.25">
      <c r="A203">
        <f ca="1">30545.9585555795*((RANDBETWEEN(1587,2416)))</f>
        <v>57854045.504267566</v>
      </c>
      <c r="B203">
        <v>267787968.76155335</v>
      </c>
    </row>
    <row r="204" spans="1:2" x14ac:dyDescent="0.25">
      <c r="A204">
        <f ca="1">32476.9022562624*((RANDBETWEEN(1587,2416)))</f>
        <v>57386686.286815621</v>
      </c>
      <c r="B204">
        <v>222313253.79146606</v>
      </c>
    </row>
    <row r="205" spans="1:2" x14ac:dyDescent="0.25">
      <c r="A205">
        <f ca="1">28268.2800290025*((RANDBETWEEN(1587,2416)))</f>
        <v>64338605.34600959</v>
      </c>
      <c r="B205">
        <v>212682354.21810859</v>
      </c>
    </row>
    <row r="206" spans="1:2" x14ac:dyDescent="0.25">
      <c r="A206">
        <f ca="1">26396.573341975*((RANDBETWEEN(1587,2416)))</f>
        <v>47540228.588897027</v>
      </c>
      <c r="B206">
        <v>242806783.92163086</v>
      </c>
    </row>
    <row r="207" spans="1:2" x14ac:dyDescent="0.25">
      <c r="A207">
        <f ca="1">33074.9363968582*((RANDBETWEEN(1587,2416)))</f>
        <v>65786048.493351057</v>
      </c>
      <c r="B207">
        <v>227269608.48217675</v>
      </c>
    </row>
    <row r="208" spans="1:2" x14ac:dyDescent="0.25">
      <c r="A208">
        <f ca="1">31180.2248817871*((RANDBETWEEN(1587,2416)))</f>
        <v>69999604.859612003</v>
      </c>
      <c r="B208">
        <v>216067165.24281776</v>
      </c>
    </row>
    <row r="209" spans="1:2" x14ac:dyDescent="0.25">
      <c r="A209">
        <f ca="1">31951.250360343*((RANDBETWEEN(1587,2416)))</f>
        <v>52080538.08735913</v>
      </c>
      <c r="B209">
        <v>259411067.03645426</v>
      </c>
    </row>
    <row r="210" spans="1:2" x14ac:dyDescent="0.25">
      <c r="A210">
        <f ca="1">27940.645848777*((RANDBETWEEN(1587,2416)))</f>
        <v>61022370.533729009</v>
      </c>
      <c r="B210">
        <v>255242581.0105297</v>
      </c>
    </row>
    <row r="211" spans="1:2" x14ac:dyDescent="0.25">
      <c r="A211">
        <f ca="1">26549.0248272094*((RANDBETWEEN(1587,2416)))</f>
        <v>44336871.461439691</v>
      </c>
      <c r="B211">
        <v>208875115.30017731</v>
      </c>
    </row>
    <row r="212" spans="1:2" x14ac:dyDescent="0.25">
      <c r="A212">
        <f ca="1">26304.240508022*((RANDBETWEEN(1587,2416)))</f>
        <v>47505458.357487708</v>
      </c>
      <c r="B212">
        <v>255069898.66092032</v>
      </c>
    </row>
    <row r="213" spans="1:2" x14ac:dyDescent="0.25">
      <c r="A213">
        <f ca="1">26924.254227818*((RANDBETWEEN(1587,2416)))</f>
        <v>50940688.999031663</v>
      </c>
      <c r="B213">
        <v>213860215.63115296</v>
      </c>
    </row>
    <row r="214" spans="1:2" x14ac:dyDescent="0.25">
      <c r="A214">
        <f ca="1">30934.1633993661*((RANDBETWEEN(1587,2416)))</f>
        <v>62641680.883716419</v>
      </c>
      <c r="B214">
        <v>239142271.78445494</v>
      </c>
    </row>
    <row r="215" spans="1:2" x14ac:dyDescent="0.25">
      <c r="A215">
        <f ca="1">30050.8772946585*((RANDBETWEEN(1587,2416)))</f>
        <v>54542342.289805159</v>
      </c>
      <c r="B215">
        <v>226866667.37227261</v>
      </c>
    </row>
    <row r="216" spans="1:2" x14ac:dyDescent="0.25">
      <c r="A216">
        <f ca="1">29640.3244198579*((RANDBETWEEN(1587,2416)))</f>
        <v>49914306.323040672</v>
      </c>
      <c r="B216">
        <v>247539082.69490248</v>
      </c>
    </row>
    <row r="217" spans="1:2" x14ac:dyDescent="0.25">
      <c r="A217">
        <f ca="1">30349.5211877142*((RANDBETWEEN(1587,2416)))</f>
        <v>53475856.332752362</v>
      </c>
      <c r="B217">
        <v>234975893.47949022</v>
      </c>
    </row>
    <row r="218" spans="1:2" x14ac:dyDescent="0.25">
      <c r="A218">
        <f ca="1">26192.2217200067*((RANDBETWEEN(1587,2416)))</f>
        <v>52986864.53957361</v>
      </c>
      <c r="B218">
        <v>240418424.5090034</v>
      </c>
    </row>
    <row r="219" spans="1:2" x14ac:dyDescent="0.25">
      <c r="A219">
        <f ca="1">28331.1923985131*((RANDBETWEEN(1587,2416)))</f>
        <v>66068340.673332654</v>
      </c>
      <c r="B219">
        <v>244514090.02088007</v>
      </c>
    </row>
    <row r="220" spans="1:2" x14ac:dyDescent="0.25">
      <c r="A220">
        <f ca="1">26452.3293636699*((RANDBETWEEN(1587,2416)))</f>
        <v>45947696.104694635</v>
      </c>
      <c r="B220">
        <v>227227205.07658881</v>
      </c>
    </row>
    <row r="221" spans="1:2" x14ac:dyDescent="0.25">
      <c r="A221">
        <f ca="1">29945.2531879744*((RANDBETWEEN(1587,2416)))</f>
        <v>60279794.6673925</v>
      </c>
      <c r="B221">
        <v>253560359.351601</v>
      </c>
    </row>
    <row r="222" spans="1:2" x14ac:dyDescent="0.25">
      <c r="A222">
        <f ca="1">28674.8160449607*((RANDBETWEEN(1587,2416)))</f>
        <v>48517788.748073533</v>
      </c>
      <c r="B222">
        <v>262897743.47993067</v>
      </c>
    </row>
    <row r="223" spans="1:2" x14ac:dyDescent="0.25">
      <c r="A223">
        <f ca="1">26574.4859358535*((RANDBETWEEN(1587,2416)))</f>
        <v>43555582.448863864</v>
      </c>
      <c r="B223">
        <v>216306525.37415975</v>
      </c>
    </row>
    <row r="224" spans="1:2" x14ac:dyDescent="0.25">
      <c r="A224">
        <f ca="1">30660.0145325509*((RANDBETWEEN(1587,2416)))</f>
        <v>54114925.649952367</v>
      </c>
      <c r="B224">
        <v>263566406.98067862</v>
      </c>
    </row>
    <row r="225" spans="1:2" x14ac:dyDescent="0.25">
      <c r="A225">
        <f ca="1">30441.6225845719*((RANDBETWEEN(1587,2416)))</f>
        <v>65814788.027844355</v>
      </c>
      <c r="B225">
        <v>250333736.60620624</v>
      </c>
    </row>
    <row r="226" spans="1:2" x14ac:dyDescent="0.25">
      <c r="A226">
        <f ca="1">29452.7490394253*((RANDBETWEEN(1587,2416)))</f>
        <v>66975551.315653145</v>
      </c>
      <c r="B226">
        <v>266326566.09960687</v>
      </c>
    </row>
    <row r="227" spans="1:2" x14ac:dyDescent="0.25">
      <c r="A227">
        <f ca="1">26473.5460352329*((RANDBETWEEN(1587,2416)))</f>
        <v>54747293.200861551</v>
      </c>
      <c r="B227">
        <v>207951236.05029339</v>
      </c>
    </row>
    <row r="228" spans="1:2" x14ac:dyDescent="0.25">
      <c r="A228">
        <f ca="1">27916.3329729224*((RANDBETWEEN(1587,2416)))</f>
        <v>62560502.192319103</v>
      </c>
      <c r="B228">
        <v>207949584.17636284</v>
      </c>
    </row>
    <row r="229" spans="1:2" x14ac:dyDescent="0.25">
      <c r="A229">
        <f ca="1">31691.5777740604*((RANDBETWEEN(1587,2416)))</f>
        <v>57298372.615501143</v>
      </c>
      <c r="B229">
        <v>255554803.96468049</v>
      </c>
    </row>
    <row r="230" spans="1:2" x14ac:dyDescent="0.25">
      <c r="A230">
        <f ca="1">31720.3000837892*((RANDBETWEEN(1587,2416)))</f>
        <v>53987950.742609218</v>
      </c>
      <c r="B230">
        <v>227934299.66940242</v>
      </c>
    </row>
    <row r="231" spans="1:2" x14ac:dyDescent="0.25">
      <c r="A231">
        <f ca="1">28060.9813121918*((RANDBETWEEN(1587,2416)))</f>
        <v>47282753.511043265</v>
      </c>
      <c r="B231">
        <v>256256030.35194492</v>
      </c>
    </row>
    <row r="232" spans="1:2" x14ac:dyDescent="0.25">
      <c r="A232">
        <f ca="1">31213.0032226253*((RANDBETWEEN(1587,2416)))</f>
        <v>67950708.015655279</v>
      </c>
      <c r="B232">
        <v>227949458.56849718</v>
      </c>
    </row>
    <row r="233" spans="1:2" x14ac:dyDescent="0.25">
      <c r="A233">
        <f ca="1">31307.8427233278*((RANDBETWEEN(1587,2416)))</f>
        <v>67280554.012431458</v>
      </c>
      <c r="B233">
        <v>233172715.96798283</v>
      </c>
    </row>
    <row r="234" spans="1:2" x14ac:dyDescent="0.25">
      <c r="A234">
        <f ca="1">30907.1610766185*((RANDBETWEEN(1587,2416)))</f>
        <v>62401558.213692814</v>
      </c>
      <c r="B234">
        <v>240091934.41285253</v>
      </c>
    </row>
    <row r="235" spans="1:2" x14ac:dyDescent="0.25">
      <c r="A235">
        <f ca="1">31484.7230061669*((RANDBETWEEN(1587,2416)))</f>
        <v>72005561.515103698</v>
      </c>
      <c r="B235">
        <v>243172210.63620925</v>
      </c>
    </row>
    <row r="236" spans="1:2" x14ac:dyDescent="0.25">
      <c r="A236">
        <f ca="1">26372.1155720373*((RANDBETWEEN(1587,2416)))</f>
        <v>42459106.070980072</v>
      </c>
      <c r="B236">
        <v>248854983.0939433</v>
      </c>
    </row>
    <row r="237" spans="1:2" x14ac:dyDescent="0.25">
      <c r="A237">
        <f ca="1">29490.2229895194*((RANDBETWEEN(1587,2416)))</f>
        <v>62784684.744686849</v>
      </c>
      <c r="B237">
        <v>217704745.39469355</v>
      </c>
    </row>
    <row r="238" spans="1:2" x14ac:dyDescent="0.25">
      <c r="A238">
        <f ca="1">27637.9389186324*((RANDBETWEEN(1587,2416)))</f>
        <v>65971760.198775582</v>
      </c>
      <c r="B238">
        <v>249448481.92893988</v>
      </c>
    </row>
    <row r="239" spans="1:2" x14ac:dyDescent="0.25">
      <c r="A239">
        <f ca="1">30892.7495658172*((RANDBETWEEN(1587,2416)))</f>
        <v>61291215.13858141</v>
      </c>
      <c r="B239">
        <v>217078132.74891555</v>
      </c>
    </row>
    <row r="240" spans="1:2" x14ac:dyDescent="0.25">
      <c r="A240">
        <f ca="1">30674.3687870814*((RANDBETWEEN(1587,2416)))</f>
        <v>65735172.310715526</v>
      </c>
      <c r="B240">
        <v>223724512.58376464</v>
      </c>
    </row>
    <row r="241" spans="1:2" x14ac:dyDescent="0.25">
      <c r="A241">
        <f ca="1">30408.139603379*((RANDBETWEEN(1587,2416)))</f>
        <v>60329748.973103926</v>
      </c>
      <c r="B241">
        <v>248080461.82896399</v>
      </c>
    </row>
    <row r="242" spans="1:2" x14ac:dyDescent="0.25">
      <c r="A242">
        <f ca="1">30590.5580754015*((RANDBETWEEN(1587,2416)))</f>
        <v>55613634.58107987</v>
      </c>
      <c r="B242">
        <v>215572247.01239836</v>
      </c>
    </row>
    <row r="243" spans="1:2" x14ac:dyDescent="0.25">
      <c r="A243">
        <f ca="1">32286.1946532493*((RANDBETWEEN(1587,2416)))</f>
        <v>51916201.002424836</v>
      </c>
      <c r="B243">
        <v>258400435.01820242</v>
      </c>
    </row>
    <row r="244" spans="1:2" x14ac:dyDescent="0.25">
      <c r="A244">
        <f ca="1">30033.9466195557*((RANDBETWEEN(1587,2416)))</f>
        <v>72111505.833553284</v>
      </c>
      <c r="B244">
        <v>245524896.07820082</v>
      </c>
    </row>
    <row r="245" spans="1:2" x14ac:dyDescent="0.25">
      <c r="A245">
        <f ca="1">26393.8501030704*((RANDBETWEEN(1587,2416)))</f>
        <v>53632303.40943902</v>
      </c>
      <c r="B245">
        <v>240362784.78524765</v>
      </c>
    </row>
    <row r="246" spans="1:2" x14ac:dyDescent="0.25">
      <c r="A246">
        <f ca="1">28235.2476911254*((RANDBETWEEN(1587,2416)))</f>
        <v>55934025.676119499</v>
      </c>
      <c r="B246">
        <v>258480186.67969358</v>
      </c>
    </row>
    <row r="247" spans="1:2" x14ac:dyDescent="0.25">
      <c r="A247">
        <f ca="1">29949.838969436*((RANDBETWEEN(1587,2416)))</f>
        <v>56096048.389753662</v>
      </c>
      <c r="B247">
        <v>241120478.79074809</v>
      </c>
    </row>
    <row r="248" spans="1:2" x14ac:dyDescent="0.25">
      <c r="A248">
        <f ca="1">31479.3074109315*((RANDBETWEEN(1587,2416)))</f>
        <v>74259686.182387352</v>
      </c>
      <c r="B248">
        <v>205819647.91794035</v>
      </c>
    </row>
    <row r="249" spans="1:2" x14ac:dyDescent="0.25">
      <c r="A249">
        <f ca="1">30429.6902525632*((RANDBETWEEN(1587,2416)))</f>
        <v>62198286.876239218</v>
      </c>
      <c r="B249">
        <v>219666284.87314093</v>
      </c>
    </row>
    <row r="250" spans="1:2" x14ac:dyDescent="0.25">
      <c r="A250">
        <f ca="1">30016.5027320557*((RANDBETWEEN(1587,2416)))</f>
        <v>49197047.977839261</v>
      </c>
      <c r="B250">
        <v>241377887.43199921</v>
      </c>
    </row>
    <row r="251" spans="1:2" x14ac:dyDescent="0.25">
      <c r="A251">
        <f ca="1">30596.9944940248*((RANDBETWEEN(1587,2416)))</f>
        <v>57552946.643260829</v>
      </c>
      <c r="B251">
        <v>212092066.87972152</v>
      </c>
    </row>
    <row r="252" spans="1:2" x14ac:dyDescent="0.25">
      <c r="A252">
        <f ca="1">33752.0699266745*((RANDBETWEEN(1587,2416)))</f>
        <v>58796105.812266991</v>
      </c>
      <c r="B252">
        <v>258886418.36790013</v>
      </c>
    </row>
    <row r="253" spans="1:2" x14ac:dyDescent="0.25">
      <c r="A253">
        <f ca="1">31306.1349174131*((RANDBETWEEN(1587,2416)))</f>
        <v>62267902.350734614</v>
      </c>
      <c r="B253">
        <v>239296483.9177871</v>
      </c>
    </row>
    <row r="254" spans="1:2" x14ac:dyDescent="0.25">
      <c r="A254">
        <f ca="1">26595.8234470136*((RANDBETWEEN(1587,2416)))</f>
        <v>60585285.812296942</v>
      </c>
      <c r="B254">
        <v>234162456.895913</v>
      </c>
    </row>
    <row r="255" spans="1:2" x14ac:dyDescent="0.25">
      <c r="A255">
        <f ca="1">29378.3234932988*((RANDBETWEEN(1587,2416)))</f>
        <v>69362221.767678499</v>
      </c>
      <c r="B255">
        <v>204107357.85701424</v>
      </c>
    </row>
    <row r="256" spans="1:2" x14ac:dyDescent="0.25">
      <c r="A256">
        <f ca="1">28896.853490018*((RANDBETWEEN(1587,2416)))</f>
        <v>46986283.774769254</v>
      </c>
      <c r="B256">
        <v>261445839.21991092</v>
      </c>
    </row>
    <row r="257" spans="1:2" x14ac:dyDescent="0.25">
      <c r="A257">
        <f ca="1">33328.2705994404*((RANDBETWEEN(1587,2416)))</f>
        <v>72289018.930186197</v>
      </c>
      <c r="B257">
        <v>251113298.40865362</v>
      </c>
    </row>
    <row r="258" spans="1:2" x14ac:dyDescent="0.25">
      <c r="A258">
        <f ca="1">30494.8473611663*((RANDBETWEEN(1587,2416)))</f>
        <v>64435612.474144422</v>
      </c>
      <c r="B258">
        <v>217384955.7000123</v>
      </c>
    </row>
    <row r="259" spans="1:2" x14ac:dyDescent="0.25">
      <c r="A259">
        <f ca="1">27793.2015016732*((RANDBETWEEN(1587,2416)))</f>
        <v>46247887.298784137</v>
      </c>
      <c r="B259">
        <v>229416380.20952788</v>
      </c>
    </row>
    <row r="260" spans="1:2" x14ac:dyDescent="0.25">
      <c r="A260">
        <f ca="1">26412.2551107924*((RANDBETWEEN(1587,2416)))</f>
        <v>49681451.863400571</v>
      </c>
      <c r="B260">
        <v>260222411.11701661</v>
      </c>
    </row>
    <row r="261" spans="1:2" x14ac:dyDescent="0.25">
      <c r="A261">
        <f ca="1">32617.1792211033*((RANDBETWEEN(1587,2416)))</f>
        <v>59428500.540850148</v>
      </c>
      <c r="B261">
        <v>258985820.79006055</v>
      </c>
    </row>
    <row r="262" spans="1:2" x14ac:dyDescent="0.25">
      <c r="A262">
        <f ca="1">31731.7996560134*((RANDBETWEEN(1587,2416)))</f>
        <v>58227852.368784592</v>
      </c>
      <c r="B262">
        <v>244724430.38366055</v>
      </c>
    </row>
    <row r="263" spans="1:2" x14ac:dyDescent="0.25">
      <c r="A263">
        <f ca="1">31751.984960464*((RANDBETWEEN(1587,2416)))</f>
        <v>74267892.822525352</v>
      </c>
      <c r="B263">
        <v>239719274.48557919</v>
      </c>
    </row>
    <row r="264" spans="1:2" x14ac:dyDescent="0.25">
      <c r="A264">
        <f ca="1">26921.6046927759*((RANDBETWEEN(1587,2416)))</f>
        <v>45659041.558947876</v>
      </c>
      <c r="B264">
        <v>234537424.20105663</v>
      </c>
    </row>
    <row r="265" spans="1:2" x14ac:dyDescent="0.25">
      <c r="A265">
        <f ca="1">30452.0423418723*((RANDBETWEEN(1587,2416)))</f>
        <v>69613368.793520093</v>
      </c>
      <c r="B265">
        <v>219309023.96972692</v>
      </c>
    </row>
    <row r="266" spans="1:2" x14ac:dyDescent="0.25">
      <c r="A266">
        <f ca="1">26325.7205072087*((RANDBETWEEN(1587,2416)))</f>
        <v>53204281.145068727</v>
      </c>
      <c r="B266">
        <v>211431336.53561205</v>
      </c>
    </row>
    <row r="267" spans="1:2" x14ac:dyDescent="0.25">
      <c r="A267">
        <f ca="1">32456.8713919247*((RANDBETWEEN(1587,2416)))</f>
        <v>69360334.164543137</v>
      </c>
      <c r="B267">
        <v>232424766.8569507</v>
      </c>
    </row>
    <row r="268" spans="1:2" x14ac:dyDescent="0.25">
      <c r="A268">
        <f ca="1">27453.4043370158*((RANDBETWEEN(1587,2416)))</f>
        <v>57926683.151103243</v>
      </c>
      <c r="B268">
        <v>205780048.53744653</v>
      </c>
    </row>
    <row r="269" spans="1:2" x14ac:dyDescent="0.25">
      <c r="A269">
        <f ca="1">32332.8777336194*((RANDBETWEEN(1587,2416)))</f>
        <v>54965892.147152983</v>
      </c>
      <c r="B269">
        <v>219473157.32736978</v>
      </c>
    </row>
    <row r="270" spans="1:2" x14ac:dyDescent="0.25">
      <c r="A270">
        <f ca="1">31648.9941911137*((RANDBETWEEN(1587,2416)))</f>
        <v>53993184.090039901</v>
      </c>
      <c r="B270">
        <v>250482638.65794453</v>
      </c>
    </row>
    <row r="271" spans="1:2" x14ac:dyDescent="0.25">
      <c r="A271">
        <f ca="1">30081.222797042*((RANDBETWEEN(1587,2416)))</f>
        <v>67712832.516141608</v>
      </c>
      <c r="B271">
        <v>253045063.97738832</v>
      </c>
    </row>
    <row r="272" spans="1:2" x14ac:dyDescent="0.25">
      <c r="A272">
        <f ca="1">28048.7767713247*((RANDBETWEEN(1587,2416)))</f>
        <v>48187798.493135892</v>
      </c>
      <c r="B272">
        <v>221010443.37841937</v>
      </c>
    </row>
    <row r="273" spans="1:2" x14ac:dyDescent="0.25">
      <c r="A273">
        <f ca="1">28823.3109961314*((RANDBETWEEN(1587,2416)))</f>
        <v>50383147.621237673</v>
      </c>
      <c r="B273">
        <v>251803221.34657076</v>
      </c>
    </row>
    <row r="274" spans="1:2" x14ac:dyDescent="0.25">
      <c r="A274">
        <f ca="1">28601.9833204167*((RANDBETWEEN(1587,2416)))</f>
        <v>49395625.194359653</v>
      </c>
      <c r="B274">
        <v>207097699.93796805</v>
      </c>
    </row>
    <row r="275" spans="1:2" x14ac:dyDescent="0.25">
      <c r="A275">
        <f ca="1">26823.6781920652*((RANDBETWEEN(1587,2416)))</f>
        <v>47853441.89464432</v>
      </c>
      <c r="B275">
        <v>255710993.44576937</v>
      </c>
    </row>
    <row r="276" spans="1:2" x14ac:dyDescent="0.25">
      <c r="A276">
        <f ca="1">28822.3978239384*((RANDBETWEEN(1587,2416)))</f>
        <v>61247595.375868998</v>
      </c>
      <c r="B276">
        <v>237597866.91252807</v>
      </c>
    </row>
    <row r="277" spans="1:2" x14ac:dyDescent="0.25">
      <c r="A277">
        <f ca="1">30154.6088244695*((RANDBETWEEN(1587,2416)))</f>
        <v>61877257.307811379</v>
      </c>
      <c r="B277">
        <v>226450639.39177138</v>
      </c>
    </row>
    <row r="278" spans="1:2" x14ac:dyDescent="0.25">
      <c r="A278">
        <f ca="1">28524.9740080612*((RANDBETWEEN(1587,2416)))</f>
        <v>51829877.772647187</v>
      </c>
      <c r="B278">
        <v>266183330.33535355</v>
      </c>
    </row>
    <row r="279" spans="1:2" x14ac:dyDescent="0.25">
      <c r="A279">
        <f ca="1">30740.0337982681*((RANDBETWEEN(1587,2416)))</f>
        <v>66859573.511233062</v>
      </c>
      <c r="B279">
        <v>267598845.93544036</v>
      </c>
    </row>
    <row r="280" spans="1:2" x14ac:dyDescent="0.25">
      <c r="A280">
        <f ca="1">30872.4551410363*((RANDBETWEEN(1587,2416)))</f>
        <v>68629467.778523684</v>
      </c>
      <c r="B280">
        <v>207317930.95018217</v>
      </c>
    </row>
    <row r="281" spans="1:2" x14ac:dyDescent="0.25">
      <c r="A281">
        <f ca="1">29495.2786318589*((RANDBETWEEN(1587,2416)))</f>
        <v>51911690.392071739</v>
      </c>
      <c r="B281">
        <v>249990751.20733902</v>
      </c>
    </row>
    <row r="282" spans="1:2" x14ac:dyDescent="0.25">
      <c r="A282">
        <f ca="1">25873.3675186789*((RANDBETWEEN(1587,2416)))</f>
        <v>56326321.08816392</v>
      </c>
      <c r="B282">
        <v>238160957.36292952</v>
      </c>
    </row>
    <row r="283" spans="1:2" x14ac:dyDescent="0.25">
      <c r="A283">
        <f ca="1">31646.2442085851*((RANDBETWEEN(1587,2416)))</f>
        <v>60760788.880483434</v>
      </c>
      <c r="B283">
        <v>246040576.10679659</v>
      </c>
    </row>
    <row r="284" spans="1:2" x14ac:dyDescent="0.25">
      <c r="A284">
        <f ca="1">31300.670395777*((RANDBETWEEN(1587,2416)))</f>
        <v>70864717.776039228</v>
      </c>
      <c r="B284">
        <v>233779434.02549043</v>
      </c>
    </row>
    <row r="285" spans="1:2" x14ac:dyDescent="0.25">
      <c r="A285">
        <f ca="1">33111.2008074468*((RANDBETWEEN(1587,2416)))</f>
        <v>77811321.897500008</v>
      </c>
      <c r="B285">
        <v>236746799.26252207</v>
      </c>
    </row>
    <row r="286" spans="1:2" x14ac:dyDescent="0.25">
      <c r="A286">
        <f ca="1">28755.3117590533*((RANDBETWEEN(1587,2416)))</f>
        <v>67316184.827943847</v>
      </c>
      <c r="B286">
        <v>223053515.03517312</v>
      </c>
    </row>
    <row r="287" spans="1:2" x14ac:dyDescent="0.25">
      <c r="A287">
        <f ca="1">30720.5441455473*((RANDBETWEEN(1587,2416)))</f>
        <v>52317086.679867007</v>
      </c>
      <c r="B287">
        <v>262998422.86502689</v>
      </c>
    </row>
    <row r="288" spans="1:2" x14ac:dyDescent="0.25">
      <c r="A288">
        <f ca="1">28639.7917429326*((RANDBETWEEN(1587,2416)))</f>
        <v>65671042.466544352</v>
      </c>
      <c r="B288">
        <v>251972184.67667475</v>
      </c>
    </row>
    <row r="289" spans="1:2" x14ac:dyDescent="0.25">
      <c r="A289">
        <f ca="1">32372.9519771116*((RANDBETWEEN(1587,2416)))</f>
        <v>71252867.301622659</v>
      </c>
      <c r="B289">
        <v>239928503.71236873</v>
      </c>
    </row>
    <row r="290" spans="1:2" x14ac:dyDescent="0.25">
      <c r="A290">
        <f ca="1">30294.7700136463*((RANDBETWEEN(1587,2416)))</f>
        <v>61498383.127701916</v>
      </c>
      <c r="B290">
        <v>216442807.15422934</v>
      </c>
    </row>
    <row r="291" spans="1:2" x14ac:dyDescent="0.25">
      <c r="A291">
        <f ca="1">28249.9821800737*((RANDBETWEEN(1587,2416)))</f>
        <v>53816216.0530404</v>
      </c>
      <c r="B291">
        <v>205676272.03134596</v>
      </c>
    </row>
    <row r="292" spans="1:2" x14ac:dyDescent="0.25">
      <c r="A292">
        <f ca="1">29518.0294749576*((RANDBETWEEN(1587,2416)))</f>
        <v>65618579.522830702</v>
      </c>
      <c r="B292">
        <v>254921160.19561589</v>
      </c>
    </row>
    <row r="293" spans="1:2" x14ac:dyDescent="0.25">
      <c r="A293">
        <f ca="1">27926.796775567*((RANDBETWEEN(1587,2416)))</f>
        <v>61494806.499798641</v>
      </c>
      <c r="B293">
        <v>205746672.08954409</v>
      </c>
    </row>
    <row r="294" spans="1:2" x14ac:dyDescent="0.25">
      <c r="A294">
        <f ca="1">29658.02692331*((RANDBETWEEN(1587,2416)))</f>
        <v>71357212.777483955</v>
      </c>
      <c r="B294">
        <v>267712422.8185724</v>
      </c>
    </row>
    <row r="295" spans="1:2" x14ac:dyDescent="0.25">
      <c r="A295">
        <f ca="1">31552.3413221149*((RANDBETWEEN(1587,2416)))</f>
        <v>69225836.860720143</v>
      </c>
      <c r="B295">
        <v>249001336.29292274</v>
      </c>
    </row>
    <row r="296" spans="1:2" x14ac:dyDescent="0.25">
      <c r="A296">
        <f ca="1">27123.0901166292*((RANDBETWEEN(1587,2416)))</f>
        <v>51750855.942528583</v>
      </c>
      <c r="B296">
        <v>254941952.79575962</v>
      </c>
    </row>
    <row r="297" spans="1:2" x14ac:dyDescent="0.25">
      <c r="A297">
        <f ca="1">32448.5215077652*((RANDBETWEEN(1587,2416)))</f>
        <v>53020884.143688381</v>
      </c>
      <c r="B297">
        <v>237635128.09368762</v>
      </c>
    </row>
    <row r="298" spans="1:2" x14ac:dyDescent="0.25">
      <c r="A298">
        <f ca="1">31126.3738340889*((RANDBETWEEN(1587,2416)))</f>
        <v>52945961.89178519</v>
      </c>
      <c r="B298">
        <v>227259581.5103873</v>
      </c>
    </row>
    <row r="299" spans="1:2" x14ac:dyDescent="0.25">
      <c r="A299">
        <f ca="1">34325.4615890485*((RANDBETWEEN(1587,2416)))</f>
        <v>56842964.39146439</v>
      </c>
      <c r="B299">
        <v>266557434.04402336</v>
      </c>
    </row>
    <row r="300" spans="1:2" x14ac:dyDescent="0.25">
      <c r="A300">
        <f ca="1">27099.7210951463*((RANDBETWEEN(1587,2416)))</f>
        <v>57315910.116234422</v>
      </c>
      <c r="B300">
        <v>229371894.86161506</v>
      </c>
    </row>
    <row r="301" spans="1:2" x14ac:dyDescent="0.25">
      <c r="A301">
        <f ca="1">32788.0828219195*((RANDBETWEEN(1587,2416)))</f>
        <v>64363006.579428039</v>
      </c>
      <c r="B301">
        <v>232752460.56265742</v>
      </c>
    </row>
    <row r="302" spans="1:2" x14ac:dyDescent="0.25">
      <c r="A302">
        <f ca="1">29823.7126525519*((RANDBETWEEN(1587,2416)))</f>
        <v>67670004.008640379</v>
      </c>
      <c r="B302">
        <v>206752700.16261262</v>
      </c>
    </row>
    <row r="303" spans="1:2" x14ac:dyDescent="0.25">
      <c r="A303">
        <f ca="1">32358.7024364066*((RANDBETWEEN(1587,2416)))</f>
        <v>60510773.556080259</v>
      </c>
      <c r="B303">
        <v>263988313.75296438</v>
      </c>
    </row>
    <row r="304" spans="1:2" x14ac:dyDescent="0.25">
      <c r="A304">
        <f ca="1">26442.2395225608*((RANDBETWEEN(1587,2416)))</f>
        <v>51192175.715677805</v>
      </c>
      <c r="B304">
        <v>254694539.8235231</v>
      </c>
    </row>
    <row r="305" spans="1:2" x14ac:dyDescent="0.25">
      <c r="A305">
        <f ca="1">28743.0113452405*((RANDBETWEEN(1587,2416)))</f>
        <v>50788901.047039948</v>
      </c>
      <c r="B305">
        <v>253805115.87918332</v>
      </c>
    </row>
    <row r="306" spans="1:2" x14ac:dyDescent="0.25">
      <c r="A306">
        <f ca="1">30794.5334899673*((RANDBETWEEN(1587,2416)))</f>
        <v>59710600.43704658</v>
      </c>
      <c r="B306">
        <v>229618211.02098858</v>
      </c>
    </row>
    <row r="307" spans="1:2" x14ac:dyDescent="0.25">
      <c r="A307">
        <f ca="1">26658.8385467691*((RANDBETWEEN(1587,2416)))</f>
        <v>50038639.952285551</v>
      </c>
      <c r="B307">
        <v>261500982.06858212</v>
      </c>
    </row>
    <row r="308" spans="1:2" x14ac:dyDescent="0.25">
      <c r="A308">
        <f ca="1">31274.0787605032*((RANDBETWEEN(1587,2416)))</f>
        <v>51789874.42739322</v>
      </c>
      <c r="B308">
        <v>245454071.37378335</v>
      </c>
    </row>
    <row r="309" spans="1:2" x14ac:dyDescent="0.25">
      <c r="A309">
        <f ca="1">27358.008459042*((RANDBETWEEN(1587,2416)))</f>
        <v>63935665.768781193</v>
      </c>
      <c r="B309">
        <v>239302231.13463232</v>
      </c>
    </row>
    <row r="310" spans="1:2" x14ac:dyDescent="0.25">
      <c r="A310">
        <f ca="1">30240.3556666247*((RANDBETWEEN(1587,2416)))</f>
        <v>61932248.405247346</v>
      </c>
      <c r="B310">
        <v>224103630.4637408</v>
      </c>
    </row>
    <row r="311" spans="1:2" x14ac:dyDescent="0.25">
      <c r="A311">
        <f ca="1">30253.9096872824*((RANDBETWEEN(1587,2416)))</f>
        <v>67072917.776705079</v>
      </c>
      <c r="B311">
        <v>225476411.24300069</v>
      </c>
    </row>
    <row r="312" spans="1:2" x14ac:dyDescent="0.25">
      <c r="A312">
        <f ca="1">29331.3540109244*((RANDBETWEEN(1587,2416)))</f>
        <v>59542648.642176569</v>
      </c>
      <c r="B312">
        <v>210521789.78664961</v>
      </c>
    </row>
    <row r="313" spans="1:2" x14ac:dyDescent="0.25">
      <c r="A313">
        <f ca="1">27869.3702821763*((RANDBETWEEN(1587,2416)))</f>
        <v>62120826.358971007</v>
      </c>
      <c r="B313">
        <v>220860717.50372162</v>
      </c>
    </row>
    <row r="314" spans="1:2" x14ac:dyDescent="0.25">
      <c r="A314">
        <f ca="1">32171.2544874662*((RANDBETWEEN(1587,2416)))</f>
        <v>58969909.475525454</v>
      </c>
      <c r="B314">
        <v>247859412.08660287</v>
      </c>
    </row>
    <row r="315" spans="1:2" x14ac:dyDescent="0.25">
      <c r="A315">
        <f ca="1">29352.7782985184*((RANDBETWEEN(1587,2416)))</f>
        <v>64311937.252053909</v>
      </c>
      <c r="B315">
        <v>230435061.33736631</v>
      </c>
    </row>
    <row r="316" spans="1:2" x14ac:dyDescent="0.25">
      <c r="A316">
        <f ca="1">27218.2127368515*((RANDBETWEEN(1587,2416)))</f>
        <v>57974793.129493728</v>
      </c>
      <c r="B316">
        <v>247247846.06051362</v>
      </c>
    </row>
    <row r="317" spans="1:2" x14ac:dyDescent="0.25">
      <c r="A317">
        <f ca="1">27549.791942539*((RANDBETWEEN(1587,2416)))</f>
        <v>59755498.723366983</v>
      </c>
      <c r="B317">
        <v>234842930.42871952</v>
      </c>
    </row>
    <row r="318" spans="1:2" x14ac:dyDescent="0.25">
      <c r="A318">
        <f ca="1">27424.6079730569*((RANDBETWEEN(1587,2416)))</f>
        <v>48733528.36812216</v>
      </c>
      <c r="B318">
        <v>246332020.16433537</v>
      </c>
    </row>
    <row r="319" spans="1:2" x14ac:dyDescent="0.25">
      <c r="A319">
        <f ca="1">27303.5874821275*((RANDBETWEEN(1587,2416)))</f>
        <v>65228270.494802497</v>
      </c>
      <c r="B319">
        <v>213315295.34938073</v>
      </c>
    </row>
    <row r="320" spans="1:2" x14ac:dyDescent="0.25">
      <c r="A320">
        <f ca="1">29303.9853838132*((RANDBETWEEN(1587,2416)))</f>
        <v>63443128.355955526</v>
      </c>
      <c r="B320">
        <v>223087011.84139374</v>
      </c>
    </row>
    <row r="321" spans="1:2" x14ac:dyDescent="0.25">
      <c r="A321">
        <f ca="1">33769.160095087*((RANDBETWEEN(1587,2416)))</f>
        <v>57711494.602503665</v>
      </c>
      <c r="B321">
        <v>254154811.34906715</v>
      </c>
    </row>
    <row r="322" spans="1:2" x14ac:dyDescent="0.25">
      <c r="A322">
        <f ca="1">29586.4649761079*((RANDBETWEEN(1587,2416)))</f>
        <v>66569546.196242794</v>
      </c>
      <c r="B322">
        <v>262145812.18323714</v>
      </c>
    </row>
    <row r="323" spans="1:2" x14ac:dyDescent="0.25">
      <c r="A323">
        <f ca="1">29061.9252519912*((RANDBETWEEN(1587,2416)))</f>
        <v>59431637.140322037</v>
      </c>
      <c r="B323">
        <v>223973194.18214655</v>
      </c>
    </row>
    <row r="324" spans="1:2" x14ac:dyDescent="0.25">
      <c r="A324">
        <f ca="1">27802.3188467641*((RANDBETWEEN(1587,2416)))</f>
        <v>56188486.389310271</v>
      </c>
      <c r="B324">
        <v>221116196.87859997</v>
      </c>
    </row>
    <row r="325" spans="1:2" x14ac:dyDescent="0.25">
      <c r="A325">
        <f ca="1">32101.7974502964*((RANDBETWEEN(1587,2416)))</f>
        <v>76851703.096009701</v>
      </c>
      <c r="B325">
        <v>212261614.0904336</v>
      </c>
    </row>
    <row r="326" spans="1:2" x14ac:dyDescent="0.25">
      <c r="A326">
        <f ca="1">29778.2785341893*((RANDBETWEEN(1587,2416)))</f>
        <v>49074603.024343915</v>
      </c>
      <c r="B326">
        <v>266262269.49414656</v>
      </c>
    </row>
    <row r="327" spans="1:2" x14ac:dyDescent="0.25">
      <c r="A327">
        <f ca="1">33139.1972930022*((RANDBETWEEN(1587,2416)))</f>
        <v>74894585.882185042</v>
      </c>
      <c r="B327">
        <v>217442270.88139451</v>
      </c>
    </row>
    <row r="328" spans="1:2" x14ac:dyDescent="0.25">
      <c r="A328">
        <f ca="1">27866.0117195288*((RANDBETWEEN(1587,2416)))</f>
        <v>52248771.974116497</v>
      </c>
      <c r="B328">
        <v>259661339.2003383</v>
      </c>
    </row>
    <row r="329" spans="1:2" x14ac:dyDescent="0.25">
      <c r="A329">
        <f ca="1">27265.217212056*((RANDBETWEEN(1587,2416)))</f>
        <v>49104656.198912941</v>
      </c>
      <c r="B329">
        <v>217653040.31414872</v>
      </c>
    </row>
    <row r="330" spans="1:2" x14ac:dyDescent="0.25">
      <c r="A330">
        <f ca="1">28087.1511271652*((RANDBETWEEN(1587,2416)))</f>
        <v>45838230.639533564</v>
      </c>
      <c r="B330">
        <v>249088835.59353471</v>
      </c>
    </row>
    <row r="331" spans="1:2" x14ac:dyDescent="0.25">
      <c r="A331">
        <f ca="1">29913.3550477423*((RANDBETWEEN(1587,2416)))</f>
        <v>67753749.183136359</v>
      </c>
      <c r="B331">
        <v>267679891.67670658</v>
      </c>
    </row>
    <row r="332" spans="1:2" x14ac:dyDescent="0.25">
      <c r="A332">
        <f ca="1">28772.6045737675*((RANDBETWEEN(1587,2416)))</f>
        <v>65659083.637337379</v>
      </c>
      <c r="B332">
        <v>212087701.97666997</v>
      </c>
    </row>
    <row r="333" spans="1:2" x14ac:dyDescent="0.25">
      <c r="A333">
        <f ca="1">26924.6047695144*((RANDBETWEEN(1587,2416)))</f>
        <v>58345618.53553766</v>
      </c>
      <c r="B333">
        <v>230840956.55318886</v>
      </c>
    </row>
    <row r="334" spans="1:2" x14ac:dyDescent="0.25">
      <c r="A334">
        <f ca="1">29224.4494563732*((RANDBETWEEN(1587,2416)))</f>
        <v>62452648.488269486</v>
      </c>
      <c r="B334">
        <v>217979990.04601789</v>
      </c>
    </row>
    <row r="335" spans="1:2" x14ac:dyDescent="0.25">
      <c r="A335">
        <f ca="1">29768.1768046903*((RANDBETWEEN(1587,2416)))</f>
        <v>58137249.29956007</v>
      </c>
      <c r="B335">
        <v>242696821.24214208</v>
      </c>
    </row>
    <row r="336" spans="1:2" x14ac:dyDescent="0.25">
      <c r="A336">
        <f ca="1">27414.2817537558*((RANDBETWEEN(1587,2416)))</f>
        <v>60667805.521061555</v>
      </c>
      <c r="B336">
        <v>235988510.4354285</v>
      </c>
    </row>
    <row r="337" spans="1:2" x14ac:dyDescent="0.25">
      <c r="A337">
        <f ca="1">28704.9829562223*((RANDBETWEEN(1587,2416)))</f>
        <v>56807161.270364016</v>
      </c>
      <c r="B337">
        <v>213245495.22624743</v>
      </c>
    </row>
    <row r="338" spans="1:2" x14ac:dyDescent="0.25">
      <c r="A338">
        <f ca="1">30911.7064763927*((RANDBETWEEN(1587,2416)))</f>
        <v>55919277.015794352</v>
      </c>
      <c r="B338">
        <v>232703526.96951291</v>
      </c>
    </row>
    <row r="339" spans="1:2" x14ac:dyDescent="0.25">
      <c r="A339">
        <f ca="1">30355.8848026947*((RANDBETWEEN(1587,2416)))</f>
        <v>69939958.585408688</v>
      </c>
      <c r="B339">
        <v>231236994.35085356</v>
      </c>
    </row>
    <row r="340" spans="1:2" x14ac:dyDescent="0.25">
      <c r="A340">
        <f ca="1">29336.3520359509*((RANDBETWEEN(1587,2416)))</f>
        <v>62867802.413042776</v>
      </c>
      <c r="B340">
        <v>242720423.09393018</v>
      </c>
    </row>
    <row r="341" spans="1:2" x14ac:dyDescent="0.25">
      <c r="A341">
        <f ca="1">31917.7698833415*((RANDBETWEEN(1587,2416)))</f>
        <v>62016226.883332476</v>
      </c>
      <c r="B341">
        <v>227278693.39021236</v>
      </c>
    </row>
    <row r="342" spans="1:2" x14ac:dyDescent="0.25">
      <c r="A342">
        <f ca="1">28607.4718987124*((RANDBETWEEN(1587,2416)))</f>
        <v>51493449.417682245</v>
      </c>
      <c r="B342">
        <v>248003841.16991931</v>
      </c>
    </row>
    <row r="343" spans="1:2" x14ac:dyDescent="0.25">
      <c r="A343">
        <f ca="1">30773.0405279041*((RANDBETWEEN(1587,2416)))</f>
        <v>52314168.897437043</v>
      </c>
      <c r="B343">
        <v>264362653.31420359</v>
      </c>
    </row>
    <row r="344" spans="1:2" x14ac:dyDescent="0.25">
      <c r="A344">
        <f ca="1">31190.2758703845*((RANDBETWEEN(1587,2416)))</f>
        <v>54177509.186857842</v>
      </c>
      <c r="B344">
        <v>236502130.93319434</v>
      </c>
    </row>
    <row r="345" spans="1:2" x14ac:dyDescent="0.25">
      <c r="A345">
        <f ca="1">29345.4398385455*((RANDBETWEEN(1587,2416)))</f>
        <v>52851137.149220385</v>
      </c>
      <c r="B345">
        <v>216034163.30378479</v>
      </c>
    </row>
    <row r="346" spans="1:2" x14ac:dyDescent="0.25">
      <c r="A346">
        <f ca="1">31275.6467758899*((RANDBETWEEN(1587,2416)))</f>
        <v>49728278.373664975</v>
      </c>
      <c r="B346">
        <v>239961262.94218585</v>
      </c>
    </row>
    <row r="347" spans="1:2" x14ac:dyDescent="0.25">
      <c r="A347">
        <f ca="1">30585.2461901529*((RANDBETWEEN(1587,2416)))</f>
        <v>73343420.363986731</v>
      </c>
      <c r="B347">
        <v>247037892.60859057</v>
      </c>
    </row>
    <row r="348" spans="1:2" x14ac:dyDescent="0.25">
      <c r="A348">
        <f ca="1">28761.5684723897*((RANDBETWEEN(1587,2416)))</f>
        <v>55970012.247270316</v>
      </c>
      <c r="B348">
        <v>205921058.75169531</v>
      </c>
    </row>
    <row r="349" spans="1:2" x14ac:dyDescent="0.25">
      <c r="A349">
        <f ca="1">33891.6288610576*((RANDBETWEEN(1587,2416)))</f>
        <v>54158822.919970036</v>
      </c>
      <c r="B349">
        <v>225825008.29072443</v>
      </c>
    </row>
    <row r="350" spans="1:2" x14ac:dyDescent="0.25">
      <c r="A350">
        <f ca="1">27824.555198962*((RANDBETWEEN(1587,2416)))</f>
        <v>60657530.333737239</v>
      </c>
      <c r="B350">
        <v>243402958.39225021</v>
      </c>
    </row>
    <row r="351" spans="1:2" x14ac:dyDescent="0.25">
      <c r="A351">
        <f ca="1">29490.3075738031*((RANDBETWEEN(1587,2416)))</f>
        <v>50900270.872384071</v>
      </c>
      <c r="B351">
        <v>215341652.2218591</v>
      </c>
    </row>
    <row r="352" spans="1:2" x14ac:dyDescent="0.25">
      <c r="A352">
        <f ca="1">27855.0505581857*((RANDBETWEEN(1587,2416)))</f>
        <v>52311784.948272735</v>
      </c>
      <c r="B352">
        <v>209087224.32132101</v>
      </c>
    </row>
    <row r="353" spans="1:2" x14ac:dyDescent="0.25">
      <c r="A353">
        <f ca="1">30410.141643087*((RANDBETWEEN(1587,2416)))</f>
        <v>57566398.130363636</v>
      </c>
      <c r="B353">
        <v>212405743.53842139</v>
      </c>
    </row>
    <row r="354" spans="1:2" x14ac:dyDescent="0.25">
      <c r="A354">
        <f ca="1">27083.5776258544*((RANDBETWEEN(1587,2416)))</f>
        <v>55250498.356742986</v>
      </c>
      <c r="B354">
        <v>205311295.35117245</v>
      </c>
    </row>
    <row r="355" spans="1:2" x14ac:dyDescent="0.25">
      <c r="A355">
        <f ca="1">27640.7635955883*((RANDBETWEEN(1587,2416)))</f>
        <v>54562867.337691218</v>
      </c>
      <c r="B355">
        <v>215104236.83809632</v>
      </c>
    </row>
    <row r="356" spans="1:2" x14ac:dyDescent="0.25">
      <c r="A356">
        <f ca="1">31575.1645851023*((RANDBETWEEN(1587,2416)))</f>
        <v>65423741.020331927</v>
      </c>
      <c r="B356">
        <v>263908644.16454136</v>
      </c>
    </row>
    <row r="357" spans="1:2" x14ac:dyDescent="0.25">
      <c r="A357">
        <f ca="1">28839.887716104*((RANDBETWEEN(1587,2416)))</f>
        <v>51017761.369788043</v>
      </c>
      <c r="B357">
        <v>241336121.02754885</v>
      </c>
    </row>
    <row r="358" spans="1:2" x14ac:dyDescent="0.25">
      <c r="A358">
        <f ca="1">26673.3257002477*((RANDBETWEEN(1587,2416)))</f>
        <v>57107590.324230336</v>
      </c>
      <c r="B358">
        <v>242892857.17753828</v>
      </c>
    </row>
    <row r="359" spans="1:2" x14ac:dyDescent="0.25">
      <c r="A359">
        <f ca="1">27087.8919050153*((RANDBETWEEN(1587,2416)))</f>
        <v>49191611.699507877</v>
      </c>
      <c r="B359">
        <v>207603180.61240143</v>
      </c>
    </row>
    <row r="360" spans="1:2" x14ac:dyDescent="0.25">
      <c r="A360">
        <f ca="1">27152.2038789484*((RANDBETWEEN(1587,2416)))</f>
        <v>57209693.572944306</v>
      </c>
      <c r="B360">
        <v>230866605.99537399</v>
      </c>
    </row>
    <row r="361" spans="1:2" x14ac:dyDescent="0.25">
      <c r="A361">
        <f ca="1">29193.4302181986*((RANDBETWEEN(1587,2416)))</f>
        <v>59583791.075343415</v>
      </c>
      <c r="B361">
        <v>219481936.09694666</v>
      </c>
    </row>
    <row r="362" spans="1:2" x14ac:dyDescent="0.25">
      <c r="A362">
        <f ca="1">28177.0673243829*((RANDBETWEEN(1587,2416)))</f>
        <v>56072363.975521937</v>
      </c>
      <c r="B362">
        <v>259296619.49253017</v>
      </c>
    </row>
    <row r="363" spans="1:2" x14ac:dyDescent="0.25">
      <c r="A363">
        <f ca="1">29659.6187684177*((RANDBETWEEN(1587,2416)))</f>
        <v>47218113.079320922</v>
      </c>
      <c r="B363">
        <v>264871326.49016094</v>
      </c>
    </row>
    <row r="364" spans="1:2" x14ac:dyDescent="0.25">
      <c r="A364">
        <f ca="1">28236.1112152228*((RANDBETWEEN(1587,2416)))</f>
        <v>66016028.021190993</v>
      </c>
      <c r="B364">
        <v>217415819.41326189</v>
      </c>
    </row>
    <row r="365" spans="1:2" x14ac:dyDescent="0.25">
      <c r="A365">
        <f ca="1">30410.379129838*((RANDBETWEEN(1587,2416)))</f>
        <v>67663093.563889503</v>
      </c>
      <c r="B365">
        <v>227081936.47303396</v>
      </c>
    </row>
    <row r="366" spans="1:2" x14ac:dyDescent="0.25">
      <c r="A366">
        <f ca="1">28399.2818113947*((RANDBETWEEN(1587,2416)))</f>
        <v>50039534.551677458</v>
      </c>
      <c r="B366">
        <v>208831481.78554025</v>
      </c>
    </row>
    <row r="367" spans="1:2" x14ac:dyDescent="0.25">
      <c r="A367">
        <f ca="1">27912.1495372453*((RANDBETWEEN(1587,2416)))</f>
        <v>48427579.447120674</v>
      </c>
      <c r="B367">
        <v>223773844.42963809</v>
      </c>
    </row>
    <row r="368" spans="1:2" x14ac:dyDescent="0.25">
      <c r="A368">
        <f ca="1">29028.9166607004*((RANDBETWEEN(1587,2416)))</f>
        <v>47462278.740245111</v>
      </c>
      <c r="B368">
        <v>266254434.43316621</v>
      </c>
    </row>
    <row r="369" spans="1:2" x14ac:dyDescent="0.25">
      <c r="A369">
        <f ca="1">30782.1371185035*((RANDBETWEEN(1587,2416)))</f>
        <v>71999418.720179603</v>
      </c>
      <c r="B369">
        <v>213396411.11142904</v>
      </c>
    </row>
    <row r="370" spans="1:2" x14ac:dyDescent="0.25">
      <c r="A370">
        <f ca="1">28733.6203340409*((RANDBETWEEN(1587,2416)))</f>
        <v>63300165.595892206</v>
      </c>
      <c r="B370">
        <v>218207168.99538606</v>
      </c>
    </row>
    <row r="371" spans="1:2" x14ac:dyDescent="0.25">
      <c r="A371">
        <f ca="1">29919.5091266614*((RANDBETWEEN(1587,2416)))</f>
        <v>70340765.95678094</v>
      </c>
      <c r="B371">
        <v>249981116.46803519</v>
      </c>
    </row>
    <row r="372" spans="1:2" x14ac:dyDescent="0.25">
      <c r="A372">
        <f ca="1">27398.6947852055*((RANDBETWEEN(1587,2416)))</f>
        <v>44084499.909395687</v>
      </c>
      <c r="B372">
        <v>254753742.95135725</v>
      </c>
    </row>
    <row r="373" spans="1:2" x14ac:dyDescent="0.25">
      <c r="A373">
        <f ca="1">28462.7492623272*((RANDBETWEEN(1587,2416)))</f>
        <v>54306925.592520349</v>
      </c>
      <c r="B373">
        <v>258711472.98400503</v>
      </c>
    </row>
    <row r="374" spans="1:2" x14ac:dyDescent="0.25">
      <c r="A374">
        <f ca="1">27852.3181592564*((RANDBETWEEN(1587,2416)))</f>
        <v>62027112.540663995</v>
      </c>
      <c r="B374">
        <v>208296315.69105324</v>
      </c>
    </row>
    <row r="375" spans="1:2" x14ac:dyDescent="0.25">
      <c r="A375">
        <f ca="1">30450.084042702*((RANDBETWEEN(1587,2416)))</f>
        <v>48841934.804494053</v>
      </c>
      <c r="B375">
        <v>253343167.01859653</v>
      </c>
    </row>
    <row r="376" spans="1:2" x14ac:dyDescent="0.25">
      <c r="A376">
        <f ca="1">32256.2042766414*((RANDBETWEEN(1587,2416)))</f>
        <v>70737855.978674591</v>
      </c>
      <c r="B376">
        <v>247736004.91211009</v>
      </c>
    </row>
    <row r="377" spans="1:2" x14ac:dyDescent="0.25">
      <c r="A377">
        <f ca="1">29532.9708369221*((RANDBETWEEN(1587,2416)))</f>
        <v>59361271.382213354</v>
      </c>
      <c r="B377">
        <v>213011959.42926559</v>
      </c>
    </row>
    <row r="378" spans="1:2" x14ac:dyDescent="0.25">
      <c r="A378">
        <f ca="1">28231.2131936472*((RANDBETWEEN(1587,2416)))</f>
        <v>50251559.484691963</v>
      </c>
      <c r="B378">
        <v>230931292.63623425</v>
      </c>
    </row>
    <row r="379" spans="1:2" x14ac:dyDescent="0.25">
      <c r="A379">
        <f ca="1">28085.9724913419*((RANDBETWEEN(1587,2416)))</f>
        <v>44825212.096181609</v>
      </c>
      <c r="B379">
        <v>238599271.53633615</v>
      </c>
    </row>
    <row r="380" spans="1:2" x14ac:dyDescent="0.25">
      <c r="A380">
        <f ca="1">30415.9615058662*((RANDBETWEEN(1587,2416)))</f>
        <v>68557577.234222308</v>
      </c>
      <c r="B380">
        <v>233436067.54673561</v>
      </c>
    </row>
    <row r="381" spans="1:2" x14ac:dyDescent="0.25">
      <c r="A381">
        <f ca="1">30209.9443142348*((RANDBETWEEN(1587,2416)))</f>
        <v>70177700.641967416</v>
      </c>
      <c r="B381">
        <v>248639174.20530489</v>
      </c>
    </row>
    <row r="382" spans="1:2" x14ac:dyDescent="0.25">
      <c r="A382">
        <f ca="1">30285.1074832258*((RANDBETWEEN(1587,2416)))</f>
        <v>65991249.205948986</v>
      </c>
      <c r="B382">
        <v>210792700.72249591</v>
      </c>
    </row>
    <row r="383" spans="1:2" x14ac:dyDescent="0.25">
      <c r="A383">
        <f ca="1">30407.9168856753*((RANDBETWEEN(1587,2416)))</f>
        <v>50142654.944478624</v>
      </c>
      <c r="B383">
        <v>241265788.86190265</v>
      </c>
    </row>
    <row r="384" spans="1:2" x14ac:dyDescent="0.25">
      <c r="A384">
        <f ca="1">28265.3674709425*((RANDBETWEEN(1587,2416)))</f>
        <v>52149602.983888902</v>
      </c>
      <c r="B384">
        <v>227589669.73930937</v>
      </c>
    </row>
    <row r="385" spans="1:2" x14ac:dyDescent="0.25">
      <c r="A385">
        <f ca="1">28297.3435072896*((RANDBETWEEN(1587,2416)))</f>
        <v>60556315.105599836</v>
      </c>
      <c r="B385">
        <v>220314464.7825771</v>
      </c>
    </row>
    <row r="386" spans="1:2" x14ac:dyDescent="0.25">
      <c r="A386">
        <f ca="1">30491.9542311469*((RANDBETWEEN(1587,2416)))</f>
        <v>67204267.125447676</v>
      </c>
      <c r="B386">
        <v>244000776.39994612</v>
      </c>
    </row>
    <row r="387" spans="1:2" x14ac:dyDescent="0.25">
      <c r="A387">
        <f ca="1">32526.6931908336*((RANDBETWEEN(1587,2416)))</f>
        <v>57962567.266065449</v>
      </c>
      <c r="B387">
        <v>214111867.94309205</v>
      </c>
    </row>
    <row r="388" spans="1:2" x14ac:dyDescent="0.25">
      <c r="A388">
        <f ca="1">31697.6379950597*((RANDBETWEEN(1587,2416)))</f>
        <v>58006677.530959219</v>
      </c>
      <c r="B388">
        <v>259476956.4315384</v>
      </c>
    </row>
    <row r="389" spans="1:2" x14ac:dyDescent="0.25">
      <c r="A389">
        <f ca="1">29933.1396371699*((RANDBETWEEN(1587,2416)))</f>
        <v>49569279.239153422</v>
      </c>
      <c r="B389">
        <v>263008149.2387391</v>
      </c>
    </row>
    <row r="390" spans="1:2" x14ac:dyDescent="0.25">
      <c r="A390">
        <f ca="1">34160.2820971807*((RANDBETWEEN(1587,2416)))</f>
        <v>76211589.358810186</v>
      </c>
      <c r="B390">
        <v>237594591.05947971</v>
      </c>
    </row>
    <row r="391" spans="1:2" x14ac:dyDescent="0.25">
      <c r="A391">
        <f ca="1">32319.957393628*((RANDBETWEEN(1587,2416)))</f>
        <v>56883125.012785271</v>
      </c>
      <c r="B391">
        <v>227648661.98011783</v>
      </c>
    </row>
    <row r="392" spans="1:2" x14ac:dyDescent="0.25">
      <c r="A392">
        <f ca="1">30260.8531961618*((RANDBETWEEN(1587,2416)))</f>
        <v>51292146.16749423</v>
      </c>
      <c r="B392">
        <v>241969276.16691017</v>
      </c>
    </row>
    <row r="393" spans="1:2" x14ac:dyDescent="0.25">
      <c r="A393">
        <f ca="1">31830.1911471308*((RANDBETWEEN(1587,2416)))</f>
        <v>73177609.447253764</v>
      </c>
      <c r="B393">
        <v>233093073.62026602</v>
      </c>
    </row>
    <row r="394" spans="1:2" x14ac:dyDescent="0.25">
      <c r="A394">
        <f ca="1">31046.656870099*((RANDBETWEEN(1587,2416)))</f>
        <v>54331649.522673182</v>
      </c>
      <c r="B394">
        <v>247020972.84927595</v>
      </c>
    </row>
    <row r="395" spans="1:2" x14ac:dyDescent="0.25">
      <c r="A395">
        <f ca="1">25647.297607133*((RANDBETWEEN(1587,2416)))</f>
        <v>45857368.121553749</v>
      </c>
      <c r="B395">
        <v>206345956.54465362</v>
      </c>
    </row>
    <row r="396" spans="1:2" x14ac:dyDescent="0.25">
      <c r="A396">
        <f ca="1">26308.9851784208*((RANDBETWEEN(1587,2416)))</f>
        <v>52933678.17898266</v>
      </c>
      <c r="B396">
        <v>266658888.61457583</v>
      </c>
    </row>
    <row r="397" spans="1:2" x14ac:dyDescent="0.25">
      <c r="A397">
        <f ca="1">27586.4694671742*((RANDBETWEEN(1587,2416)))</f>
        <v>59586774.049096368</v>
      </c>
      <c r="B397">
        <v>244997895.18430534</v>
      </c>
    </row>
    <row r="398" spans="1:2" x14ac:dyDescent="0.25">
      <c r="A398">
        <f ca="1">32218.8076659488*((RANDBETWEEN(1587,2416)))</f>
        <v>72460098.440718934</v>
      </c>
      <c r="B398">
        <v>257197183.13948557</v>
      </c>
    </row>
    <row r="399" spans="1:2" x14ac:dyDescent="0.25">
      <c r="A399">
        <f ca="1">29639.7449936319*((RANDBETWEEN(1587,2416)))</f>
        <v>47127194.539874695</v>
      </c>
      <c r="B399">
        <v>255123307.34615666</v>
      </c>
    </row>
    <row r="400" spans="1:2" x14ac:dyDescent="0.25">
      <c r="A400">
        <f ca="1">28698.8056717383*((RANDBETWEEN(1587,2416)))</f>
        <v>53695465.411822274</v>
      </c>
      <c r="B400">
        <v>264169681.99914911</v>
      </c>
    </row>
    <row r="401" spans="1:2" x14ac:dyDescent="0.25">
      <c r="A401">
        <f ca="1">27024.8797370215*((RANDBETWEEN(1587,2416)))</f>
        <v>64103014.736214988</v>
      </c>
      <c r="B401">
        <v>236842154.2807073</v>
      </c>
    </row>
    <row r="402" spans="1:2" x14ac:dyDescent="0.25">
      <c r="A402">
        <f ca="1">25611.375379031*((RANDBETWEEN(1587,2416)))</f>
        <v>42924665.135256015</v>
      </c>
      <c r="B402">
        <v>255209181.87768817</v>
      </c>
    </row>
    <row r="403" spans="1:2" x14ac:dyDescent="0.25">
      <c r="A403">
        <f ca="1">27147.4941874666*((RANDBETWEEN(1587,2416)))</f>
        <v>55516625.6133691</v>
      </c>
      <c r="B403">
        <v>235441286.98567286</v>
      </c>
    </row>
    <row r="404" spans="1:2" x14ac:dyDescent="0.25">
      <c r="A404">
        <f ca="1">28750.6898767928*((RANDBETWEEN(1587,2416)))</f>
        <v>48272408.303135149</v>
      </c>
      <c r="B404">
        <v>232414564.79059049</v>
      </c>
    </row>
    <row r="405" spans="1:2" x14ac:dyDescent="0.25">
      <c r="A405">
        <f ca="1">26484.7902902655*((RANDBETWEEN(1587,2416)))</f>
        <v>44997658.703161091</v>
      </c>
      <c r="B405">
        <v>260018527.78739059</v>
      </c>
    </row>
    <row r="406" spans="1:2" x14ac:dyDescent="0.25">
      <c r="A406">
        <f ca="1">28917.354040619*((RANDBETWEEN(1587,2416)))</f>
        <v>56678013.919613242</v>
      </c>
      <c r="B406">
        <v>262982040.35584369</v>
      </c>
    </row>
    <row r="407" spans="1:2" x14ac:dyDescent="0.25">
      <c r="A407">
        <f ca="1">34303.1664636904*((RANDBETWEEN(1587,2416)))</f>
        <v>77696672.040258706</v>
      </c>
      <c r="B407">
        <v>220363121.40888542</v>
      </c>
    </row>
    <row r="408" spans="1:2" x14ac:dyDescent="0.25">
      <c r="A408">
        <f ca="1">28458.8820656388*((RANDBETWEEN(1587,2416)))</f>
        <v>49034653.799095601</v>
      </c>
      <c r="B408">
        <v>252107164.52701759</v>
      </c>
    </row>
    <row r="409" spans="1:2" x14ac:dyDescent="0.25">
      <c r="A409">
        <f ca="1">31061.8079870238*((RANDBETWEEN(1587,2416)))</f>
        <v>66410145.476256788</v>
      </c>
      <c r="B409">
        <v>259986578.49929872</v>
      </c>
    </row>
    <row r="410" spans="1:2" x14ac:dyDescent="0.25">
      <c r="A410">
        <f ca="1">27829.5230063455*((RANDBETWEEN(1587,2416)))</f>
        <v>49731357.61233937</v>
      </c>
      <c r="B410">
        <v>249770486.57379282</v>
      </c>
    </row>
    <row r="411" spans="1:2" x14ac:dyDescent="0.25">
      <c r="A411">
        <f ca="1">30220.6446267559*((RANDBETWEEN(1587,2416)))</f>
        <v>54729587.419055022</v>
      </c>
      <c r="B411">
        <v>258384206.47438577</v>
      </c>
    </row>
    <row r="412" spans="1:2" x14ac:dyDescent="0.25">
      <c r="A412">
        <f ca="1">29781.4475358226*((RANDBETWEEN(1587,2416)))</f>
        <v>66472190.899956144</v>
      </c>
      <c r="B412">
        <v>217214778.73582184</v>
      </c>
    </row>
    <row r="413" spans="1:2" x14ac:dyDescent="0.25">
      <c r="A413">
        <f ca="1">31935.6672207344*((RANDBETWEEN(1587,2416)))</f>
        <v>60965188.724381879</v>
      </c>
      <c r="B413">
        <v>250571464.59368774</v>
      </c>
    </row>
    <row r="414" spans="1:2" x14ac:dyDescent="0.25">
      <c r="A414">
        <f ca="1">33299.2072466675*((RANDBETWEEN(1587,2416)))</f>
        <v>60371462.738208152</v>
      </c>
      <c r="B414">
        <v>239837035.89411864</v>
      </c>
    </row>
    <row r="415" spans="1:2" x14ac:dyDescent="0.25">
      <c r="A415">
        <f ca="1">32297.1586144174*((RANDBETWEEN(1587,2416)))</f>
        <v>74251167.654545486</v>
      </c>
      <c r="B415">
        <v>220004401.26297873</v>
      </c>
    </row>
    <row r="416" spans="1:2" x14ac:dyDescent="0.25">
      <c r="A416">
        <f ca="1">28410.7461048122*((RANDBETWEEN(1587,2416)))</f>
        <v>57929511.307712168</v>
      </c>
      <c r="B416">
        <v>266961920.38491815</v>
      </c>
    </row>
    <row r="417" spans="1:2" x14ac:dyDescent="0.25">
      <c r="A417">
        <f ca="1">29743.9499868779*((RANDBETWEEN(1587,2416)))</f>
        <v>47739039.728939027</v>
      </c>
      <c r="B417">
        <v>203894602.22451001</v>
      </c>
    </row>
    <row r="418" spans="1:2" x14ac:dyDescent="0.25">
      <c r="A418">
        <f ca="1">27403.6763000361*((RANDBETWEEN(1587,2416)))</f>
        <v>55848692.299473599</v>
      </c>
      <c r="B418">
        <v>214410400.49211168</v>
      </c>
    </row>
    <row r="419" spans="1:2" x14ac:dyDescent="0.25">
      <c r="A419">
        <f ca="1">28642.533266162*((RANDBETWEEN(1587,2416)))</f>
        <v>49036016.951669276</v>
      </c>
      <c r="B419">
        <v>247090581.64928207</v>
      </c>
    </row>
    <row r="420" spans="1:2" x14ac:dyDescent="0.25">
      <c r="A420">
        <f ca="1">26795.7360232069*((RANDBETWEEN(1587,2416)))</f>
        <v>59700899.859705016</v>
      </c>
      <c r="B420">
        <v>225192885.38310951</v>
      </c>
    </row>
    <row r="421" spans="1:2" x14ac:dyDescent="0.25">
      <c r="A421">
        <f ca="1">32222.2170024136*((RANDBETWEEN(1587,2416)))</f>
        <v>54229991.215062059</v>
      </c>
      <c r="B421">
        <v>220806647.20187148</v>
      </c>
    </row>
    <row r="422" spans="1:2" x14ac:dyDescent="0.25">
      <c r="A422">
        <f ca="1">32490.361708739*((RANDBETWEEN(1587,2416)))</f>
        <v>78399242.803187326</v>
      </c>
      <c r="B422">
        <v>249490209.79116899</v>
      </c>
    </row>
    <row r="423" spans="1:2" x14ac:dyDescent="0.25">
      <c r="A423">
        <f ca="1">27845.3660462569*((RANDBETWEEN(1587,2416)))</f>
        <v>57333608.689242922</v>
      </c>
      <c r="B423">
        <v>213822201.28747022</v>
      </c>
    </row>
    <row r="424" spans="1:2" x14ac:dyDescent="0.25">
      <c r="A424">
        <f ca="1">34474.6414662992*((RANDBETWEEN(1587,2416)))</f>
        <v>72672544.210958719</v>
      </c>
      <c r="B424">
        <v>211995412.76152804</v>
      </c>
    </row>
    <row r="425" spans="1:2" x14ac:dyDescent="0.25">
      <c r="A425">
        <f ca="1">29757.5115251484*((RANDBETWEEN(1587,2416)))</f>
        <v>56420241.851681329</v>
      </c>
      <c r="B425">
        <v>215307373.88573393</v>
      </c>
    </row>
    <row r="426" spans="1:2" x14ac:dyDescent="0.25">
      <c r="A426">
        <f ca="1">30665.4368741692*((RANDBETWEEN(1587,2416)))</f>
        <v>65133387.920735344</v>
      </c>
      <c r="B426">
        <v>233406292.44229701</v>
      </c>
    </row>
    <row r="427" spans="1:2" x14ac:dyDescent="0.25">
      <c r="A427">
        <f ca="1">29469.1212452757*((RANDBETWEEN(1587,2416)))</f>
        <v>49360778.085836813</v>
      </c>
      <c r="B427">
        <v>263716565.17108208</v>
      </c>
    </row>
    <row r="428" spans="1:2" x14ac:dyDescent="0.25">
      <c r="A428">
        <f ca="1">32453.9311177096*((RANDBETWEEN(1587,2416)))</f>
        <v>74806311.226320699</v>
      </c>
      <c r="B428">
        <v>254703453.97254774</v>
      </c>
    </row>
    <row r="429" spans="1:2" x14ac:dyDescent="0.25">
      <c r="A429">
        <f ca="1">30345.9083541187*((RANDBETWEEN(1587,2416)))</f>
        <v>54622635.03741359</v>
      </c>
      <c r="B429">
        <v>209097545.10494447</v>
      </c>
    </row>
    <row r="430" spans="1:2" x14ac:dyDescent="0.25">
      <c r="A430">
        <f ca="1">30328.665834552*((RANDBETWEEN(1587,2416)))</f>
        <v>50133284.624514416</v>
      </c>
      <c r="B430">
        <v>245317825.67278743</v>
      </c>
    </row>
    <row r="431" spans="1:2" x14ac:dyDescent="0.25">
      <c r="A431">
        <f ca="1">32831.6337033673*((RANDBETWEEN(1587,2416)))</f>
        <v>76596201.429955944</v>
      </c>
      <c r="B431">
        <v>259219447.26971316</v>
      </c>
    </row>
    <row r="432" spans="1:2" x14ac:dyDescent="0.25">
      <c r="A432">
        <f ca="1">30078.2072479488*((RANDBETWEEN(1587,2416)))</f>
        <v>59374381.107450925</v>
      </c>
      <c r="B432">
        <v>224008767.79166004</v>
      </c>
    </row>
    <row r="433" spans="1:2" x14ac:dyDescent="0.25">
      <c r="A433">
        <f ca="1">30444.7872631955*((RANDBETWEEN(1587,2416)))</f>
        <v>73037044.644405901</v>
      </c>
      <c r="B433">
        <v>252097678.736983</v>
      </c>
    </row>
    <row r="434" spans="1:2" x14ac:dyDescent="0.25">
      <c r="A434">
        <f ca="1">31541.8264869338*((RANDBETWEEN(1587,2416)))</f>
        <v>73019328.317251787</v>
      </c>
      <c r="B434">
        <v>233403376.94470862</v>
      </c>
    </row>
    <row r="435" spans="1:2" x14ac:dyDescent="0.25">
      <c r="A435">
        <f ca="1">31417.1898842677*((RANDBETWEEN(1587,2416)))</f>
        <v>60917931.185595147</v>
      </c>
      <c r="B435">
        <v>205150944.39526039</v>
      </c>
    </row>
    <row r="436" spans="1:2" x14ac:dyDescent="0.25">
      <c r="A436">
        <f ca="1">30811.0860202866*((RANDBETWEEN(1587,2416)))</f>
        <v>72251996.717572182</v>
      </c>
      <c r="B436">
        <v>229833054.2425473</v>
      </c>
    </row>
    <row r="437" spans="1:2" x14ac:dyDescent="0.25">
      <c r="A437">
        <f ca="1">31206.5009041809*((RANDBETWEEN(1587,2416)))</f>
        <v>50086433.951210365</v>
      </c>
      <c r="B437">
        <v>261914425.91022208</v>
      </c>
    </row>
    <row r="438" spans="1:2" x14ac:dyDescent="0.25">
      <c r="A438">
        <f ca="1">28033.9016256164*((RANDBETWEEN(1587,2416)))</f>
        <v>50404955.122858368</v>
      </c>
      <c r="B438">
        <v>210141049.64512393</v>
      </c>
    </row>
    <row r="439" spans="1:2" x14ac:dyDescent="0.25">
      <c r="A439">
        <f ca="1">30522.4707870849*((RANDBETWEEN(1587,2416)))</f>
        <v>72368778.236178368</v>
      </c>
      <c r="B439">
        <v>216276649.48678944</v>
      </c>
    </row>
    <row r="440" spans="1:2" x14ac:dyDescent="0.25">
      <c r="A440">
        <f ca="1">27455.7518731646*((RANDBETWEEN(1587,2416)))</f>
        <v>49585087.882935248</v>
      </c>
      <c r="B440">
        <v>204192161.23828992</v>
      </c>
    </row>
    <row r="441" spans="1:2" x14ac:dyDescent="0.25">
      <c r="A441">
        <f ca="1">32024.0897751574*((RANDBETWEEN(1587,2416)))</f>
        <v>75608875.959146589</v>
      </c>
      <c r="B441">
        <v>212087086.43483716</v>
      </c>
    </row>
    <row r="442" spans="1:2" x14ac:dyDescent="0.25">
      <c r="A442">
        <f ca="1">33112.1929750654*((RANDBETWEEN(1587,2416)))</f>
        <v>56423176.829511471</v>
      </c>
      <c r="B442">
        <v>238737828.28668749</v>
      </c>
    </row>
    <row r="443" spans="1:2" x14ac:dyDescent="0.25">
      <c r="A443">
        <f ca="1">31051.6215381466*((RANDBETWEEN(1587,2416)))</f>
        <v>56824467.414808244</v>
      </c>
      <c r="B443">
        <v>213227850.42130572</v>
      </c>
    </row>
    <row r="444" spans="1:2" x14ac:dyDescent="0.25">
      <c r="A444">
        <f ca="1">31688.0386459234*((RANDBETWEEN(1587,2416)))</f>
        <v>51778255.147438772</v>
      </c>
      <c r="B444">
        <v>251862421.95169944</v>
      </c>
    </row>
    <row r="445" spans="1:2" x14ac:dyDescent="0.25">
      <c r="A445">
        <f ca="1">28012.8528324955*((RANDBETWEEN(1587,2416)))</f>
        <v>61180070.586170204</v>
      </c>
      <c r="B445">
        <v>224024012.5196979</v>
      </c>
    </row>
    <row r="446" spans="1:2" x14ac:dyDescent="0.25">
      <c r="A446">
        <f ca="1">27877.476616259*((RANDBETWEEN(1587,2416)))</f>
        <v>52549043.421648182</v>
      </c>
      <c r="B446">
        <v>246441939.93313524</v>
      </c>
    </row>
    <row r="447" spans="1:2" x14ac:dyDescent="0.25">
      <c r="A447">
        <f ca="1">31133.7581879885*((RANDBETWEEN(1587,2416)))</f>
        <v>65443159.711151861</v>
      </c>
      <c r="B447">
        <v>220359047.96859771</v>
      </c>
    </row>
    <row r="448" spans="1:2" x14ac:dyDescent="0.25">
      <c r="A448">
        <f ca="1">29301.3256150866*((RANDBETWEEN(1587,2416)))</f>
        <v>51599634.408167519</v>
      </c>
      <c r="B448">
        <v>245542466.45705339</v>
      </c>
    </row>
    <row r="449" spans="1:2" x14ac:dyDescent="0.25">
      <c r="A449">
        <f ca="1">26437.2022920369*((RANDBETWEEN(1587,2416)))</f>
        <v>48300768.587551408</v>
      </c>
      <c r="B449">
        <v>203916528.28227207</v>
      </c>
    </row>
    <row r="450" spans="1:2" x14ac:dyDescent="0.25">
      <c r="A450">
        <f ca="1">30939.0082856979*((RANDBETWEEN(1587,2416)))</f>
        <v>49409596.232259579</v>
      </c>
      <c r="B450">
        <v>206413642.19886303</v>
      </c>
    </row>
    <row r="451" spans="1:2" x14ac:dyDescent="0.25">
      <c r="A451">
        <f ca="1">29977.0986451159*((RANDBETWEEN(1587,2416)))</f>
        <v>68617578.798670322</v>
      </c>
      <c r="B451">
        <v>224323766.07370973</v>
      </c>
    </row>
    <row r="452" spans="1:2" x14ac:dyDescent="0.25">
      <c r="A452">
        <f ca="1">32833.0932374895*((RANDBETWEEN(1587,2416)))</f>
        <v>78109928.811987415</v>
      </c>
      <c r="B452">
        <v>234616569.25768697</v>
      </c>
    </row>
    <row r="453" spans="1:2" x14ac:dyDescent="0.25">
      <c r="A453">
        <f ca="1">31315.840926242*((RANDBETWEEN(1587,2416)))</f>
        <v>74531701.404455841</v>
      </c>
      <c r="B453">
        <v>210753450.05345833</v>
      </c>
    </row>
    <row r="454" spans="1:2" x14ac:dyDescent="0.25">
      <c r="A454">
        <f ca="1">33652.6963149823*((RANDBETWEEN(1587,2416)))</f>
        <v>61180601.90063782</v>
      </c>
      <c r="B454">
        <v>219370090.61523473</v>
      </c>
    </row>
    <row r="455" spans="1:2" x14ac:dyDescent="0.25">
      <c r="A455">
        <f ca="1">28924.3566638124*((RANDBETWEEN(1587,2416)))</f>
        <v>55795084.004494146</v>
      </c>
      <c r="B455">
        <v>227070756.30409819</v>
      </c>
    </row>
    <row r="456" spans="1:2" x14ac:dyDescent="0.25">
      <c r="A456">
        <f ca="1">28655.7253540888*((RANDBETWEEN(1587,2416)))</f>
        <v>64704627.849532612</v>
      </c>
      <c r="B456">
        <v>232897576.47880888</v>
      </c>
    </row>
    <row r="457" spans="1:2" x14ac:dyDescent="0.25">
      <c r="A457">
        <f ca="1">28534.8046505459*((RANDBETWEEN(1587,2416)))</f>
        <v>54900964.147650264</v>
      </c>
      <c r="B457">
        <v>266071743.72164655</v>
      </c>
    </row>
    <row r="458" spans="1:2" x14ac:dyDescent="0.25">
      <c r="A458">
        <f ca="1">29053.5103007034*((RANDBETWEEN(1587,2416)))</f>
        <v>69292622.067177638</v>
      </c>
      <c r="B458">
        <v>216302859.33744407</v>
      </c>
    </row>
    <row r="459" spans="1:2" x14ac:dyDescent="0.25">
      <c r="A459">
        <f ca="1">31716.7873185771*((RANDBETWEEN(1587,2416)))</f>
        <v>57058500.386120252</v>
      </c>
      <c r="B459">
        <v>258444084.29261291</v>
      </c>
    </row>
    <row r="460" spans="1:2" x14ac:dyDescent="0.25">
      <c r="A460">
        <f ca="1">27843.99032521*((RANDBETWEEN(1587,2416)))</f>
        <v>48086571.291637734</v>
      </c>
      <c r="B460">
        <v>255351004.59427062</v>
      </c>
    </row>
    <row r="461" spans="1:2" x14ac:dyDescent="0.25">
      <c r="A461">
        <f ca="1">30883.2902992166*((RANDBETWEEN(1587,2416)))</f>
        <v>71247750.720292762</v>
      </c>
      <c r="B461">
        <v>246726708.34501731</v>
      </c>
    </row>
    <row r="462" spans="1:2" x14ac:dyDescent="0.25">
      <c r="A462">
        <f ca="1">28011.9146122408*((RANDBETWEEN(1587,2416)))</f>
        <v>48600671.852237709</v>
      </c>
      <c r="B462">
        <v>206690603.02900583</v>
      </c>
    </row>
    <row r="463" spans="1:2" x14ac:dyDescent="0.25">
      <c r="A463">
        <f ca="1">29652.2942454071*((RANDBETWEEN(1587,2416)))</f>
        <v>69801500.653688401</v>
      </c>
      <c r="B463">
        <v>216687566.93632227</v>
      </c>
    </row>
    <row r="464" spans="1:2" x14ac:dyDescent="0.25">
      <c r="A464">
        <f ca="1">31296.200047445*((RANDBETWEEN(1587,2416)))</f>
        <v>59838334.490714863</v>
      </c>
      <c r="B464">
        <v>260615210.2551682</v>
      </c>
    </row>
    <row r="465" spans="1:2" x14ac:dyDescent="0.25">
      <c r="A465">
        <f ca="1">29804.240847291*((RANDBETWEEN(1587,2416)))</f>
        <v>65360700.178109244</v>
      </c>
      <c r="B465">
        <v>253974816.06071252</v>
      </c>
    </row>
    <row r="466" spans="1:2" x14ac:dyDescent="0.25">
      <c r="A466">
        <f ca="1">31120.7700314199*((RANDBETWEEN(1587,2416)))</f>
        <v>74503123.45521915</v>
      </c>
      <c r="B466">
        <v>224166752.37984365</v>
      </c>
    </row>
    <row r="467" spans="1:2" x14ac:dyDescent="0.25">
      <c r="A467">
        <f ca="1">31095.5816941497*((RANDBETWEEN(1587,2416)))</f>
        <v>54666032.618315093</v>
      </c>
      <c r="B467">
        <v>240968380.14910182</v>
      </c>
    </row>
    <row r="468" spans="1:2" x14ac:dyDescent="0.25">
      <c r="A468">
        <f ca="1">27581.6108913435*((RANDBETWEEN(1587,2416)))</f>
        <v>61093268.124325961</v>
      </c>
      <c r="B468">
        <v>237588212.11529243</v>
      </c>
    </row>
    <row r="469" spans="1:2" x14ac:dyDescent="0.25">
      <c r="A469">
        <f ca="1">29360.7421919686*((RANDBETWEEN(1587,2416)))</f>
        <v>55433081.258436732</v>
      </c>
      <c r="B469">
        <v>238182612.04041097</v>
      </c>
    </row>
    <row r="470" spans="1:2" x14ac:dyDescent="0.25">
      <c r="A470">
        <f ca="1">31456.7350686506*((RANDBETWEEN(1587,2416)))</f>
        <v>63574061.573742867</v>
      </c>
      <c r="B470">
        <v>265934870.48767459</v>
      </c>
    </row>
    <row r="471" spans="1:2" x14ac:dyDescent="0.25">
      <c r="A471">
        <f ca="1">29249.3784811202*((RANDBETWEEN(1587,2416)))</f>
        <v>63588148.817955293</v>
      </c>
      <c r="B471">
        <v>226778649.57554296</v>
      </c>
    </row>
    <row r="472" spans="1:2" x14ac:dyDescent="0.25">
      <c r="A472">
        <f ca="1">32269.6401324783*((RANDBETWEEN(1587,2416)))</f>
        <v>56342791.671307035</v>
      </c>
      <c r="B472">
        <v>262066851.88010973</v>
      </c>
    </row>
    <row r="473" spans="1:2" x14ac:dyDescent="0.25">
      <c r="A473">
        <f ca="1">31555.6425632658*((RANDBETWEEN(1587,2416)))</f>
        <v>63742397.977796838</v>
      </c>
      <c r="B473">
        <v>254696288.69012952</v>
      </c>
    </row>
    <row r="474" spans="1:2" x14ac:dyDescent="0.25">
      <c r="A474">
        <f ca="1">32670.4789715768*((RANDBETWEEN(1587,2416)))</f>
        <v>65112264.590352483</v>
      </c>
      <c r="B474">
        <v>253739913.14062229</v>
      </c>
    </row>
    <row r="475" spans="1:2" x14ac:dyDescent="0.25">
      <c r="A475">
        <f ca="1">31673.9361359315*((RANDBETWEEN(1587,2416)))</f>
        <v>65248308.440018944</v>
      </c>
      <c r="B475">
        <v>218574081.46496028</v>
      </c>
    </row>
    <row r="476" spans="1:2" x14ac:dyDescent="0.25">
      <c r="A476">
        <f ca="1">32747.4656626564*((RANDBETWEEN(1587,2416)))</f>
        <v>60517316.54458905</v>
      </c>
      <c r="B476">
        <v>267037456.3593885</v>
      </c>
    </row>
    <row r="477" spans="1:2" x14ac:dyDescent="0.25">
      <c r="A477">
        <f ca="1">30147.9585257745*((RANDBETWEEN(1587,2416)))</f>
        <v>61893758.85341502</v>
      </c>
      <c r="B477">
        <v>267915047.97864896</v>
      </c>
    </row>
    <row r="478" spans="1:2" x14ac:dyDescent="0.25">
      <c r="A478">
        <f ca="1">30283.238696463*((RANDBETWEEN(1587,2416)))</f>
        <v>69893714.911436528</v>
      </c>
      <c r="B478">
        <v>241706589.03595096</v>
      </c>
    </row>
    <row r="479" spans="1:2" x14ac:dyDescent="0.25">
      <c r="A479">
        <f ca="1">29360.2549200716*((RANDBETWEEN(1587,2416)))</f>
        <v>67968990.139965832</v>
      </c>
      <c r="B479">
        <v>227678007.15680408</v>
      </c>
    </row>
    <row r="480" spans="1:2" x14ac:dyDescent="0.25">
      <c r="A480">
        <f ca="1">35950.1539762306*((RANDBETWEEN(1587,2416)))</f>
        <v>75207722.118274465</v>
      </c>
      <c r="B480">
        <v>245867195.57664528</v>
      </c>
    </row>
    <row r="481" spans="1:2" x14ac:dyDescent="0.25">
      <c r="A481">
        <f ca="1">28659.0227505285*((RANDBETWEEN(1587,2416)))</f>
        <v>63365099.30141858</v>
      </c>
      <c r="B481">
        <v>261903774.70692849</v>
      </c>
    </row>
    <row r="482" spans="1:2" x14ac:dyDescent="0.25">
      <c r="A482">
        <f ca="1">29028.4302512431*((RANDBETWEEN(1587,2416)))</f>
        <v>61075817.248615578</v>
      </c>
      <c r="B482">
        <v>225779803.78655711</v>
      </c>
    </row>
    <row r="483" spans="1:2" x14ac:dyDescent="0.25">
      <c r="A483">
        <f ca="1">31904.9928141597*((RANDBETWEEN(1587,2416)))</f>
        <v>59598526.576850392</v>
      </c>
      <c r="B483">
        <v>210657147.99380791</v>
      </c>
    </row>
    <row r="484" spans="1:2" x14ac:dyDescent="0.25">
      <c r="A484">
        <f ca="1">33107.7094601118*((RANDBETWEEN(1587,2416)))</f>
        <v>66347849.758064002</v>
      </c>
      <c r="B484">
        <v>254197782.85072488</v>
      </c>
    </row>
    <row r="485" spans="1:2" x14ac:dyDescent="0.25">
      <c r="A485">
        <f ca="1">29193.7332522355*((RANDBETWEEN(1587,2416)))</f>
        <v>54825831.047698326</v>
      </c>
      <c r="B485">
        <v>249082777.22335044</v>
      </c>
    </row>
    <row r="486" spans="1:2" x14ac:dyDescent="0.25">
      <c r="A486">
        <f ca="1">27025.162921759*((RANDBETWEEN(1587,2416)))</f>
        <v>57050118.927833222</v>
      </c>
      <c r="B486">
        <v>252189203.36496004</v>
      </c>
    </row>
    <row r="487" spans="1:2" x14ac:dyDescent="0.25">
      <c r="A487">
        <f ca="1">30779.3606659482*((RANDBETWEEN(1587,2416)))</f>
        <v>59958194.577267073</v>
      </c>
      <c r="B487">
        <v>256379334.10124323</v>
      </c>
    </row>
    <row r="488" spans="1:2" x14ac:dyDescent="0.25">
      <c r="A488">
        <f ca="1">26791.8208742891*((RANDBETWEEN(1587,2416)))</f>
        <v>59290299.594801754</v>
      </c>
      <c r="B488">
        <v>215059144.93947518</v>
      </c>
    </row>
    <row r="489" spans="1:2" x14ac:dyDescent="0.25">
      <c r="A489">
        <f ca="1">30299.2710120299*((RANDBETWEEN(1587,2416)))</f>
        <v>63779965.480322927</v>
      </c>
      <c r="B489">
        <v>213849958.34804821</v>
      </c>
    </row>
    <row r="490" spans="1:2" x14ac:dyDescent="0.25">
      <c r="A490">
        <f ca="1">26901.3402518432*((RANDBETWEEN(1587,2416)))</f>
        <v>54959438.134515718</v>
      </c>
      <c r="B490">
        <v>246078747.65830579</v>
      </c>
    </row>
    <row r="491" spans="1:2" x14ac:dyDescent="0.25">
      <c r="A491">
        <f ca="1">29364.4561548852*((RANDBETWEEN(1587,2416)))</f>
        <v>60138406.205204897</v>
      </c>
      <c r="B491">
        <v>212131038.31495336</v>
      </c>
    </row>
    <row r="492" spans="1:2" x14ac:dyDescent="0.25">
      <c r="A492">
        <f ca="1">27626.056696793*((RANDBETWEEN(1587,2416)))</f>
        <v>48096964.709116638</v>
      </c>
      <c r="B492">
        <v>227533767.32212436</v>
      </c>
    </row>
    <row r="493" spans="1:2" x14ac:dyDescent="0.25">
      <c r="A493">
        <f ca="1">27587.1022113184*((RANDBETWEEN(1587,2416)))</f>
        <v>51367184.317474902</v>
      </c>
      <c r="B493">
        <v>263844747.90302521</v>
      </c>
    </row>
    <row r="494" spans="1:2" x14ac:dyDescent="0.25">
      <c r="A494">
        <f ca="1">30046.8400125638*((RANDBETWEEN(1587,2416)))</f>
        <v>65291783.347301051</v>
      </c>
      <c r="B494">
        <v>215100607.04483572</v>
      </c>
    </row>
    <row r="495" spans="1:2" x14ac:dyDescent="0.25">
      <c r="A495">
        <f ca="1">31950.0663720058*((RANDBETWEEN(1587,2416)))</f>
        <v>56008466.350126117</v>
      </c>
      <c r="B495">
        <v>246121004.70514899</v>
      </c>
    </row>
    <row r="496" spans="1:2" x14ac:dyDescent="0.25">
      <c r="A496">
        <f ca="1">29474.8778370792*((RANDBETWEEN(1587,2416)))</f>
        <v>70091259.496574447</v>
      </c>
      <c r="B496">
        <v>233477252.69463718</v>
      </c>
    </row>
    <row r="497" spans="1:2" x14ac:dyDescent="0.25">
      <c r="A497">
        <f ca="1">30010.35999452*((RANDBETWEEN(1587,2416)))</f>
        <v>69113859.067379549</v>
      </c>
      <c r="B497">
        <v>257933015.42828923</v>
      </c>
    </row>
    <row r="498" spans="1:2" x14ac:dyDescent="0.25">
      <c r="A498">
        <f ca="1">30367.8205708671*((RANDBETWEEN(1587,2416)))</f>
        <v>55937525.491537139</v>
      </c>
      <c r="B498">
        <v>203979276.42412585</v>
      </c>
    </row>
    <row r="499" spans="1:2" x14ac:dyDescent="0.25">
      <c r="A499">
        <f ca="1">31766.7119503597*((RANDBETWEEN(1587,2416)))</f>
        <v>76176575.256962568</v>
      </c>
      <c r="B499">
        <v>231735136.26918</v>
      </c>
    </row>
    <row r="500" spans="1:2" x14ac:dyDescent="0.25">
      <c r="A500">
        <f ca="1">27153.5166973599*((RANDBETWEEN(1587,2416)))</f>
        <v>58950284.74996838</v>
      </c>
      <c r="B500">
        <v>225768074.97817701</v>
      </c>
    </row>
    <row r="501" spans="1:2" x14ac:dyDescent="0.25">
      <c r="A501">
        <f ca="1">29967.2666913139*((RANDBETWEEN(1587,2416)))</f>
        <v>48966513.773606881</v>
      </c>
      <c r="B501">
        <v>211689468.02173713</v>
      </c>
    </row>
    <row r="502" spans="1:2" x14ac:dyDescent="0.25">
      <c r="A502">
        <f ca="1">26338.7578618435*((RANDBETWEEN(1587,2416)))</f>
        <v>45487034.827403836</v>
      </c>
      <c r="B502">
        <v>213418177.8936851</v>
      </c>
    </row>
    <row r="503" spans="1:2" x14ac:dyDescent="0.25">
      <c r="A503">
        <f ca="1">32085.0727178233*((RANDBETWEEN(1587,2416)))</f>
        <v>74501538.850785598</v>
      </c>
      <c r="B503">
        <v>253085245.45130309</v>
      </c>
    </row>
    <row r="504" spans="1:2" x14ac:dyDescent="0.25">
      <c r="A504">
        <f ca="1">31442.1893849396*((RANDBETWEEN(1587,2416)))</f>
        <v>62255534.982180439</v>
      </c>
      <c r="B504">
        <v>233501242.66046655</v>
      </c>
    </row>
    <row r="505" spans="1:2" x14ac:dyDescent="0.25">
      <c r="A505">
        <f ca="1">30905.5675093795*((RANDBETWEEN(1587,2416)))</f>
        <v>51334147.633079298</v>
      </c>
      <c r="B505">
        <v>227163492.71336466</v>
      </c>
    </row>
    <row r="506" spans="1:2" x14ac:dyDescent="0.25">
      <c r="A506">
        <f ca="1">26693.1579791204*((RANDBETWEEN(1587,2416)))</f>
        <v>48047684.362416655</v>
      </c>
      <c r="B506">
        <v>222137351.31407017</v>
      </c>
    </row>
    <row r="507" spans="1:2" x14ac:dyDescent="0.25">
      <c r="A507">
        <f ca="1">27689.4733019344*((RANDBETWEEN(1587,2416)))</f>
        <v>52582309.800373353</v>
      </c>
      <c r="B507">
        <v>264098767.41763186</v>
      </c>
    </row>
    <row r="508" spans="1:2" x14ac:dyDescent="0.25">
      <c r="A508">
        <f ca="1">32606.9222415737*((RANDBETWEEN(1587,2416)))</f>
        <v>78550075.679950967</v>
      </c>
      <c r="B508">
        <v>264267954.00187743</v>
      </c>
    </row>
    <row r="509" spans="1:2" x14ac:dyDescent="0.25">
      <c r="A509">
        <f ca="1">30704.8343987321*((RANDBETWEEN(1587,2416)))</f>
        <v>69976317.594710484</v>
      </c>
      <c r="B509">
        <v>237002204.34605715</v>
      </c>
    </row>
    <row r="510" spans="1:2" x14ac:dyDescent="0.25">
      <c r="A510">
        <f ca="1">26335.2545517783*((RANDBETWEEN(1587,2416)))</f>
        <v>47903828.029684663</v>
      </c>
      <c r="B510">
        <v>260618531.24260741</v>
      </c>
    </row>
    <row r="511" spans="1:2" x14ac:dyDescent="0.25">
      <c r="A511">
        <f ca="1">28995.439864386*((RANDBETWEEN(1587,2416)))</f>
        <v>46044758.50464493</v>
      </c>
      <c r="B511">
        <v>243698177.1176658</v>
      </c>
    </row>
    <row r="512" spans="1:2" x14ac:dyDescent="0.25">
      <c r="A512">
        <f ca="1">26112.330825426*((RANDBETWEEN(1587,2416)))</f>
        <v>46976083.154941425</v>
      </c>
      <c r="B512">
        <v>213813865.02772552</v>
      </c>
    </row>
    <row r="513" spans="1:2" x14ac:dyDescent="0.25">
      <c r="A513">
        <f ca="1">31715.0054503831*((RANDBETWEEN(1587,2416)))</f>
        <v>67648106.625667214</v>
      </c>
      <c r="B513">
        <v>258475201.95191434</v>
      </c>
    </row>
    <row r="514" spans="1:2" x14ac:dyDescent="0.25">
      <c r="A514">
        <f ca="1">28595.0062192295*((RANDBETWEEN(1587,2416)))</f>
        <v>66826529.534339368</v>
      </c>
      <c r="B514">
        <v>251094569.67236671</v>
      </c>
    </row>
    <row r="515" spans="1:2" x14ac:dyDescent="0.25">
      <c r="A515">
        <f ca="1">31732.2926843694*((RANDBETWEEN(1587,2416)))</f>
        <v>74570887.808268085</v>
      </c>
      <c r="B515">
        <v>215804188.87424845</v>
      </c>
    </row>
    <row r="516" spans="1:2" x14ac:dyDescent="0.25">
      <c r="A516">
        <f ca="1">31451.2180452307*((RANDBETWEEN(1587,2416)))</f>
        <v>58279107.037812494</v>
      </c>
      <c r="B516">
        <v>231396779.23428434</v>
      </c>
    </row>
    <row r="517" spans="1:2" x14ac:dyDescent="0.25">
      <c r="A517">
        <f ca="1">28198.4372988358*((RANDBETWEEN(1587,2416)))</f>
        <v>44891912.179746613</v>
      </c>
      <c r="B517">
        <v>265714849.88315654</v>
      </c>
    </row>
    <row r="518" spans="1:2" x14ac:dyDescent="0.25">
      <c r="A518">
        <f ca="1">33932.6312904405*((RANDBETWEEN(1587,2416)))</f>
        <v>71462121.4976677</v>
      </c>
      <c r="B518">
        <v>205678226.34632671</v>
      </c>
    </row>
    <row r="519" spans="1:2" x14ac:dyDescent="0.25">
      <c r="A519">
        <f ca="1">27923.483590601*((RANDBETWEEN(1587,2416)))</f>
        <v>59086091.277711764</v>
      </c>
      <c r="B519">
        <v>243222008.09973004</v>
      </c>
    </row>
    <row r="520" spans="1:2" x14ac:dyDescent="0.25">
      <c r="A520">
        <f ca="1">30273.6351788634*((RANDBETWEEN(1587,2416)))</f>
        <v>51283537.992994644</v>
      </c>
      <c r="B520">
        <v>261343937.44918048</v>
      </c>
    </row>
    <row r="521" spans="1:2" x14ac:dyDescent="0.25">
      <c r="A521">
        <f ca="1">26930.3438230696*((RANDBETWEEN(1587,2416)))</f>
        <v>60081597.069268249</v>
      </c>
      <c r="B521">
        <v>265251900.65727437</v>
      </c>
    </row>
    <row r="522" spans="1:2" x14ac:dyDescent="0.25">
      <c r="A522">
        <f ca="1">31626.1967436597*((RANDBETWEEN(1587,2416)))</f>
        <v>53037131.939117394</v>
      </c>
      <c r="B522">
        <v>260374195.06151682</v>
      </c>
    </row>
    <row r="523" spans="1:2" x14ac:dyDescent="0.25">
      <c r="A523">
        <f ca="1">32332.8464071167*((RANDBETWEEN(1587,2416)))</f>
        <v>52023549.869050808</v>
      </c>
      <c r="B523">
        <v>209349801.11773109</v>
      </c>
    </row>
    <row r="524" spans="1:2" x14ac:dyDescent="0.25">
      <c r="A524">
        <f ca="1">31006.1524027269*((RANDBETWEEN(1587,2416)))</f>
        <v>53020520.608662985</v>
      </c>
      <c r="B524">
        <v>248436913.68067366</v>
      </c>
    </row>
    <row r="525" spans="1:2" x14ac:dyDescent="0.25">
      <c r="A525">
        <f ca="1">28907.3929444099*((RANDBETWEEN(1587,2416)))</f>
        <v>52091122.08582671</v>
      </c>
      <c r="B525">
        <v>229990902.8139886</v>
      </c>
    </row>
    <row r="526" spans="1:2" x14ac:dyDescent="0.25">
      <c r="A526">
        <f ca="1">32184.9685145241*((RANDBETWEEN(1587,2416)))</f>
        <v>59413451.877811462</v>
      </c>
      <c r="B526">
        <v>213028824.0925591</v>
      </c>
    </row>
    <row r="527" spans="1:2" x14ac:dyDescent="0.25">
      <c r="A527">
        <f ca="1">33141.300024951*((RANDBETWEEN(1587,2416)))</f>
        <v>71187512.453594819</v>
      </c>
      <c r="B527">
        <v>250740499.42467633</v>
      </c>
    </row>
    <row r="528" spans="1:2" x14ac:dyDescent="0.25">
      <c r="A528">
        <f ca="1">27154.7703323271*((RANDBETWEEN(1587,2416)))</f>
        <v>64275341.376618139</v>
      </c>
      <c r="B528">
        <v>214110024.96662572</v>
      </c>
    </row>
    <row r="529" spans="1:2" x14ac:dyDescent="0.25">
      <c r="A529">
        <f ca="1">28659.5664490561*((RANDBETWEEN(1587,2416)))</f>
        <v>56602643.736885861</v>
      </c>
      <c r="B529">
        <v>206856045.51270586</v>
      </c>
    </row>
    <row r="530" spans="1:2" x14ac:dyDescent="0.25">
      <c r="A530">
        <f ca="1">26721.385082261*((RANDBETWEEN(1587,2416)))</f>
        <v>46708981.123792268</v>
      </c>
      <c r="B530">
        <v>225389998.54038119</v>
      </c>
    </row>
    <row r="531" spans="1:2" x14ac:dyDescent="0.25">
      <c r="A531">
        <f ca="1">27358.3986775672*((RANDBETWEEN(1587,2416)))</f>
        <v>44019663.472205631</v>
      </c>
      <c r="B531">
        <v>256570926.43157029</v>
      </c>
    </row>
    <row r="532" spans="1:2" x14ac:dyDescent="0.25">
      <c r="A532">
        <f ca="1">29112.704163404*((RANDBETWEEN(1587,2416)))</f>
        <v>49986513.048564695</v>
      </c>
      <c r="B532">
        <v>222897088.35677782</v>
      </c>
    </row>
    <row r="533" spans="1:2" x14ac:dyDescent="0.25">
      <c r="A533">
        <f ca="1">27695.7002397834*((RANDBETWEEN(1587,2416)))</f>
        <v>47470430.210988693</v>
      </c>
      <c r="B533">
        <v>205063984.97027925</v>
      </c>
    </row>
    <row r="534" spans="1:2" x14ac:dyDescent="0.25">
      <c r="A534">
        <f ca="1">33725.6258232404*((RANDBETWEEN(1587,2416)))</f>
        <v>77063055.006104529</v>
      </c>
      <c r="B534">
        <v>251268485.74925381</v>
      </c>
    </row>
    <row r="535" spans="1:2" x14ac:dyDescent="0.25">
      <c r="A535">
        <f ca="1">35257.115369377*((RANDBETWEEN(1587,2416)))</f>
        <v>74533541.890863016</v>
      </c>
      <c r="B535">
        <v>222500090.3514972</v>
      </c>
    </row>
    <row r="536" spans="1:2" x14ac:dyDescent="0.25">
      <c r="A536">
        <f ca="1">29369.2063007361*((RANDBETWEEN(1587,2416)))</f>
        <v>60706149.423621669</v>
      </c>
      <c r="B536">
        <v>209155689.14353785</v>
      </c>
    </row>
    <row r="537" spans="1:2" x14ac:dyDescent="0.25">
      <c r="A537">
        <f ca="1">25855.9324043415*((RANDBETWEEN(1587,2416)))</f>
        <v>49436542.757100888</v>
      </c>
      <c r="B537">
        <v>234446400.93571058</v>
      </c>
    </row>
    <row r="538" spans="1:2" x14ac:dyDescent="0.25">
      <c r="A538">
        <f ca="1">28442.6090591428*((RANDBETWEEN(1587,2416)))</f>
        <v>51765548.487639964</v>
      </c>
      <c r="B538">
        <v>263534113.75542939</v>
      </c>
    </row>
    <row r="539" spans="1:2" x14ac:dyDescent="0.25">
      <c r="A539">
        <f ca="1">27098.4259927995*((RANDBETWEEN(1587,2416)))</f>
        <v>43303284.736493647</v>
      </c>
      <c r="B539">
        <v>204398907.07913357</v>
      </c>
    </row>
    <row r="540" spans="1:2" x14ac:dyDescent="0.25">
      <c r="A540">
        <f ca="1">33435.1710212704*((RANDBETWEEN(1587,2416)))</f>
        <v>68675841.277689442</v>
      </c>
      <c r="B540">
        <v>256095286.38978609</v>
      </c>
    </row>
    <row r="541" spans="1:2" x14ac:dyDescent="0.25">
      <c r="A541">
        <f ca="1">33784.4946279737*((RANDBETWEEN(1587,2416)))</f>
        <v>58447175.706394434</v>
      </c>
      <c r="B541">
        <v>249020608.72532624</v>
      </c>
    </row>
    <row r="542" spans="1:2" x14ac:dyDescent="0.25">
      <c r="A542">
        <f ca="1">30904.0521258304*((RANDBETWEEN(1587,2416)))</f>
        <v>57543345.058296181</v>
      </c>
      <c r="B542">
        <v>234068252.59556293</v>
      </c>
    </row>
    <row r="543" spans="1:2" x14ac:dyDescent="0.25">
      <c r="A543">
        <f ca="1">26825.2480451787*((RANDBETWEEN(1587,2416)))</f>
        <v>47266087.055604823</v>
      </c>
      <c r="B543">
        <v>204718708.48521778</v>
      </c>
    </row>
    <row r="544" spans="1:2" x14ac:dyDescent="0.25">
      <c r="A544">
        <f ca="1">26726.2184387667*((RANDBETWEEN(1587,2416)))</f>
        <v>42467961.099200279</v>
      </c>
      <c r="B544">
        <v>228512160.46673477</v>
      </c>
    </row>
    <row r="545" spans="1:2" x14ac:dyDescent="0.25">
      <c r="A545">
        <f ca="1">27274.0740342175*((RANDBETWEEN(1587,2416)))</f>
        <v>54929985.104914032</v>
      </c>
      <c r="B545">
        <v>215128414.02444342</v>
      </c>
    </row>
    <row r="546" spans="1:2" x14ac:dyDescent="0.25">
      <c r="A546">
        <f ca="1">28329.9610298175*((RANDBETWEEN(1587,2416)))</f>
        <v>66433758.614922106</v>
      </c>
      <c r="B546">
        <v>239816593.02729559</v>
      </c>
    </row>
    <row r="547" spans="1:2" x14ac:dyDescent="0.25">
      <c r="A547">
        <f ca="1">32292.3533419311*((RANDBETWEEN(1587,2416)))</f>
        <v>66167031.99761682</v>
      </c>
      <c r="B547">
        <v>225229254.53478679</v>
      </c>
    </row>
    <row r="548" spans="1:2" x14ac:dyDescent="0.25">
      <c r="A548">
        <f ca="1">27511.3596910444*((RANDBETWEEN(1587,2416)))</f>
        <v>51088594.94626952</v>
      </c>
      <c r="B548">
        <v>242814726.83684409</v>
      </c>
    </row>
    <row r="549" spans="1:2" x14ac:dyDescent="0.25">
      <c r="A549">
        <f ca="1">28439.249005726*((RANDBETWEEN(1587,2416)))</f>
        <v>62765422.555637233</v>
      </c>
      <c r="B549">
        <v>204427256.40573925</v>
      </c>
    </row>
    <row r="550" spans="1:2" x14ac:dyDescent="0.25">
      <c r="A550">
        <f ca="1">30060.7713875354*((RANDBETWEEN(1587,2416)))</f>
        <v>48668388.876419872</v>
      </c>
      <c r="B550">
        <v>225316233.5175257</v>
      </c>
    </row>
    <row r="551" spans="1:2" x14ac:dyDescent="0.25">
      <c r="A551">
        <f ca="1">30421.6322379497*((RANDBETWEEN(1587,2416)))</f>
        <v>66501688.072157994</v>
      </c>
      <c r="B551">
        <v>249978299.11581832</v>
      </c>
    </row>
    <row r="552" spans="1:2" x14ac:dyDescent="0.25">
      <c r="A552">
        <f ca="1">33010.8601820572*((RANDBETWEEN(1587,2416)))</f>
        <v>71204425.41269736</v>
      </c>
      <c r="B552">
        <v>263925185.19175291</v>
      </c>
    </row>
    <row r="553" spans="1:2" x14ac:dyDescent="0.25">
      <c r="A553">
        <f ca="1">26418.4660488964*((RANDBETWEEN(1587,2416)))</f>
        <v>53576649.147161916</v>
      </c>
      <c r="B553">
        <v>252155289.56839237</v>
      </c>
    </row>
    <row r="554" spans="1:2" x14ac:dyDescent="0.25">
      <c r="A554">
        <f ca="1">29426.9549888778*((RANDBETWEEN(1587,2416)))</f>
        <v>52291699.015235908</v>
      </c>
      <c r="B554">
        <v>207625432.70307022</v>
      </c>
    </row>
    <row r="555" spans="1:2" x14ac:dyDescent="0.25">
      <c r="A555">
        <f ca="1">30839.3597487667*((RANDBETWEEN(1587,2416)))</f>
        <v>54400630.596824422</v>
      </c>
      <c r="B555">
        <v>208406703.24694732</v>
      </c>
    </row>
    <row r="556" spans="1:2" x14ac:dyDescent="0.25">
      <c r="A556">
        <f ca="1">27619.7035806378*((RANDBETWEEN(1587,2416)))</f>
        <v>57255645.522662066</v>
      </c>
      <c r="B556">
        <v>250531284.52663201</v>
      </c>
    </row>
    <row r="557" spans="1:2" x14ac:dyDescent="0.25">
      <c r="A557">
        <f ca="1">31470.7888621589*((RANDBETWEEN(1587,2416)))</f>
        <v>51360327.423043266</v>
      </c>
      <c r="B557">
        <v>265842150.67707473</v>
      </c>
    </row>
    <row r="558" spans="1:2" x14ac:dyDescent="0.25">
      <c r="A558">
        <f ca="1">28561.1550092107*((RANDBETWEEN(1587,2416)))</f>
        <v>57093748.863412268</v>
      </c>
      <c r="B558">
        <v>225643401.62915769</v>
      </c>
    </row>
    <row r="559" spans="1:2" x14ac:dyDescent="0.25">
      <c r="A559">
        <f ca="1">30050.904878507*((RANDBETWEEN(1587,2416)))</f>
        <v>69688048.413257673</v>
      </c>
      <c r="B559">
        <v>263698717.35237953</v>
      </c>
    </row>
    <row r="560" spans="1:2" x14ac:dyDescent="0.25">
      <c r="A560">
        <f ca="1">30547.5788379304*((RANDBETWEEN(1587,2416)))</f>
        <v>69068075.75256069</v>
      </c>
      <c r="B560">
        <v>223876804.84639424</v>
      </c>
    </row>
    <row r="561" spans="1:2" x14ac:dyDescent="0.25">
      <c r="A561">
        <f ca="1">29567.5928285674*((RANDBETWEEN(1587,2416)))</f>
        <v>67739355.170248002</v>
      </c>
      <c r="B561">
        <v>259215002.26570112</v>
      </c>
    </row>
    <row r="562" spans="1:2" x14ac:dyDescent="0.25">
      <c r="A562">
        <f ca="1">28515.2243912216*((RANDBETWEEN(1587,2416)))</f>
        <v>52639104.226195052</v>
      </c>
      <c r="B562">
        <v>245793660.37591472</v>
      </c>
    </row>
    <row r="563" spans="1:2" x14ac:dyDescent="0.25">
      <c r="A563">
        <f ca="1">28465.9347059144*((RANDBETWEEN(1587,2416)))</f>
        <v>45858620.811228067</v>
      </c>
      <c r="B563">
        <v>219735344.9603141</v>
      </c>
    </row>
    <row r="564" spans="1:2" x14ac:dyDescent="0.25">
      <c r="A564">
        <f ca="1">27110.0793365385*((RANDBETWEEN(1587,2416)))</f>
        <v>61079008.745221332</v>
      </c>
      <c r="B564">
        <v>239241755.8329702</v>
      </c>
    </row>
    <row r="565" spans="1:2" x14ac:dyDescent="0.25">
      <c r="A565">
        <f ca="1">27829.8823379387*((RANDBETWEEN(1587,2416)))</f>
        <v>50566896.208034657</v>
      </c>
      <c r="B565">
        <v>220166220.45905709</v>
      </c>
    </row>
    <row r="566" spans="1:2" x14ac:dyDescent="0.25">
      <c r="A566">
        <f ca="1">31617.6998802196*((RANDBETWEEN(1587,2416)))</f>
        <v>64911137.854090817</v>
      </c>
      <c r="B566">
        <v>259761272.48558748</v>
      </c>
    </row>
    <row r="567" spans="1:2" x14ac:dyDescent="0.25">
      <c r="A567">
        <f ca="1">27953.2963606865*((RANDBETWEEN(1587,2416)))</f>
        <v>52132897.712680258</v>
      </c>
      <c r="B567">
        <v>208949709.16146672</v>
      </c>
    </row>
    <row r="568" spans="1:2" x14ac:dyDescent="0.25">
      <c r="A568">
        <f ca="1">32282.0771338224*((RANDBETWEEN(1587,2416)))</f>
        <v>54072479.199152514</v>
      </c>
      <c r="B568">
        <v>238016581.52817005</v>
      </c>
    </row>
    <row r="569" spans="1:2" x14ac:dyDescent="0.25">
      <c r="A569">
        <f ca="1">27065.1053155709*((RANDBETWEEN(1587,2416)))</f>
        <v>63332346.438435882</v>
      </c>
      <c r="B569">
        <v>212470616.23318291</v>
      </c>
    </row>
    <row r="570" spans="1:2" x14ac:dyDescent="0.25">
      <c r="A570">
        <f ca="1">27695.2453392606*((RANDBETWEEN(1587,2416)))</f>
        <v>63892930.997674309</v>
      </c>
      <c r="B570">
        <v>219896074.60840803</v>
      </c>
    </row>
    <row r="571" spans="1:2" x14ac:dyDescent="0.25">
      <c r="A571">
        <f ca="1">31669.1970316855*((RANDBETWEEN(1587,2416)))</f>
        <v>56751201.080780342</v>
      </c>
      <c r="B571">
        <v>243753890.50690204</v>
      </c>
    </row>
    <row r="572" spans="1:2" x14ac:dyDescent="0.25">
      <c r="A572">
        <f ca="1">28982.4479925202*((RANDBETWEEN(1587,2416)))</f>
        <v>48487635.491486326</v>
      </c>
      <c r="B572">
        <v>209062335.62661451</v>
      </c>
    </row>
    <row r="573" spans="1:2" x14ac:dyDescent="0.25">
      <c r="A573">
        <f ca="1">29171.256910459*((RANDBETWEEN(1587,2416)))</f>
        <v>68727481.281041414</v>
      </c>
      <c r="B573">
        <v>251269994.16237864</v>
      </c>
    </row>
    <row r="574" spans="1:2" x14ac:dyDescent="0.25">
      <c r="A574">
        <f ca="1">27234.9858287505*((RANDBETWEEN(1587,2416)))</f>
        <v>57574760.041978545</v>
      </c>
      <c r="B574">
        <v>204988456.66781008</v>
      </c>
    </row>
    <row r="575" spans="1:2" x14ac:dyDescent="0.25">
      <c r="A575">
        <f ca="1">27828.8660702454*((RANDBETWEEN(1587,2416)))</f>
        <v>54182802.238767751</v>
      </c>
      <c r="B575">
        <v>256384133.8606222</v>
      </c>
    </row>
    <row r="576" spans="1:2" x14ac:dyDescent="0.25">
      <c r="A576">
        <f ca="1">31762.0793538868*((RANDBETWEEN(1587,2416)))</f>
        <v>70162433.292735904</v>
      </c>
      <c r="B576">
        <v>220521487.93432698</v>
      </c>
    </row>
    <row r="577" spans="1:2" x14ac:dyDescent="0.25">
      <c r="A577">
        <f ca="1">26472.2838922133*((RANDBETWEEN(1587,2416)))</f>
        <v>49344337.175085604</v>
      </c>
      <c r="B577">
        <v>216681597.57089251</v>
      </c>
    </row>
    <row r="578" spans="1:2" x14ac:dyDescent="0.25">
      <c r="A578">
        <f ca="1">29596.7892162189*((RANDBETWEEN(1587,2416)))</f>
        <v>65675275.270789757</v>
      </c>
      <c r="B578">
        <v>227157049.25358725</v>
      </c>
    </row>
    <row r="579" spans="1:2" x14ac:dyDescent="0.25">
      <c r="A579">
        <f ca="1">32259.2735935473*((RANDBETWEEN(1587,2416)))</f>
        <v>60582915.808681898</v>
      </c>
      <c r="B579">
        <v>221950908.85094213</v>
      </c>
    </row>
    <row r="580" spans="1:2" x14ac:dyDescent="0.25">
      <c r="A580">
        <f ca="1">32461.2438703534*((RANDBETWEEN(1587,2416)))</f>
        <v>57618707.869877376</v>
      </c>
      <c r="B580">
        <v>239569867.29683337</v>
      </c>
    </row>
    <row r="581" spans="1:2" x14ac:dyDescent="0.25">
      <c r="A581">
        <f ca="1">33680.0276741904*((RANDBETWEEN(1587,2416)))</f>
        <v>67831575.735819548</v>
      </c>
      <c r="B581">
        <v>230491166.78937992</v>
      </c>
    </row>
    <row r="582" spans="1:2" x14ac:dyDescent="0.25">
      <c r="A582">
        <f ca="1">30938.3731810287*((RANDBETWEEN(1587,2416)))</f>
        <v>65341844.158332527</v>
      </c>
      <c r="B582">
        <v>266259252.7409724</v>
      </c>
    </row>
    <row r="583" spans="1:2" x14ac:dyDescent="0.25">
      <c r="A583">
        <f ca="1">31405.0013498757*((RANDBETWEEN(1587,2416)))</f>
        <v>53074452.281289861</v>
      </c>
      <c r="B583">
        <v>255606892.66821262</v>
      </c>
    </row>
    <row r="584" spans="1:2" x14ac:dyDescent="0.25">
      <c r="A584">
        <f ca="1">28514.5554219199*((RANDBETWEEN(1587,2416)))</f>
        <v>49928986.543781832</v>
      </c>
      <c r="B584">
        <v>223133961.84211546</v>
      </c>
    </row>
    <row r="585" spans="1:2" x14ac:dyDescent="0.25">
      <c r="A585">
        <f ca="1">26868.0223019405*((RANDBETWEEN(1587,2416)))</f>
        <v>48228100.031983174</v>
      </c>
      <c r="B585">
        <v>252517263.89248613</v>
      </c>
    </row>
    <row r="586" spans="1:2" x14ac:dyDescent="0.25">
      <c r="A586">
        <f ca="1">26409.8147512256*((RANDBETWEEN(1587,2416)))</f>
        <v>44394898.596810304</v>
      </c>
      <c r="B586">
        <v>212652236.44552866</v>
      </c>
    </row>
    <row r="587" spans="1:2" x14ac:dyDescent="0.25">
      <c r="A587">
        <f ca="1">29170.5854293841*((RANDBETWEEN(1587,2416)))</f>
        <v>57349370.954169229</v>
      </c>
      <c r="B587">
        <v>204513888.41901129</v>
      </c>
    </row>
    <row r="588" spans="1:2" x14ac:dyDescent="0.25">
      <c r="A588">
        <f ca="1">30256.6358877943*((RANDBETWEEN(1587,2416)))</f>
        <v>70013855.444356039</v>
      </c>
      <c r="B588">
        <v>242381016.26796034</v>
      </c>
    </row>
    <row r="589" spans="1:2" x14ac:dyDescent="0.25">
      <c r="A589">
        <f ca="1">29863.0891254463*((RANDBETWEEN(1587,2416)))</f>
        <v>48646972.18535199</v>
      </c>
      <c r="B589">
        <v>217725472.16466829</v>
      </c>
    </row>
    <row r="590" spans="1:2" x14ac:dyDescent="0.25">
      <c r="A590">
        <f ca="1">26804.9722309499*((RANDBETWEEN(1587,2416)))</f>
        <v>50902642.266573809</v>
      </c>
      <c r="B590">
        <v>220845472.24045038</v>
      </c>
    </row>
    <row r="591" spans="1:2" x14ac:dyDescent="0.25">
      <c r="A591">
        <f ca="1">31772.0474187749*((RANDBETWEEN(1587,2416)))</f>
        <v>51470716.818415403</v>
      </c>
      <c r="B591">
        <v>220659761.17522067</v>
      </c>
    </row>
    <row r="592" spans="1:2" x14ac:dyDescent="0.25">
      <c r="A592">
        <f ca="1">26452.1941607046*((RANDBETWEEN(1587,2416)))</f>
        <v>47243618.77101849</v>
      </c>
      <c r="B592">
        <v>205415263.38229451</v>
      </c>
    </row>
    <row r="593" spans="1:2" x14ac:dyDescent="0.25">
      <c r="A593">
        <f ca="1">29975.5126182078*((RANDBETWEEN(1587,2416)))</f>
        <v>47601114.03771396</v>
      </c>
      <c r="B593">
        <v>215882759.9828279</v>
      </c>
    </row>
    <row r="594" spans="1:2" x14ac:dyDescent="0.25">
      <c r="A594">
        <f ca="1">31118.2789550896*((RANDBETWEEN(1587,2416)))</f>
        <v>63512407.347337864</v>
      </c>
      <c r="B594">
        <v>266906615.84337774</v>
      </c>
    </row>
    <row r="595" spans="1:2" x14ac:dyDescent="0.25">
      <c r="A595">
        <f ca="1">31203.4925360611*((RANDBETWEEN(1587,2416)))</f>
        <v>71299980.444899544</v>
      </c>
      <c r="B595">
        <v>256038165.65482217</v>
      </c>
    </row>
    <row r="596" spans="1:2" x14ac:dyDescent="0.25">
      <c r="A596">
        <f ca="1">30434.5218058859*((RANDBETWEEN(1587,2416)))</f>
        <v>54082145.249059297</v>
      </c>
      <c r="B596">
        <v>214069161.54393908</v>
      </c>
    </row>
    <row r="597" spans="1:2" x14ac:dyDescent="0.25">
      <c r="A597">
        <f ca="1">27719.3585211903*((RANDBETWEEN(1587,2416)))</f>
        <v>52445026.322092079</v>
      </c>
      <c r="B597">
        <v>221369698.8529171</v>
      </c>
    </row>
    <row r="598" spans="1:2" x14ac:dyDescent="0.25">
      <c r="A598">
        <f ca="1">29376.0799992207*((RANDBETWEEN(1587,2416)))</f>
        <v>51349387.83863771</v>
      </c>
      <c r="B598">
        <v>223185771.69393641</v>
      </c>
    </row>
    <row r="599" spans="1:2" x14ac:dyDescent="0.25">
      <c r="A599">
        <f ca="1">28908.1328427943*((RANDBETWEEN(1587,2416)))</f>
        <v>61343057.892409518</v>
      </c>
      <c r="B599">
        <v>244128004.85021269</v>
      </c>
    </row>
    <row r="600" spans="1:2" x14ac:dyDescent="0.25">
      <c r="A600">
        <f ca="1">32342.1933510484*((RANDBETWEEN(1587,2416)))</f>
        <v>56792891.524440952</v>
      </c>
      <c r="B600">
        <v>209993785.02907881</v>
      </c>
    </row>
    <row r="601" spans="1:2" x14ac:dyDescent="0.25">
      <c r="A601">
        <f ca="1">30120.2545999343*((RANDBETWEEN(1587,2416)))</f>
        <v>62469408.04026372</v>
      </c>
      <c r="B601">
        <v>214315614.85099873</v>
      </c>
    </row>
    <row r="602" spans="1:2" x14ac:dyDescent="0.25">
      <c r="A602">
        <f ca="1">27139.7957783471*((RANDBETWEEN(1587,2416)))</f>
        <v>48335976.281236269</v>
      </c>
      <c r="B602">
        <v>236640474.16997257</v>
      </c>
    </row>
    <row r="603" spans="1:2" x14ac:dyDescent="0.25">
      <c r="A603">
        <f ca="1">29203.4751480138*((RANDBETWEEN(1587,2416)))</f>
        <v>69183032.625644609</v>
      </c>
      <c r="B603">
        <v>248525184.78310654</v>
      </c>
    </row>
    <row r="604" spans="1:2" x14ac:dyDescent="0.25">
      <c r="A604">
        <f ca="1">28752.0311116249*((RANDBETWEEN(1587,2416)))</f>
        <v>54427594.894305885</v>
      </c>
      <c r="B604">
        <v>222951962.0467844</v>
      </c>
    </row>
    <row r="605" spans="1:2" x14ac:dyDescent="0.25">
      <c r="A605">
        <f ca="1">30772.2056664585*((RANDBETWEEN(1587,2416)))</f>
        <v>64283137.637231804</v>
      </c>
      <c r="B605">
        <v>232262195.71955532</v>
      </c>
    </row>
    <row r="606" spans="1:2" x14ac:dyDescent="0.25">
      <c r="A606">
        <f ca="1">33729.6545373045*((RANDBETWEEN(1587,2416)))</f>
        <v>66717256.674788199</v>
      </c>
      <c r="B606">
        <v>216272021.81803006</v>
      </c>
    </row>
    <row r="607" spans="1:2" x14ac:dyDescent="0.25">
      <c r="A607">
        <f ca="1">32450.1335071607*((RANDBETWEEN(1587,2416)))</f>
        <v>66879725.158258244</v>
      </c>
      <c r="B607">
        <v>262614784.4684763</v>
      </c>
    </row>
    <row r="608" spans="1:2" x14ac:dyDescent="0.25">
      <c r="A608">
        <f ca="1">26867.7100664961*((RANDBETWEEN(1587,2416)))</f>
        <v>54219038.914189123</v>
      </c>
      <c r="B608">
        <v>262734274.71618909</v>
      </c>
    </row>
    <row r="609" spans="1:2" x14ac:dyDescent="0.25">
      <c r="A609">
        <f ca="1">29322.0651695092*((RANDBETWEEN(1587,2416)))</f>
        <v>50668528.612911835</v>
      </c>
      <c r="B609">
        <v>261059640.13762361</v>
      </c>
    </row>
    <row r="610" spans="1:2" x14ac:dyDescent="0.25">
      <c r="A610">
        <f ca="1">26406.7434986265*((RANDBETWEEN(1587,2416)))</f>
        <v>57487480.596509814</v>
      </c>
      <c r="B610">
        <v>215819797.11920768</v>
      </c>
    </row>
    <row r="611" spans="1:2" x14ac:dyDescent="0.25">
      <c r="A611">
        <f ca="1">29183.0043471036*((RANDBETWEEN(1587,2416)))</f>
        <v>58891302.772455148</v>
      </c>
      <c r="B611">
        <v>210174315.21100307</v>
      </c>
    </row>
    <row r="612" spans="1:2" x14ac:dyDescent="0.25">
      <c r="A612">
        <f ca="1">27506.0972247087*((RANDBETWEEN(1587,2416)))</f>
        <v>60788474.866606295</v>
      </c>
      <c r="B612">
        <v>230876746.31638974</v>
      </c>
    </row>
    <row r="613" spans="1:2" x14ac:dyDescent="0.25">
      <c r="A613">
        <f ca="1">30644.9973919266*((RANDBETWEEN(1587,2416)))</f>
        <v>52954555.493249118</v>
      </c>
      <c r="B613">
        <v>230978389.58311069</v>
      </c>
    </row>
    <row r="614" spans="1:2" x14ac:dyDescent="0.25">
      <c r="A614">
        <f ca="1">31537.6144770701*((RANDBETWEEN(1587,2416)))</f>
        <v>74523383.009316608</v>
      </c>
      <c r="B614">
        <v>258870519.22427237</v>
      </c>
    </row>
    <row r="615" spans="1:2" x14ac:dyDescent="0.25">
      <c r="A615">
        <f ca="1">25834.1616814506*((RANDBETWEEN(1587,2416)))</f>
        <v>52960031.446973801</v>
      </c>
      <c r="B615">
        <v>236570447.89442211</v>
      </c>
    </row>
    <row r="616" spans="1:2" x14ac:dyDescent="0.25">
      <c r="A616">
        <f ca="1">29537.5452828639*((RANDBETWEEN(1587,2416)))</f>
        <v>51395328.792183131</v>
      </c>
      <c r="B616">
        <v>262106407.02267915</v>
      </c>
    </row>
    <row r="617" spans="1:2" x14ac:dyDescent="0.25">
      <c r="A617">
        <f ca="1">28133.5024386476*((RANDBETWEEN(1587,2416)))</f>
        <v>51090440.428584024</v>
      </c>
      <c r="B617">
        <v>266760378.69024873</v>
      </c>
    </row>
    <row r="618" spans="1:2" x14ac:dyDescent="0.25">
      <c r="A618">
        <f ca="1">27716.1314141794*((RANDBETWEEN(1587,2416)))</f>
        <v>50775952.750776649</v>
      </c>
      <c r="B618">
        <v>219186072.89557427</v>
      </c>
    </row>
    <row r="619" spans="1:2" x14ac:dyDescent="0.25">
      <c r="A619">
        <f ca="1">27117.0243438104*((RANDBETWEEN(1587,2416)))</f>
        <v>48539473.575420596</v>
      </c>
      <c r="B619">
        <v>225009775.4789319</v>
      </c>
    </row>
    <row r="620" spans="1:2" x14ac:dyDescent="0.25">
      <c r="A620">
        <f ca="1">27281.0147259966*((RANDBETWEEN(1587,2416)))</f>
        <v>48860297.374259993</v>
      </c>
      <c r="B620">
        <v>239184375.00391111</v>
      </c>
    </row>
    <row r="621" spans="1:2" x14ac:dyDescent="0.25">
      <c r="A621">
        <f ca="1">27797.7730484645*((RANDBETWEEN(1587,2416)))</f>
        <v>50119384.806381427</v>
      </c>
      <c r="B621">
        <v>232690361.56651974</v>
      </c>
    </row>
    <row r="622" spans="1:2" x14ac:dyDescent="0.25">
      <c r="A622">
        <f ca="1">29675.8845529143*((RANDBETWEEN(1587,2416)))</f>
        <v>48846505.974096991</v>
      </c>
      <c r="B622">
        <v>261988180.54871857</v>
      </c>
    </row>
    <row r="623" spans="1:2" x14ac:dyDescent="0.25">
      <c r="A623">
        <f ca="1">31908.2593881091*((RANDBETWEEN(1587,2416)))</f>
        <v>65188573.929906994</v>
      </c>
      <c r="B623">
        <v>262332727.32085285</v>
      </c>
    </row>
    <row r="624" spans="1:2" x14ac:dyDescent="0.25">
      <c r="A624">
        <f ca="1">30149.9782631678*((RANDBETWEEN(1587,2416)))</f>
        <v>51827812.634385616</v>
      </c>
      <c r="B624">
        <v>213486152.52353647</v>
      </c>
    </row>
    <row r="625" spans="1:2" x14ac:dyDescent="0.25">
      <c r="A625">
        <f ca="1">32383.5063100474*((RANDBETWEEN(1587,2416)))</f>
        <v>58031243.307604857</v>
      </c>
      <c r="B625">
        <v>260978304.36439219</v>
      </c>
    </row>
    <row r="626" spans="1:2" x14ac:dyDescent="0.25">
      <c r="A626">
        <f ca="1">27491.3570107773*((RANDBETWEEN(1587,2416)))</f>
        <v>62790259.41261524</v>
      </c>
      <c r="B626">
        <v>227576374.32226002</v>
      </c>
    </row>
    <row r="627" spans="1:2" x14ac:dyDescent="0.25">
      <c r="A627">
        <f ca="1">26991.688109931*((RANDBETWEEN(1587,2416)))</f>
        <v>56223686.33298628</v>
      </c>
      <c r="B627">
        <v>236607251.60762286</v>
      </c>
    </row>
    <row r="628" spans="1:2" x14ac:dyDescent="0.25">
      <c r="A628">
        <f ca="1">26106.0215203241*((RANDBETWEEN(1587,2416)))</f>
        <v>43962540.240225822</v>
      </c>
      <c r="B628">
        <v>208957494.61478686</v>
      </c>
    </row>
    <row r="629" spans="1:2" x14ac:dyDescent="0.25">
      <c r="A629">
        <f ca="1">27179.2853015567*((RANDBETWEEN(1587,2416)))</f>
        <v>44601207.179854535</v>
      </c>
      <c r="B629">
        <v>232054855.47068208</v>
      </c>
    </row>
    <row r="630" spans="1:2" x14ac:dyDescent="0.25">
      <c r="A630">
        <f ca="1">32564.1008347533*((RANDBETWEEN(1587,2416)))</f>
        <v>61448458.275179565</v>
      </c>
      <c r="B630">
        <v>239858584.1066142</v>
      </c>
    </row>
    <row r="631" spans="1:2" x14ac:dyDescent="0.25">
      <c r="A631">
        <f ca="1">28777.553077433*((RANDBETWEEN(1587,2416)))</f>
        <v>59742200.188750893</v>
      </c>
      <c r="B631">
        <v>246058646.19288397</v>
      </c>
    </row>
    <row r="632" spans="1:2" x14ac:dyDescent="0.25">
      <c r="A632">
        <f ca="1">28400.7728074771*((RANDBETWEEN(1587,2416)))</f>
        <v>58846401.257092506</v>
      </c>
      <c r="B632">
        <v>227953428.36465448</v>
      </c>
    </row>
    <row r="633" spans="1:2" x14ac:dyDescent="0.25">
      <c r="A633">
        <f ca="1">29720.4533805402*((RANDBETWEEN(1587,2416)))</f>
        <v>63958415.674922459</v>
      </c>
      <c r="B633">
        <v>256591910.89260802</v>
      </c>
    </row>
    <row r="634" spans="1:2" x14ac:dyDescent="0.25">
      <c r="A634">
        <f ca="1">29844.5628778708*((RANDBETWEEN(1587,2416)))</f>
        <v>61002286.522367902</v>
      </c>
      <c r="B634">
        <v>216208076.17182386</v>
      </c>
    </row>
    <row r="635" spans="1:2" x14ac:dyDescent="0.25">
      <c r="A635">
        <f ca="1">30167.635663892*((RANDBETWEEN(1587,2416)))</f>
        <v>58977727.722908914</v>
      </c>
      <c r="B635">
        <v>217879370.19731688</v>
      </c>
    </row>
    <row r="636" spans="1:2" x14ac:dyDescent="0.25">
      <c r="A636">
        <f ca="1">28635.1008236481*((RANDBETWEEN(1587,2416)))</f>
        <v>53347192.834456414</v>
      </c>
      <c r="B636">
        <v>223016872.58200979</v>
      </c>
    </row>
    <row r="637" spans="1:2" x14ac:dyDescent="0.25">
      <c r="A637">
        <f ca="1">26135.5375340427*((RANDBETWEEN(1587,2416)))</f>
        <v>59249263.589674696</v>
      </c>
      <c r="B637">
        <v>260958197.89068061</v>
      </c>
    </row>
    <row r="638" spans="1:2" x14ac:dyDescent="0.25">
      <c r="A638">
        <f ca="1">30487.366426872*((RANDBETWEEN(1587,2416)))</f>
        <v>71675798.469576016</v>
      </c>
      <c r="B638">
        <v>209042344.75486138</v>
      </c>
    </row>
    <row r="639" spans="1:2" x14ac:dyDescent="0.25">
      <c r="A639">
        <f ca="1">29556.8608885608*((RANDBETWEEN(1587,2416)))</f>
        <v>58197459.089576244</v>
      </c>
      <c r="B639">
        <v>257316838.46337405</v>
      </c>
    </row>
    <row r="640" spans="1:2" x14ac:dyDescent="0.25">
      <c r="A640">
        <f ca="1">27003.0631783344*((RANDBETWEEN(1587,2416)))</f>
        <v>58542640.970629007</v>
      </c>
      <c r="B640">
        <v>244804839.88289747</v>
      </c>
    </row>
    <row r="641" spans="1:2" x14ac:dyDescent="0.25">
      <c r="A641">
        <f ca="1">27750.6620224671*((RANDBETWEEN(1587,2416)))</f>
        <v>54224793.591900714</v>
      </c>
      <c r="B641">
        <v>233542167.43504831</v>
      </c>
    </row>
    <row r="642" spans="1:2" x14ac:dyDescent="0.25">
      <c r="A642">
        <f ca="1">25355.2211779433*((RANDBETWEEN(1587,2416)))</f>
        <v>52612083.944232307</v>
      </c>
      <c r="B642">
        <v>233561013.56728399</v>
      </c>
    </row>
    <row r="643" spans="1:2" x14ac:dyDescent="0.25">
      <c r="A643">
        <f ca="1">27530.061907332*((RANDBETWEEN(1587,2416)))</f>
        <v>48618089.328348309</v>
      </c>
      <c r="B643">
        <v>216170597.43993899</v>
      </c>
    </row>
    <row r="644" spans="1:2" x14ac:dyDescent="0.25">
      <c r="A644">
        <f ca="1">27762.7390219575*((RANDBETWEEN(1587,2416)))</f>
        <v>48001775.768964477</v>
      </c>
      <c r="B644">
        <v>225439634.05045885</v>
      </c>
    </row>
    <row r="645" spans="1:2" x14ac:dyDescent="0.25">
      <c r="A645">
        <f ca="1">30382.7235614666*((RANDBETWEEN(1587,2416)))</f>
        <v>67176201.794402614</v>
      </c>
      <c r="B645">
        <v>253957151.30784401</v>
      </c>
    </row>
    <row r="646" spans="1:2" x14ac:dyDescent="0.25">
      <c r="A646">
        <f ca="1">28902.4316930088*((RANDBETWEEN(1587,2416)))</f>
        <v>49047426.583035983</v>
      </c>
      <c r="B646">
        <v>250645989.10515374</v>
      </c>
    </row>
    <row r="647" spans="1:2" x14ac:dyDescent="0.25">
      <c r="A647">
        <f ca="1">27574.9866262281*((RANDBETWEEN(1587,2416)))</f>
        <v>53164574.215367794</v>
      </c>
      <c r="B647">
        <v>224194155.97224161</v>
      </c>
    </row>
    <row r="648" spans="1:2" x14ac:dyDescent="0.25">
      <c r="A648">
        <f ca="1">29048.3354833078*((RANDBETWEEN(1587,2416)))</f>
        <v>60013861.108513921</v>
      </c>
      <c r="B648">
        <v>218028074.59994894</v>
      </c>
    </row>
    <row r="649" spans="1:2" x14ac:dyDescent="0.25">
      <c r="A649">
        <f ca="1">29551.0245275234*((RANDBETWEEN(1587,2416)))</f>
        <v>61495682.041776091</v>
      </c>
      <c r="B649">
        <v>259926301.70626909</v>
      </c>
    </row>
    <row r="650" spans="1:2" x14ac:dyDescent="0.25">
      <c r="A650">
        <f ca="1">26752.866072208*((RANDBETWEEN(1587,2416)))</f>
        <v>63110011.064338557</v>
      </c>
      <c r="B650">
        <v>254162980.64372781</v>
      </c>
    </row>
    <row r="651" spans="1:2" x14ac:dyDescent="0.25">
      <c r="A651">
        <f ca="1">28929.6195632881*((RANDBETWEEN(1587,2416)))</f>
        <v>53780162.768152565</v>
      </c>
      <c r="B651">
        <v>247403899.22628802</v>
      </c>
    </row>
    <row r="652" spans="1:2" x14ac:dyDescent="0.25">
      <c r="A652">
        <f ca="1">34087.4674769459*((RANDBETWEEN(1587,2416)))</f>
        <v>69811133.392785251</v>
      </c>
      <c r="B652">
        <v>227037413.42390227</v>
      </c>
    </row>
    <row r="653" spans="1:2" x14ac:dyDescent="0.25">
      <c r="A653">
        <f ca="1">29852.7694764779*((RANDBETWEEN(1587,2416)))</f>
        <v>61317588.504685521</v>
      </c>
      <c r="B653">
        <v>211824864.72751206</v>
      </c>
    </row>
    <row r="654" spans="1:2" x14ac:dyDescent="0.25">
      <c r="A654">
        <f ca="1">29888.856113955*((RANDBETWEEN(1587,2416)))</f>
        <v>57715381.156047106</v>
      </c>
      <c r="B654">
        <v>216384246.12389171</v>
      </c>
    </row>
    <row r="655" spans="1:2" x14ac:dyDescent="0.25">
      <c r="A655">
        <f ca="1">34022.1967371682*((RANDBETWEEN(1587,2416)))</f>
        <v>54061270.615360275</v>
      </c>
      <c r="B655">
        <v>265153168.67144194</v>
      </c>
    </row>
    <row r="656" spans="1:2" x14ac:dyDescent="0.25">
      <c r="A656">
        <f ca="1">27592.9614771387*((RANDBETWEEN(1587,2416)))</f>
        <v>61339153.363679357</v>
      </c>
      <c r="B656">
        <v>261664463.85875204</v>
      </c>
    </row>
    <row r="657" spans="1:2" x14ac:dyDescent="0.25">
      <c r="A657">
        <f ca="1">29662.2162573446*((RANDBETWEEN(1587,2416)))</f>
        <v>63536467.223232195</v>
      </c>
      <c r="B657">
        <v>234030853.61306316</v>
      </c>
    </row>
    <row r="658" spans="1:2" x14ac:dyDescent="0.25">
      <c r="A658">
        <f ca="1">29830.0940178627*((RANDBETWEEN(1587,2416)))</f>
        <v>69116327.839387774</v>
      </c>
      <c r="B658">
        <v>240356444.05113554</v>
      </c>
    </row>
    <row r="659" spans="1:2" x14ac:dyDescent="0.25">
      <c r="A659">
        <f ca="1">31345.6518585782*((RANDBETWEEN(1587,2416)))</f>
        <v>63945129.791499525</v>
      </c>
      <c r="B659">
        <v>231205429.69605818</v>
      </c>
    </row>
    <row r="660" spans="1:2" x14ac:dyDescent="0.25">
      <c r="A660">
        <f ca="1">32027.7085199982*((RANDBETWEEN(1587,2416)))</f>
        <v>72254510.421115935</v>
      </c>
      <c r="B660">
        <v>248368368.92901689</v>
      </c>
    </row>
    <row r="661" spans="1:2" x14ac:dyDescent="0.25">
      <c r="A661">
        <f ca="1">27255.9122791161*((RANDBETWEEN(1587,2416)))</f>
        <v>60126542.487730049</v>
      </c>
      <c r="B661">
        <v>246409054.19635105</v>
      </c>
    </row>
    <row r="662" spans="1:2" x14ac:dyDescent="0.25">
      <c r="A662">
        <f ca="1">27915.4422651812*((RANDBETWEEN(1587,2416)))</f>
        <v>49270755.598044902</v>
      </c>
      <c r="B662">
        <v>259033713.26127732</v>
      </c>
    </row>
    <row r="663" spans="1:2" x14ac:dyDescent="0.25">
      <c r="A663">
        <f ca="1">30137.177366829*((RANDBETWEEN(1587,2416)))</f>
        <v>57501734.4159097</v>
      </c>
      <c r="B663">
        <v>204743211.44612277</v>
      </c>
    </row>
    <row r="664" spans="1:2" x14ac:dyDescent="0.25">
      <c r="A664">
        <f ca="1">33364.6776022097*((RANDBETWEEN(1587,2416)))</f>
        <v>64560651.160275862</v>
      </c>
      <c r="B664">
        <v>228198839.14682186</v>
      </c>
    </row>
    <row r="665" spans="1:2" x14ac:dyDescent="0.25">
      <c r="A665">
        <f ca="1">30983.9807406147*((RANDBETWEEN(1587,2416)))</f>
        <v>61596153.712342001</v>
      </c>
      <c r="B665">
        <v>216473404.26844361</v>
      </c>
    </row>
    <row r="666" spans="1:2" x14ac:dyDescent="0.25">
      <c r="A666">
        <f ca="1">29713.3640974435*((RANDBETWEEN(1587,2416)))</f>
        <v>59070167.82571771</v>
      </c>
      <c r="B666">
        <v>257486062.16832098</v>
      </c>
    </row>
    <row r="667" spans="1:2" x14ac:dyDescent="0.25">
      <c r="A667">
        <f ca="1">29183.8140591378*((RANDBETWEEN(1587,2416)))</f>
        <v>61198458.082011871</v>
      </c>
      <c r="B667">
        <v>246014919.02443683</v>
      </c>
    </row>
    <row r="668" spans="1:2" x14ac:dyDescent="0.25">
      <c r="A668">
        <f ca="1">31888.8318078044*((RANDBETWEEN(1587,2416)))</f>
        <v>64447329.083572701</v>
      </c>
      <c r="B668">
        <v>244430601.98246053</v>
      </c>
    </row>
    <row r="669" spans="1:2" x14ac:dyDescent="0.25">
      <c r="A669">
        <f ca="1">29177.1373473474*((RANDBETWEEN(1587,2416)))</f>
        <v>60775977.094524726</v>
      </c>
      <c r="B669">
        <v>223962799.15105703</v>
      </c>
    </row>
    <row r="670" spans="1:2" x14ac:dyDescent="0.25">
      <c r="A670">
        <f ca="1">34696.6502560795*((RANDBETWEEN(1587,2416)))</f>
        <v>66617568.49167268</v>
      </c>
      <c r="B670">
        <v>264488441.43188918</v>
      </c>
    </row>
    <row r="671" spans="1:2" x14ac:dyDescent="0.25">
      <c r="A671">
        <f ca="1">29941.5519937701*((RANDBETWEEN(1587,2416)))</f>
        <v>52337832.88511011</v>
      </c>
      <c r="B671">
        <v>258202954.69851154</v>
      </c>
    </row>
    <row r="672" spans="1:2" x14ac:dyDescent="0.25">
      <c r="A672">
        <f ca="1">29590.6900371823*((RANDBETWEEN(1587,2416)))</f>
        <v>60365007.675851941</v>
      </c>
      <c r="B672">
        <v>266979948.97596258</v>
      </c>
    </row>
    <row r="673" spans="1:2" x14ac:dyDescent="0.25">
      <c r="A673">
        <f ca="1">28450.1305537205*((RANDBETWEEN(1587,2416)))</f>
        <v>66402604.712383717</v>
      </c>
      <c r="B673">
        <v>255600437.007204</v>
      </c>
    </row>
    <row r="674" spans="1:2" x14ac:dyDescent="0.25">
      <c r="A674">
        <f ca="1">28771.6617432102*((RANDBETWEEN(1587,2416)))</f>
        <v>51875306.123007916</v>
      </c>
      <c r="B674">
        <v>203777130.24718216</v>
      </c>
    </row>
    <row r="675" spans="1:2" x14ac:dyDescent="0.25">
      <c r="A675">
        <f ca="1">30874.1248143342*((RANDBETWEEN(1587,2416)))</f>
        <v>70022515.078909889</v>
      </c>
      <c r="B675">
        <v>233024584.52252877</v>
      </c>
    </row>
    <row r="676" spans="1:2" x14ac:dyDescent="0.25">
      <c r="A676">
        <f ca="1">32412.2508303305*((RANDBETWEEN(1587,2416)))</f>
        <v>68778796.261961326</v>
      </c>
      <c r="B676">
        <v>240832016.51393953</v>
      </c>
    </row>
    <row r="677" spans="1:2" x14ac:dyDescent="0.25">
      <c r="A677">
        <f ca="1">29336.2079824377*((RANDBETWEEN(1587,2416)))</f>
        <v>61254002.267330006</v>
      </c>
      <c r="B677">
        <v>240201331.46421963</v>
      </c>
    </row>
    <row r="678" spans="1:2" x14ac:dyDescent="0.25">
      <c r="A678">
        <f ca="1">33325.8897491552*((RANDBETWEEN(1587,2416)))</f>
        <v>79482247.051735178</v>
      </c>
      <c r="B678">
        <v>246111671.68563241</v>
      </c>
    </row>
    <row r="679" spans="1:2" x14ac:dyDescent="0.25">
      <c r="A679">
        <f ca="1">34324.0688544879*((RANDBETWEEN(1587,2416)))</f>
        <v>63980064.344765462</v>
      </c>
      <c r="B679">
        <v>219273006.67527467</v>
      </c>
    </row>
    <row r="680" spans="1:2" x14ac:dyDescent="0.25">
      <c r="A680">
        <f ca="1">31633.0704670899*((RANDBETWEEN(1587,2416)))</f>
        <v>69624388.098064765</v>
      </c>
      <c r="B680">
        <v>267703967.42321625</v>
      </c>
    </row>
    <row r="681" spans="1:2" x14ac:dyDescent="0.25">
      <c r="A681">
        <f ca="1">29373.5743507298*((RANDBETWEEN(1587,2416)))</f>
        <v>65121214.335567914</v>
      </c>
      <c r="B681">
        <v>261238099.60457948</v>
      </c>
    </row>
    <row r="682" spans="1:2" x14ac:dyDescent="0.25">
      <c r="A682">
        <f ca="1">28100.0357365653*((RANDBETWEEN(1587,2416)))</f>
        <v>53418167.935210586</v>
      </c>
      <c r="B682">
        <v>238218537.71858165</v>
      </c>
    </row>
    <row r="683" spans="1:2" x14ac:dyDescent="0.25">
      <c r="A683">
        <f ca="1">31768.236229897*((RANDBETWEEN(1587,2416)))</f>
        <v>56325082.835607447</v>
      </c>
      <c r="B683">
        <v>251599196.67163956</v>
      </c>
    </row>
    <row r="684" spans="1:2" x14ac:dyDescent="0.25">
      <c r="A684">
        <f ca="1">27912.3981816243*((RANDBETWEEN(1587,2416)))</f>
        <v>59760444.506857716</v>
      </c>
      <c r="B684">
        <v>210019446.77358407</v>
      </c>
    </row>
    <row r="685" spans="1:2" x14ac:dyDescent="0.25">
      <c r="A685">
        <f ca="1">27420.1678148067*((RANDBETWEEN(1587,2416)))</f>
        <v>48944999.549429879</v>
      </c>
      <c r="B685">
        <v>258598719.45895037</v>
      </c>
    </row>
    <row r="686" spans="1:2" x14ac:dyDescent="0.25">
      <c r="A686">
        <f ca="1">25553.2895418668*((RANDBETWEEN(1587,2416)))</f>
        <v>54658486.330053031</v>
      </c>
      <c r="B686">
        <v>209795974.77529216</v>
      </c>
    </row>
    <row r="687" spans="1:2" x14ac:dyDescent="0.25">
      <c r="A687">
        <f ca="1">25624.2215192146*((RANDBETWEEN(1587,2416)))</f>
        <v>46405465.17129761</v>
      </c>
      <c r="B687">
        <v>238293341.23152804</v>
      </c>
    </row>
    <row r="688" spans="1:2" x14ac:dyDescent="0.25">
      <c r="A688">
        <f ca="1">32270.8073979529*((RANDBETWEEN(1587,2416)))</f>
        <v>70027652.053557858</v>
      </c>
      <c r="B688">
        <v>224901790.70235899</v>
      </c>
    </row>
    <row r="689" spans="1:2" x14ac:dyDescent="0.25">
      <c r="A689">
        <f ca="1">29641.1624185051*((RANDBETWEEN(1587,2416)))</f>
        <v>71494483.753434226</v>
      </c>
      <c r="B689">
        <v>250358507.14368674</v>
      </c>
    </row>
    <row r="690" spans="1:2" x14ac:dyDescent="0.25">
      <c r="A690">
        <f ca="1">31638.8997334443*((RANDBETWEEN(1587,2416)))</f>
        <v>53975962.94525589</v>
      </c>
      <c r="B690">
        <v>262381907.27761999</v>
      </c>
    </row>
    <row r="691" spans="1:2" x14ac:dyDescent="0.25">
      <c r="A691">
        <f ca="1">27987.7742559415*((RANDBETWEEN(1587,2416)))</f>
        <v>66051147.2440219</v>
      </c>
      <c r="B691">
        <v>232246193.07307747</v>
      </c>
    </row>
    <row r="692" spans="1:2" x14ac:dyDescent="0.25">
      <c r="A692">
        <f ca="1">29397.1173425319*((RANDBETWEEN(1587,2416)))</f>
        <v>67613369.887823299</v>
      </c>
      <c r="B692">
        <v>239323112.62252548</v>
      </c>
    </row>
    <row r="693" spans="1:2" x14ac:dyDescent="0.25">
      <c r="A693">
        <f ca="1">32563.9547489161*((RANDBETWEEN(1587,2416)))</f>
        <v>74799404.058260366</v>
      </c>
      <c r="B693">
        <v>234798061.63274857</v>
      </c>
    </row>
    <row r="694" spans="1:2" x14ac:dyDescent="0.25">
      <c r="A694">
        <f ca="1">30077.1955215814*((RANDBETWEEN(1587,2416)))</f>
        <v>63974194.874403663</v>
      </c>
      <c r="B694">
        <v>266766516.49330828</v>
      </c>
    </row>
    <row r="695" spans="1:2" x14ac:dyDescent="0.25">
      <c r="A695">
        <f ca="1">33052.5643755455*((RANDBETWEEN(1587,2416)))</f>
        <v>59197142.796602063</v>
      </c>
      <c r="B695">
        <v>206959296.89915484</v>
      </c>
    </row>
    <row r="696" spans="1:2" x14ac:dyDescent="0.25">
      <c r="A696">
        <f ca="1">29227.2064393348*((RANDBETWEEN(1587,2416)))</f>
        <v>51644473.778304674</v>
      </c>
      <c r="B696">
        <v>210360071.12658951</v>
      </c>
    </row>
    <row r="697" spans="1:2" x14ac:dyDescent="0.25">
      <c r="A697">
        <f ca="1">30260.7529606571*((RANDBETWEEN(1587,2416)))</f>
        <v>49657895.608438224</v>
      </c>
      <c r="B697">
        <v>219945623.45884371</v>
      </c>
    </row>
    <row r="698" spans="1:2" x14ac:dyDescent="0.25">
      <c r="A698">
        <f ca="1">32187.2406808302*((RANDBETWEEN(1587,2416)))</f>
        <v>60801697.646088324</v>
      </c>
      <c r="B698">
        <v>232273344.89544499</v>
      </c>
    </row>
    <row r="699" spans="1:2" x14ac:dyDescent="0.25">
      <c r="A699">
        <f ca="1">30615.2355197093*((RANDBETWEEN(1587,2416)))</f>
        <v>61016164.390780553</v>
      </c>
      <c r="B699">
        <v>221385150.47420248</v>
      </c>
    </row>
    <row r="700" spans="1:2" x14ac:dyDescent="0.25">
      <c r="A700">
        <f ca="1">30244.720825567*((RANDBETWEEN(1587,2416)))</f>
        <v>57011298.756193735</v>
      </c>
      <c r="B700">
        <v>233472769.32687491</v>
      </c>
    </row>
    <row r="701" spans="1:2" x14ac:dyDescent="0.25">
      <c r="A701">
        <f ca="1">30655.9833932888*((RANDBETWEEN(1587,2416)))</f>
        <v>65389212.577885054</v>
      </c>
      <c r="B701">
        <v>205178867.90102223</v>
      </c>
    </row>
    <row r="702" spans="1:2" x14ac:dyDescent="0.25">
      <c r="A702">
        <f ca="1">26754.2067503946*((RANDBETWEEN(1587,2416)))</f>
        <v>53909726.602045029</v>
      </c>
      <c r="B702">
        <v>260794438.33734465</v>
      </c>
    </row>
    <row r="703" spans="1:2" x14ac:dyDescent="0.25">
      <c r="A703">
        <f ca="1">28421.062310476*((RANDBETWEEN(1587,2416)))</f>
        <v>46411594.75300733</v>
      </c>
      <c r="B703">
        <v>245140980.75681812</v>
      </c>
    </row>
    <row r="704" spans="1:2" x14ac:dyDescent="0.25">
      <c r="A704">
        <f ca="1">27637.3968381028*((RANDBETWEEN(1587,2416)))</f>
        <v>55219518.882529378</v>
      </c>
      <c r="B704">
        <v>233685422.62201208</v>
      </c>
    </row>
    <row r="705" spans="1:2" x14ac:dyDescent="0.25">
      <c r="A705">
        <f ca="1">30608.299204728*((RANDBETWEEN(1587,2416)))</f>
        <v>49677269.609273523</v>
      </c>
      <c r="B705">
        <v>230458432.00489402</v>
      </c>
    </row>
    <row r="706" spans="1:2" x14ac:dyDescent="0.25">
      <c r="A706">
        <f ca="1">33536.7277887217*((RANDBETWEEN(1587,2416)))</f>
        <v>78308259.38666524</v>
      </c>
      <c r="B706">
        <v>212287260.58557019</v>
      </c>
    </row>
    <row r="707" spans="1:2" x14ac:dyDescent="0.25">
      <c r="A707">
        <f ca="1">29937.6990436661*((RANDBETWEEN(1587,2416)))</f>
        <v>67539449.042510718</v>
      </c>
      <c r="B707">
        <v>260057962.02979362</v>
      </c>
    </row>
    <row r="708" spans="1:2" x14ac:dyDescent="0.25">
      <c r="A708">
        <f ca="1">32933.7246632187*((RANDBETWEEN(1587,2416)))</f>
        <v>70511104.503951162</v>
      </c>
      <c r="B708">
        <v>255781608.55290198</v>
      </c>
    </row>
    <row r="709" spans="1:2" x14ac:dyDescent="0.25">
      <c r="A709">
        <f ca="1">30465.5170197069*((RANDBETWEEN(1587,2416)))</f>
        <v>52949068.580250517</v>
      </c>
      <c r="B709">
        <v>264366803.70342088</v>
      </c>
    </row>
    <row r="710" spans="1:2" x14ac:dyDescent="0.25">
      <c r="A710">
        <f ca="1">32678.3459216601*((RANDBETWEEN(1587,2416)))</f>
        <v>59376554.539656334</v>
      </c>
      <c r="B710">
        <v>264456632.58626363</v>
      </c>
    </row>
    <row r="711" spans="1:2" x14ac:dyDescent="0.25">
      <c r="A711">
        <f ca="1">32946.7017895039*((RANDBETWEEN(1587,2416)))</f>
        <v>68364406.213220522</v>
      </c>
      <c r="B711">
        <v>238751702.24036419</v>
      </c>
    </row>
    <row r="712" spans="1:2" x14ac:dyDescent="0.25">
      <c r="A712">
        <f ca="1">27273.7666098086*((RANDBETWEEN(1587,2416)))</f>
        <v>58911335.877186589</v>
      </c>
      <c r="B712">
        <v>260400337.04197219</v>
      </c>
    </row>
    <row r="713" spans="1:2" x14ac:dyDescent="0.25">
      <c r="A713">
        <f ca="1">31458.7157662335*((RANDBETWEEN(1587,2416)))</f>
        <v>52567514.045376159</v>
      </c>
      <c r="B713">
        <v>216643205.02275285</v>
      </c>
    </row>
    <row r="714" spans="1:2" x14ac:dyDescent="0.25">
      <c r="A714">
        <f ca="1">26290.9763592133*((RANDBETWEEN(1587,2416)))</f>
        <v>54764103.756241277</v>
      </c>
      <c r="B714">
        <v>252948657.50560248</v>
      </c>
    </row>
    <row r="715" spans="1:2" x14ac:dyDescent="0.25">
      <c r="A715">
        <f ca="1">28145.0257262749*((RANDBETWEEN(1587,2416)))</f>
        <v>54263609.600258075</v>
      </c>
      <c r="B715">
        <v>246228084.05262583</v>
      </c>
    </row>
    <row r="716" spans="1:2" x14ac:dyDescent="0.25">
      <c r="A716">
        <f ca="1">28367.7934692894*((RANDBETWEEN(1587,2416)))</f>
        <v>45870722.039841026</v>
      </c>
      <c r="B716">
        <v>213947671.93571779</v>
      </c>
    </row>
    <row r="717" spans="1:2" x14ac:dyDescent="0.25">
      <c r="A717">
        <f ca="1">31758.2878334814*((RANDBETWEEN(1587,2416)))</f>
        <v>72504171.123837993</v>
      </c>
      <c r="B717">
        <v>249760677.91179538</v>
      </c>
    </row>
    <row r="718" spans="1:2" x14ac:dyDescent="0.25">
      <c r="A718">
        <f ca="1">29959.2621770794*((RANDBETWEEN(1587,2416)))</f>
        <v>69984836.445657581</v>
      </c>
      <c r="B718">
        <v>203971029.98064598</v>
      </c>
    </row>
    <row r="719" spans="1:2" x14ac:dyDescent="0.25">
      <c r="A719">
        <f ca="1">26806.7707406528*((RANDBETWEEN(1587,2416)))</f>
        <v>60422461.249431401</v>
      </c>
      <c r="B719">
        <v>214698056.79620102</v>
      </c>
    </row>
    <row r="720" spans="1:2" x14ac:dyDescent="0.25">
      <c r="A720">
        <f ca="1">26875.3747839387*((RANDBETWEEN(1587,2416)))</f>
        <v>49800069.474638507</v>
      </c>
      <c r="B720">
        <v>250209358.43760592</v>
      </c>
    </row>
    <row r="721" spans="1:2" x14ac:dyDescent="0.25">
      <c r="A721">
        <f ca="1">31900.6595595867*((RANDBETWEEN(1587,2416)))</f>
        <v>55826154.229276791</v>
      </c>
      <c r="B721">
        <v>220731494.14375395</v>
      </c>
    </row>
    <row r="722" spans="1:2" x14ac:dyDescent="0.25">
      <c r="A722">
        <f ca="1">27891.2099141415*((RANDBETWEEN(1587,2416)))</f>
        <v>45908931.518676907</v>
      </c>
      <c r="B722">
        <v>226205834.6742422</v>
      </c>
    </row>
    <row r="723" spans="1:2" x14ac:dyDescent="0.25">
      <c r="A723">
        <f ca="1">29528.7697994318*((RANDBETWEEN(1587,2416)))</f>
        <v>65790099.113134153</v>
      </c>
      <c r="B723">
        <v>222729929.14127201</v>
      </c>
    </row>
    <row r="724" spans="1:2" x14ac:dyDescent="0.25">
      <c r="A724">
        <f ca="1">30180.4721343134*((RANDBETWEEN(1587,2416)))</f>
        <v>72825479.260098159</v>
      </c>
      <c r="B724">
        <v>217625738.256347</v>
      </c>
    </row>
    <row r="725" spans="1:2" x14ac:dyDescent="0.25">
      <c r="A725">
        <f ca="1">27291.2425982714*((RANDBETWEEN(1587,2416)))</f>
        <v>45139715.257540926</v>
      </c>
      <c r="B725">
        <v>244592933.59860045</v>
      </c>
    </row>
    <row r="726" spans="1:2" x14ac:dyDescent="0.25">
      <c r="A726">
        <f ca="1">28394.8479752366*((RANDBETWEEN(1587,2416)))</f>
        <v>46737919.767239474</v>
      </c>
      <c r="B726">
        <v>223522356.37575653</v>
      </c>
    </row>
    <row r="727" spans="1:2" x14ac:dyDescent="0.25">
      <c r="A727">
        <f ca="1">32626.3627592774*((RANDBETWEEN(1587,2416)))</f>
        <v>60913419.271570936</v>
      </c>
      <c r="B727">
        <v>253386574.86771157</v>
      </c>
    </row>
    <row r="728" spans="1:2" x14ac:dyDescent="0.25">
      <c r="A728">
        <f ca="1">30455.5784445854*((RANDBETWEEN(1587,2416)))</f>
        <v>62921225.066513509</v>
      </c>
      <c r="B728">
        <v>213542350.94437799</v>
      </c>
    </row>
    <row r="729" spans="1:2" x14ac:dyDescent="0.25">
      <c r="A729">
        <f ca="1">31112.1235223351*((RANDBETWEEN(1587,2416)))</f>
        <v>57868549.751543291</v>
      </c>
      <c r="B729">
        <v>234744335.91794381</v>
      </c>
    </row>
    <row r="730" spans="1:2" x14ac:dyDescent="0.25">
      <c r="A730">
        <f ca="1">34460.4020831693*((RANDBETWEEN(1587,2416)))</f>
        <v>63855125.060112789</v>
      </c>
      <c r="B730">
        <v>257049772.31028527</v>
      </c>
    </row>
    <row r="731" spans="1:2" x14ac:dyDescent="0.25">
      <c r="A731">
        <f ca="1">29671.4062627074*((RANDBETWEEN(1587,2416)))</f>
        <v>67799163.310286477</v>
      </c>
      <c r="B731">
        <v>256110642.47050786</v>
      </c>
    </row>
    <row r="732" spans="1:2" x14ac:dyDescent="0.25">
      <c r="A732">
        <f ca="1">31952.8399997997*((RANDBETWEEN(1587,2416)))</f>
        <v>70200389.479559958</v>
      </c>
      <c r="B732">
        <v>243257505.96890455</v>
      </c>
    </row>
    <row r="733" spans="1:2" x14ac:dyDescent="0.25">
      <c r="A733">
        <f ca="1">26541.0483073452*((RANDBETWEEN(1587,2416)))</f>
        <v>57965649.503242016</v>
      </c>
      <c r="B733">
        <v>216945049.96563178</v>
      </c>
    </row>
    <row r="734" spans="1:2" x14ac:dyDescent="0.25">
      <c r="A734">
        <f ca="1">28918.5496987148*((RANDBETWEEN(1587,2416)))</f>
        <v>58617900.239294901</v>
      </c>
      <c r="B734">
        <v>222316977.38986644</v>
      </c>
    </row>
    <row r="735" spans="1:2" x14ac:dyDescent="0.25">
      <c r="A735">
        <f ca="1">30098.345488091*((RANDBETWEEN(1587,2416)))</f>
        <v>69858259.877859265</v>
      </c>
      <c r="B735">
        <v>256028553.79597944</v>
      </c>
    </row>
    <row r="736" spans="1:2" x14ac:dyDescent="0.25">
      <c r="A736">
        <f ca="1">30064.1901243701*((RANDBETWEEN(1587,2416)))</f>
        <v>53724707.752249442</v>
      </c>
      <c r="B736">
        <v>217579897.52592516</v>
      </c>
    </row>
    <row r="737" spans="1:2" x14ac:dyDescent="0.25">
      <c r="A737">
        <f ca="1">29211.3308008486*((RANDBETWEEN(1587,2416)))</f>
        <v>63768335.138252452</v>
      </c>
      <c r="B737">
        <v>260459867.36920381</v>
      </c>
    </row>
    <row r="738" spans="1:2" x14ac:dyDescent="0.25">
      <c r="A738">
        <f ca="1">28223.3247014825*((RANDBETWEEN(1587,2416)))</f>
        <v>67312629.413035855</v>
      </c>
      <c r="B738">
        <v>237321757.00005597</v>
      </c>
    </row>
    <row r="739" spans="1:2" x14ac:dyDescent="0.25">
      <c r="A739">
        <f ca="1">31170.9148029522*((RANDBETWEEN(1587,2416)))</f>
        <v>67640885.122406274</v>
      </c>
      <c r="B739">
        <v>224197205.66282812</v>
      </c>
    </row>
    <row r="740" spans="1:2" x14ac:dyDescent="0.25">
      <c r="A740">
        <f ca="1">27262.1301953336*((RANDBETWEEN(1587,2416)))</f>
        <v>52970318.969533212</v>
      </c>
      <c r="B740">
        <v>226347006.20975411</v>
      </c>
    </row>
    <row r="741" spans="1:2" x14ac:dyDescent="0.25">
      <c r="A741">
        <f ca="1">29913.4705806345*((RANDBETWEEN(1587,2416)))</f>
        <v>53305804.574690744</v>
      </c>
      <c r="B741">
        <v>204260974.38945693</v>
      </c>
    </row>
    <row r="742" spans="1:2" x14ac:dyDescent="0.25">
      <c r="A742">
        <f ca="1">28649.616207506*((RANDBETWEEN(1587,2416)))</f>
        <v>61510725.997515485</v>
      </c>
      <c r="B742">
        <v>247563609.68071014</v>
      </c>
    </row>
    <row r="743" spans="1:2" x14ac:dyDescent="0.25">
      <c r="A743">
        <f ca="1">27896.9750016471*((RANDBETWEEN(1587,2416)))</f>
        <v>62517120.978691183</v>
      </c>
      <c r="B743">
        <v>246478130.42904815</v>
      </c>
    </row>
    <row r="744" spans="1:2" x14ac:dyDescent="0.25">
      <c r="A744">
        <f ca="1">33481.3234869746*((RANDBETWEEN(1587,2416)))</f>
        <v>56784324.63390886</v>
      </c>
      <c r="B744">
        <v>216095898.48944703</v>
      </c>
    </row>
    <row r="745" spans="1:2" x14ac:dyDescent="0.25">
      <c r="A745">
        <f ca="1">28708.936671808*((RANDBETWEEN(1587,2416)))</f>
        <v>61150035.110951021</v>
      </c>
      <c r="B745">
        <v>233783135.59310389</v>
      </c>
    </row>
    <row r="746" spans="1:2" x14ac:dyDescent="0.25">
      <c r="A746">
        <f ca="1">30669.1835198058*((RANDBETWEEN(1587,2416)))</f>
        <v>49622738.935045741</v>
      </c>
      <c r="B746">
        <v>217159763.29379672</v>
      </c>
    </row>
    <row r="747" spans="1:2" x14ac:dyDescent="0.25">
      <c r="A747">
        <f ca="1">31263.0606397384*((RANDBETWEEN(1587,2416)))</f>
        <v>61400651.096446194</v>
      </c>
      <c r="B747">
        <v>211275257.53608429</v>
      </c>
    </row>
    <row r="748" spans="1:2" x14ac:dyDescent="0.25">
      <c r="A748">
        <f ca="1">29866.4419680838*((RANDBETWEEN(1587,2416)))</f>
        <v>54088126.404199831</v>
      </c>
      <c r="B748">
        <v>218768807.04633448</v>
      </c>
    </row>
    <row r="749" spans="1:2" x14ac:dyDescent="0.25">
      <c r="A749">
        <f ca="1">29116.494507791*((RANDBETWEEN(1587,2416)))</f>
        <v>58291222.00459753</v>
      </c>
      <c r="B749">
        <v>224726214.23241466</v>
      </c>
    </row>
    <row r="750" spans="1:2" x14ac:dyDescent="0.25">
      <c r="A750">
        <f ca="1">26750.497243999*((RANDBETWEEN(1587,2416)))</f>
        <v>63345177.473789729</v>
      </c>
      <c r="B750">
        <v>218450291.03054339</v>
      </c>
    </row>
    <row r="751" spans="1:2" x14ac:dyDescent="0.25">
      <c r="A751">
        <f ca="1">30023.8859802193*((RANDBETWEEN(1587,2416)))</f>
        <v>63980901.02384723</v>
      </c>
      <c r="B751">
        <v>250839476.81812596</v>
      </c>
    </row>
    <row r="752" spans="1:2" x14ac:dyDescent="0.25">
      <c r="A752">
        <f ca="1">32607.1963448269*((RANDBETWEEN(1587,2416)))</f>
        <v>63714461.657791808</v>
      </c>
      <c r="B752">
        <v>252724510.45192331</v>
      </c>
    </row>
    <row r="753" spans="1:2" x14ac:dyDescent="0.25">
      <c r="A753">
        <f ca="1">31934.7557311482*((RANDBETWEEN(1587,2416)))</f>
        <v>71150635.768998086</v>
      </c>
      <c r="B753">
        <v>250633248.39309901</v>
      </c>
    </row>
    <row r="754" spans="1:2" x14ac:dyDescent="0.25">
      <c r="A754">
        <f ca="1">31788.2683810707*((RANDBETWEEN(1587,2416)))</f>
        <v>59444061.87260215</v>
      </c>
      <c r="B754">
        <v>214863683.44641516</v>
      </c>
    </row>
    <row r="755" spans="1:2" x14ac:dyDescent="0.25">
      <c r="A755">
        <f ca="1">31114.057180714*((RANDBETWEEN(1587,2416)))</f>
        <v>58245515.042296574</v>
      </c>
      <c r="B755">
        <v>219550453.91214916</v>
      </c>
    </row>
    <row r="756" spans="1:2" x14ac:dyDescent="0.25">
      <c r="A756">
        <f ca="1">28741.0073077221*((RANDBETWEEN(1587,2416)))</f>
        <v>62051834.777372018</v>
      </c>
      <c r="B756">
        <v>209127385.77651659</v>
      </c>
    </row>
    <row r="757" spans="1:2" x14ac:dyDescent="0.25">
      <c r="A757">
        <f ca="1">27073.2924575096*((RANDBETWEEN(1587,2416)))</f>
        <v>44968738.771923468</v>
      </c>
      <c r="B757">
        <v>264432521.6662088</v>
      </c>
    </row>
    <row r="758" spans="1:2" x14ac:dyDescent="0.25">
      <c r="A758">
        <f ca="1">31402.0087237492*((RANDBETWEEN(1587,2416)))</f>
        <v>60762886.880454779</v>
      </c>
      <c r="B758">
        <v>206023253.25174356</v>
      </c>
    </row>
    <row r="759" spans="1:2" x14ac:dyDescent="0.25">
      <c r="A759">
        <f ca="1">31328.4365746409*((RANDBETWEEN(1587,2416)))</f>
        <v>72368688.487420455</v>
      </c>
      <c r="B759">
        <v>249134737.54561383</v>
      </c>
    </row>
    <row r="760" spans="1:2" x14ac:dyDescent="0.25">
      <c r="A760">
        <f ca="1">31232.0717086901*((RANDBETWEEN(1587,2416)))</f>
        <v>66805401.384888157</v>
      </c>
      <c r="B760">
        <v>206581405.01856846</v>
      </c>
    </row>
    <row r="761" spans="1:2" x14ac:dyDescent="0.25">
      <c r="A761">
        <f ca="1">28629.1091382405*((RANDBETWEEN(1587,2416)))</f>
        <v>60235645.626858078</v>
      </c>
      <c r="B761">
        <v>227338308.71608692</v>
      </c>
    </row>
    <row r="762" spans="1:2" x14ac:dyDescent="0.25">
      <c r="A762">
        <f ca="1">30954.0344139871*((RANDBETWEEN(1587,2416)))</f>
        <v>63765310.892813347</v>
      </c>
      <c r="B762">
        <v>225877181.09440911</v>
      </c>
    </row>
    <row r="763" spans="1:2" x14ac:dyDescent="0.25">
      <c r="A763">
        <f ca="1">30613.5273992382*((RANDBETWEEN(1587,2416)))</f>
        <v>71788721.751213521</v>
      </c>
      <c r="B763">
        <v>266662752.65676659</v>
      </c>
    </row>
    <row r="764" spans="1:2" x14ac:dyDescent="0.25">
      <c r="A764">
        <f ca="1">30348.6686310007*((RANDBETWEEN(1587,2416)))</f>
        <v>70287516.549397677</v>
      </c>
      <c r="B764">
        <v>215895220.93738875</v>
      </c>
    </row>
    <row r="765" spans="1:2" x14ac:dyDescent="0.25">
      <c r="A765">
        <f ca="1">29822.5401399608*((RANDBETWEEN(1587,2416)))</f>
        <v>67548053.417011127</v>
      </c>
      <c r="B765">
        <v>244163432.56840044</v>
      </c>
    </row>
    <row r="766" spans="1:2" x14ac:dyDescent="0.25">
      <c r="A766">
        <f ca="1">28340.1506630986*((RANDBETWEEN(1587,2416)))</f>
        <v>45457601.66361022</v>
      </c>
      <c r="B766">
        <v>233274450.20985571</v>
      </c>
    </row>
    <row r="767" spans="1:2" x14ac:dyDescent="0.25">
      <c r="A767">
        <f ca="1">30849.7201206951*((RANDBETWEEN(1587,2416)))</f>
        <v>70429911.035546839</v>
      </c>
      <c r="B767">
        <v>248072638.92835468</v>
      </c>
    </row>
    <row r="768" spans="1:2" x14ac:dyDescent="0.25">
      <c r="A768">
        <f ca="1">32064.5396240856*((RANDBETWEEN(1587,2416)))</f>
        <v>57299332.308241002</v>
      </c>
      <c r="B768">
        <v>211402761.44965294</v>
      </c>
    </row>
    <row r="769" spans="1:2" x14ac:dyDescent="0.25">
      <c r="A769">
        <f ca="1">28237.3867409756*((RANDBETWEEN(1587,2416)))</f>
        <v>57180708.150475658</v>
      </c>
      <c r="B769">
        <v>220086070.72921833</v>
      </c>
    </row>
    <row r="770" spans="1:2" x14ac:dyDescent="0.25">
      <c r="A770">
        <f ca="1">27433.4730572766*((RANDBETWEEN(1587,2416)))</f>
        <v>49517418.868384182</v>
      </c>
      <c r="B770">
        <v>211251074.08429003</v>
      </c>
    </row>
    <row r="771" spans="1:2" x14ac:dyDescent="0.25">
      <c r="A771">
        <f ca="1">31750.6557873798*((RANDBETWEEN(1587,2416)))</f>
        <v>63279056.984247915</v>
      </c>
      <c r="B771">
        <v>210240385.1817542</v>
      </c>
    </row>
    <row r="772" spans="1:2" x14ac:dyDescent="0.25">
      <c r="A772">
        <f ca="1">33535.7529854178*((RANDBETWEEN(1587,2416)))</f>
        <v>61705785.493168734</v>
      </c>
      <c r="B772">
        <v>256184400.10407627</v>
      </c>
    </row>
    <row r="773" spans="1:2" x14ac:dyDescent="0.25">
      <c r="A773">
        <f ca="1">29821.2093397193*((RANDBETWEEN(1587,2416)))</f>
        <v>59016173.28330446</v>
      </c>
      <c r="B773">
        <v>210588921.71295723</v>
      </c>
    </row>
    <row r="774" spans="1:2" x14ac:dyDescent="0.25">
      <c r="A774">
        <f ca="1">28017.0073415509*((RANDBETWEEN(1587,2416)))</f>
        <v>57294780.013471618</v>
      </c>
      <c r="B774">
        <v>207036216.73692453</v>
      </c>
    </row>
    <row r="775" spans="1:2" x14ac:dyDescent="0.25">
      <c r="A775">
        <f ca="1">28070.0080000314*((RANDBETWEEN(1587,2416)))</f>
        <v>53922485.368060298</v>
      </c>
      <c r="B775">
        <v>238470729.3847709</v>
      </c>
    </row>
    <row r="776" spans="1:2" x14ac:dyDescent="0.25">
      <c r="A776">
        <f ca="1">31427.2100174664*((RANDBETWEEN(1587,2416)))</f>
        <v>56254705.931264877</v>
      </c>
      <c r="B776">
        <v>219303054.39022583</v>
      </c>
    </row>
    <row r="777" spans="1:2" x14ac:dyDescent="0.25">
      <c r="A777">
        <f ca="1">29042.4813476215*((RANDBETWEEN(1587,2416)))</f>
        <v>67814193.946696088</v>
      </c>
      <c r="B777">
        <v>223605933.47666129</v>
      </c>
    </row>
    <row r="778" spans="1:2" x14ac:dyDescent="0.25">
      <c r="A778">
        <f ca="1">27533.1271594724*((RANDBETWEEN(1587,2416)))</f>
        <v>50468222.083312951</v>
      </c>
      <c r="B778">
        <v>232311345.31326646</v>
      </c>
    </row>
    <row r="779" spans="1:2" x14ac:dyDescent="0.25">
      <c r="A779">
        <f ca="1">28916.4665919849*((RANDBETWEEN(1587,2416)))</f>
        <v>66825954.294077091</v>
      </c>
      <c r="B779">
        <v>249521225.2186622</v>
      </c>
    </row>
    <row r="780" spans="1:2" x14ac:dyDescent="0.25">
      <c r="A780">
        <f ca="1">30650.8796133178*((RANDBETWEEN(1587,2416)))</f>
        <v>61761522.420835316</v>
      </c>
      <c r="B780">
        <v>238057541.03811979</v>
      </c>
    </row>
    <row r="781" spans="1:2" x14ac:dyDescent="0.25">
      <c r="A781">
        <f ca="1">27328.4121393481*((RANDBETWEEN(1587,2416)))</f>
        <v>44654625.435694873</v>
      </c>
      <c r="B781">
        <v>241080488.01340306</v>
      </c>
    </row>
    <row r="782" spans="1:2" x14ac:dyDescent="0.25">
      <c r="A782">
        <f ca="1">32014.4741228833*((RANDBETWEEN(1587,2416)))</f>
        <v>52407694.139160007</v>
      </c>
      <c r="B782">
        <v>262805643.38856167</v>
      </c>
    </row>
    <row r="783" spans="1:2" x14ac:dyDescent="0.25">
      <c r="A783">
        <f ca="1">27881.7243347408*((RANDBETWEEN(1587,2416)))</f>
        <v>54871233.490769841</v>
      </c>
      <c r="B783">
        <v>239875913.04354244</v>
      </c>
    </row>
    <row r="784" spans="1:2" x14ac:dyDescent="0.25">
      <c r="A784">
        <f ca="1">31865.7775464689*((RANDBETWEEN(1587,2416)))</f>
        <v>68925676.833012179</v>
      </c>
      <c r="B784">
        <v>233631464.03364828</v>
      </c>
    </row>
    <row r="785" spans="1:2" x14ac:dyDescent="0.25">
      <c r="A785">
        <f ca="1">28386.6600964697*((RANDBETWEEN(1587,2416)))</f>
        <v>55467533.828501798</v>
      </c>
      <c r="B785">
        <v>255235149.63872844</v>
      </c>
    </row>
    <row r="786" spans="1:2" x14ac:dyDescent="0.25">
      <c r="A786">
        <f ca="1">30909.5769809748*((RANDBETWEEN(1587,2416)))</f>
        <v>71370213.249070838</v>
      </c>
      <c r="B786">
        <v>244681085.36746854</v>
      </c>
    </row>
    <row r="787" spans="1:2" x14ac:dyDescent="0.25">
      <c r="A787">
        <f ca="1">31742.6992670141*((RANDBETWEEN(1587,2416)))</f>
        <v>59263619.53151533</v>
      </c>
      <c r="B787">
        <v>226781626.18296593</v>
      </c>
    </row>
    <row r="788" spans="1:2" x14ac:dyDescent="0.25">
      <c r="A788">
        <f ca="1">31914.8626104916*((RANDBETWEEN(1587,2416)))</f>
        <v>64499937.335803591</v>
      </c>
      <c r="B788">
        <v>236502886.69076633</v>
      </c>
    </row>
    <row r="789" spans="1:2" x14ac:dyDescent="0.25">
      <c r="A789">
        <f ca="1">33567.3048256239*((RANDBETWEEN(1587,2416)))</f>
        <v>61596004.355019934</v>
      </c>
      <c r="B789">
        <v>231215096.60625079</v>
      </c>
    </row>
    <row r="790" spans="1:2" x14ac:dyDescent="0.25">
      <c r="A790">
        <f ca="1">29529.3962763689*((RANDBETWEEN(1587,2416)))</f>
        <v>55987735.339995511</v>
      </c>
      <c r="B790">
        <v>266638731.50224417</v>
      </c>
    </row>
    <row r="791" spans="1:2" x14ac:dyDescent="0.25">
      <c r="A791">
        <f ca="1">30610.596896308*((RANDBETWEEN(1587,2416)))</f>
        <v>64037368.707076304</v>
      </c>
      <c r="B791">
        <v>226761205.49889308</v>
      </c>
    </row>
    <row r="792" spans="1:2" x14ac:dyDescent="0.25">
      <c r="A792">
        <f ca="1">30515.1654539471*((RANDBETWEEN(1587,2416)))</f>
        <v>53279478.88259165</v>
      </c>
      <c r="B792">
        <v>247954518.70176926</v>
      </c>
    </row>
    <row r="793" spans="1:2" x14ac:dyDescent="0.25">
      <c r="A793">
        <f ca="1">28059.3638434024*((RANDBETWEEN(1587,2416)))</f>
        <v>55922312.13990096</v>
      </c>
      <c r="B793">
        <v>213088632.32013837</v>
      </c>
    </row>
    <row r="794" spans="1:2" x14ac:dyDescent="0.25">
      <c r="A794">
        <f ca="1">27286.1769033364*((RANDBETWEEN(1587,2416)))</f>
        <v>46222783.674251832</v>
      </c>
      <c r="B794">
        <v>219588065.05646506</v>
      </c>
    </row>
    <row r="795" spans="1:2" x14ac:dyDescent="0.25">
      <c r="A795">
        <f ca="1">32527.9842883535*((RANDBETWEEN(1587,2416)))</f>
        <v>61510418.28927651</v>
      </c>
      <c r="B795">
        <v>240629661.88089538</v>
      </c>
    </row>
    <row r="796" spans="1:2" x14ac:dyDescent="0.25">
      <c r="A796">
        <f ca="1">29765.0249763499*((RANDBETWEEN(1587,2416)))</f>
        <v>54559290.781649448</v>
      </c>
      <c r="B796">
        <v>226341018.77581277</v>
      </c>
    </row>
    <row r="797" spans="1:2" x14ac:dyDescent="0.25">
      <c r="A797">
        <f ca="1">26282.8110417395*((RANDBETWEEN(1587,2416)))</f>
        <v>47361625.497214526</v>
      </c>
      <c r="B797">
        <v>224633908.3285062</v>
      </c>
    </row>
    <row r="798" spans="1:2" x14ac:dyDescent="0.25">
      <c r="A798">
        <f ca="1">32094.414473655*((RANDBETWEEN(1587,2416)))</f>
        <v>56004753.256527945</v>
      </c>
      <c r="B798">
        <v>225328272.74892685</v>
      </c>
    </row>
    <row r="799" spans="1:2" x14ac:dyDescent="0.25">
      <c r="A799">
        <f ca="1">31655.9792860419*((RANDBETWEEN(1587,2416)))</f>
        <v>50744534.795525096</v>
      </c>
      <c r="B799">
        <v>261792501.96085143</v>
      </c>
    </row>
    <row r="800" spans="1:2" x14ac:dyDescent="0.25">
      <c r="A800">
        <f ca="1">32304.0663621366*((RANDBETWEEN(1587,2416)))</f>
        <v>58858008.911812805</v>
      </c>
      <c r="B800">
        <v>226634000.35417536</v>
      </c>
    </row>
    <row r="801" spans="1:2" x14ac:dyDescent="0.25">
      <c r="A801">
        <f ca="1">31152.304005054*((RANDBETWEEN(1587,2416)))</f>
        <v>51743976.95239462</v>
      </c>
      <c r="B801">
        <v>258026815.6595999</v>
      </c>
    </row>
    <row r="802" spans="1:2" x14ac:dyDescent="0.25">
      <c r="A802">
        <f ca="1">27757.4053808951*((RANDBETWEEN(1587,2416)))</f>
        <v>63425671.295345269</v>
      </c>
      <c r="B802">
        <v>222669919.63343266</v>
      </c>
    </row>
    <row r="803" spans="1:2" x14ac:dyDescent="0.25">
      <c r="A803">
        <f ca="1">31191.1884439981*((RANDBETWEEN(1587,2416)))</f>
        <v>49687563.191289023</v>
      </c>
      <c r="B803">
        <v>253854485.12526917</v>
      </c>
    </row>
    <row r="804" spans="1:2" x14ac:dyDescent="0.25">
      <c r="A804">
        <f ca="1">31704.2874671621*((RANDBETWEEN(1587,2416)))</f>
        <v>56623857.416351445</v>
      </c>
      <c r="B804">
        <v>238744842.53167626</v>
      </c>
    </row>
    <row r="805" spans="1:2" x14ac:dyDescent="0.25">
      <c r="A805">
        <f ca="1">29714.0904017404*((RANDBETWEEN(1587,2416)))</f>
        <v>69917254.71529521</v>
      </c>
      <c r="B805">
        <v>215741217.45478657</v>
      </c>
    </row>
    <row r="806" spans="1:2" x14ac:dyDescent="0.25">
      <c r="A806">
        <f ca="1">32334.4921130633*((RANDBETWEEN(1587,2416)))</f>
        <v>60465500.251428358</v>
      </c>
      <c r="B806">
        <v>204669143.59850809</v>
      </c>
    </row>
    <row r="807" spans="1:2" x14ac:dyDescent="0.25">
      <c r="A807">
        <f ca="1">29053.3239176963*((RANDBETWEEN(1587,2416)))</f>
        <v>46427211.62047869</v>
      </c>
      <c r="B807">
        <v>261920524.93210396</v>
      </c>
    </row>
    <row r="808" spans="1:2" x14ac:dyDescent="0.25">
      <c r="A808">
        <f ca="1">31260.5130220437*((RANDBETWEEN(1587,2416)))</f>
        <v>64584219.903542243</v>
      </c>
      <c r="B808">
        <v>219666534.64103544</v>
      </c>
    </row>
    <row r="809" spans="1:2" x14ac:dyDescent="0.25">
      <c r="A809">
        <f ca="1">30403.7211106456*((RANDBETWEEN(1587,2416)))</f>
        <v>61476324.085725307</v>
      </c>
      <c r="B809">
        <v>222576612.92521358</v>
      </c>
    </row>
    <row r="810" spans="1:2" x14ac:dyDescent="0.25">
      <c r="A810">
        <f ca="1">30144.9532130213*((RANDBETWEEN(1587,2416)))</f>
        <v>61887588.946332671</v>
      </c>
      <c r="B810">
        <v>258757235.20750669</v>
      </c>
    </row>
    <row r="811" spans="1:2" x14ac:dyDescent="0.25">
      <c r="A811">
        <f ca="1">29311.343985275*((RANDBETWEEN(1587,2416)))</f>
        <v>61846935.808930278</v>
      </c>
      <c r="B811">
        <v>237469371.71022367</v>
      </c>
    </row>
    <row r="812" spans="1:2" x14ac:dyDescent="0.25">
      <c r="A812">
        <f ca="1">30729.9655182457*((RANDBETWEEN(1587,2416)))</f>
        <v>50489333.346477605</v>
      </c>
      <c r="B812">
        <v>242151817.09676367</v>
      </c>
    </row>
    <row r="813" spans="1:2" x14ac:dyDescent="0.25">
      <c r="A813">
        <f ca="1">29756.442371541*((RANDBETWEEN(1587,2416)))</f>
        <v>58560678.587192602</v>
      </c>
      <c r="B813">
        <v>222374483.39485535</v>
      </c>
    </row>
    <row r="814" spans="1:2" x14ac:dyDescent="0.25">
      <c r="A814">
        <f ca="1">28549.745375597*((RANDBETWEEN(1587,2416)))</f>
        <v>57156590.241945289</v>
      </c>
      <c r="B814">
        <v>204975854.02232808</v>
      </c>
    </row>
    <row r="815" spans="1:2" x14ac:dyDescent="0.25">
      <c r="A815">
        <f ca="1">31136.2315823648*((RANDBETWEEN(1587,2416)))</f>
        <v>57477483.501045443</v>
      </c>
      <c r="B815">
        <v>266938054.92611909</v>
      </c>
    </row>
    <row r="816" spans="1:2" x14ac:dyDescent="0.25">
      <c r="A816">
        <f ca="1">26866.8427279032*((RANDBETWEEN(1587,2416)))</f>
        <v>44787026.827414609</v>
      </c>
      <c r="B816">
        <v>224065463.28846538</v>
      </c>
    </row>
    <row r="817" spans="1:2" x14ac:dyDescent="0.25">
      <c r="A817">
        <f ca="1">26597.9425153299*((RANDBETWEEN(1587,2416)))</f>
        <v>46599595.286858015</v>
      </c>
      <c r="B817">
        <v>217622004.27821752</v>
      </c>
    </row>
    <row r="818" spans="1:2" x14ac:dyDescent="0.25">
      <c r="A818">
        <f ca="1">29891.5171505427*((RANDBETWEEN(1587,2416)))</f>
        <v>55508547.348557867</v>
      </c>
      <c r="B818">
        <v>208611868.44043517</v>
      </c>
    </row>
    <row r="819" spans="1:2" x14ac:dyDescent="0.25">
      <c r="A819">
        <f ca="1">27143.0653529261*((RANDBETWEEN(1587,2416)))</f>
        <v>64356207.951787874</v>
      </c>
      <c r="B819">
        <v>233557151.03995204</v>
      </c>
    </row>
    <row r="820" spans="1:2" x14ac:dyDescent="0.25">
      <c r="A820">
        <f ca="1">27398.6573296583*((RANDBETWEEN(1587,2416)))</f>
        <v>47070893.292353034</v>
      </c>
      <c r="B820">
        <v>215501153.55829239</v>
      </c>
    </row>
    <row r="821" spans="1:2" x14ac:dyDescent="0.25">
      <c r="A821">
        <f ca="1">32335.2056185914*((RANDBETWEEN(1587,2416)))</f>
        <v>75502705.119410932</v>
      </c>
      <c r="B821">
        <v>256025526.42688647</v>
      </c>
    </row>
    <row r="822" spans="1:2" x14ac:dyDescent="0.25">
      <c r="A822">
        <f ca="1">28121.7860589625*((RANDBETWEEN(1587,2416)))</f>
        <v>54134438.163502723</v>
      </c>
      <c r="B822">
        <v>263420249.3149111</v>
      </c>
    </row>
    <row r="823" spans="1:2" x14ac:dyDescent="0.25">
      <c r="A823">
        <f ca="1">28611.8466955663*((RANDBETWEEN(1587,2416)))</f>
        <v>53074975.620275401</v>
      </c>
      <c r="B823">
        <v>229005882.01061535</v>
      </c>
    </row>
    <row r="824" spans="1:2" x14ac:dyDescent="0.25">
      <c r="A824">
        <f ca="1">28245.4683920792*((RANDBETWEEN(1587,2416)))</f>
        <v>58439874.10321188</v>
      </c>
      <c r="B824">
        <v>246297598.68747348</v>
      </c>
    </row>
    <row r="825" spans="1:2" x14ac:dyDescent="0.25">
      <c r="A825">
        <f ca="1">30488.1393381915*((RANDBETWEEN(1587,2416)))</f>
        <v>72195913.952837467</v>
      </c>
      <c r="B825">
        <v>210137154.19320765</v>
      </c>
    </row>
    <row r="826" spans="1:2" x14ac:dyDescent="0.25">
      <c r="A826">
        <f ca="1">28630.2463970518*((RANDBETWEEN(1587,2416)))</f>
        <v>68426288.88895376</v>
      </c>
      <c r="B826">
        <v>244153782.01701388</v>
      </c>
    </row>
    <row r="827" spans="1:2" x14ac:dyDescent="0.25">
      <c r="A827">
        <f ca="1">29908.4601400448*((RANDBETWEEN(1587,2416)))</f>
        <v>70225064.408825293</v>
      </c>
      <c r="B827">
        <v>255829265.39215139</v>
      </c>
    </row>
    <row r="828" spans="1:2" x14ac:dyDescent="0.25">
      <c r="A828">
        <f ca="1">33164.5622206412*((RANDBETWEEN(1587,2416)))</f>
        <v>64471908.956926495</v>
      </c>
      <c r="B828">
        <v>246581768.12224972</v>
      </c>
    </row>
    <row r="829" spans="1:2" x14ac:dyDescent="0.25">
      <c r="A829">
        <f ca="1">27653.3590693617*((RANDBETWEEN(1587,2416)))</f>
        <v>60035442.539584279</v>
      </c>
      <c r="B829">
        <v>231170296.84593564</v>
      </c>
    </row>
    <row r="830" spans="1:2" x14ac:dyDescent="0.25">
      <c r="A830">
        <f ca="1">26107.848957122*((RANDBETWEEN(1587,2416)))</f>
        <v>61144582.257579893</v>
      </c>
      <c r="B830">
        <v>240091375.85237443</v>
      </c>
    </row>
    <row r="831" spans="1:2" x14ac:dyDescent="0.25">
      <c r="A831">
        <f ca="1">31192.8055490917*((RANDBETWEEN(1587,2416)))</f>
        <v>73365478.651463598</v>
      </c>
      <c r="B831">
        <v>207535704.46879318</v>
      </c>
    </row>
    <row r="832" spans="1:2" x14ac:dyDescent="0.25">
      <c r="A832">
        <f ca="1">27447.778360906*((RANDBETWEEN(1587,2416)))</f>
        <v>57393304.552654564</v>
      </c>
      <c r="B832">
        <v>209901769.39295882</v>
      </c>
    </row>
    <row r="833" spans="1:2" x14ac:dyDescent="0.25">
      <c r="A833">
        <f ca="1">28305.3388661939*((RANDBETWEEN(1587,2416)))</f>
        <v>45147015.491579324</v>
      </c>
      <c r="B833">
        <v>253888890.10795265</v>
      </c>
    </row>
    <row r="834" spans="1:2" x14ac:dyDescent="0.25">
      <c r="A834">
        <f ca="1">27221.6353139807*((RANDBETWEEN(1587,2416)))</f>
        <v>61058128.009258606</v>
      </c>
      <c r="B834">
        <v>252819503.7027778</v>
      </c>
    </row>
    <row r="835" spans="1:2" x14ac:dyDescent="0.25">
      <c r="A835">
        <f ca="1">30623.3436200846*((RANDBETWEEN(1587,2416)))</f>
        <v>50987867.127440885</v>
      </c>
      <c r="B835">
        <v>241664783.64707714</v>
      </c>
    </row>
    <row r="836" spans="1:2" x14ac:dyDescent="0.25">
      <c r="A836">
        <f ca="1">28932.4556582825*((RANDBETWEEN(1587,2416)))</f>
        <v>53293583.322556295</v>
      </c>
      <c r="B836">
        <v>243045312.17720181</v>
      </c>
    </row>
    <row r="837" spans="1:2" x14ac:dyDescent="0.25">
      <c r="A837">
        <f ca="1">26949.1861939995*((RANDBETWEEN(1587,2416)))</f>
        <v>53871423.201804958</v>
      </c>
      <c r="B837">
        <v>204311064.47621924</v>
      </c>
    </row>
    <row r="838" spans="1:2" x14ac:dyDescent="0.25">
      <c r="A838">
        <f ca="1">30826.4582292877*((RANDBETWEEN(1587,2416)))</f>
        <v>62546883.747224778</v>
      </c>
      <c r="B838">
        <v>262105910.08559915</v>
      </c>
    </row>
    <row r="839" spans="1:2" x14ac:dyDescent="0.25">
      <c r="A839">
        <f ca="1">32341.772983084*((RANDBETWEEN(1587,2416)))</f>
        <v>72380887.936142087</v>
      </c>
      <c r="B839">
        <v>222591589.17233899</v>
      </c>
    </row>
    <row r="840" spans="1:2" x14ac:dyDescent="0.25">
      <c r="A840">
        <f ca="1">33249.2961668597*((RANDBETWEEN(1587,2416)))</f>
        <v>64038144.41737178</v>
      </c>
      <c r="B840">
        <v>220772175.75411564</v>
      </c>
    </row>
    <row r="841" spans="1:2" x14ac:dyDescent="0.25">
      <c r="A841">
        <f ca="1">32428.0155712028*((RANDBETWEEN(1587,2416)))</f>
        <v>63234630.363845505</v>
      </c>
      <c r="B841">
        <v>239994626.28101611</v>
      </c>
    </row>
    <row r="842" spans="1:2" x14ac:dyDescent="0.25">
      <c r="A842">
        <f ca="1">31048.0196487115*((RANDBETWEEN(1587,2416)))</f>
        <v>72093501.62430805</v>
      </c>
      <c r="B842">
        <v>241285077.3924658</v>
      </c>
    </row>
    <row r="843" spans="1:2" x14ac:dyDescent="0.25">
      <c r="A843">
        <f ca="1">32288.1723939815*((RANDBETWEEN(1587,2416)))</f>
        <v>65674142.64935831</v>
      </c>
      <c r="B843">
        <v>206762214.58451658</v>
      </c>
    </row>
    <row r="844" spans="1:2" x14ac:dyDescent="0.25">
      <c r="A844">
        <f ca="1">32781.67724294*((RANDBETWEEN(1587,2416)))</f>
        <v>60121596.063552029</v>
      </c>
      <c r="B844">
        <v>249951169.89319843</v>
      </c>
    </row>
    <row r="845" spans="1:2" x14ac:dyDescent="0.25">
      <c r="A845">
        <f ca="1">28903.9591705974*((RANDBETWEEN(1587,2416)))</f>
        <v>66016642.745644502</v>
      </c>
      <c r="B845">
        <v>231728127.84392199</v>
      </c>
    </row>
    <row r="846" spans="1:2" x14ac:dyDescent="0.25">
      <c r="A846">
        <f ca="1">26840.8874462856*((RANDBETWEEN(1587,2416)))</f>
        <v>50782959.048372269</v>
      </c>
      <c r="B846">
        <v>250098886.46451074</v>
      </c>
    </row>
    <row r="847" spans="1:2" x14ac:dyDescent="0.25">
      <c r="A847">
        <f ca="1">31365.5248812783*((RANDBETWEEN(1587,2416)))</f>
        <v>73144404.023141101</v>
      </c>
      <c r="B847">
        <v>225416770.90093827</v>
      </c>
    </row>
    <row r="848" spans="1:2" x14ac:dyDescent="0.25">
      <c r="A848">
        <f ca="1">31938.9037146676*((RANDBETWEEN(1587,2416)))</f>
        <v>72469372.52858083</v>
      </c>
      <c r="B848">
        <v>206285390.75079757</v>
      </c>
    </row>
    <row r="849" spans="1:2" x14ac:dyDescent="0.25">
      <c r="A849">
        <f ca="1">31564.18787428*((RANDBETWEEN(1587,2416)))</f>
        <v>55679227.410229839</v>
      </c>
      <c r="B849">
        <v>206555767.59009349</v>
      </c>
    </row>
    <row r="850" spans="1:2" x14ac:dyDescent="0.25">
      <c r="A850">
        <f ca="1">30849.0815421717*((RANDBETWEEN(1587,2416)))</f>
        <v>52998722.089451104</v>
      </c>
      <c r="B850">
        <v>228179314.10765454</v>
      </c>
    </row>
    <row r="851" spans="1:2" x14ac:dyDescent="0.25">
      <c r="A851">
        <f ca="1">30342.8942337501*((RANDBETWEEN(1587,2416)))</f>
        <v>51916692.033946358</v>
      </c>
      <c r="B851">
        <v>210536220.82876417</v>
      </c>
    </row>
    <row r="852" spans="1:2" x14ac:dyDescent="0.25">
      <c r="A852">
        <f ca="1">33382.1577828259*((RANDBETWEEN(1587,2416)))</f>
        <v>64694621.783116505</v>
      </c>
      <c r="B852">
        <v>244300527.70471138</v>
      </c>
    </row>
    <row r="853" spans="1:2" x14ac:dyDescent="0.25">
      <c r="A853">
        <f ca="1">33227.9306228181*((RANDBETWEEN(1587,2416)))</f>
        <v>71273911.185944736</v>
      </c>
      <c r="B853">
        <v>228041511.88075528</v>
      </c>
    </row>
    <row r="854" spans="1:2" x14ac:dyDescent="0.25">
      <c r="A854">
        <f ca="1">31854.8093188192*((RANDBETWEEN(1587,2416)))</f>
        <v>58867687.621177882</v>
      </c>
      <c r="B854">
        <v>250083429.4144482</v>
      </c>
    </row>
    <row r="855" spans="1:2" x14ac:dyDescent="0.25">
      <c r="A855">
        <f ca="1">32532.8645307636*((RANDBETWEEN(1587,2416)))</f>
        <v>56346921.367282502</v>
      </c>
      <c r="B855">
        <v>243922207.44032508</v>
      </c>
    </row>
    <row r="856" spans="1:2" x14ac:dyDescent="0.25">
      <c r="A856">
        <f ca="1">26827.1178720901*((RANDBETWEEN(1587,2416)))</f>
        <v>62373049.052609473</v>
      </c>
      <c r="B856">
        <v>235120652.78578162</v>
      </c>
    </row>
    <row r="857" spans="1:2" x14ac:dyDescent="0.25">
      <c r="A857">
        <f ca="1">32855.8754413055*((RANDBETWEEN(1587,2416)))</f>
        <v>79281227.439870119</v>
      </c>
      <c r="B857">
        <v>257908676.22493088</v>
      </c>
    </row>
    <row r="858" spans="1:2" x14ac:dyDescent="0.25">
      <c r="A858">
        <f ca="1">31225.5011979469*((RANDBETWEEN(1587,2416)))</f>
        <v>75159781.383458287</v>
      </c>
      <c r="B858">
        <v>249925348.47985676</v>
      </c>
    </row>
    <row r="859" spans="1:2" x14ac:dyDescent="0.25">
      <c r="A859">
        <f ca="1">27962.3981850769*((RANDBETWEEN(1587,2416)))</f>
        <v>55477397.999192499</v>
      </c>
      <c r="B859">
        <v>226828191.49698198</v>
      </c>
    </row>
    <row r="860" spans="1:2" x14ac:dyDescent="0.25">
      <c r="A860">
        <f ca="1">27457.915174682*((RANDBETWEEN(1587,2416)))</f>
        <v>65926454.334411398</v>
      </c>
      <c r="B860">
        <v>260793638.30450031</v>
      </c>
    </row>
    <row r="861" spans="1:2" x14ac:dyDescent="0.25">
      <c r="A861">
        <f ca="1">31302.0386188293*((RANDBETWEEN(1587,2416)))</f>
        <v>73591092.79286772</v>
      </c>
      <c r="B861">
        <v>267372040.68344778</v>
      </c>
    </row>
    <row r="862" spans="1:2" x14ac:dyDescent="0.25">
      <c r="A862">
        <f ca="1">28920.7028502785*((RANDBETWEEN(1587,2416)))</f>
        <v>52375392.861854449</v>
      </c>
      <c r="B862">
        <v>256172644.53598762</v>
      </c>
    </row>
    <row r="863" spans="1:2" x14ac:dyDescent="0.25">
      <c r="A863">
        <f ca="1">28093.1718519038*((RANDBETWEEN(1587,2416)))</f>
        <v>55736852.954177059</v>
      </c>
      <c r="B863">
        <v>258005408.83300993</v>
      </c>
    </row>
    <row r="864" spans="1:2" x14ac:dyDescent="0.25">
      <c r="A864">
        <f ca="1">27900.4751182*((RANDBETWEEN(1587,2416)))</f>
        <v>53847916.978125982</v>
      </c>
      <c r="B864">
        <v>243690816.46407485</v>
      </c>
    </row>
    <row r="865" spans="1:2" x14ac:dyDescent="0.25">
      <c r="A865">
        <f ca="1">30617.4701224599*((RANDBETWEEN(1587,2416)))</f>
        <v>52294638.96916157</v>
      </c>
      <c r="B865">
        <v>243943009.94837436</v>
      </c>
    </row>
    <row r="866" spans="1:2" x14ac:dyDescent="0.25">
      <c r="A866">
        <f ca="1">27225.4566314522*((RANDBETWEEN(1587,2416)))</f>
        <v>53062414.974700317</v>
      </c>
      <c r="B866">
        <v>225827846.47462416</v>
      </c>
    </row>
    <row r="867" spans="1:2" x14ac:dyDescent="0.25">
      <c r="A867">
        <f ca="1">27496.8751706298*((RANDBETWEEN(1587,2416)))</f>
        <v>66129984.785364777</v>
      </c>
      <c r="B867">
        <v>248575760.52679628</v>
      </c>
    </row>
    <row r="868" spans="1:2" x14ac:dyDescent="0.25">
      <c r="A868">
        <f ca="1">30678.7952635729*((RANDBETWEEN(1587,2416)))</f>
        <v>73506393.451520711</v>
      </c>
      <c r="B868">
        <v>207128178.91373751</v>
      </c>
    </row>
    <row r="869" spans="1:2" x14ac:dyDescent="0.25">
      <c r="A869">
        <f ca="1">32656.8512847393*((RANDBETWEEN(1587,2416)))</f>
        <v>58619048.056106955</v>
      </c>
      <c r="B869">
        <v>215722927.78220391</v>
      </c>
    </row>
    <row r="870" spans="1:2" x14ac:dyDescent="0.25">
      <c r="A870">
        <f ca="1">30347.5772916931*((RANDBETWEEN(1587,2416)))</f>
        <v>66643279.732557997</v>
      </c>
      <c r="B870">
        <v>234565760.35356525</v>
      </c>
    </row>
    <row r="871" spans="1:2" x14ac:dyDescent="0.25">
      <c r="A871">
        <f ca="1">30814.9076213633*((RANDBETWEEN(1587,2416)))</f>
        <v>73801703.753164992</v>
      </c>
      <c r="B871">
        <v>257461525.23784447</v>
      </c>
    </row>
    <row r="872" spans="1:2" x14ac:dyDescent="0.25">
      <c r="A872">
        <f ca="1">28255.0827760227*((RANDBETWEEN(1587,2416)))</f>
        <v>65495281.874820538</v>
      </c>
      <c r="B872">
        <v>229324435.03737003</v>
      </c>
    </row>
    <row r="873" spans="1:2" x14ac:dyDescent="0.25">
      <c r="A873">
        <f ca="1">34903.8616314807*((RANDBETWEEN(1587,2416)))</f>
        <v>66107913.930024475</v>
      </c>
      <c r="B873">
        <v>227567389.93700546</v>
      </c>
    </row>
    <row r="874" spans="1:2" x14ac:dyDescent="0.25">
      <c r="A874">
        <f ca="1">31573.5455230075*((RANDBETWEEN(1587,2416)))</f>
        <v>63178664.591538005</v>
      </c>
      <c r="B874">
        <v>236680847.52943558</v>
      </c>
    </row>
    <row r="875" spans="1:2" x14ac:dyDescent="0.25">
      <c r="A875">
        <f ca="1">31338.5928647865*((RANDBETWEEN(1587,2416)))</f>
        <v>50611827.476630241</v>
      </c>
      <c r="B875">
        <v>245390422.63856894</v>
      </c>
    </row>
    <row r="876" spans="1:2" x14ac:dyDescent="0.25">
      <c r="A876">
        <f ca="1">29508.4287262563*((RANDBETWEEN(1587,2416)))</f>
        <v>56803725.298043489</v>
      </c>
      <c r="B876">
        <v>237417252.26551846</v>
      </c>
    </row>
    <row r="877" spans="1:2" x14ac:dyDescent="0.25">
      <c r="A877">
        <f ca="1">26671.2333585783*((RANDBETWEEN(1587,2416)))</f>
        <v>42967356.940669641</v>
      </c>
      <c r="B877">
        <v>205862377.46680391</v>
      </c>
    </row>
    <row r="878" spans="1:2" x14ac:dyDescent="0.25">
      <c r="A878">
        <f ca="1">28799.6999167845*((RANDBETWEEN(1587,2416)))</f>
        <v>59183383.328992121</v>
      </c>
      <c r="B878">
        <v>219181334.44218445</v>
      </c>
    </row>
    <row r="879" spans="1:2" x14ac:dyDescent="0.25">
      <c r="A879">
        <f ca="1">31450.5775150911*((RANDBETWEEN(1587,2416)))</f>
        <v>73531450.230282947</v>
      </c>
      <c r="B879">
        <v>220883187.02664691</v>
      </c>
    </row>
    <row r="880" spans="1:2" x14ac:dyDescent="0.25">
      <c r="A880">
        <f ca="1">28303.0221686777*((RANDBETWEEN(1587,2416)))</f>
        <v>67021556.495428905</v>
      </c>
      <c r="B880">
        <v>240671560.39223218</v>
      </c>
    </row>
    <row r="881" spans="1:2" x14ac:dyDescent="0.25">
      <c r="A881">
        <f ca="1">28972.9395322171*((RANDBETWEEN(1587,2416)))</f>
        <v>49862428.934945613</v>
      </c>
      <c r="B881">
        <v>239722788.46879452</v>
      </c>
    </row>
    <row r="882" spans="1:2" x14ac:dyDescent="0.25">
      <c r="A882">
        <f ca="1">29526.1564657234*((RANDBETWEEN(1587,2416)))</f>
        <v>50637358.338715613</v>
      </c>
      <c r="B882">
        <v>237187652.12891316</v>
      </c>
    </row>
    <row r="883" spans="1:2" x14ac:dyDescent="0.25">
      <c r="A883">
        <f ca="1">27988.1890910989*((RANDBETWEEN(1587,2416)))</f>
        <v>59978689.222224846</v>
      </c>
      <c r="B883">
        <v>236841714.06241721</v>
      </c>
    </row>
    <row r="884" spans="1:2" x14ac:dyDescent="0.25">
      <c r="A884">
        <f ca="1">25611.5455895533*((RANDBETWEEN(1587,2416)))</f>
        <v>51120644.996748388</v>
      </c>
      <c r="B884">
        <v>227524087.00166091</v>
      </c>
    </row>
    <row r="885" spans="1:2" x14ac:dyDescent="0.25">
      <c r="A885">
        <f ca="1">32519.7731120887*((RANDBETWEEN(1587,2416)))</f>
        <v>67413489.661359921</v>
      </c>
      <c r="B885">
        <v>228754867.03055507</v>
      </c>
    </row>
    <row r="886" spans="1:2" x14ac:dyDescent="0.25">
      <c r="A886">
        <f ca="1">28114.8345588139*((RANDBETWEEN(1587,2416)))</f>
        <v>57298032.830862783</v>
      </c>
      <c r="B886">
        <v>242223653.89403901</v>
      </c>
    </row>
    <row r="887" spans="1:2" x14ac:dyDescent="0.25">
      <c r="A887">
        <f ca="1">28805.3047040122*((RANDBETWEEN(1587,2416)))</f>
        <v>53837114.491798818</v>
      </c>
      <c r="B887">
        <v>260624749.0021044</v>
      </c>
    </row>
    <row r="888" spans="1:2" x14ac:dyDescent="0.25">
      <c r="A888">
        <f ca="1">26136.1713041305*((RANDBETWEEN(1587,2416)))</f>
        <v>41634920.887479931</v>
      </c>
      <c r="B888">
        <v>266650792.08326989</v>
      </c>
    </row>
    <row r="889" spans="1:2" x14ac:dyDescent="0.25">
      <c r="A889">
        <f ca="1">32301.4969886572*((RANDBETWEEN(1587,2416)))</f>
        <v>77071371.814936072</v>
      </c>
      <c r="B889">
        <v>234956680.28647953</v>
      </c>
    </row>
    <row r="890" spans="1:2" x14ac:dyDescent="0.25">
      <c r="A890">
        <f ca="1">29680.1613384638*((RANDBETWEEN(1587,2416)))</f>
        <v>68323731.40114373</v>
      </c>
      <c r="B890">
        <v>232996729.61860338</v>
      </c>
    </row>
    <row r="891" spans="1:2" x14ac:dyDescent="0.25">
      <c r="A891">
        <f ca="1">31698.0512445208*((RANDBETWEEN(1587,2416)))</f>
        <v>54457252.038086705</v>
      </c>
      <c r="B891">
        <v>217996557.43772435</v>
      </c>
    </row>
    <row r="892" spans="1:2" x14ac:dyDescent="0.25">
      <c r="A892">
        <f ca="1">30254.355923297*((RANDBETWEEN(1587,2416)))</f>
        <v>60115405.2195912</v>
      </c>
      <c r="B892">
        <v>217729911.0198648</v>
      </c>
    </row>
    <row r="893" spans="1:2" x14ac:dyDescent="0.25">
      <c r="A893">
        <f ca="1">29804.2035759481*((RANDBETWEEN(1587,2416)))</f>
        <v>55376210.244111612</v>
      </c>
      <c r="B893">
        <v>223377183.73600841</v>
      </c>
    </row>
    <row r="894" spans="1:2" x14ac:dyDescent="0.25">
      <c r="A894">
        <f ca="1">32342.4566742307*((RANDBETWEEN(1587,2416)))</f>
        <v>63326530.168143705</v>
      </c>
      <c r="B894">
        <v>207121553.22496945</v>
      </c>
    </row>
    <row r="895" spans="1:2" x14ac:dyDescent="0.25">
      <c r="A895">
        <f ca="1">29508.9460695356*((RANDBETWEEN(1587,2416)))</f>
        <v>63562269.83377973</v>
      </c>
      <c r="B895">
        <v>220217984.61307502</v>
      </c>
    </row>
    <row r="896" spans="1:2" x14ac:dyDescent="0.25">
      <c r="A896">
        <f ca="1">29565.3731193982*((RANDBETWEEN(1587,2416)))</f>
        <v>65280343.847631276</v>
      </c>
      <c r="B896">
        <v>203930892.61859757</v>
      </c>
    </row>
    <row r="897" spans="1:2" x14ac:dyDescent="0.25">
      <c r="A897">
        <f ca="1">28471.7129104169*((RANDBETWEEN(1587,2416)))</f>
        <v>53669178.836135805</v>
      </c>
      <c r="B897">
        <v>224100391.52538857</v>
      </c>
    </row>
    <row r="898" spans="1:2" x14ac:dyDescent="0.25">
      <c r="A898">
        <f ca="1">31297.2342601384*((RANDBETWEEN(1587,2416)))</f>
        <v>58338044.660898037</v>
      </c>
      <c r="B898">
        <v>238173113.35685459</v>
      </c>
    </row>
    <row r="899" spans="1:2" x14ac:dyDescent="0.25">
      <c r="A899">
        <f ca="1">33567.1225533314*((RANDBETWEEN(1587,2416)))</f>
        <v>66999976.61644949</v>
      </c>
      <c r="B899">
        <v>206717844.27303776</v>
      </c>
    </row>
    <row r="900" spans="1:2" x14ac:dyDescent="0.25">
      <c r="A900">
        <f ca="1">26947.6356332162*((RANDBETWEEN(1587,2416)))</f>
        <v>44625284.60860604</v>
      </c>
      <c r="B900">
        <v>225531315.85018775</v>
      </c>
    </row>
    <row r="901" spans="1:2" x14ac:dyDescent="0.25">
      <c r="A901">
        <f ca="1">30724.0026026119*((RANDBETWEEN(1587,2416)))</f>
        <v>71494754.056277961</v>
      </c>
      <c r="B901">
        <v>247020534.85227653</v>
      </c>
    </row>
    <row r="902" spans="1:2" x14ac:dyDescent="0.25">
      <c r="A902">
        <f ca="1">30880.0975192608*((RANDBETWEEN(1587,2416)))</f>
        <v>69665500.00345245</v>
      </c>
      <c r="B902">
        <v>256835075.4629539</v>
      </c>
    </row>
    <row r="903" spans="1:2" x14ac:dyDescent="0.25">
      <c r="A903">
        <f ca="1">31452.7881215203*((RANDBETWEEN(1587,2416)))</f>
        <v>69353397.807952285</v>
      </c>
      <c r="B903">
        <v>208522085.98559824</v>
      </c>
    </row>
    <row r="904" spans="1:2" x14ac:dyDescent="0.25">
      <c r="A904">
        <f ca="1">29567.8371667854*((RANDBETWEEN(1587,2416)))</f>
        <v>64221342.32625784</v>
      </c>
      <c r="B904">
        <v>264836716.32906973</v>
      </c>
    </row>
    <row r="905" spans="1:2" x14ac:dyDescent="0.25">
      <c r="A905">
        <f ca="1">29286.8639922015*((RANDBETWEEN(1587,2416)))</f>
        <v>66510468.126289696</v>
      </c>
      <c r="B905">
        <v>256811387.67714211</v>
      </c>
    </row>
    <row r="906" spans="1:2" x14ac:dyDescent="0.25">
      <c r="A906">
        <f ca="1">29224.8251192142*((RANDBETWEEN(1587,2416)))</f>
        <v>61518256.875945821</v>
      </c>
      <c r="B906">
        <v>209711632.7191503</v>
      </c>
    </row>
    <row r="907" spans="1:2" x14ac:dyDescent="0.25">
      <c r="A907">
        <f ca="1">32720.3361030142*((RANDBETWEEN(1587,2416)))</f>
        <v>56148096.752772287</v>
      </c>
      <c r="B907">
        <v>217051736.8647607</v>
      </c>
    </row>
    <row r="908" spans="1:2" x14ac:dyDescent="0.25">
      <c r="A908">
        <f ca="1">29062.1609485715*((RANDBETWEEN(1587,2416)))</f>
        <v>52922195.087348752</v>
      </c>
      <c r="B908">
        <v>263703261.10254794</v>
      </c>
    </row>
    <row r="909" spans="1:2" x14ac:dyDescent="0.25">
      <c r="A909">
        <f ca="1">32682.560999568*((RANDBETWEEN(1587,2416)))</f>
        <v>68437282.733095482</v>
      </c>
      <c r="B909">
        <v>255837901.52315897</v>
      </c>
    </row>
    <row r="910" spans="1:2" x14ac:dyDescent="0.25">
      <c r="A910">
        <f ca="1">28464.323834794*((RANDBETWEEN(1587,2416)))</f>
        <v>64044728.628286593</v>
      </c>
      <c r="B910">
        <v>223608246.78367743</v>
      </c>
    </row>
    <row r="911" spans="1:2" x14ac:dyDescent="0.25">
      <c r="A911">
        <f ca="1">30286.9197929973*((RANDBETWEEN(1587,2416)))</f>
        <v>51124320.610579476</v>
      </c>
      <c r="B911">
        <v>213622707.5996924</v>
      </c>
    </row>
    <row r="912" spans="1:2" x14ac:dyDescent="0.25">
      <c r="A912">
        <f ca="1">29132.8547478956*((RANDBETWEEN(1587,2416)))</f>
        <v>49467587.361926742</v>
      </c>
      <c r="B912">
        <v>217702647.05269518</v>
      </c>
    </row>
    <row r="913" spans="1:2" x14ac:dyDescent="0.25">
      <c r="A913">
        <f ca="1">32225.3744822222*((RANDBETWEEN(1587,2416)))</f>
        <v>75342925.539435521</v>
      </c>
      <c r="B913">
        <v>208766822.53849971</v>
      </c>
    </row>
    <row r="914" spans="1:2" x14ac:dyDescent="0.25">
      <c r="A914">
        <f ca="1">30453.8451558624*((RANDBETWEEN(1587,2416)))</f>
        <v>51314729.087628141</v>
      </c>
      <c r="B914">
        <v>254247612.98712015</v>
      </c>
    </row>
    <row r="915" spans="1:2" x14ac:dyDescent="0.25">
      <c r="A915">
        <f ca="1">28151.2508706813*((RANDBETWEEN(1587,2416)))</f>
        <v>62749138.190748647</v>
      </c>
      <c r="B915">
        <v>216509533.16099286</v>
      </c>
    </row>
    <row r="916" spans="1:2" x14ac:dyDescent="0.25">
      <c r="A916">
        <f ca="1">26769.0556023328*((RANDBETWEEN(1587,2416)))</f>
        <v>54153799.483519174</v>
      </c>
      <c r="B916">
        <v>220566724.38303056</v>
      </c>
    </row>
    <row r="917" spans="1:2" x14ac:dyDescent="0.25">
      <c r="A917">
        <f ca="1">28193.4887262006*((RANDBETWEEN(1587,2416)))</f>
        <v>64168380.340832472</v>
      </c>
      <c r="B917">
        <v>243161951.0717876</v>
      </c>
    </row>
    <row r="918" spans="1:2" x14ac:dyDescent="0.25">
      <c r="A918">
        <f ca="1">30672.0405929933*((RANDBETWEEN(1587,2416)))</f>
        <v>69533516.02431576</v>
      </c>
      <c r="B918">
        <v>259818613.85857195</v>
      </c>
    </row>
    <row r="919" spans="1:2" x14ac:dyDescent="0.25">
      <c r="A919">
        <f ca="1">28286.8497703586*((RANDBETWEEN(1587,2416)))</f>
        <v>66078081.063557751</v>
      </c>
      <c r="B919">
        <v>210023968.84390205</v>
      </c>
    </row>
    <row r="920" spans="1:2" x14ac:dyDescent="0.25">
      <c r="A920">
        <f ca="1">31475.0541237131*((RANDBETWEEN(1587,2416)))</f>
        <v>71826073.510313198</v>
      </c>
      <c r="B920">
        <v>253306833.92709634</v>
      </c>
    </row>
    <row r="921" spans="1:2" x14ac:dyDescent="0.25">
      <c r="A921">
        <f ca="1">26410.6275097336*((RANDBETWEEN(1587,2416)))</f>
        <v>48199395.205263935</v>
      </c>
      <c r="B921">
        <v>204940412.77919188</v>
      </c>
    </row>
    <row r="922" spans="1:2" x14ac:dyDescent="0.25">
      <c r="A922">
        <f ca="1">26515.3512139511*((RANDBETWEEN(1587,2416)))</f>
        <v>63345174.050129257</v>
      </c>
      <c r="B922">
        <v>235579694.7143425</v>
      </c>
    </row>
    <row r="923" spans="1:2" x14ac:dyDescent="0.25">
      <c r="A923">
        <f ca="1">31768.7007626747*((RANDBETWEEN(1587,2416)))</f>
        <v>67159033.412294239</v>
      </c>
      <c r="B923">
        <v>233607559.09344131</v>
      </c>
    </row>
    <row r="924" spans="1:2" x14ac:dyDescent="0.25">
      <c r="A924">
        <f ca="1">31777.3317603182*((RANDBETWEEN(1587,2416)))</f>
        <v>66001518.066180862</v>
      </c>
      <c r="B924">
        <v>223385530.66135702</v>
      </c>
    </row>
    <row r="925" spans="1:2" x14ac:dyDescent="0.25">
      <c r="A925">
        <f ca="1">26261.2521191413*((RANDBETWEEN(1587,2416)))</f>
        <v>45983452.460616343</v>
      </c>
      <c r="B925">
        <v>222214823.64419752</v>
      </c>
    </row>
    <row r="926" spans="1:2" x14ac:dyDescent="0.25">
      <c r="A926">
        <f ca="1">30445.4897953949*((RANDBETWEEN(1587,2416)))</f>
        <v>52244460.488897674</v>
      </c>
      <c r="B926">
        <v>237604609.71269011</v>
      </c>
    </row>
    <row r="927" spans="1:2" x14ac:dyDescent="0.25">
      <c r="A927">
        <f ca="1">32707.7698003196*((RANDBETWEEN(1587,2416)))</f>
        <v>59855218.734584793</v>
      </c>
      <c r="B927">
        <v>233101750.49235409</v>
      </c>
    </row>
    <row r="928" spans="1:2" x14ac:dyDescent="0.25">
      <c r="A928">
        <f ca="1">26498.634838967*((RANDBETWEEN(1587,2416)))</f>
        <v>45895635.541090794</v>
      </c>
      <c r="B928">
        <v>264081459.95992371</v>
      </c>
    </row>
    <row r="929" spans="1:2" x14ac:dyDescent="0.25">
      <c r="A929">
        <f ca="1">30438.0203404961*((RANDBETWEEN(1587,2416)))</f>
        <v>65959190.077855125</v>
      </c>
      <c r="B929">
        <v>239005695.01157069</v>
      </c>
    </row>
    <row r="930" spans="1:2" x14ac:dyDescent="0.25">
      <c r="A930">
        <f ca="1">30620.3175493849*((RANDBETWEEN(1587,2416)))</f>
        <v>70365489.728486434</v>
      </c>
      <c r="B930">
        <v>254903063.48335239</v>
      </c>
    </row>
    <row r="931" spans="1:2" x14ac:dyDescent="0.25">
      <c r="A931">
        <f ca="1">30842.8486582151*((RANDBETWEEN(1587,2416)))</f>
        <v>73251765.563260958</v>
      </c>
      <c r="B931">
        <v>225931779.75414884</v>
      </c>
    </row>
    <row r="932" spans="1:2" x14ac:dyDescent="0.25">
      <c r="A932">
        <f ca="1">26460.9299550981*((RANDBETWEEN(1587,2416)))</f>
        <v>59298944.029374734</v>
      </c>
      <c r="B932">
        <v>237744405.95056474</v>
      </c>
    </row>
    <row r="933" spans="1:2" x14ac:dyDescent="0.25">
      <c r="A933">
        <f ca="1">31133.2502603543*((RANDBETWEEN(1587,2416)))</f>
        <v>62733499.27461388</v>
      </c>
      <c r="B933">
        <v>212324388.84403253</v>
      </c>
    </row>
    <row r="934" spans="1:2" x14ac:dyDescent="0.25">
      <c r="A934">
        <f ca="1">33429.9742730589*((RANDBETWEEN(1587,2416)))</f>
        <v>67227678.263121367</v>
      </c>
      <c r="B934">
        <v>230769182.37547559</v>
      </c>
    </row>
    <row r="935" spans="1:2" x14ac:dyDescent="0.25">
      <c r="A935">
        <f ca="1">27930.2808905092*((RANDBETWEEN(1587,2416)))</f>
        <v>54631629.421836056</v>
      </c>
      <c r="B935">
        <v>240118115.27015877</v>
      </c>
    </row>
    <row r="936" spans="1:2" x14ac:dyDescent="0.25">
      <c r="A936">
        <f ca="1">30175.8401531719*((RANDBETWEEN(1587,2416)))</f>
        <v>59717987.663127124</v>
      </c>
      <c r="B936">
        <v>204877371.93628243</v>
      </c>
    </row>
    <row r="937" spans="1:2" x14ac:dyDescent="0.25">
      <c r="A937">
        <f ca="1">31170.5995324761*((RANDBETWEEN(1587,2416)))</f>
        <v>62559393.261679523</v>
      </c>
      <c r="B937">
        <v>230675432.23759934</v>
      </c>
    </row>
    <row r="938" spans="1:2" x14ac:dyDescent="0.25">
      <c r="A938">
        <f ca="1">29900.5285555265*((RANDBETWEEN(1587,2416)))</f>
        <v>55525281.527612656</v>
      </c>
      <c r="B938">
        <v>257840446.61353993</v>
      </c>
    </row>
    <row r="939" spans="1:2" x14ac:dyDescent="0.25">
      <c r="A939">
        <f ca="1">26847.6267994194*((RANDBETWEEN(1587,2416)))</f>
        <v>46661175.377390899</v>
      </c>
      <c r="B939">
        <v>231263967.89841473</v>
      </c>
    </row>
    <row r="940" spans="1:2" x14ac:dyDescent="0.25">
      <c r="A940">
        <f ca="1">30975.152336709*((RANDBETWEEN(1587,2416)))</f>
        <v>60928124.646306694</v>
      </c>
      <c r="B940">
        <v>241418012.56651244</v>
      </c>
    </row>
    <row r="941" spans="1:2" x14ac:dyDescent="0.25">
      <c r="A941">
        <f ca="1">30918.1517807595*((RANDBETWEEN(1587,2416)))</f>
        <v>50922195.982910872</v>
      </c>
      <c r="B941">
        <v>232024503.81302413</v>
      </c>
    </row>
    <row r="942" spans="1:2" x14ac:dyDescent="0.25">
      <c r="A942">
        <f ca="1">28627.4992426483*((RANDBETWEEN(1587,2416)))</f>
        <v>52016166.123892032</v>
      </c>
      <c r="B942">
        <v>219374750.29832938</v>
      </c>
    </row>
    <row r="943" spans="1:2" x14ac:dyDescent="0.25">
      <c r="A943">
        <f ca="1">28985.008274464*((RANDBETWEEN(1587,2416)))</f>
        <v>64114838.303114444</v>
      </c>
      <c r="B943">
        <v>254110170.31456575</v>
      </c>
    </row>
    <row r="944" spans="1:2" x14ac:dyDescent="0.25">
      <c r="A944">
        <f ca="1">30736.0611497843*((RANDBETWEEN(1587,2416)))</f>
        <v>72444896.130041525</v>
      </c>
      <c r="B944">
        <v>214974975.9293963</v>
      </c>
    </row>
    <row r="945" spans="1:2" x14ac:dyDescent="0.25">
      <c r="A945">
        <f ca="1">29172.9701867268*((RANDBETWEEN(1587,2416)))</f>
        <v>50177508.721170135</v>
      </c>
      <c r="B945">
        <v>254655958.34969813</v>
      </c>
    </row>
    <row r="946" spans="1:2" x14ac:dyDescent="0.25">
      <c r="A946">
        <f ca="1">26279.3374300703*((RANDBETWEEN(1587,2416)))</f>
        <v>59128509.21765811</v>
      </c>
      <c r="B946">
        <v>226224198.70466757</v>
      </c>
    </row>
    <row r="947" spans="1:2" x14ac:dyDescent="0.25">
      <c r="A947">
        <f ca="1">30831.3912423136*((RANDBETWEEN(1587,2416)))</f>
        <v>50501818.854909785</v>
      </c>
      <c r="B947">
        <v>229125005.07541421</v>
      </c>
    </row>
    <row r="948" spans="1:2" x14ac:dyDescent="0.25">
      <c r="A948">
        <f ca="1">30952.0147632061*((RANDBETWEEN(1587,2416)))</f>
        <v>63761150.412204593</v>
      </c>
      <c r="B948">
        <v>254260205.1915113</v>
      </c>
    </row>
    <row r="949" spans="1:2" x14ac:dyDescent="0.25">
      <c r="A949">
        <f ca="1">30856.1296700932*((RANDBETWEEN(1587,2416)))</f>
        <v>59459761.874269582</v>
      </c>
      <c r="B949">
        <v>230641381.95193249</v>
      </c>
    </row>
    <row r="950" spans="1:2" x14ac:dyDescent="0.25">
      <c r="A950">
        <f ca="1">29239.8031055274*((RANDBETWEEN(1587,2416)))</f>
        <v>69503011.981838524</v>
      </c>
      <c r="B950">
        <v>231182336.22379851</v>
      </c>
    </row>
    <row r="951" spans="1:2" x14ac:dyDescent="0.25">
      <c r="A951">
        <f ca="1">32662.5111634522*((RANDBETWEEN(1587,2416)))</f>
        <v>53370543.24108091</v>
      </c>
      <c r="B951">
        <v>241955052.85442272</v>
      </c>
    </row>
    <row r="952" spans="1:2" x14ac:dyDescent="0.25">
      <c r="A952">
        <f ca="1">28824.6819388176*((RANDBETWEEN(1587,2416)))</f>
        <v>47243653.69772207</v>
      </c>
      <c r="B952">
        <v>229645492.65109909</v>
      </c>
    </row>
    <row r="953" spans="1:2" x14ac:dyDescent="0.25">
      <c r="A953">
        <f ca="1">30361.0954987893*((RANDBETWEEN(1587,2416)))</f>
        <v>58050414.593685128</v>
      </c>
      <c r="B953">
        <v>242472029.88738921</v>
      </c>
    </row>
    <row r="954" spans="1:2" x14ac:dyDescent="0.25">
      <c r="A954">
        <f ca="1">27883.386078793*((RANDBETWEEN(1587,2416)))</f>
        <v>48907459.18220292</v>
      </c>
      <c r="B954">
        <v>230643643.96816164</v>
      </c>
    </row>
    <row r="955" spans="1:2" x14ac:dyDescent="0.25">
      <c r="A955">
        <f ca="1">32126.5118727652*((RANDBETWEEN(1587,2416)))</f>
        <v>60622727.903907903</v>
      </c>
      <c r="B955">
        <v>265346419.47842798</v>
      </c>
    </row>
    <row r="956" spans="1:2" x14ac:dyDescent="0.25">
      <c r="A956">
        <f ca="1">33886.7360416142*((RANDBETWEEN(1587,2416)))</f>
        <v>74686366.235717624</v>
      </c>
      <c r="B956">
        <v>249732024.01387388</v>
      </c>
    </row>
    <row r="957" spans="1:2" x14ac:dyDescent="0.25">
      <c r="A957">
        <f ca="1">26771.6554785898*((RANDBETWEEN(1587,2416)))</f>
        <v>60209453.171348475</v>
      </c>
      <c r="B957">
        <v>226815920.83169121</v>
      </c>
    </row>
    <row r="958" spans="1:2" x14ac:dyDescent="0.25">
      <c r="A958">
        <f ca="1">31411.1891895324*((RANDBETWEEN(1587,2416)))</f>
        <v>69387316.919677109</v>
      </c>
      <c r="B958">
        <v>207808088.19845173</v>
      </c>
    </row>
    <row r="959" spans="1:2" x14ac:dyDescent="0.25">
      <c r="A959">
        <f ca="1">27463.5571954259*((RANDBETWEEN(1587,2416)))</f>
        <v>63687989.136192717</v>
      </c>
      <c r="B959">
        <v>231260715.91575444</v>
      </c>
    </row>
    <row r="960" spans="1:2" x14ac:dyDescent="0.25">
      <c r="A960">
        <f ca="1">26750.1170620354*((RANDBETWEEN(1587,2416)))</f>
        <v>42880437.650442779</v>
      </c>
      <c r="B960">
        <v>214175411.26236123</v>
      </c>
    </row>
    <row r="961" spans="1:2" x14ac:dyDescent="0.25">
      <c r="A961">
        <f ca="1">30640.7938992972*((RANDBETWEEN(1587,2416)))</f>
        <v>65387454.181100212</v>
      </c>
      <c r="B961">
        <v>221484584.22153139</v>
      </c>
    </row>
    <row r="962" spans="1:2" x14ac:dyDescent="0.25">
      <c r="A962">
        <f ca="1">26539.8349815204*((RANDBETWEEN(1587,2416)))</f>
        <v>55574414.451303631</v>
      </c>
      <c r="B962">
        <v>218910656.41761494</v>
      </c>
    </row>
    <row r="963" spans="1:2" x14ac:dyDescent="0.25">
      <c r="A963">
        <f ca="1">26633.0436174072*((RANDBETWEEN(1587,2416)))</f>
        <v>53079655.929492481</v>
      </c>
      <c r="B963">
        <v>227277707.39082637</v>
      </c>
    </row>
    <row r="964" spans="1:2" x14ac:dyDescent="0.25">
      <c r="A964">
        <f ca="1">28312.6604440409*((RANDBETWEEN(1587,2416)))</f>
        <v>62089664.353781797</v>
      </c>
      <c r="B964">
        <v>207055407.55875981</v>
      </c>
    </row>
    <row r="965" spans="1:2" x14ac:dyDescent="0.25">
      <c r="A965">
        <f ca="1">32492.2406614071*((RANDBETWEEN(1587,2416)))</f>
        <v>67681337.297711045</v>
      </c>
      <c r="B965">
        <v>215653460.7368024</v>
      </c>
    </row>
    <row r="966" spans="1:2" x14ac:dyDescent="0.25">
      <c r="A966">
        <f ca="1">30763.2560191248*((RANDBETWEEN(1587,2416)))</f>
        <v>71616860.012522534</v>
      </c>
      <c r="B966">
        <v>262986035.40270549</v>
      </c>
    </row>
    <row r="967" spans="1:2" x14ac:dyDescent="0.25">
      <c r="A967">
        <f ca="1">27655.6006073927*((RANDBETWEEN(1587,2416)))</f>
        <v>55006989.60810408</v>
      </c>
      <c r="B967">
        <v>252988954.34623733</v>
      </c>
    </row>
    <row r="968" spans="1:2" x14ac:dyDescent="0.25">
      <c r="A968">
        <f ca="1">27917.6516967395*((RANDBETWEEN(1587,2416)))</f>
        <v>57901209.619037665</v>
      </c>
      <c r="B968">
        <v>227914318.77237588</v>
      </c>
    </row>
    <row r="969" spans="1:2" x14ac:dyDescent="0.25">
      <c r="A969">
        <f ca="1">32069.3593373014*((RANDBETWEEN(1587,2416)))</f>
        <v>75940242.910729825</v>
      </c>
      <c r="B969">
        <v>265836618.05384555</v>
      </c>
    </row>
    <row r="970" spans="1:2" x14ac:dyDescent="0.25">
      <c r="A970">
        <f ca="1">28283.3791547988*((RANDBETWEEN(1587,2416)))</f>
        <v>45338256.785142519</v>
      </c>
      <c r="B970">
        <v>258755623.96679446</v>
      </c>
    </row>
    <row r="971" spans="1:2" x14ac:dyDescent="0.25">
      <c r="A971">
        <f ca="1">32576.4121674625*((RANDBETWEEN(1587,2416)))</f>
        <v>64566448.915910654</v>
      </c>
      <c r="B971">
        <v>232131342.57089192</v>
      </c>
    </row>
    <row r="972" spans="1:2" x14ac:dyDescent="0.25">
      <c r="A972">
        <f ca="1">30704.5648693814*((RANDBETWEEN(1587,2416)))</f>
        <v>63128585.371448226</v>
      </c>
      <c r="B972">
        <v>227288018.85276765</v>
      </c>
    </row>
    <row r="973" spans="1:2" x14ac:dyDescent="0.25">
      <c r="A973">
        <f ca="1">30463.2221329463*((RANDBETWEEN(1587,2416)))</f>
        <v>59311893.49284637</v>
      </c>
      <c r="B973">
        <v>221100525.07505396</v>
      </c>
    </row>
    <row r="974" spans="1:2" x14ac:dyDescent="0.25">
      <c r="A974">
        <f ca="1">29786.1863903853*((RANDBETWEEN(1587,2416)))</f>
        <v>52155612.369564734</v>
      </c>
      <c r="B974">
        <v>247981968.28635979</v>
      </c>
    </row>
    <row r="975" spans="1:2" x14ac:dyDescent="0.25">
      <c r="A975">
        <f ca="1">29527.2433488*((RANDBETWEEN(1587,2416)))</f>
        <v>56485616.526254386</v>
      </c>
      <c r="B975">
        <v>253227266.55860704</v>
      </c>
    </row>
    <row r="976" spans="1:2" x14ac:dyDescent="0.25">
      <c r="A976">
        <f ca="1">32113.8884530059*((RANDBETWEEN(1587,2416)))</f>
        <v>68338354.62799646</v>
      </c>
      <c r="B976">
        <v>207268251.98544657</v>
      </c>
    </row>
    <row r="977" spans="1:2" x14ac:dyDescent="0.25">
      <c r="A977">
        <f ca="1">27720.5949530751*((RANDBETWEEN(1587,2416)))</f>
        <v>49370379.611426838</v>
      </c>
      <c r="B977">
        <v>233086901.56698263</v>
      </c>
    </row>
    <row r="978" spans="1:2" x14ac:dyDescent="0.25">
      <c r="A978">
        <f ca="1">27700.9308348835*((RANDBETWEEN(1587,2416)))</f>
        <v>57590235.205722727</v>
      </c>
      <c r="B978">
        <v>262392874.85419169</v>
      </c>
    </row>
    <row r="979" spans="1:2" x14ac:dyDescent="0.25">
      <c r="A979">
        <f ca="1">30704.0224806053*((RANDBETWEEN(1587,2416)))</f>
        <v>67978705.772060066</v>
      </c>
      <c r="B979">
        <v>264972492.00497535</v>
      </c>
    </row>
    <row r="980" spans="1:2" x14ac:dyDescent="0.25">
      <c r="A980">
        <f ca="1">28656.9014464228*((RANDBETWEEN(1587,2416)))</f>
        <v>62328760.645969525</v>
      </c>
      <c r="B980">
        <v>259978500.62234741</v>
      </c>
    </row>
    <row r="981" spans="1:2" x14ac:dyDescent="0.25">
      <c r="A981">
        <f ca="1">27167.4566574277*((RANDBETWEEN(1587,2416)))</f>
        <v>43359260.825254649</v>
      </c>
      <c r="B981">
        <v>203913638.42748249</v>
      </c>
    </row>
    <row r="982" spans="1:2" x14ac:dyDescent="0.25">
      <c r="A982">
        <f ca="1">27575.6626934799*((RANDBETWEEN(1587,2416)))</f>
        <v>45803175.733870126</v>
      </c>
      <c r="B982">
        <v>233061297.0674088</v>
      </c>
    </row>
    <row r="983" spans="1:2" x14ac:dyDescent="0.25">
      <c r="A983">
        <f ca="1">26339.2657252402*((RANDBETWEEN(1587,2416)))</f>
        <v>48042820.682838053</v>
      </c>
      <c r="B983">
        <v>205463233.35222512</v>
      </c>
    </row>
    <row r="984" spans="1:2" x14ac:dyDescent="0.25">
      <c r="A984">
        <f ca="1">31024.9513204875*((RANDBETWEEN(1587,2416)))</f>
        <v>70923038.718634427</v>
      </c>
      <c r="B984">
        <v>246162863.9559117</v>
      </c>
    </row>
    <row r="985" spans="1:2" x14ac:dyDescent="0.25">
      <c r="A985">
        <f ca="1">31798.6998664152*((RANDBETWEEN(1587,2416)))</f>
        <v>55234341.667963125</v>
      </c>
      <c r="B985">
        <v>239703047.26402754</v>
      </c>
    </row>
    <row r="986" spans="1:2" x14ac:dyDescent="0.25">
      <c r="A986">
        <f ca="1">31954.2562192713*((RANDBETWEEN(1587,2416)))</f>
        <v>74645142.528217688</v>
      </c>
      <c r="B986">
        <v>233050888.47760898</v>
      </c>
    </row>
    <row r="987" spans="1:2" x14ac:dyDescent="0.25">
      <c r="A987">
        <f ca="1">29721.9600401042*((RANDBETWEEN(1587,2416)))</f>
        <v>58463095.398885027</v>
      </c>
      <c r="B987">
        <v>219731148.39721632</v>
      </c>
    </row>
    <row r="988" spans="1:2" x14ac:dyDescent="0.25">
      <c r="A988">
        <f ca="1">31159.5399134021*((RANDBETWEEN(1587,2416)))</f>
        <v>72788685.237707272</v>
      </c>
      <c r="B988">
        <v>217002178.74809241</v>
      </c>
    </row>
    <row r="989" spans="1:2" x14ac:dyDescent="0.25">
      <c r="A989">
        <f ca="1">31094.4656495054*((RANDBETWEEN(1587,2416)))</f>
        <v>64334449.428826727</v>
      </c>
      <c r="B989">
        <v>229809311.22070086</v>
      </c>
    </row>
    <row r="990" spans="1:2" x14ac:dyDescent="0.25">
      <c r="A990">
        <f ca="1">32653.2593541814*((RANDBETWEEN(1587,2416)))</f>
        <v>68212658.790884867</v>
      </c>
      <c r="B990">
        <v>228821778.01535133</v>
      </c>
    </row>
    <row r="991" spans="1:2" x14ac:dyDescent="0.25">
      <c r="A991">
        <f ca="1">27480.5188185893*((RANDBETWEEN(1587,2416)))</f>
        <v>46716881.99160178</v>
      </c>
      <c r="B991">
        <v>217968697.77834582</v>
      </c>
    </row>
    <row r="992" spans="1:2" x14ac:dyDescent="0.25">
      <c r="A992">
        <f ca="1">27896.1229181458*((RANDBETWEEN(1587,2416)))</f>
        <v>59502430.184404917</v>
      </c>
      <c r="B992">
        <v>250915804.08986267</v>
      </c>
    </row>
    <row r="993" spans="1:2" x14ac:dyDescent="0.25">
      <c r="A993">
        <f ca="1">27553.3434397927*((RANDBETWEEN(1587,2416)))</f>
        <v>48356117.736836165</v>
      </c>
      <c r="B993">
        <v>238924458.49368685</v>
      </c>
    </row>
    <row r="994" spans="1:2" x14ac:dyDescent="0.25">
      <c r="A994">
        <f ca="1">30735.184739797*((RANDBETWEEN(1587,2416)))</f>
        <v>57321119.539721407</v>
      </c>
      <c r="B994">
        <v>207078320.1850597</v>
      </c>
    </row>
    <row r="995" spans="1:2" x14ac:dyDescent="0.25">
      <c r="A995">
        <f ca="1">26022.3407673169*((RANDBETWEEN(1587,2416)))</f>
        <v>53293753.891464956</v>
      </c>
      <c r="B995">
        <v>217745666.23354369</v>
      </c>
    </row>
    <row r="996" spans="1:2" x14ac:dyDescent="0.25">
      <c r="A996">
        <f ca="1">31563.09826515*((RANDBETWEEN(1587,2416)))</f>
        <v>55140732.669217102</v>
      </c>
      <c r="B996">
        <v>252613641.64504302</v>
      </c>
    </row>
    <row r="997" spans="1:2" x14ac:dyDescent="0.25">
      <c r="A997">
        <f ca="1">33300.4983822395*((RANDBETWEEN(1587,2416)))</f>
        <v>69431539.126969382</v>
      </c>
      <c r="B997">
        <v>218636819.70165417</v>
      </c>
    </row>
    <row r="998" spans="1:2" x14ac:dyDescent="0.25">
      <c r="A998">
        <f ca="1">27414.9915277004*((RANDBETWEEN(1587,2416)))</f>
        <v>61848220.886492021</v>
      </c>
      <c r="B998">
        <v>231489896.50996134</v>
      </c>
    </row>
    <row r="999" spans="1:2" x14ac:dyDescent="0.25">
      <c r="A999">
        <f ca="1">30408.0663812359*((RANDBETWEEN(1587,2416)))</f>
        <v>48744130.409121171</v>
      </c>
      <c r="B999">
        <v>225990599.26838541</v>
      </c>
    </row>
    <row r="1000" spans="1:2" x14ac:dyDescent="0.25">
      <c r="A1000">
        <f ca="1">30962.1418805886*((RANDBETWEEN(1587,2416)))</f>
        <v>54524331.851716541</v>
      </c>
      <c r="B1000">
        <v>244344690.30976006</v>
      </c>
    </row>
    <row r="1001" spans="1:2" x14ac:dyDescent="0.25">
      <c r="A1001">
        <f ca="1">26355.4977064814*((RANDBETWEEN(1587,2416)))</f>
        <v>47571673.36019887</v>
      </c>
      <c r="B1001">
        <v>219447578.89454353</v>
      </c>
    </row>
    <row r="1002" spans="1:2" x14ac:dyDescent="0.25">
      <c r="A1002">
        <f ca="1">31641.924463685*((RANDBETWEEN(1587,2416)))</f>
        <v>75560915.619279668</v>
      </c>
      <c r="B1002">
        <v>228774024.63608417</v>
      </c>
    </row>
    <row r="1003" spans="1:2" x14ac:dyDescent="0.25">
      <c r="A1003">
        <f ca="1">28324.5900493565*((RANDBETWEEN(1587,2416)))</f>
        <v>53845045.683826759</v>
      </c>
      <c r="B1003">
        <v>245382489.35619867</v>
      </c>
    </row>
    <row r="1004" spans="1:2" x14ac:dyDescent="0.25">
      <c r="A1004">
        <f ca="1">28002.9067839403*((RANDBETWEEN(1587,2416)))</f>
        <v>48305014.202297091</v>
      </c>
      <c r="B1004">
        <v>226127943.57007879</v>
      </c>
    </row>
    <row r="1005" spans="1:2" x14ac:dyDescent="0.25">
      <c r="A1005">
        <f ca="1">30456.6803338992*((RANDBETWEEN(1587,2416)))</f>
        <v>57075818.945727028</v>
      </c>
      <c r="B1005">
        <v>215220342.36012048</v>
      </c>
    </row>
    <row r="1006" spans="1:2" x14ac:dyDescent="0.25">
      <c r="A1006">
        <f ca="1">28002.0504216157*((RANDBETWEEN(1587,2416)))</f>
        <v>63284633.952851541</v>
      </c>
      <c r="B1006">
        <v>231334402.32757789</v>
      </c>
    </row>
    <row r="1007" spans="1:2" x14ac:dyDescent="0.25">
      <c r="A1007">
        <f ca="1">27623.94019928*((RANDBETWEEN(1587,2416)))</f>
        <v>47844664.425152935</v>
      </c>
      <c r="B1007">
        <v>230637019.8962158</v>
      </c>
    </row>
    <row r="1008" spans="1:2" x14ac:dyDescent="0.25">
      <c r="A1008">
        <f ca="1">32090.8945411082*((RANDBETWEEN(1587,2416)))</f>
        <v>76055420.062426537</v>
      </c>
      <c r="B1008">
        <v>253647417.79558483</v>
      </c>
    </row>
    <row r="1009" spans="1:2" x14ac:dyDescent="0.25">
      <c r="A1009">
        <f ca="1">28632.5463234105*((RANDBETWEEN(1587,2416)))</f>
        <v>67429646.591631711</v>
      </c>
      <c r="B1009">
        <v>219319157.76279402</v>
      </c>
    </row>
    <row r="1010" spans="1:2" x14ac:dyDescent="0.25">
      <c r="A1010">
        <f ca="1">29180.4350351633*((RANDBETWEEN(1587,2416)))</f>
        <v>67523526.671367794</v>
      </c>
      <c r="B1010">
        <v>243050689.77811277</v>
      </c>
    </row>
    <row r="1011" spans="1:2" x14ac:dyDescent="0.25">
      <c r="A1011">
        <f ca="1">27551.1807856971*((RANDBETWEEN(1587,2416)))</f>
        <v>64276904.773031302</v>
      </c>
      <c r="B1011">
        <v>225584622.199518</v>
      </c>
    </row>
    <row r="1012" spans="1:2" x14ac:dyDescent="0.25">
      <c r="A1012">
        <f ca="1">31859.0383652868*((RANDBETWEEN(1587,2416)))</f>
        <v>51770937.343591116</v>
      </c>
      <c r="B1012">
        <v>250409417.95855442</v>
      </c>
    </row>
    <row r="1013" spans="1:2" x14ac:dyDescent="0.25">
      <c r="A1013">
        <f ca="1">33776.7100486662*((RANDBETWEEN(1587,2416)))</f>
        <v>65695701.044655807</v>
      </c>
      <c r="B1013">
        <v>261071496.05334848</v>
      </c>
    </row>
    <row r="1014" spans="1:2" x14ac:dyDescent="0.25">
      <c r="A1014">
        <f ca="1">32122.0140429102*((RANDBETWEEN(1587,2416)))</f>
        <v>59104505.838954739</v>
      </c>
      <c r="B1014">
        <v>239575179.79097891</v>
      </c>
    </row>
    <row r="1015" spans="1:2" x14ac:dyDescent="0.25">
      <c r="A1015">
        <f ca="1">33548.3429714154*((RANDBETWEEN(1587,2416)))</f>
        <v>61561209.352547318</v>
      </c>
      <c r="B1015">
        <v>253503614.04833332</v>
      </c>
    </row>
    <row r="1016" spans="1:2" x14ac:dyDescent="0.25">
      <c r="A1016">
        <f ca="1">30213.4124016543*((RANDBETWEEN(1587,2416)))</f>
        <v>55562465.406642176</v>
      </c>
      <c r="B1016">
        <v>240538400.41902354</v>
      </c>
    </row>
    <row r="1017" spans="1:2" x14ac:dyDescent="0.25">
      <c r="A1017">
        <f ca="1">31756.2137871938*((RANDBETWEEN(1587,2416)))</f>
        <v>63925258.353621103</v>
      </c>
      <c r="B1017">
        <v>224178080.09077793</v>
      </c>
    </row>
    <row r="1018" spans="1:2" x14ac:dyDescent="0.25">
      <c r="A1018">
        <f ca="1">28338.4839946611*((RANDBETWEEN(1587,2416)))</f>
        <v>51491025.418299265</v>
      </c>
      <c r="B1018">
        <v>229328552.79073554</v>
      </c>
    </row>
    <row r="1019" spans="1:2" x14ac:dyDescent="0.25">
      <c r="A1019">
        <f ca="1">29236.9231609579*((RANDBETWEEN(1587,2416)))</f>
        <v>52626461.689724259</v>
      </c>
      <c r="B1019">
        <v>263882959.27659118</v>
      </c>
    </row>
    <row r="1020" spans="1:2" x14ac:dyDescent="0.25">
      <c r="A1020">
        <f ca="1">28967.5573923248*((RANDBETWEEN(1587,2416)))</f>
        <v>57095055.620272145</v>
      </c>
      <c r="B1020">
        <v>238822000.94456327</v>
      </c>
    </row>
    <row r="1021" spans="1:2" x14ac:dyDescent="0.25">
      <c r="A1021">
        <f ca="1">29531.3262592138*((RANDBETWEEN(1587,2416)))</f>
        <v>70993308.327149943</v>
      </c>
      <c r="B1021">
        <v>226964260.20630729</v>
      </c>
    </row>
    <row r="1022" spans="1:2" x14ac:dyDescent="0.25">
      <c r="A1022">
        <f ca="1">32921.2971696543*((RANDBETWEEN(1587,2416)))</f>
        <v>55044408.867662042</v>
      </c>
      <c r="B1022">
        <v>245266226.85917321</v>
      </c>
    </row>
    <row r="1023" spans="1:2" x14ac:dyDescent="0.25">
      <c r="A1023">
        <f ca="1">31132.011037418*((RANDBETWEEN(1587,2416)))</f>
        <v>50371593.858542368</v>
      </c>
      <c r="B1023">
        <v>266948961.27980494</v>
      </c>
    </row>
    <row r="1024" spans="1:2" x14ac:dyDescent="0.25">
      <c r="A1024">
        <f ca="1">28905.2691591613*((RANDBETWEEN(1587,2416)))</f>
        <v>66539929.604389392</v>
      </c>
      <c r="B1024">
        <v>217708529.52673221</v>
      </c>
    </row>
    <row r="1025" spans="1:2" x14ac:dyDescent="0.25">
      <c r="A1025">
        <f ca="1">26913.8345325329*((RANDBETWEEN(1587,2416)))</f>
        <v>50840233.431954645</v>
      </c>
      <c r="B1025">
        <v>209461141.23481044</v>
      </c>
    </row>
    <row r="1026" spans="1:2" x14ac:dyDescent="0.25">
      <c r="A1026">
        <f ca="1">29166.6411812117*((RANDBETWEEN(1587,2416)))</f>
        <v>55358284.961939879</v>
      </c>
      <c r="B1026">
        <v>244256692.93209651</v>
      </c>
    </row>
    <row r="1027" spans="1:2" x14ac:dyDescent="0.25">
      <c r="A1027">
        <f ca="1">32719.2386201834*((RANDBETWEEN(1587,2416)))</f>
        <v>60759626.117680587</v>
      </c>
      <c r="B1027">
        <v>265538164.05307972</v>
      </c>
    </row>
    <row r="1028" spans="1:2" x14ac:dyDescent="0.25">
      <c r="A1028">
        <f ca="1">30115.5618526507*((RANDBETWEEN(1587,2416)))</f>
        <v>51437379.644327328</v>
      </c>
      <c r="B1028">
        <v>260389192.69857931</v>
      </c>
    </row>
    <row r="1029" spans="1:2" x14ac:dyDescent="0.25">
      <c r="A1029">
        <f ca="1">31387.8364331349*((RANDBETWEEN(1587,2416)))</f>
        <v>52354911.170469046</v>
      </c>
      <c r="B1029">
        <v>228969306.88137615</v>
      </c>
    </row>
    <row r="1030" spans="1:2" x14ac:dyDescent="0.25">
      <c r="A1030">
        <f ca="1">26297.8520164765*((RANDBETWEEN(1587,2416)))</f>
        <v>56855956.059622124</v>
      </c>
      <c r="B1030">
        <v>211149105.83027297</v>
      </c>
    </row>
    <row r="1031" spans="1:2" x14ac:dyDescent="0.25">
      <c r="A1031">
        <f ca="1">32976.0507179767*((RANDBETWEEN(1587,2416)))</f>
        <v>52563824.844454847</v>
      </c>
      <c r="B1031">
        <v>206822169.46158493</v>
      </c>
    </row>
    <row r="1032" spans="1:2" x14ac:dyDescent="0.25">
      <c r="A1032">
        <f ca="1">28489.9289904307*((RANDBETWEEN(1587,2416)))</f>
        <v>51680731.188641265</v>
      </c>
      <c r="B1032">
        <v>223260807.44963461</v>
      </c>
    </row>
    <row r="1033" spans="1:2" x14ac:dyDescent="0.25">
      <c r="A1033">
        <f ca="1">28595.7875329515*((RANDBETWEEN(1587,2416)))</f>
        <v>62510391.547031917</v>
      </c>
      <c r="B1033">
        <v>223609817.10130882</v>
      </c>
    </row>
    <row r="1034" spans="1:2" x14ac:dyDescent="0.25">
      <c r="A1034">
        <f ca="1">28003.6832732782*((RANDBETWEEN(1587,2416)))</f>
        <v>58247661.208418749</v>
      </c>
      <c r="B1034">
        <v>248662713.37400782</v>
      </c>
    </row>
    <row r="1035" spans="1:2" x14ac:dyDescent="0.25">
      <c r="A1035">
        <f ca="1">27958.0737019204*((RANDBETWEEN(1587,2416)))</f>
        <v>49150293.56797599</v>
      </c>
      <c r="B1035">
        <v>218044770.11412403</v>
      </c>
    </row>
    <row r="1036" spans="1:2" x14ac:dyDescent="0.25">
      <c r="A1036">
        <f ca="1">29779.1227775483*((RANDBETWEEN(1587,2416)))</f>
        <v>67300817.477259085</v>
      </c>
      <c r="B1036">
        <v>204749743.64535692</v>
      </c>
    </row>
    <row r="1037" spans="1:2" x14ac:dyDescent="0.25">
      <c r="A1037">
        <f ca="1">33275.89190178*((RANDBETWEEN(1587,2416)))</f>
        <v>71975754.183550045</v>
      </c>
      <c r="B1037">
        <v>261382882.96148372</v>
      </c>
    </row>
    <row r="1038" spans="1:2" x14ac:dyDescent="0.25">
      <c r="A1038">
        <f ca="1">34680.499859444*((RANDBETWEEN(1587,2416)))</f>
        <v>81083008.671379983</v>
      </c>
      <c r="B1038">
        <v>215143859.65478337</v>
      </c>
    </row>
    <row r="1039" spans="1:2" x14ac:dyDescent="0.25">
      <c r="A1039">
        <f ca="1">31329.8622601151*((RANDBETWEEN(1587,2416)))</f>
        <v>73092568.652848467</v>
      </c>
      <c r="B1039">
        <v>213137716.94225797</v>
      </c>
    </row>
    <row r="1040" spans="1:2" x14ac:dyDescent="0.25">
      <c r="A1040">
        <f ca="1">26874.1634320083*((RANDBETWEEN(1587,2416)))</f>
        <v>48776606.629094981</v>
      </c>
      <c r="B1040">
        <v>227621868.25348786</v>
      </c>
    </row>
    <row r="1041" spans="1:2" x14ac:dyDescent="0.25">
      <c r="A1041">
        <f ca="1">28882.508499899*((RANDBETWEEN(1587,2416)))</f>
        <v>47916081.601332478</v>
      </c>
      <c r="B1041">
        <v>245627729.27038208</v>
      </c>
    </row>
    <row r="1042" spans="1:2" x14ac:dyDescent="0.25">
      <c r="A1042">
        <f ca="1">29221.5246056751*((RANDBETWEEN(1587,2416)))</f>
        <v>49121382.862139814</v>
      </c>
      <c r="B1042">
        <v>241303168.58116192</v>
      </c>
    </row>
    <row r="1043" spans="1:2" x14ac:dyDescent="0.25">
      <c r="A1043">
        <f ca="1">27682.3893640677*((RANDBETWEEN(1587,2416)))</f>
        <v>59489454.743381448</v>
      </c>
      <c r="B1043">
        <v>245507050.96915561</v>
      </c>
    </row>
    <row r="1044" spans="1:2" x14ac:dyDescent="0.25">
      <c r="A1044">
        <f ca="1">30258.0417653097*((RANDBETWEEN(1587,2416)))</f>
        <v>48110286.40684244</v>
      </c>
      <c r="B1044">
        <v>264081241.85228819</v>
      </c>
    </row>
    <row r="1045" spans="1:2" x14ac:dyDescent="0.25">
      <c r="A1045">
        <f ca="1">29981.4429602469*((RANDBETWEEN(1587,2416)))</f>
        <v>59633090.04793106</v>
      </c>
      <c r="B1045">
        <v>204532430.43633378</v>
      </c>
    </row>
    <row r="1046" spans="1:2" x14ac:dyDescent="0.25">
      <c r="A1046">
        <f ca="1">31551.3598594795*((RANDBETWEEN(1587,2416)))</f>
        <v>75912571.821907714</v>
      </c>
      <c r="B1046">
        <v>263260586.74024439</v>
      </c>
    </row>
    <row r="1047" spans="1:2" x14ac:dyDescent="0.25">
      <c r="A1047">
        <f ca="1">31007.0701945124*((RANDBETWEEN(1587,2416)))</f>
        <v>69238787.744346097</v>
      </c>
      <c r="B1047">
        <v>249441803.38784483</v>
      </c>
    </row>
    <row r="1048" spans="1:2" x14ac:dyDescent="0.25">
      <c r="A1048">
        <f ca="1">27364.7461479719*((RANDBETWEEN(1587,2416)))</f>
        <v>53333890.242397219</v>
      </c>
      <c r="B1048">
        <v>227309617.10540575</v>
      </c>
    </row>
    <row r="1049" spans="1:2" x14ac:dyDescent="0.25">
      <c r="A1049">
        <f ca="1">29871.9680041904*((RANDBETWEEN(1587,2416)))</f>
        <v>57473666.440062255</v>
      </c>
      <c r="B1049">
        <v>262040099.06412846</v>
      </c>
    </row>
    <row r="1050" spans="1:2" x14ac:dyDescent="0.25">
      <c r="A1050">
        <f ca="1">27119.0353822041*((RANDBETWEEN(1587,2416)))</f>
        <v>48461716.227998719</v>
      </c>
      <c r="B1050">
        <v>234490653.94922161</v>
      </c>
    </row>
    <row r="1051" spans="1:2" x14ac:dyDescent="0.25">
      <c r="A1051">
        <f ca="1">28879.7166347458*((RANDBETWEEN(1587,2416)))</f>
        <v>49499834.311954327</v>
      </c>
      <c r="B1051">
        <v>247464237.00854421</v>
      </c>
    </row>
    <row r="1052" spans="1:2" x14ac:dyDescent="0.25">
      <c r="A1052">
        <f ca="1">26238.5611278093*((RANDBETWEEN(1587,2416)))</f>
        <v>58013458.653586455</v>
      </c>
      <c r="B1052">
        <v>248014332.80216479</v>
      </c>
    </row>
    <row r="1053" spans="1:2" x14ac:dyDescent="0.25">
      <c r="A1053">
        <f ca="1">26098.5322285929*((RANDBETWEEN(1587,2416)))</f>
        <v>54911311.808959484</v>
      </c>
      <c r="B1053">
        <v>240782580.33219203</v>
      </c>
    </row>
    <row r="1054" spans="1:2" x14ac:dyDescent="0.25">
      <c r="A1054">
        <f ca="1">27812.744565327*((RANDBETWEEN(1587,2416)))</f>
        <v>55847991.087176554</v>
      </c>
      <c r="B1054">
        <v>217140524.17240351</v>
      </c>
    </row>
    <row r="1055" spans="1:2" x14ac:dyDescent="0.25">
      <c r="A1055">
        <f ca="1">29404.5260984538*((RANDBETWEEN(1587,2416)))</f>
        <v>65042811.729779758</v>
      </c>
      <c r="B1055">
        <v>218556642.78823549</v>
      </c>
    </row>
    <row r="1056" spans="1:2" x14ac:dyDescent="0.25">
      <c r="A1056">
        <f ca="1">27544.1676248*((RANDBETWEEN(1587,2416)))</f>
        <v>56300278.62509115</v>
      </c>
      <c r="B1056">
        <v>236476570.09619802</v>
      </c>
    </row>
    <row r="1057" spans="1:2" x14ac:dyDescent="0.25">
      <c r="A1057">
        <f ca="1">28250.0691990221*((RANDBETWEEN(1587,2416)))</f>
        <v>65285909.918939985</v>
      </c>
      <c r="B1057">
        <v>221775995.70356792</v>
      </c>
    </row>
    <row r="1058" spans="1:2" x14ac:dyDescent="0.25">
      <c r="A1058">
        <f ca="1">31099.9027693267*((RANDBETWEEN(1587,2416)))</f>
        <v>70316880.161447719</v>
      </c>
      <c r="B1058">
        <v>220724977.28834662</v>
      </c>
    </row>
    <row r="1059" spans="1:2" x14ac:dyDescent="0.25">
      <c r="A1059">
        <f ca="1">31330.0617385742*((RANDBETWEEN(1587,2416)))</f>
        <v>61876871.933683969</v>
      </c>
      <c r="B1059">
        <v>234722113.44566321</v>
      </c>
    </row>
    <row r="1060" spans="1:2" x14ac:dyDescent="0.25">
      <c r="A1060">
        <f ca="1">26871.6014751649*((RANDBETWEEN(1587,2416)))</f>
        <v>56994666.728824697</v>
      </c>
      <c r="B1060">
        <v>239066035.71273178</v>
      </c>
    </row>
    <row r="1061" spans="1:2" x14ac:dyDescent="0.25">
      <c r="A1061">
        <f ca="1">32873.0348101972*((RANDBETWEEN(1587,2416)))</f>
        <v>54832222.063408986</v>
      </c>
      <c r="B1061">
        <v>223783004.21538788</v>
      </c>
    </row>
    <row r="1062" spans="1:2" x14ac:dyDescent="0.25">
      <c r="A1062">
        <f ca="1">28374.5822597049*((RANDBETWEEN(1587,2416)))</f>
        <v>57004535.759747088</v>
      </c>
      <c r="B1062">
        <v>240417376.80307049</v>
      </c>
    </row>
    <row r="1063" spans="1:2" x14ac:dyDescent="0.25">
      <c r="A1063">
        <f ca="1">32290.3569060823*((RANDBETWEEN(1587,2416)))</f>
        <v>58316384.572384581</v>
      </c>
      <c r="B1063">
        <v>234305272.83778533</v>
      </c>
    </row>
    <row r="1064" spans="1:2" x14ac:dyDescent="0.25">
      <c r="A1064">
        <f ca="1">33432.8001822628*((RANDBETWEEN(1587,2416)))</f>
        <v>66631570.7632498</v>
      </c>
      <c r="B1064">
        <v>263788857.04590875</v>
      </c>
    </row>
    <row r="1065" spans="1:2" x14ac:dyDescent="0.25">
      <c r="A1065">
        <f ca="1">31714.5571277647*((RANDBETWEEN(1587,2416)))</f>
        <v>65712562.368728437</v>
      </c>
      <c r="B1065">
        <v>236640806.55466712</v>
      </c>
    </row>
    <row r="1066" spans="1:2" x14ac:dyDescent="0.25">
      <c r="A1066">
        <f ca="1">32640.9199095634*((RANDBETWEEN(1587,2416)))</f>
        <v>66554835.695599675</v>
      </c>
      <c r="B1066">
        <v>257648626.29495537</v>
      </c>
    </row>
    <row r="1067" spans="1:2" x14ac:dyDescent="0.25">
      <c r="A1067">
        <f ca="1">26093.9643680514*((RANDBETWEEN(1587,2416)))</f>
        <v>61764413.659177721</v>
      </c>
      <c r="B1067">
        <v>244475050.70132601</v>
      </c>
    </row>
    <row r="1068" spans="1:2" x14ac:dyDescent="0.25">
      <c r="A1068">
        <f ca="1">32168.0764358449*((RANDBETWEEN(1587,2416)))</f>
        <v>57130503.750060461</v>
      </c>
      <c r="B1068">
        <v>237895750.84655327</v>
      </c>
    </row>
    <row r="1069" spans="1:2" x14ac:dyDescent="0.25">
      <c r="A1069">
        <f ca="1">28297.8139055763*((RANDBETWEEN(1587,2416)))</f>
        <v>67235605.839649379</v>
      </c>
      <c r="B1069">
        <v>252764430.54138038</v>
      </c>
    </row>
    <row r="1070" spans="1:2" x14ac:dyDescent="0.25">
      <c r="A1070">
        <f ca="1">31492.1417369726*((RANDBETWEEN(1587,2416)))</f>
        <v>60937294.261041991</v>
      </c>
      <c r="B1070">
        <v>236625431.71246308</v>
      </c>
    </row>
    <row r="1071" spans="1:2" x14ac:dyDescent="0.25">
      <c r="A1071">
        <f ca="1">30433.9493313567*((RANDBETWEEN(1587,2416)))</f>
        <v>57885371.628240518</v>
      </c>
      <c r="B1071">
        <v>210040348.78390548</v>
      </c>
    </row>
    <row r="1072" spans="1:2" x14ac:dyDescent="0.25">
      <c r="A1072">
        <f ca="1">29963.4978027719*((RANDBETWEEN(1587,2416)))</f>
        <v>71672686.744230419</v>
      </c>
      <c r="B1072">
        <v>253306689.19753546</v>
      </c>
    </row>
    <row r="1073" spans="1:2" x14ac:dyDescent="0.25">
      <c r="A1073">
        <f ca="1">30928.3040387811*((RANDBETWEEN(1587,2416)))</f>
        <v>61083400.476592727</v>
      </c>
      <c r="B1073">
        <v>255648333.45771649</v>
      </c>
    </row>
    <row r="1074" spans="1:2" x14ac:dyDescent="0.25">
      <c r="A1074">
        <f ca="1">25796.9812438602*((RANDBETWEEN(1587,2416)))</f>
        <v>48911076.438358858</v>
      </c>
      <c r="B1074">
        <v>238482262.47931603</v>
      </c>
    </row>
    <row r="1075" spans="1:2" x14ac:dyDescent="0.25">
      <c r="A1075">
        <f ca="1">34820.7388955393*((RANDBETWEEN(1587,2416)))</f>
        <v>76292238.920126617</v>
      </c>
      <c r="B1075">
        <v>241193477.26880592</v>
      </c>
    </row>
    <row r="1076" spans="1:2" x14ac:dyDescent="0.25">
      <c r="A1076">
        <f ca="1">29036.9322839955*((RANDBETWEEN(1587,2416)))</f>
        <v>63300512.379110128</v>
      </c>
      <c r="B1076">
        <v>208917463.53430161</v>
      </c>
    </row>
    <row r="1077" spans="1:2" x14ac:dyDescent="0.25">
      <c r="A1077">
        <f ca="1">32761.4432717695*((RANDBETWEEN(1587,2416)))</f>
        <v>55137509.026388064</v>
      </c>
      <c r="B1077">
        <v>255137458.66233498</v>
      </c>
    </row>
    <row r="1078" spans="1:2" x14ac:dyDescent="0.25">
      <c r="A1078">
        <f ca="1">32167.5039504411*((RANDBETWEEN(1587,2416)))</f>
        <v>55585446.826362222</v>
      </c>
      <c r="B1078">
        <v>244038427.98026451</v>
      </c>
    </row>
    <row r="1079" spans="1:2" x14ac:dyDescent="0.25">
      <c r="A1079">
        <f ca="1">30076.5820640046*((RANDBETWEEN(1587,2416)))</f>
        <v>61386303.992633432</v>
      </c>
      <c r="B1079">
        <v>219730541.10086966</v>
      </c>
    </row>
    <row r="1080" spans="1:2" x14ac:dyDescent="0.25">
      <c r="A1080">
        <f ca="1">25621.485713132*((RANDBETWEEN(1587,2416)))</f>
        <v>41609292.798126377</v>
      </c>
      <c r="B1080">
        <v>224606695.88901678</v>
      </c>
    </row>
    <row r="1081" spans="1:2" x14ac:dyDescent="0.25">
      <c r="A1081">
        <f ca="1">27231.3029490849*((RANDBETWEEN(1587,2416)))</f>
        <v>63993561.930349424</v>
      </c>
      <c r="B1081">
        <v>221235253.19498682</v>
      </c>
    </row>
    <row r="1082" spans="1:2" x14ac:dyDescent="0.25">
      <c r="A1082">
        <f ca="1">28212.9986799041*((RANDBETWEEN(1587,2416)))</f>
        <v>50755184.625147454</v>
      </c>
      <c r="B1082">
        <v>237036517.4730984</v>
      </c>
    </row>
    <row r="1083" spans="1:2" x14ac:dyDescent="0.25">
      <c r="A1083">
        <f ca="1">30178.6069171599*((RANDBETWEEN(1587,2416)))</f>
        <v>70135082.475479528</v>
      </c>
      <c r="B1083">
        <v>267044334.33378783</v>
      </c>
    </row>
    <row r="1084" spans="1:2" x14ac:dyDescent="0.25">
      <c r="A1084">
        <f ca="1">33092.5699151717*((RANDBETWEEN(1587,2416)))</f>
        <v>73366227.501935586</v>
      </c>
      <c r="B1084">
        <v>205556179.33141476</v>
      </c>
    </row>
    <row r="1085" spans="1:2" x14ac:dyDescent="0.25">
      <c r="A1085">
        <f ca="1">31201.1410621559*((RANDBETWEEN(1587,2416)))</f>
        <v>55194818.538953841</v>
      </c>
      <c r="B1085">
        <v>229786739.74288049</v>
      </c>
    </row>
    <row r="1086" spans="1:2" x14ac:dyDescent="0.25">
      <c r="A1086">
        <f ca="1">34364.8528770829*((RANDBETWEEN(1587,2416)))</f>
        <v>81513431.024440616</v>
      </c>
      <c r="B1086">
        <v>259895846.38002425</v>
      </c>
    </row>
    <row r="1087" spans="1:2" x14ac:dyDescent="0.25">
      <c r="A1087">
        <f ca="1">31432.4488642771*((RANDBETWEEN(1587,2416)))</f>
        <v>55321110.001127705</v>
      </c>
      <c r="B1087">
        <v>262297177.93249977</v>
      </c>
    </row>
    <row r="1088" spans="1:2" x14ac:dyDescent="0.25">
      <c r="A1088">
        <f ca="1">28008.2671723912*((RANDBETWEEN(1587,2416)))</f>
        <v>46745797.910720877</v>
      </c>
      <c r="B1088">
        <v>259442920.47231591</v>
      </c>
    </row>
    <row r="1089" spans="1:2" x14ac:dyDescent="0.25">
      <c r="A1089">
        <f ca="1">26561.9717754635*((RANDBETWEEN(1587,2416)))</f>
        <v>62978435.079623848</v>
      </c>
      <c r="B1089">
        <v>226080464.68076688</v>
      </c>
    </row>
    <row r="1090" spans="1:2" x14ac:dyDescent="0.25">
      <c r="A1090">
        <f ca="1">27939.2333508265*((RANDBETWEEN(1587,2416)))</f>
        <v>61913341.105431534</v>
      </c>
      <c r="B1090">
        <v>254276947.86208844</v>
      </c>
    </row>
    <row r="1091" spans="1:2" x14ac:dyDescent="0.25">
      <c r="A1091">
        <f ca="1">26692.1445052083*((RANDBETWEEN(1587,2416)))</f>
        <v>55893350.593906142</v>
      </c>
      <c r="B1091">
        <v>252424294.87986705</v>
      </c>
    </row>
    <row r="1092" spans="1:2" x14ac:dyDescent="0.25">
      <c r="A1092">
        <f ca="1">32141.0157257973*((RANDBETWEEN(1587,2416)))</f>
        <v>59910853.312886141</v>
      </c>
      <c r="B1092">
        <v>256914942.71384746</v>
      </c>
    </row>
    <row r="1093" spans="1:2" x14ac:dyDescent="0.25">
      <c r="A1093">
        <f ca="1">30550.9108170174*((RANDBETWEEN(1587,2416)))</f>
        <v>56305328.635763019</v>
      </c>
      <c r="B1093">
        <v>253458298.05772698</v>
      </c>
    </row>
    <row r="1094" spans="1:2" x14ac:dyDescent="0.25">
      <c r="A1094">
        <f ca="1">31380.296883328*((RANDBETWEEN(1587,2416)))</f>
        <v>60815015.359889738</v>
      </c>
      <c r="B1094">
        <v>218261277.29995331</v>
      </c>
    </row>
    <row r="1095" spans="1:2" x14ac:dyDescent="0.25">
      <c r="A1095">
        <f ca="1">25768.3260657364*((RANDBETWEEN(1587,2416)))</f>
        <v>50815139.001632147</v>
      </c>
      <c r="B1095">
        <v>206850068.06671259</v>
      </c>
    </row>
    <row r="1096" spans="1:2" x14ac:dyDescent="0.25">
      <c r="A1096">
        <f ca="1">26144.9716375388*((RANDBETWEEN(1587,2416)))</f>
        <v>54198526.204617873</v>
      </c>
      <c r="B1096">
        <v>257269864.69679135</v>
      </c>
    </row>
    <row r="1097" spans="1:2" x14ac:dyDescent="0.25">
      <c r="A1097">
        <f ca="1">34832.2272167124*((RANDBETWEEN(1587,2416)))</f>
        <v>64021633.6243174</v>
      </c>
      <c r="B1097">
        <v>265480641.26413247</v>
      </c>
    </row>
    <row r="1098" spans="1:2" x14ac:dyDescent="0.25">
      <c r="A1098">
        <f ca="1">31188.5274904561*((RANDBETWEEN(1587,2416)))</f>
        <v>53363570.536170356</v>
      </c>
      <c r="B1098">
        <v>267461730.99292701</v>
      </c>
    </row>
    <row r="1099" spans="1:2" x14ac:dyDescent="0.25">
      <c r="A1099">
        <f ca="1">26959.3619410183*((RANDBETWEEN(1587,2416)))</f>
        <v>60820320.538937397</v>
      </c>
      <c r="B1099">
        <v>262761228.76216754</v>
      </c>
    </row>
    <row r="1100" spans="1:2" x14ac:dyDescent="0.25">
      <c r="A1100">
        <f ca="1">29437.3663451285*((RANDBETWEEN(1587,2416)))</f>
        <v>62201155.087256551</v>
      </c>
      <c r="B1100">
        <v>255241360.47016615</v>
      </c>
    </row>
    <row r="1101" spans="1:2" x14ac:dyDescent="0.25">
      <c r="A1101">
        <f ca="1">31215.1435926581*((RANDBETWEEN(1587,2416)))</f>
        <v>54439210.425595731</v>
      </c>
      <c r="B1101">
        <v>247137264.73833132</v>
      </c>
    </row>
    <row r="1102" spans="1:2" x14ac:dyDescent="0.25">
      <c r="A1102">
        <f ca="1">30402.0905578378*((RANDBETWEEN(1587,2416)))</f>
        <v>65090875.884330764</v>
      </c>
      <c r="B1102">
        <v>214650908.26520175</v>
      </c>
    </row>
    <row r="1103" spans="1:2" x14ac:dyDescent="0.25">
      <c r="A1103">
        <f ca="1">26988.8146975968*((RANDBETWEEN(1587,2416)))</f>
        <v>50442094.669808432</v>
      </c>
      <c r="B1103">
        <v>238580450.5395802</v>
      </c>
    </row>
    <row r="1104" spans="1:2" x14ac:dyDescent="0.25">
      <c r="A1104">
        <f ca="1">33101.2497272404*((RANDBETWEEN(1587,2416)))</f>
        <v>65672879.458844922</v>
      </c>
      <c r="B1104">
        <v>231968031.84432253</v>
      </c>
    </row>
    <row r="1105" spans="1:2" x14ac:dyDescent="0.25">
      <c r="A1105">
        <f ca="1">28363.3188918659*((RANDBETWEEN(1587,2416)))</f>
        <v>61094588.893079206</v>
      </c>
      <c r="B1105">
        <v>251943254.28135815</v>
      </c>
    </row>
    <row r="1106" spans="1:2" x14ac:dyDescent="0.25">
      <c r="A1106">
        <f ca="1">27440.7212631355*((RANDBETWEEN(1587,2416)))</f>
        <v>63881999.100579359</v>
      </c>
      <c r="B1106">
        <v>260057571.79317576</v>
      </c>
    </row>
    <row r="1107" spans="1:2" x14ac:dyDescent="0.25">
      <c r="A1107">
        <f ca="1">27634.3263911309*((RANDBETWEEN(1587,2416)))</f>
        <v>53527690.219620548</v>
      </c>
      <c r="B1107">
        <v>210475816.20682439</v>
      </c>
    </row>
    <row r="1108" spans="1:2" x14ac:dyDescent="0.25">
      <c r="A1108">
        <f ca="1">27229.8003636636*((RANDBETWEEN(1587,2416)))</f>
        <v>51709390.890597157</v>
      </c>
      <c r="B1108">
        <v>211356997.60527134</v>
      </c>
    </row>
    <row r="1109" spans="1:2" x14ac:dyDescent="0.25">
      <c r="A1109">
        <f ca="1">26658.9501504689*((RANDBETWEEN(1587,2416)))</f>
        <v>53904397.204248145</v>
      </c>
      <c r="B1109">
        <v>223755130.63029772</v>
      </c>
    </row>
    <row r="1110" spans="1:2" x14ac:dyDescent="0.25">
      <c r="A1110">
        <f ca="1">25059.0499557453*((RANDBETWEEN(1587,2416)))</f>
        <v>54904378.453037895</v>
      </c>
      <c r="B1110">
        <v>238922568.74752158</v>
      </c>
    </row>
    <row r="1111" spans="1:2" x14ac:dyDescent="0.25">
      <c r="A1111">
        <f ca="1">25772.3440793696*((RANDBETWEEN(1587,2416)))</f>
        <v>46158268.24615103</v>
      </c>
      <c r="B1111">
        <v>251198003.14728385</v>
      </c>
    </row>
    <row r="1112" spans="1:2" x14ac:dyDescent="0.25">
      <c r="A1112">
        <f ca="1">30423.6689471899*((RANDBETWEEN(1587,2416)))</f>
        <v>49499309.377077922</v>
      </c>
      <c r="B1112">
        <v>230121134.63689774</v>
      </c>
    </row>
    <row r="1113" spans="1:2" x14ac:dyDescent="0.25">
      <c r="A1113">
        <f ca="1">26186.481504935*((RANDBETWEEN(1587,2416)))</f>
        <v>43705237.631736532</v>
      </c>
      <c r="B1113">
        <v>230561847.19146377</v>
      </c>
    </row>
    <row r="1114" spans="1:2" x14ac:dyDescent="0.25">
      <c r="A1114">
        <f ca="1">30792.0420079244*((RANDBETWEEN(1587,2416)))</f>
        <v>67742492.41743359</v>
      </c>
      <c r="B1114">
        <v>262307701.71818471</v>
      </c>
    </row>
    <row r="1115" spans="1:2" x14ac:dyDescent="0.25">
      <c r="A1115">
        <f ca="1">26457.1380617319*((RANDBETWEEN(1587,2416)))</f>
        <v>51750162.048747614</v>
      </c>
      <c r="B1115">
        <v>266167936.99053687</v>
      </c>
    </row>
    <row r="1116" spans="1:2" x14ac:dyDescent="0.25">
      <c r="A1116">
        <f ca="1">28658.746762625*((RANDBETWEEN(1587,2416)))</f>
        <v>68207817.295047522</v>
      </c>
      <c r="B1116">
        <v>263104624.24098262</v>
      </c>
    </row>
    <row r="1117" spans="1:2" x14ac:dyDescent="0.25">
      <c r="A1117">
        <f ca="1">30452.5020686458*((RANDBETWEEN(1587,2416)))</f>
        <v>53444141.130473346</v>
      </c>
      <c r="B1117">
        <v>225275796.07023531</v>
      </c>
    </row>
    <row r="1118" spans="1:2" x14ac:dyDescent="0.25">
      <c r="A1118">
        <f ca="1">28211.5199625102*((RANDBETWEEN(1587,2416)))</f>
        <v>64350477.034485742</v>
      </c>
      <c r="B1118">
        <v>246267644.91385865</v>
      </c>
    </row>
    <row r="1119" spans="1:2" x14ac:dyDescent="0.25">
      <c r="A1119">
        <f ca="1">28502.6954579864*((RANDBETWEEN(1587,2416)))</f>
        <v>67009837.021725997</v>
      </c>
      <c r="B1119">
        <v>248150530.87044296</v>
      </c>
    </row>
    <row r="1120" spans="1:2" x14ac:dyDescent="0.25">
      <c r="A1120">
        <f ca="1">33149.1981297546*((RANDBETWEEN(1587,2416)))</f>
        <v>64110549.182945326</v>
      </c>
      <c r="B1120">
        <v>203716636.52322024</v>
      </c>
    </row>
    <row r="1121" spans="1:2" x14ac:dyDescent="0.25">
      <c r="A1121">
        <f ca="1">32378.7093938111*((RANDBETWEEN(1587,2416)))</f>
        <v>64498389.112471715</v>
      </c>
      <c r="B1121">
        <v>221033372.03402293</v>
      </c>
    </row>
    <row r="1122" spans="1:2" x14ac:dyDescent="0.25">
      <c r="A1122">
        <f ca="1">30544.6068141682*((RANDBETWEEN(1587,2416)))</f>
        <v>51895286.977271795</v>
      </c>
      <c r="B1122">
        <v>245331526.17420065</v>
      </c>
    </row>
    <row r="1123" spans="1:2" x14ac:dyDescent="0.25">
      <c r="A1123">
        <f ca="1">28097.0358487996*((RANDBETWEEN(1587,2416)))</f>
        <v>45067645.501474597</v>
      </c>
      <c r="B1123">
        <v>266873476.85758764</v>
      </c>
    </row>
    <row r="1124" spans="1:2" x14ac:dyDescent="0.25">
      <c r="A1124">
        <f ca="1">25881.4675712762*((RANDBETWEEN(1587,2416)))</f>
        <v>53522874.937399097</v>
      </c>
      <c r="B1124">
        <v>207960374.41295367</v>
      </c>
    </row>
    <row r="1125" spans="1:2" x14ac:dyDescent="0.25">
      <c r="A1125">
        <f ca="1">30229.2534833782*((RANDBETWEEN(1587,2416)))</f>
        <v>60337589.952822953</v>
      </c>
      <c r="B1125">
        <v>263686950.40047619</v>
      </c>
    </row>
    <row r="1126" spans="1:2" x14ac:dyDescent="0.25">
      <c r="A1126">
        <f ca="1">28023.9535930551*((RANDBETWEEN(1587,2416)))</f>
        <v>48005032.504903398</v>
      </c>
      <c r="B1126">
        <v>232791212.63818938</v>
      </c>
    </row>
    <row r="1127" spans="1:2" x14ac:dyDescent="0.25">
      <c r="A1127">
        <f ca="1">33629.6626221455*((RANDBETWEEN(1587,2416)))</f>
        <v>67864659.171489552</v>
      </c>
      <c r="B1127">
        <v>238709274.36646914</v>
      </c>
    </row>
    <row r="1128" spans="1:2" x14ac:dyDescent="0.25">
      <c r="A1128">
        <f ca="1">32335.8084953043*((RANDBETWEEN(1587,2416)))</f>
        <v>54000800.187158257</v>
      </c>
      <c r="B1128">
        <v>266266928.79584306</v>
      </c>
    </row>
    <row r="1129" spans="1:2" x14ac:dyDescent="0.25">
      <c r="A1129">
        <f ca="1">28939.2779754746*((RANDBETWEEN(1587,2416)))</f>
        <v>53306150.030824251</v>
      </c>
      <c r="B1129">
        <v>216745686.01042959</v>
      </c>
    </row>
    <row r="1130" spans="1:2" x14ac:dyDescent="0.25">
      <c r="A1130">
        <f ca="1">29277.1597846634*((RANDBETWEEN(1587,2416)))</f>
        <v>52142621.576485448</v>
      </c>
      <c r="B1130">
        <v>222425441.61309758</v>
      </c>
    </row>
    <row r="1131" spans="1:2" x14ac:dyDescent="0.25">
      <c r="A1131">
        <f ca="1">29915.7841775293*((RANDBETWEEN(1587,2416)))</f>
        <v>59921315.707591377</v>
      </c>
      <c r="B1131">
        <v>227597515.27330762</v>
      </c>
    </row>
    <row r="1132" spans="1:2" x14ac:dyDescent="0.25">
      <c r="A1132">
        <f ca="1">33746.7874914141*((RANDBETWEEN(1587,2416)))</f>
        <v>73028048.131420061</v>
      </c>
      <c r="B1132">
        <v>250407142.71362641</v>
      </c>
    </row>
    <row r="1133" spans="1:2" x14ac:dyDescent="0.25">
      <c r="A1133">
        <f ca="1">29952.7301740903*((RANDBETWEEN(1587,2416)))</f>
        <v>68172413.876229629</v>
      </c>
      <c r="B1133">
        <v>220945820.75896284</v>
      </c>
    </row>
    <row r="1134" spans="1:2" x14ac:dyDescent="0.25">
      <c r="A1134">
        <f ca="1">30449.0689443835*((RANDBETWEEN(1587,2416)))</f>
        <v>72255640.605022147</v>
      </c>
      <c r="B1134">
        <v>232176164.65776637</v>
      </c>
    </row>
    <row r="1135" spans="1:2" x14ac:dyDescent="0.25">
      <c r="A1135">
        <f ca="1">29549.5473703785*((RANDBETWEEN(1587,2416)))</f>
        <v>70505220.025723174</v>
      </c>
      <c r="B1135">
        <v>250814973.52386838</v>
      </c>
    </row>
    <row r="1136" spans="1:2" x14ac:dyDescent="0.25">
      <c r="A1136">
        <f ca="1">27540.8707072275*((RANDBETWEEN(1587,2416)))</f>
        <v>46213581.046727762</v>
      </c>
      <c r="B1136">
        <v>212449145.06592071</v>
      </c>
    </row>
    <row r="1137" spans="1:2" x14ac:dyDescent="0.25">
      <c r="A1137">
        <f ca="1">27395.8929692265*((RANDBETWEEN(1587,2416)))</f>
        <v>63394096.330790214</v>
      </c>
      <c r="B1137">
        <v>220424016.71919024</v>
      </c>
    </row>
    <row r="1138" spans="1:2" x14ac:dyDescent="0.25">
      <c r="A1138">
        <f ca="1">30321.6449719407*((RANDBETWEEN(1587,2416)))</f>
        <v>60370395.139134005</v>
      </c>
      <c r="B1138">
        <v>207994847.25836647</v>
      </c>
    </row>
    <row r="1139" spans="1:2" x14ac:dyDescent="0.25">
      <c r="A1139">
        <f ca="1">28244.0630019929*((RANDBETWEEN(1587,2416)))</f>
        <v>48240859.607403882</v>
      </c>
      <c r="B1139">
        <v>257032382.97234961</v>
      </c>
    </row>
    <row r="1140" spans="1:2" x14ac:dyDescent="0.25">
      <c r="A1140">
        <f ca="1">30349.0229146785*((RANDBETWEEN(1587,2416)))</f>
        <v>56661625.781704798</v>
      </c>
      <c r="B1140">
        <v>236684496.15042156</v>
      </c>
    </row>
    <row r="1141" spans="1:2" x14ac:dyDescent="0.25">
      <c r="A1141">
        <f ca="1">32134.1028559775*((RANDBETWEEN(1587,2416)))</f>
        <v>71209171.928846106</v>
      </c>
      <c r="B1141">
        <v>266082257.02475959</v>
      </c>
    </row>
    <row r="1142" spans="1:2" x14ac:dyDescent="0.25">
      <c r="A1142">
        <f ca="1">28467.1418122673*((RANDBETWEEN(1587,2416)))</f>
        <v>46942316.848428719</v>
      </c>
      <c r="B1142">
        <v>239089153.9690769</v>
      </c>
    </row>
    <row r="1143" spans="1:2" x14ac:dyDescent="0.25">
      <c r="A1143">
        <f ca="1">30637.8174792469*((RANDBETWEEN(1587,2416)))</f>
        <v>67556387.541739523</v>
      </c>
      <c r="B1143">
        <v>216348695.83484185</v>
      </c>
    </row>
    <row r="1144" spans="1:2" x14ac:dyDescent="0.25">
      <c r="A1144">
        <f ca="1">28012.6859620563*((RANDBETWEEN(1587,2416)))</f>
        <v>44512157.993707471</v>
      </c>
      <c r="B1144">
        <v>230862438.34219325</v>
      </c>
    </row>
    <row r="1145" spans="1:2" x14ac:dyDescent="0.25">
      <c r="A1145">
        <f ca="1">24780.1027524191*((RANDBETWEEN(1587,2416)))</f>
        <v>45496268.653441466</v>
      </c>
      <c r="B1145">
        <v>215692701.75741017</v>
      </c>
    </row>
    <row r="1146" spans="1:2" x14ac:dyDescent="0.25">
      <c r="A1146">
        <f ca="1">30070.0786679303*((RANDBETWEEN(1587,2416)))</f>
        <v>69672372.273594499</v>
      </c>
      <c r="B1146">
        <v>213768664.86936238</v>
      </c>
    </row>
    <row r="1147" spans="1:2" x14ac:dyDescent="0.25">
      <c r="A1147">
        <f ca="1">30488.9168483414*((RANDBETWEEN(1587,2416)))</f>
        <v>55916673.499858193</v>
      </c>
      <c r="B1147">
        <v>232536211.18105397</v>
      </c>
    </row>
    <row r="1148" spans="1:2" x14ac:dyDescent="0.25">
      <c r="A1148">
        <f ca="1">28881.8782365653*((RANDBETWEEN(1587,2416)))</f>
        <v>68883279.5942083</v>
      </c>
      <c r="B1148">
        <v>224278356.29351169</v>
      </c>
    </row>
    <row r="1149" spans="1:2" x14ac:dyDescent="0.25">
      <c r="A1149">
        <f ca="1">30453.6758659737*((RANDBETWEEN(1587,2416)))</f>
        <v>52045332.054949008</v>
      </c>
      <c r="B1149">
        <v>263928271.31738415</v>
      </c>
    </row>
    <row r="1150" spans="1:2" x14ac:dyDescent="0.25">
      <c r="A1150">
        <f ca="1">30970.3115644659*((RANDBETWEEN(1587,2416)))</f>
        <v>71603360.337045208</v>
      </c>
      <c r="B1150">
        <v>229189330.39670491</v>
      </c>
    </row>
    <row r="1151" spans="1:2" x14ac:dyDescent="0.25">
      <c r="A1151">
        <f ca="1">31384.2389107743*((RANDBETWEEN(1587,2416)))</f>
        <v>66785660.402127646</v>
      </c>
      <c r="B1151">
        <v>221859262.85654461</v>
      </c>
    </row>
    <row r="1152" spans="1:2" x14ac:dyDescent="0.25">
      <c r="A1152">
        <f ca="1">30218.751498373*((RANDBETWEEN(1587,2416)))</f>
        <v>54242658.939579599</v>
      </c>
      <c r="B1152">
        <v>223524661.85571602</v>
      </c>
    </row>
    <row r="1153" spans="1:2" x14ac:dyDescent="0.25">
      <c r="A1153">
        <f ca="1">28515.9502613734*((RANDBETWEEN(1587,2416)))</f>
        <v>47165381.732311577</v>
      </c>
      <c r="B1153">
        <v>211321438.44533774</v>
      </c>
    </row>
    <row r="1154" spans="1:2" x14ac:dyDescent="0.25">
      <c r="A1154">
        <f ca="1">32985.0000932747*((RANDBETWEEN(1587,2416)))</f>
        <v>78768180.222739995</v>
      </c>
      <c r="B1154">
        <v>251436915.80774975</v>
      </c>
    </row>
    <row r="1155" spans="1:2" x14ac:dyDescent="0.25">
      <c r="A1155">
        <f ca="1">31922.385206183*((RANDBETWEEN(1587,2416)))</f>
        <v>71474220.476643652</v>
      </c>
      <c r="B1155">
        <v>235338076.89954031</v>
      </c>
    </row>
    <row r="1156" spans="1:2" x14ac:dyDescent="0.25">
      <c r="A1156">
        <f ca="1">28655.4711685503*((RANDBETWEEN(1587,2416)))</f>
        <v>58027329.116314456</v>
      </c>
      <c r="B1156">
        <v>258204740.44291139</v>
      </c>
    </row>
    <row r="1157" spans="1:2" x14ac:dyDescent="0.25">
      <c r="A1157">
        <f ca="1">27551.7917895123*((RANDBETWEEN(1587,2416)))</f>
        <v>61495599.274191394</v>
      </c>
      <c r="B1157">
        <v>217911329.70237085</v>
      </c>
    </row>
    <row r="1158" spans="1:2" x14ac:dyDescent="0.25">
      <c r="A1158">
        <f ca="1">28226.2636109687*((RANDBETWEEN(1587,2416)))</f>
        <v>52387945.261957936</v>
      </c>
      <c r="B1158">
        <v>227765647.0992659</v>
      </c>
    </row>
    <row r="1159" spans="1:2" x14ac:dyDescent="0.25">
      <c r="A1159">
        <f ca="1">30235.834307154*((RANDBETWEEN(1587,2416)))</f>
        <v>69209824.729075581</v>
      </c>
      <c r="B1159">
        <v>250288313.23954743</v>
      </c>
    </row>
    <row r="1160" spans="1:2" x14ac:dyDescent="0.25">
      <c r="A1160">
        <f ca="1">28534.3882682438*((RANDBETWEEN(1587,2416)))</f>
        <v>60236093.634262674</v>
      </c>
      <c r="B1160">
        <v>241241692.56251955</v>
      </c>
    </row>
    <row r="1161" spans="1:2" x14ac:dyDescent="0.25">
      <c r="A1161">
        <f ca="1">30147.6882939662*((RANDBETWEEN(1587,2416)))</f>
        <v>72655928.788458586</v>
      </c>
      <c r="B1161">
        <v>224018880.12702572</v>
      </c>
    </row>
    <row r="1162" spans="1:2" x14ac:dyDescent="0.25">
      <c r="A1162">
        <f ca="1">26368.759905818*((RANDBETWEEN(1587,2416)))</f>
        <v>63522342.613115564</v>
      </c>
      <c r="B1162">
        <v>223818858.11924452</v>
      </c>
    </row>
    <row r="1163" spans="1:2" x14ac:dyDescent="0.25">
      <c r="A1163">
        <f ca="1">28335.2227125956*((RANDBETWEEN(1587,2416)))</f>
        <v>47206481.039184317</v>
      </c>
      <c r="B1163">
        <v>215098050.80804384</v>
      </c>
    </row>
    <row r="1164" spans="1:2" x14ac:dyDescent="0.25">
      <c r="A1164">
        <f ca="1">26367.6343093075*((RANDBETWEEN(1587,2416)))</f>
        <v>42267317.797819957</v>
      </c>
      <c r="B1164">
        <v>225824400.99393597</v>
      </c>
    </row>
    <row r="1165" spans="1:2" x14ac:dyDescent="0.25">
      <c r="A1165">
        <f ca="1">31804.5732111271*((RANDBETWEEN(1587,2416)))</f>
        <v>74581724.180093065</v>
      </c>
      <c r="B1165">
        <v>241175552.92541856</v>
      </c>
    </row>
    <row r="1166" spans="1:2" x14ac:dyDescent="0.25">
      <c r="A1166">
        <f ca="1">32083.970273862*((RANDBETWEEN(1587,2416)))</f>
        <v>52938550.951872222</v>
      </c>
      <c r="B1166">
        <v>250460641.29751876</v>
      </c>
    </row>
    <row r="1167" spans="1:2" x14ac:dyDescent="0.25">
      <c r="A1167">
        <f ca="1">29752.6162121128*((RANDBETWEEN(1587,2416)))</f>
        <v>52543120.230591282</v>
      </c>
      <c r="B1167">
        <v>233439604.8437885</v>
      </c>
    </row>
    <row r="1168" spans="1:2" x14ac:dyDescent="0.25">
      <c r="A1168">
        <f ca="1">28149.943185227*((RANDBETWEEN(1587,2416)))</f>
        <v>53006343.01778239</v>
      </c>
      <c r="B1168">
        <v>231946094.96337408</v>
      </c>
    </row>
    <row r="1169" spans="1:2" x14ac:dyDescent="0.25">
      <c r="A1169">
        <f ca="1">32637.5210378927*((RANDBETWEEN(1587,2416)))</f>
        <v>56038623.622061767</v>
      </c>
      <c r="B1169">
        <v>256662942.95438734</v>
      </c>
    </row>
    <row r="1170" spans="1:2" x14ac:dyDescent="0.25">
      <c r="A1170">
        <f ca="1">28952.2598222997*((RANDBETWEEN(1587,2416)))</f>
        <v>57325474.448153488</v>
      </c>
      <c r="B1170">
        <v>216421046.68208453</v>
      </c>
    </row>
    <row r="1171" spans="1:2" x14ac:dyDescent="0.25">
      <c r="A1171">
        <f ca="1">29985.0883625811*((RANDBETWEEN(1587,2416)))</f>
        <v>54902696.791886017</v>
      </c>
      <c r="B1171">
        <v>258855084.66426444</v>
      </c>
    </row>
    <row r="1172" spans="1:2" x14ac:dyDescent="0.25">
      <c r="A1172">
        <f ca="1">31225.9072856533*((RANDBETWEEN(1587,2416)))</f>
        <v>60328452.875882216</v>
      </c>
      <c r="B1172">
        <v>219035874.08958799</v>
      </c>
    </row>
    <row r="1173" spans="1:2" x14ac:dyDescent="0.25">
      <c r="A1173">
        <f ca="1">29663.1586197546*((RANDBETWEEN(1587,2416)))</f>
        <v>50368043.336343281</v>
      </c>
      <c r="B1173">
        <v>223902857.26738092</v>
      </c>
    </row>
    <row r="1174" spans="1:2" x14ac:dyDescent="0.25">
      <c r="A1174">
        <f ca="1">28493.3178686812*((RANDBETWEEN(1587,2416)))</f>
        <v>62058446.31798774</v>
      </c>
      <c r="B1174">
        <v>233945106.82983914</v>
      </c>
    </row>
    <row r="1175" spans="1:2" x14ac:dyDescent="0.25">
      <c r="A1175">
        <f ca="1">33038.3685874492*((RANDBETWEEN(1587,2416)))</f>
        <v>66341044.12359795</v>
      </c>
      <c r="B1175">
        <v>244630129.40737024</v>
      </c>
    </row>
    <row r="1176" spans="1:2" x14ac:dyDescent="0.25">
      <c r="A1176">
        <f ca="1">32828.7490822228*((RANDBETWEEN(1587,2416)))</f>
        <v>72321734.228136778</v>
      </c>
      <c r="B1176">
        <v>224754211.44604611</v>
      </c>
    </row>
    <row r="1177" spans="1:2" x14ac:dyDescent="0.25">
      <c r="A1177">
        <f ca="1">30938.0809260875*((RANDBETWEEN(1587,2416)))</f>
        <v>58101715.979192376</v>
      </c>
      <c r="B1177">
        <v>243549340.49752128</v>
      </c>
    </row>
    <row r="1178" spans="1:2" x14ac:dyDescent="0.25">
      <c r="A1178">
        <f ca="1">29384.0491700945*((RANDBETWEEN(1587,2416)))</f>
        <v>50452412.425052308</v>
      </c>
      <c r="B1178">
        <v>245488539.52388287</v>
      </c>
    </row>
    <row r="1179" spans="1:2" x14ac:dyDescent="0.25">
      <c r="A1179">
        <f ca="1">29938.6751085487*((RANDBETWEEN(1587,2416)))</f>
        <v>53410596.393650934</v>
      </c>
      <c r="B1179">
        <v>259024290.99319655</v>
      </c>
    </row>
    <row r="1180" spans="1:2" x14ac:dyDescent="0.25">
      <c r="A1180">
        <f ca="1">27540.777015063*((RANDBETWEEN(1587,2416)))</f>
        <v>62076911.391952038</v>
      </c>
      <c r="B1180">
        <v>247007435.44645068</v>
      </c>
    </row>
    <row r="1181" spans="1:2" x14ac:dyDescent="0.25">
      <c r="A1181">
        <f ca="1">31303.5390837414*((RANDBETWEEN(1587,2416)))</f>
        <v>51932571.339926958</v>
      </c>
      <c r="B1181">
        <v>262535132.50393188</v>
      </c>
    </row>
    <row r="1182" spans="1:2" x14ac:dyDescent="0.25">
      <c r="A1182">
        <f ca="1">32798.837878512*((RANDBETWEEN(1587,2416)))</f>
        <v>61760211.72523804</v>
      </c>
      <c r="B1182">
        <v>237135853.43060553</v>
      </c>
    </row>
    <row r="1183" spans="1:2" x14ac:dyDescent="0.25">
      <c r="A1183">
        <f ca="1">32194.280851564*((RANDBETWEEN(1587,2416)))</f>
        <v>59656002.41794806</v>
      </c>
      <c r="B1183">
        <v>257114371.18669185</v>
      </c>
    </row>
    <row r="1184" spans="1:2" x14ac:dyDescent="0.25">
      <c r="A1184">
        <f ca="1">33515.1628695712*((RANDBETWEEN(1587,2416)))</f>
        <v>73431721.847230524</v>
      </c>
      <c r="B1184">
        <v>204511651.61496857</v>
      </c>
    </row>
    <row r="1185" spans="1:2" x14ac:dyDescent="0.25">
      <c r="A1185">
        <f ca="1">33186.8146688587*((RANDBETWEEN(1587,2416)))</f>
        <v>73608354.935528696</v>
      </c>
      <c r="B1185">
        <v>266292240.20798418</v>
      </c>
    </row>
    <row r="1186" spans="1:2" x14ac:dyDescent="0.25">
      <c r="A1186">
        <f ca="1">28285.7949026554*((RANDBETWEEN(1587,2416)))</f>
        <v>63558181.146266781</v>
      </c>
      <c r="B1186">
        <v>231467954.57952601</v>
      </c>
    </row>
    <row r="1187" spans="1:2" x14ac:dyDescent="0.25">
      <c r="A1187">
        <f ca="1">31088.3275832074*((RANDBETWEEN(1587,2416)))</f>
        <v>49679147.477965407</v>
      </c>
      <c r="B1187">
        <v>264461965.58683088</v>
      </c>
    </row>
    <row r="1188" spans="1:2" x14ac:dyDescent="0.25">
      <c r="A1188">
        <f ca="1">28688.5764156075*((RANDBETWEEN(1587,2416)))</f>
        <v>49286974.282013759</v>
      </c>
      <c r="B1188">
        <v>257059997.43495512</v>
      </c>
    </row>
    <row r="1189" spans="1:2" x14ac:dyDescent="0.25">
      <c r="A1189">
        <f ca="1">26514.5362193175*((RANDBETWEEN(1587,2416)))</f>
        <v>47461019.832578249</v>
      </c>
      <c r="B1189">
        <v>251986533.26398382</v>
      </c>
    </row>
    <row r="1190" spans="1:2" x14ac:dyDescent="0.25">
      <c r="A1190">
        <f ca="1">31459.1294177698*((RANDBETWEEN(1587,2416)))</f>
        <v>63862032.718072698</v>
      </c>
      <c r="B1190">
        <v>253950077.18393138</v>
      </c>
    </row>
    <row r="1191" spans="1:2" x14ac:dyDescent="0.25">
      <c r="A1191">
        <f ca="1">29752.9964903512*((RANDBETWEEN(1587,2416)))</f>
        <v>59922534.931567281</v>
      </c>
      <c r="B1191">
        <v>208813831.71732551</v>
      </c>
    </row>
    <row r="1192" spans="1:2" x14ac:dyDescent="0.25">
      <c r="A1192">
        <f ca="1">32700.4814524602*((RANDBETWEEN(1587,2416)))</f>
        <v>62817624.870175987</v>
      </c>
      <c r="B1192">
        <v>236211994.29549956</v>
      </c>
    </row>
    <row r="1193" spans="1:2" x14ac:dyDescent="0.25">
      <c r="A1193">
        <f ca="1">31890.3373625211*((RANDBETWEEN(1587,2416)))</f>
        <v>52172591.925084554</v>
      </c>
      <c r="B1193">
        <v>256134196.07835934</v>
      </c>
    </row>
    <row r="1194" spans="1:2" x14ac:dyDescent="0.25">
      <c r="A1194">
        <f ca="1">34899.6527481981*((RANDBETWEEN(1587,2416)))</f>
        <v>68054322.858986199</v>
      </c>
      <c r="B1194">
        <v>252941219.49706343</v>
      </c>
    </row>
    <row r="1195" spans="1:2" x14ac:dyDescent="0.25">
      <c r="A1195">
        <f ca="1">31238.4808927556*((RANDBETWEEN(1587,2416)))</f>
        <v>71411167.320839316</v>
      </c>
      <c r="B1195">
        <v>245684100.17518282</v>
      </c>
    </row>
    <row r="1196" spans="1:2" x14ac:dyDescent="0.25">
      <c r="A1196">
        <f ca="1">33500.3420530296*((RANDBETWEEN(1587,2416)))</f>
        <v>57587087.98915787</v>
      </c>
      <c r="B1196">
        <v>259492261.76592225</v>
      </c>
    </row>
    <row r="1197" spans="1:2" x14ac:dyDescent="0.25">
      <c r="A1197">
        <f ca="1">31485.0424930524*((RANDBETWEEN(1587,2416)))</f>
        <v>65929678.980451725</v>
      </c>
      <c r="B1197">
        <v>262041725.20341977</v>
      </c>
    </row>
    <row r="1198" spans="1:2" x14ac:dyDescent="0.25">
      <c r="A1198">
        <f ca="1">31334.9047974501*((RANDBETWEEN(1587,2416)))</f>
        <v>52297956.1069443</v>
      </c>
      <c r="B1198">
        <v>235963611.36334902</v>
      </c>
    </row>
    <row r="1199" spans="1:2" x14ac:dyDescent="0.25">
      <c r="A1199">
        <f ca="1">31500.2481068217*((RANDBETWEEN(1587,2416)))</f>
        <v>65111012.836800449</v>
      </c>
      <c r="B1199">
        <v>219338437.5531885</v>
      </c>
    </row>
    <row r="1200" spans="1:2" x14ac:dyDescent="0.25">
      <c r="A1200">
        <f ca="1">28494.4065597524*((RANDBETWEEN(1587,2416)))</f>
        <v>49608761.820528872</v>
      </c>
      <c r="B1200">
        <v>251901844.80395767</v>
      </c>
    </row>
    <row r="1201" spans="1:2" x14ac:dyDescent="0.25">
      <c r="A1201">
        <f ca="1">30970.428464595*((RANDBETWEEN(1587,2416)))</f>
        <v>53269136.95910348</v>
      </c>
      <c r="B1201">
        <v>235270499.78091985</v>
      </c>
    </row>
    <row r="1202" spans="1:2" x14ac:dyDescent="0.25">
      <c r="A1202">
        <f ca="1">30929.5863040699*((RANDBETWEEN(1587,2416)))</f>
        <v>56508354.177535638</v>
      </c>
      <c r="B1202">
        <v>245713489.67681807</v>
      </c>
    </row>
    <row r="1203" spans="1:2" x14ac:dyDescent="0.25">
      <c r="A1203">
        <f ca="1">31872.2191994268*((RANDBETWEEN(1587,2416)))</f>
        <v>74517248.488259807</v>
      </c>
      <c r="B1203">
        <v>225155316.8549706</v>
      </c>
    </row>
    <row r="1204" spans="1:2" x14ac:dyDescent="0.25">
      <c r="A1204">
        <f ca="1">30145.0956454441*((RANDBETWEEN(1587,2416)))</f>
        <v>51789274.318872973</v>
      </c>
      <c r="B1204">
        <v>245871309.42905068</v>
      </c>
    </row>
    <row r="1205" spans="1:2" x14ac:dyDescent="0.25">
      <c r="A1205">
        <f ca="1">29293.2307245953*((RANDBETWEEN(1587,2416)))</f>
        <v>61720837.136722341</v>
      </c>
      <c r="B1205">
        <v>234209103.29168928</v>
      </c>
    </row>
    <row r="1206" spans="1:2" x14ac:dyDescent="0.25">
      <c r="A1206">
        <f ca="1">34182.2830961334*((RANDBETWEEN(1587,2416)))</f>
        <v>70449685.461130962</v>
      </c>
      <c r="B1206">
        <v>252449101.81169108</v>
      </c>
    </row>
    <row r="1207" spans="1:2" x14ac:dyDescent="0.25">
      <c r="A1207">
        <f ca="1">28350.0665567601*((RANDBETWEEN(1587,2416)))</f>
        <v>47826562.281254262</v>
      </c>
      <c r="B1207">
        <v>251154989.0730738</v>
      </c>
    </row>
    <row r="1208" spans="1:2" x14ac:dyDescent="0.25">
      <c r="A1208">
        <f ca="1">32543.7751293022*((RANDBETWEEN(1587,2416)))</f>
        <v>71726480.384982005</v>
      </c>
      <c r="B1208">
        <v>219914268.74606854</v>
      </c>
    </row>
    <row r="1209" spans="1:2" x14ac:dyDescent="0.25">
      <c r="A1209">
        <f ca="1">28751.0710729895*((RANDBETWEEN(1587,2416)))</f>
        <v>48934322.966228053</v>
      </c>
      <c r="B1209">
        <v>215320680.39933378</v>
      </c>
    </row>
    <row r="1210" spans="1:2" x14ac:dyDescent="0.25">
      <c r="A1210">
        <f ca="1">33955.8974148695*((RANDBETWEEN(1587,2416)))</f>
        <v>58879526.117383659</v>
      </c>
      <c r="B1210">
        <v>260503279.97367641</v>
      </c>
    </row>
    <row r="1211" spans="1:2" x14ac:dyDescent="0.25">
      <c r="A1211">
        <f ca="1">30398.8194491924*((RANDBETWEEN(1587,2416)))</f>
        <v>55113059.661385827</v>
      </c>
      <c r="B1211">
        <v>211869795.30654848</v>
      </c>
    </row>
    <row r="1212" spans="1:2" x14ac:dyDescent="0.25">
      <c r="A1212">
        <f ca="1">31962.3618695406*((RANDBETWEEN(1587,2416)))</f>
        <v>67472545.906600118</v>
      </c>
      <c r="B1212">
        <v>243196719.39758891</v>
      </c>
    </row>
    <row r="1213" spans="1:2" x14ac:dyDescent="0.25">
      <c r="A1213">
        <f ca="1">27110.1714493778*((RANDBETWEEN(1587,2416)))</f>
        <v>61540089.190087534</v>
      </c>
      <c r="B1213">
        <v>222731723.09344965</v>
      </c>
    </row>
    <row r="1214" spans="1:2" x14ac:dyDescent="0.25">
      <c r="A1214">
        <f ca="1">30033.8073663169*((RANDBETWEEN(1587,2416)))</f>
        <v>56073118.35291367</v>
      </c>
      <c r="B1214">
        <v>219503586.7487731</v>
      </c>
    </row>
    <row r="1215" spans="1:2" x14ac:dyDescent="0.25">
      <c r="A1215">
        <f ca="1">27489.415117514*((RANDBETWEEN(1587,2416)))</f>
        <v>66331958.678561196</v>
      </c>
      <c r="B1215">
        <v>212275653.77685004</v>
      </c>
    </row>
    <row r="1216" spans="1:2" x14ac:dyDescent="0.25">
      <c r="A1216">
        <f ca="1">30624.3287128542*((RANDBETWEEN(1587,2416)))</f>
        <v>64494836.269270964</v>
      </c>
      <c r="B1216">
        <v>232802769.94756585</v>
      </c>
    </row>
    <row r="1217" spans="1:2" x14ac:dyDescent="0.25">
      <c r="A1217">
        <f ca="1">28678.5214445031*((RANDBETWEEN(1587,2416)))</f>
        <v>59966788.340456046</v>
      </c>
      <c r="B1217">
        <v>214625360.27467102</v>
      </c>
    </row>
    <row r="1218" spans="1:2" x14ac:dyDescent="0.25">
      <c r="A1218">
        <f ca="1">34964.9319683193*((RANDBETWEEN(1587,2416)))</f>
        <v>76852920.466365784</v>
      </c>
      <c r="B1218">
        <v>242386100.76907802</v>
      </c>
    </row>
    <row r="1219" spans="1:2" x14ac:dyDescent="0.25">
      <c r="A1219">
        <f ca="1">32409.8704406599*((RANDBETWEEN(1587,2416)))</f>
        <v>61481524.225931808</v>
      </c>
      <c r="B1219">
        <v>224878825.34071782</v>
      </c>
    </row>
    <row r="1220" spans="1:2" x14ac:dyDescent="0.25">
      <c r="A1220">
        <f ca="1">27736.6632501911*((RANDBETWEEN(1587,2416)))</f>
        <v>58246992.825401314</v>
      </c>
      <c r="B1220">
        <v>236756668.36515912</v>
      </c>
    </row>
    <row r="1221" spans="1:2" x14ac:dyDescent="0.25">
      <c r="A1221">
        <f ca="1">31308.4572509909*((RANDBETWEEN(1587,2416)))</f>
        <v>70193561.156721592</v>
      </c>
      <c r="B1221">
        <v>232047745.87760529</v>
      </c>
    </row>
    <row r="1222" spans="1:2" x14ac:dyDescent="0.25">
      <c r="A1222">
        <f ca="1">27648.5666882718*((RANDBETWEEN(1587,2416)))</f>
        <v>53859407.908753552</v>
      </c>
      <c r="B1222">
        <v>224259709.43564939</v>
      </c>
    </row>
    <row r="1223" spans="1:2" x14ac:dyDescent="0.25">
      <c r="A1223">
        <f ca="1">29217.0885536902*((RANDBETWEEN(1587,2416)))</f>
        <v>60713110.014568247</v>
      </c>
      <c r="B1223">
        <v>250810479.26749659</v>
      </c>
    </row>
    <row r="1224" spans="1:2" x14ac:dyDescent="0.25">
      <c r="A1224">
        <f ca="1">31013.3165234273*((RANDBETWEEN(1587,2416)))</f>
        <v>50055492.868811645</v>
      </c>
      <c r="B1224">
        <v>211126801.6455299</v>
      </c>
    </row>
    <row r="1225" spans="1:2" x14ac:dyDescent="0.25">
      <c r="A1225">
        <f ca="1">27132.2068646778*((RANDBETWEEN(1587,2416)))</f>
        <v>56733444.554041333</v>
      </c>
      <c r="B1225">
        <v>259323377.83875293</v>
      </c>
    </row>
    <row r="1226" spans="1:2" x14ac:dyDescent="0.25">
      <c r="A1226">
        <f ca="1">32304.8012708052*((RANDBETWEEN(1587,2416)))</f>
        <v>52559911.667600095</v>
      </c>
      <c r="B1226">
        <v>230321402.6550149</v>
      </c>
    </row>
    <row r="1227" spans="1:2" x14ac:dyDescent="0.25">
      <c r="A1227">
        <f ca="1">34364.1046975611*((RANDBETWEEN(1587,2416)))</f>
        <v>63882870.632766046</v>
      </c>
      <c r="B1227">
        <v>263952651.58597332</v>
      </c>
    </row>
    <row r="1228" spans="1:2" x14ac:dyDescent="0.25">
      <c r="A1228">
        <f ca="1">31309.2646504377*((RANDBETWEEN(1587,2416)))</f>
        <v>62900312.682729326</v>
      </c>
      <c r="B1228">
        <v>234375596.17713481</v>
      </c>
    </row>
    <row r="1229" spans="1:2" x14ac:dyDescent="0.25">
      <c r="A1229">
        <f ca="1">33652.8799625653*((RANDBETWEEN(1587,2416)))</f>
        <v>81305357.989557832</v>
      </c>
      <c r="B1229">
        <v>216950826.05188119</v>
      </c>
    </row>
    <row r="1230" spans="1:2" x14ac:dyDescent="0.25">
      <c r="A1230">
        <f ca="1">27837.7799964024*((RANDBETWEEN(1587,2416)))</f>
        <v>55564208.87281926</v>
      </c>
      <c r="B1230">
        <v>216569756.53946343</v>
      </c>
    </row>
    <row r="1231" spans="1:2" x14ac:dyDescent="0.25">
      <c r="A1231">
        <f ca="1">31074.6029736798*((RANDBETWEEN(1587,2416)))</f>
        <v>65443113.862569563</v>
      </c>
      <c r="B1231">
        <v>255218108.65361562</v>
      </c>
    </row>
    <row r="1232" spans="1:2" x14ac:dyDescent="0.25">
      <c r="A1232">
        <f ca="1">32483.840942056*((RANDBETWEEN(1587,2416)))</f>
        <v>77863766.738108113</v>
      </c>
      <c r="B1232">
        <v>235615918.53480262</v>
      </c>
    </row>
    <row r="1233" spans="1:2" x14ac:dyDescent="0.25">
      <c r="A1233">
        <f ca="1">30901.9830228426*((RANDBETWEEN(1587,2416)))</f>
        <v>54294784.171134464</v>
      </c>
      <c r="B1233">
        <v>241581831.80949435</v>
      </c>
    </row>
    <row r="1234" spans="1:2" x14ac:dyDescent="0.25">
      <c r="A1234">
        <f ca="1">31340.4985961562*((RANDBETWEEN(1587,2416)))</f>
        <v>63683893.147389449</v>
      </c>
      <c r="B1234">
        <v>215218922.38362935</v>
      </c>
    </row>
    <row r="1235" spans="1:2" x14ac:dyDescent="0.25">
      <c r="A1235">
        <f ca="1">25798.2939448299*((RANDBETWEEN(1587,2416)))</f>
        <v>58278346.021370851</v>
      </c>
      <c r="B1235">
        <v>230439430.24426025</v>
      </c>
    </row>
    <row r="1236" spans="1:2" x14ac:dyDescent="0.25">
      <c r="A1236">
        <f ca="1">26452.8608808886*((RANDBETWEEN(1587,2416)))</f>
        <v>43488503.288180858</v>
      </c>
      <c r="B1236">
        <v>212922181.62787509</v>
      </c>
    </row>
    <row r="1237" spans="1:2" x14ac:dyDescent="0.25">
      <c r="A1237">
        <f ca="1">28160.694449605*((RANDBETWEEN(1587,2416)))</f>
        <v>53561640.843148723</v>
      </c>
      <c r="B1237">
        <v>211134573.62183437</v>
      </c>
    </row>
    <row r="1238" spans="1:2" x14ac:dyDescent="0.25">
      <c r="A1238">
        <f ca="1">31110.3790253234*((RANDBETWEEN(1587,2416)))</f>
        <v>66576211.114192091</v>
      </c>
      <c r="B1238">
        <v>264310342.1337609</v>
      </c>
    </row>
    <row r="1239" spans="1:2" x14ac:dyDescent="0.25">
      <c r="A1239">
        <f ca="1">31209.7649097645*((RANDBETWEEN(1587,2416)))</f>
        <v>71439151.878450915</v>
      </c>
      <c r="B1239">
        <v>242641382.97329924</v>
      </c>
    </row>
    <row r="1240" spans="1:2" x14ac:dyDescent="0.25">
      <c r="A1240">
        <f ca="1">29465.9480468259*((RANDBETWEEN(1587,2416)))</f>
        <v>60581989.1842741</v>
      </c>
      <c r="B1240">
        <v>222513660.96386859</v>
      </c>
    </row>
    <row r="1241" spans="1:2" x14ac:dyDescent="0.25">
      <c r="A1241">
        <f ca="1">28531.6304707835*((RANDBETWEEN(1587,2416)))</f>
        <v>57776551.703336537</v>
      </c>
      <c r="B1241">
        <v>249566082.57518107</v>
      </c>
    </row>
    <row r="1242" spans="1:2" x14ac:dyDescent="0.25">
      <c r="A1242">
        <f ca="1">31430.7118617171*((RANDBETWEEN(1587,2416)))</f>
        <v>54752300.063111261</v>
      </c>
      <c r="B1242">
        <v>251540916.94650006</v>
      </c>
    </row>
    <row r="1243" spans="1:2" x14ac:dyDescent="0.25">
      <c r="A1243">
        <f ca="1">29220.6864296448*((RANDBETWEEN(1587,2416)))</f>
        <v>56191380.004206881</v>
      </c>
      <c r="B1243">
        <v>225478019.94908705</v>
      </c>
    </row>
    <row r="1244" spans="1:2" x14ac:dyDescent="0.25">
      <c r="A1244">
        <f ca="1">27159.2543178287*((RANDBETWEEN(1587,2416)))</f>
        <v>47420058.038928956</v>
      </c>
      <c r="B1244">
        <v>246974825.97822571</v>
      </c>
    </row>
    <row r="1245" spans="1:2" x14ac:dyDescent="0.25">
      <c r="A1245">
        <f ca="1">27021.5264379227*((RANDBETWEEN(1587,2416)))</f>
        <v>48206403.165254056</v>
      </c>
      <c r="B1245">
        <v>248769448.13139203</v>
      </c>
    </row>
    <row r="1246" spans="1:2" x14ac:dyDescent="0.25">
      <c r="A1246">
        <f ca="1">29170.7077082834*((RANDBETWEEN(1587,2416)))</f>
        <v>46323083.84075404</v>
      </c>
      <c r="B1246">
        <v>210587450.24103612</v>
      </c>
    </row>
    <row r="1247" spans="1:2" x14ac:dyDescent="0.25">
      <c r="A1247">
        <f ca="1">27871.6585116859*((RANDBETWEEN(1587,2416)))</f>
        <v>45514418.349583022</v>
      </c>
      <c r="B1247">
        <v>252119131.38139686</v>
      </c>
    </row>
    <row r="1248" spans="1:2" x14ac:dyDescent="0.25">
      <c r="A1248">
        <f ca="1">29701.3691411982*((RANDBETWEEN(1587,2416)))</f>
        <v>54472311.004957579</v>
      </c>
      <c r="B1248">
        <v>260110349.39670378</v>
      </c>
    </row>
    <row r="1249" spans="1:2" x14ac:dyDescent="0.25">
      <c r="A1249">
        <f ca="1">31026.7776980933*((RANDBETWEEN(1587,2416)))</f>
        <v>65218286.721392043</v>
      </c>
      <c r="B1249">
        <v>266190388.49530593</v>
      </c>
    </row>
    <row r="1250" spans="1:2" x14ac:dyDescent="0.25">
      <c r="A1250">
        <f ca="1">27913.3020748227*((RANDBETWEEN(1587,2416)))</f>
        <v>55045031.691550441</v>
      </c>
      <c r="B1250">
        <v>233830466.76337239</v>
      </c>
    </row>
    <row r="1251" spans="1:2" x14ac:dyDescent="0.25">
      <c r="A1251">
        <f ca="1">27057.8728972019*((RANDBETWEEN(1587,2416)))</f>
        <v>65209473.682256661</v>
      </c>
      <c r="B1251">
        <v>219025893.55670312</v>
      </c>
    </row>
    <row r="1252" spans="1:2" x14ac:dyDescent="0.25">
      <c r="A1252">
        <f ca="1">28587.3531107849*((RANDBETWEEN(1587,2416)))</f>
        <v>57317642.987123795</v>
      </c>
      <c r="B1252">
        <v>203896268.59743044</v>
      </c>
    </row>
    <row r="1253" spans="1:2" x14ac:dyDescent="0.25">
      <c r="A1253">
        <f ca="1">26809.2073396311*((RANDBETWEEN(1587,2416)))</f>
        <v>64690617.310529865</v>
      </c>
      <c r="B1253">
        <v>207617580.06482697</v>
      </c>
    </row>
    <row r="1254" spans="1:2" x14ac:dyDescent="0.25">
      <c r="A1254">
        <f ca="1">27915.1918053488*((RANDBETWEEN(1587,2416)))</f>
        <v>48377027.398669429</v>
      </c>
      <c r="B1254">
        <v>208378542.22485739</v>
      </c>
    </row>
    <row r="1255" spans="1:2" x14ac:dyDescent="0.25">
      <c r="A1255">
        <f ca="1">29398.3425872226*((RANDBETWEEN(1587,2416)))</f>
        <v>61030959.211074173</v>
      </c>
      <c r="B1255">
        <v>230185857.27657855</v>
      </c>
    </row>
    <row r="1256" spans="1:2" x14ac:dyDescent="0.25">
      <c r="A1256">
        <f ca="1">33651.8643675536*((RANDBETWEEN(1587,2416)))</f>
        <v>71442908.052316323</v>
      </c>
      <c r="B1256">
        <v>250086938.41697186</v>
      </c>
    </row>
    <row r="1257" spans="1:2" x14ac:dyDescent="0.25">
      <c r="A1257">
        <f ca="1">28025.9181675341*((RANDBETWEEN(1587,2416)))</f>
        <v>63198445.467789494</v>
      </c>
      <c r="B1257">
        <v>218734943.81318271</v>
      </c>
    </row>
    <row r="1258" spans="1:2" x14ac:dyDescent="0.25">
      <c r="A1258">
        <f ca="1">31897.4245599463*((RANDBETWEEN(1587,2416)))</f>
        <v>68005309.161805481</v>
      </c>
      <c r="B1258">
        <v>258244853.75089622</v>
      </c>
    </row>
    <row r="1259" spans="1:2" x14ac:dyDescent="0.25">
      <c r="A1259">
        <f ca="1">28850.4036175633*((RANDBETWEEN(1587,2416)))</f>
        <v>49680395.029444061</v>
      </c>
      <c r="B1259">
        <v>221338404.58038464</v>
      </c>
    </row>
    <row r="1260" spans="1:2" x14ac:dyDescent="0.25">
      <c r="A1260">
        <f ca="1">29607.9789456741*((RANDBETWEEN(1587,2416)))</f>
        <v>47254334.39729587</v>
      </c>
      <c r="B1260">
        <v>233301616.6541276</v>
      </c>
    </row>
    <row r="1261" spans="1:2" x14ac:dyDescent="0.25">
      <c r="A1261">
        <f ca="1">30495.6422365522*((RANDBETWEEN(1587,2416)))</f>
        <v>50256818.405838042</v>
      </c>
      <c r="B1261">
        <v>254434882.77393639</v>
      </c>
    </row>
    <row r="1262" spans="1:2" x14ac:dyDescent="0.25">
      <c r="A1262">
        <f ca="1">25883.3690372854*((RANDBETWEEN(1587,2416)))</f>
        <v>47263031.862083189</v>
      </c>
      <c r="B1262">
        <v>219339059.52428314</v>
      </c>
    </row>
    <row r="1263" spans="1:2" x14ac:dyDescent="0.25">
      <c r="A1263">
        <f ca="1">29157.407383436*((RANDBETWEEN(1587,2416)))</f>
        <v>63154944.392522462</v>
      </c>
      <c r="B1263">
        <v>242997757.96347168</v>
      </c>
    </row>
    <row r="1264" spans="1:2" x14ac:dyDescent="0.25">
      <c r="A1264">
        <f ca="1">27882.091192697*((RANDBETWEEN(1587,2416)))</f>
        <v>44834402.637856834</v>
      </c>
      <c r="B1264">
        <v>264025646.83606154</v>
      </c>
    </row>
    <row r="1265" spans="1:2" x14ac:dyDescent="0.25">
      <c r="A1265">
        <f ca="1">30030.9062165614*((RANDBETWEEN(1587,2416)))</f>
        <v>54235816.627109863</v>
      </c>
      <c r="B1265">
        <v>257750526.07797217</v>
      </c>
    </row>
    <row r="1266" spans="1:2" x14ac:dyDescent="0.25">
      <c r="A1266">
        <f ca="1">27227.0611213441*((RANDBETWEEN(1587,2416)))</f>
        <v>61723747.562087066</v>
      </c>
      <c r="B1266">
        <v>265520844.18137693</v>
      </c>
    </row>
    <row r="1267" spans="1:2" x14ac:dyDescent="0.25">
      <c r="A1267">
        <f ca="1">27628.1497058399*((RANDBETWEEN(1587,2416)))</f>
        <v>63627628.772549272</v>
      </c>
      <c r="B1267">
        <v>213913667.6281268</v>
      </c>
    </row>
    <row r="1268" spans="1:2" x14ac:dyDescent="0.25">
      <c r="A1268">
        <f ca="1">29357.3917788499*((RANDBETWEEN(1587,2416)))</f>
        <v>48527768.610438831</v>
      </c>
      <c r="B1268">
        <v>245800695.41183048</v>
      </c>
    </row>
    <row r="1269" spans="1:2" x14ac:dyDescent="0.25">
      <c r="A1269">
        <f ca="1">33518.2243500957*((RANDBETWEEN(1587,2416)))</f>
        <v>64489063.649584219</v>
      </c>
      <c r="B1269">
        <v>204691284.3225289</v>
      </c>
    </row>
    <row r="1270" spans="1:2" x14ac:dyDescent="0.25">
      <c r="A1270">
        <f ca="1">29914.0798646622*((RANDBETWEEN(1587,2416)))</f>
        <v>64494756.188211612</v>
      </c>
      <c r="B1270">
        <v>259392518.16705707</v>
      </c>
    </row>
    <row r="1271" spans="1:2" x14ac:dyDescent="0.25">
      <c r="A1271">
        <f ca="1">29916.4257471208*((RANDBETWEEN(1587,2416)))</f>
        <v>61717586.316310145</v>
      </c>
      <c r="B1271">
        <v>261712262.23557562</v>
      </c>
    </row>
    <row r="1272" spans="1:2" x14ac:dyDescent="0.25">
      <c r="A1272">
        <f ca="1">27607.1406575432*((RANDBETWEEN(1587,2416)))</f>
        <v>50189781.715413451</v>
      </c>
      <c r="B1272">
        <v>208482390.48853183</v>
      </c>
    </row>
    <row r="1273" spans="1:2" x14ac:dyDescent="0.25">
      <c r="A1273">
        <f ca="1">26551.6586337238*((RANDBETWEEN(1587,2416)))</f>
        <v>44474028.211487427</v>
      </c>
      <c r="B1273">
        <v>226708694.69307786</v>
      </c>
    </row>
    <row r="1274" spans="1:2" x14ac:dyDescent="0.25">
      <c r="A1274">
        <f ca="1">30806.3936343278*((RANDBETWEEN(1587,2416)))</f>
        <v>52524901.146528929</v>
      </c>
      <c r="B1274">
        <v>218555361.31587914</v>
      </c>
    </row>
    <row r="1275" spans="1:2" x14ac:dyDescent="0.25">
      <c r="A1275">
        <f ca="1">28819.2054547121*((RANDBETWEEN(1587,2416)))</f>
        <v>67898048.051301613</v>
      </c>
      <c r="B1275">
        <v>262553933.22674045</v>
      </c>
    </row>
    <row r="1276" spans="1:2" x14ac:dyDescent="0.25">
      <c r="A1276">
        <f ca="1">29396.5450030166*((RANDBETWEEN(1587,2416)))</f>
        <v>61997313.411361948</v>
      </c>
      <c r="B1276">
        <v>230166681.71758324</v>
      </c>
    </row>
    <row r="1277" spans="1:2" x14ac:dyDescent="0.25">
      <c r="A1277">
        <f ca="1">31553.7769686693*((RANDBETWEEN(1587,2416)))</f>
        <v>54209388.832173914</v>
      </c>
      <c r="B1277">
        <v>217708491.59845167</v>
      </c>
    </row>
    <row r="1278" spans="1:2" x14ac:dyDescent="0.25">
      <c r="A1278">
        <f ca="1">28007.8531398641*((RANDBETWEEN(1587,2416)))</f>
        <v>45960887.002516948</v>
      </c>
      <c r="B1278">
        <v>263832752.77999273</v>
      </c>
    </row>
    <row r="1279" spans="1:2" x14ac:dyDescent="0.25">
      <c r="A1279">
        <f ca="1">28619.4157514306*((RANDBETWEEN(1587,2416)))</f>
        <v>52001478.420349412</v>
      </c>
      <c r="B1279">
        <v>234633847.00644836</v>
      </c>
    </row>
    <row r="1280" spans="1:2" x14ac:dyDescent="0.25">
      <c r="A1280">
        <f ca="1">28372.530504818*((RANDBETWEEN(1587,2416)))</f>
        <v>65256820.161081403</v>
      </c>
      <c r="B1280">
        <v>219314842.90376854</v>
      </c>
    </row>
    <row r="1281" spans="1:2" x14ac:dyDescent="0.25">
      <c r="A1281">
        <f ca="1">29340.5304661522*((RANDBETWEEN(1587,2416)))</f>
        <v>47619680.946565032</v>
      </c>
      <c r="B1281">
        <v>252926890.64441639</v>
      </c>
    </row>
    <row r="1282" spans="1:2" x14ac:dyDescent="0.25">
      <c r="A1282">
        <f ca="1">31701.6691621563*((RANDBETWEEN(1587,2416)))</f>
        <v>50310548.960342109</v>
      </c>
      <c r="B1282">
        <v>264065629.85652113</v>
      </c>
    </row>
    <row r="1283" spans="1:2" x14ac:dyDescent="0.25">
      <c r="A1283">
        <f ca="1">30001.6938939746*((RANDBETWEEN(1587,2416)))</f>
        <v>68133846.833216384</v>
      </c>
      <c r="B1283">
        <v>227835430.62461138</v>
      </c>
    </row>
    <row r="1284" spans="1:2" x14ac:dyDescent="0.25">
      <c r="A1284">
        <f ca="1">32526.3147133807*((RANDBETWEEN(1587,2416)))</f>
        <v>54741787.662619673</v>
      </c>
      <c r="B1284">
        <v>239397669.22581545</v>
      </c>
    </row>
    <row r="1285" spans="1:2" x14ac:dyDescent="0.25">
      <c r="A1285">
        <f ca="1">33511.5687840026*((RANDBETWEEN(1587,2416)))</f>
        <v>78148978.404294074</v>
      </c>
      <c r="B1285">
        <v>227999566.70786011</v>
      </c>
    </row>
    <row r="1286" spans="1:2" x14ac:dyDescent="0.25">
      <c r="A1286">
        <f ca="1">32617.5485075251*((RANDBETWEEN(1587,2416)))</f>
        <v>56363123.821003407</v>
      </c>
      <c r="B1286">
        <v>259600281.93575305</v>
      </c>
    </row>
    <row r="1287" spans="1:2" x14ac:dyDescent="0.25">
      <c r="A1287">
        <f ca="1">31549.9777144061*((RANDBETWEEN(1587,2416)))</f>
        <v>60828357.033374876</v>
      </c>
      <c r="B1287">
        <v>207169272.77042675</v>
      </c>
    </row>
    <row r="1288" spans="1:2" x14ac:dyDescent="0.25">
      <c r="A1288">
        <f ca="1">30211.3048922262*((RANDBETWEEN(1587,2416)))</f>
        <v>67189942.080311134</v>
      </c>
      <c r="B1288">
        <v>248164270.50686097</v>
      </c>
    </row>
    <row r="1289" spans="1:2" x14ac:dyDescent="0.25">
      <c r="A1289">
        <f ca="1">29463.8128906114*((RANDBETWEEN(1587,2416)))</f>
        <v>66352506.629656933</v>
      </c>
      <c r="B1289">
        <v>245700005.12807366</v>
      </c>
    </row>
    <row r="1290" spans="1:2" x14ac:dyDescent="0.25">
      <c r="A1290">
        <f ca="1">28857.0330938148*((RANDBETWEEN(1587,2416)))</f>
        <v>62619761.813578174</v>
      </c>
      <c r="B1290">
        <v>237198702.13227433</v>
      </c>
    </row>
    <row r="1291" spans="1:2" x14ac:dyDescent="0.25">
      <c r="A1291">
        <f ca="1">31292.2113800628*((RANDBETWEEN(1587,2416)))</f>
        <v>60268799.118000984</v>
      </c>
      <c r="B1291">
        <v>211612096.91537684</v>
      </c>
    </row>
    <row r="1292" spans="1:2" x14ac:dyDescent="0.25">
      <c r="A1292">
        <f ca="1">32071.4387391838*((RANDBETWEEN(1587,2416)))</f>
        <v>55034588.876439482</v>
      </c>
      <c r="B1292">
        <v>260671708.59181893</v>
      </c>
    </row>
    <row r="1293" spans="1:2" x14ac:dyDescent="0.25">
      <c r="A1293">
        <f ca="1">30973.8058134703*((RANDBETWEEN(1587,2416)))</f>
        <v>74461029.175582498</v>
      </c>
      <c r="B1293">
        <v>210726122.4989706</v>
      </c>
    </row>
    <row r="1294" spans="1:2" x14ac:dyDescent="0.25">
      <c r="A1294">
        <f ca="1">28610.8400777736*((RANDBETWEEN(1587,2416)))</f>
        <v>46492615.126382209</v>
      </c>
      <c r="B1294">
        <v>225583398.58079773</v>
      </c>
    </row>
    <row r="1295" spans="1:2" x14ac:dyDescent="0.25">
      <c r="A1295">
        <f ca="1">27605.9165880493*((RANDBETWEEN(1587,2416)))</f>
        <v>44887220.372168221</v>
      </c>
      <c r="B1295">
        <v>261653430.84197724</v>
      </c>
    </row>
    <row r="1296" spans="1:2" x14ac:dyDescent="0.25">
      <c r="A1296">
        <f ca="1">28304.5236256787*((RANDBETWEEN(1587,2416)))</f>
        <v>46136373.509856202</v>
      </c>
      <c r="B1296">
        <v>221303280.41000789</v>
      </c>
    </row>
    <row r="1297" spans="1:2" x14ac:dyDescent="0.25">
      <c r="A1297">
        <f ca="1">27596.3217399354*((RANDBETWEEN(1587,2416)))</f>
        <v>60932678.401777387</v>
      </c>
      <c r="B1297">
        <v>254362086.68338799</v>
      </c>
    </row>
    <row r="1298" spans="1:2" x14ac:dyDescent="0.25">
      <c r="A1298">
        <f ca="1">32142.8181445828*((RANDBETWEEN(1587,2416)))</f>
        <v>76757049.729263783</v>
      </c>
      <c r="B1298">
        <v>220419919.59442782</v>
      </c>
    </row>
    <row r="1299" spans="1:2" x14ac:dyDescent="0.25">
      <c r="A1299">
        <f ca="1">28195.5196090337*((RANDBETWEEN(1587,2416)))</f>
        <v>63242550.483062543</v>
      </c>
      <c r="B1299">
        <v>229667842.07684422</v>
      </c>
    </row>
    <row r="1300" spans="1:2" x14ac:dyDescent="0.25">
      <c r="A1300">
        <f ca="1">27983.3981573701*((RANDBETWEEN(1587,2416)))</f>
        <v>67104188.781373613</v>
      </c>
      <c r="B1300">
        <v>228832719.87579557</v>
      </c>
    </row>
    <row r="1301" spans="1:2" x14ac:dyDescent="0.25">
      <c r="A1301">
        <f ca="1">29917.9512217811*((RANDBETWEEN(1587,2416)))</f>
        <v>52476086.443003982</v>
      </c>
      <c r="B1301">
        <v>242182600.8614237</v>
      </c>
    </row>
    <row r="1302" spans="1:2" x14ac:dyDescent="0.25">
      <c r="A1302">
        <f ca="1">27716.9751598805*((RANDBETWEEN(1587,2416)))</f>
        <v>46425933.39279978</v>
      </c>
      <c r="B1302">
        <v>255579288.62619817</v>
      </c>
    </row>
    <row r="1303" spans="1:2" x14ac:dyDescent="0.25">
      <c r="A1303">
        <f ca="1">26330.2639768242*((RANDBETWEEN(1587,2416)))</f>
        <v>58742818.932294786</v>
      </c>
      <c r="B1303">
        <v>216739246.51716813</v>
      </c>
    </row>
    <row r="1304" spans="1:2" x14ac:dyDescent="0.25">
      <c r="A1304">
        <f ca="1">26981.7144126495*((RANDBETWEEN(1587,2416)))</f>
        <v>60978674.57258781</v>
      </c>
      <c r="B1304">
        <v>225898888.94004893</v>
      </c>
    </row>
    <row r="1305" spans="1:2" x14ac:dyDescent="0.25">
      <c r="A1305">
        <f ca="1">30159.6891007545*((RANDBETWEEN(1587,2416)))</f>
        <v>56941493.022224568</v>
      </c>
      <c r="B1305">
        <v>217867690.33980951</v>
      </c>
    </row>
    <row r="1306" spans="1:2" x14ac:dyDescent="0.25">
      <c r="A1306">
        <f ca="1">27647.2574638278*((RANDBETWEEN(1587,2416)))</f>
        <v>47166221.233290225</v>
      </c>
      <c r="B1306">
        <v>256544479.53948355</v>
      </c>
    </row>
    <row r="1307" spans="1:2" x14ac:dyDescent="0.25">
      <c r="A1307">
        <f ca="1">29526.0485083974*((RANDBETWEEN(1587,2416)))</f>
        <v>64691572.281898707</v>
      </c>
      <c r="B1307">
        <v>205332161.55746377</v>
      </c>
    </row>
    <row r="1308" spans="1:2" x14ac:dyDescent="0.25">
      <c r="A1308">
        <f ca="1">27133.4018159253*((RANDBETWEEN(1587,2416)))</f>
        <v>52774466.531974785</v>
      </c>
      <c r="B1308">
        <v>213767156.01635483</v>
      </c>
    </row>
    <row r="1309" spans="1:2" x14ac:dyDescent="0.25">
      <c r="A1309">
        <f ca="1">29561.4069150505*((RANDBETWEEN(1587,2416)))</f>
        <v>53417462.295496233</v>
      </c>
      <c r="B1309">
        <v>238070691.17736289</v>
      </c>
    </row>
    <row r="1310" spans="1:2" x14ac:dyDescent="0.25">
      <c r="A1310">
        <f ca="1">30016.3036326323*((RANDBETWEEN(1587,2416)))</f>
        <v>54929835.647717029</v>
      </c>
      <c r="B1310">
        <v>235405748.9904888</v>
      </c>
    </row>
    <row r="1311" spans="1:2" x14ac:dyDescent="0.25">
      <c r="A1311">
        <f ca="1">28362.7202579834*((RANDBETWEEN(1587,2416)))</f>
        <v>49010780.605795242</v>
      </c>
      <c r="B1311">
        <v>232864161.63077858</v>
      </c>
    </row>
    <row r="1312" spans="1:2" x14ac:dyDescent="0.25">
      <c r="A1312">
        <f ca="1">32415.362551121*((RANDBETWEEN(1587,2416)))</f>
        <v>55333023.874763496</v>
      </c>
      <c r="B1312">
        <v>251164286.06393355</v>
      </c>
    </row>
    <row r="1313" spans="1:2" x14ac:dyDescent="0.25">
      <c r="A1313">
        <f ca="1">30711.5727514114*((RANDBETWEEN(1587,2416)))</f>
        <v>53376713.441952951</v>
      </c>
      <c r="B1313">
        <v>240989056.95800579</v>
      </c>
    </row>
    <row r="1314" spans="1:2" x14ac:dyDescent="0.25">
      <c r="A1314">
        <f ca="1">33130.928219277*((RANDBETWEEN(1587,2416)))</f>
        <v>66427511.07965038</v>
      </c>
      <c r="B1314">
        <v>232030162.48177156</v>
      </c>
    </row>
    <row r="1315" spans="1:2" x14ac:dyDescent="0.25">
      <c r="A1315">
        <f ca="1">31612.0651982068*((RANDBETWEEN(1587,2416)))</f>
        <v>58197812.029898807</v>
      </c>
      <c r="B1315">
        <v>238549958.50699759</v>
      </c>
    </row>
    <row r="1316" spans="1:2" x14ac:dyDescent="0.25">
      <c r="A1316">
        <f ca="1">26215.1805495229*((RANDBETWEEN(1587,2416)))</f>
        <v>59849257.194560736</v>
      </c>
      <c r="B1316">
        <v>259917036.46963069</v>
      </c>
    </row>
    <row r="1317" spans="1:2" x14ac:dyDescent="0.25">
      <c r="A1317">
        <f ca="1">32599.9954944314*((RANDBETWEEN(1587,2416)))</f>
        <v>63309191.250185817</v>
      </c>
      <c r="B1317">
        <v>265576702.73893151</v>
      </c>
    </row>
    <row r="1318" spans="1:2" x14ac:dyDescent="0.25">
      <c r="A1318">
        <f ca="1">30440.1840331529*((RANDBETWEEN(1587,2416)))</f>
        <v>59297478.496581934</v>
      </c>
      <c r="B1318">
        <v>243824066.60261178</v>
      </c>
    </row>
    <row r="1319" spans="1:2" x14ac:dyDescent="0.25">
      <c r="A1319">
        <f ca="1">28986.7311529623*((RANDBETWEEN(1587,2416)))</f>
        <v>67104282.61910779</v>
      </c>
      <c r="B1319">
        <v>246722377.67219198</v>
      </c>
    </row>
    <row r="1320" spans="1:2" x14ac:dyDescent="0.25">
      <c r="A1320">
        <f ca="1">25228.9100540598*((RANDBETWEEN(1587,2416)))</f>
        <v>60599841.949851654</v>
      </c>
      <c r="B1320">
        <v>213848538.44454503</v>
      </c>
    </row>
    <row r="1321" spans="1:2" x14ac:dyDescent="0.25">
      <c r="A1321">
        <f ca="1">26144.4248292475*((RANDBETWEEN(1587,2416)))</f>
        <v>56367379.931857653</v>
      </c>
      <c r="B1321">
        <v>239832834.1648894</v>
      </c>
    </row>
    <row r="1322" spans="1:2" x14ac:dyDescent="0.25">
      <c r="A1322">
        <f ca="1">26286.6623520132*((RANDBETWEEN(1587,2416)))</f>
        <v>50207525.092345148</v>
      </c>
      <c r="B1322">
        <v>242248826.00203577</v>
      </c>
    </row>
    <row r="1323" spans="1:2" x14ac:dyDescent="0.25">
      <c r="A1323">
        <f ca="1">30905.0483561324*((RANDBETWEEN(1587,2416)))</f>
        <v>52631297.350493476</v>
      </c>
      <c r="B1323">
        <v>243297231.58450353</v>
      </c>
    </row>
    <row r="1324" spans="1:2" x14ac:dyDescent="0.25">
      <c r="A1324">
        <f ca="1">26330.2322046704*((RANDBETWEEN(1587,2416)))</f>
        <v>42997269.190226831</v>
      </c>
      <c r="B1324">
        <v>210225639.39070946</v>
      </c>
    </row>
    <row r="1325" spans="1:2" x14ac:dyDescent="0.25">
      <c r="A1325">
        <f ca="1">30198.9769369943*((RANDBETWEEN(1587,2416)))</f>
        <v>53905173.832534917</v>
      </c>
      <c r="B1325">
        <v>228830954.62931034</v>
      </c>
    </row>
    <row r="1326" spans="1:2" x14ac:dyDescent="0.25">
      <c r="A1326">
        <f ca="1">32796.006766272*((RANDBETWEEN(1587,2416)))</f>
        <v>60344652.449940488</v>
      </c>
      <c r="B1326">
        <v>252048634.66881946</v>
      </c>
    </row>
    <row r="1327" spans="1:2" x14ac:dyDescent="0.25">
      <c r="A1327">
        <f ca="1">27391.0907129267*((RANDBETWEEN(1587,2416)))</f>
        <v>63246028.45614776</v>
      </c>
      <c r="B1327">
        <v>228162989.9563798</v>
      </c>
    </row>
    <row r="1328" spans="1:2" x14ac:dyDescent="0.25">
      <c r="A1328">
        <f ca="1">27389.4732556382*((RANDBETWEEN(1587,2416)))</f>
        <v>55737578.075223811</v>
      </c>
      <c r="B1328">
        <v>206483579.36640331</v>
      </c>
    </row>
    <row r="1329" spans="1:2" x14ac:dyDescent="0.25">
      <c r="A1329">
        <f ca="1">29944.0448667557*((RANDBETWEEN(1587,2416)))</f>
        <v>60217474.227045685</v>
      </c>
      <c r="B1329">
        <v>220962412.75735208</v>
      </c>
    </row>
    <row r="1330" spans="1:2" x14ac:dyDescent="0.25">
      <c r="A1330">
        <f ca="1">28318.607636453*((RANDBETWEEN(1587,2416)))</f>
        <v>50435440.200522877</v>
      </c>
      <c r="B1330">
        <v>206581627.69775698</v>
      </c>
    </row>
    <row r="1331" spans="1:2" x14ac:dyDescent="0.25">
      <c r="A1331">
        <f ca="1">32127.6777713519*((RANDBETWEEN(1587,2416)))</f>
        <v>62070673.454251856</v>
      </c>
      <c r="B1331">
        <v>222401290.90512395</v>
      </c>
    </row>
    <row r="1332" spans="1:2" x14ac:dyDescent="0.25">
      <c r="A1332">
        <f ca="1">27547.8279837658*((RANDBETWEEN(1587,2416)))</f>
        <v>63663030.470482722</v>
      </c>
      <c r="B1332">
        <v>210249758.16501701</v>
      </c>
    </row>
    <row r="1333" spans="1:2" x14ac:dyDescent="0.25">
      <c r="A1333">
        <f ca="1">28376.0609785733*((RANDBETWEEN(1587,2416)))</f>
        <v>46820500.61464598</v>
      </c>
      <c r="B1333">
        <v>223210683.33175427</v>
      </c>
    </row>
    <row r="1334" spans="1:2" x14ac:dyDescent="0.25">
      <c r="A1334">
        <f ca="1">31240.8294456883*((RANDBETWEEN(1587,2416)))</f>
        <v>53078169.228224427</v>
      </c>
      <c r="B1334">
        <v>251868209.43602061</v>
      </c>
    </row>
    <row r="1335" spans="1:2" x14ac:dyDescent="0.25">
      <c r="A1335">
        <f ca="1">31710.6202481003*((RANDBETWEEN(1587,2416)))</f>
        <v>59203728.003203303</v>
      </c>
      <c r="B1335">
        <v>233573449.11120465</v>
      </c>
    </row>
    <row r="1336" spans="1:2" x14ac:dyDescent="0.25">
      <c r="A1336">
        <f ca="1">26061.3607820078*((RANDBETWEEN(1587,2416)))</f>
        <v>43496411.145171002</v>
      </c>
      <c r="B1336">
        <v>267470912.9458403</v>
      </c>
    </row>
    <row r="1337" spans="1:2" x14ac:dyDescent="0.25">
      <c r="A1337">
        <f ca="1">30655.5835405409*((RANDBETWEEN(1587,2416)))</f>
        <v>64530003.352838531</v>
      </c>
      <c r="B1337">
        <v>258975898.63133988</v>
      </c>
    </row>
    <row r="1338" spans="1:2" x14ac:dyDescent="0.25">
      <c r="A1338">
        <f ca="1">25535.6976077167*((RANDBETWEEN(1587,2416)))</f>
        <v>49769074.637439936</v>
      </c>
      <c r="B1338">
        <v>244306963.64766979</v>
      </c>
    </row>
    <row r="1339" spans="1:2" x14ac:dyDescent="0.25">
      <c r="A1339">
        <f ca="1">31677.1725532638*((RANDBETWEEN(1587,2416)))</f>
        <v>69689779.617180422</v>
      </c>
      <c r="B1339">
        <v>256852865.28467685</v>
      </c>
    </row>
    <row r="1340" spans="1:2" x14ac:dyDescent="0.25">
      <c r="A1340">
        <f ca="1">29116.6944539368*((RANDBETWEEN(1587,2416)))</f>
        <v>63270577.048404701</v>
      </c>
      <c r="B1340">
        <v>213284470.22703034</v>
      </c>
    </row>
    <row r="1341" spans="1:2" x14ac:dyDescent="0.25">
      <c r="A1341">
        <f ca="1">33958.025519109*((RANDBETWEEN(1587,2416)))</f>
        <v>61871522.495816775</v>
      </c>
      <c r="B1341">
        <v>265414282.17492223</v>
      </c>
    </row>
    <row r="1342" spans="1:2" x14ac:dyDescent="0.25">
      <c r="A1342">
        <f ca="1">27478.0434772335*((RANDBETWEEN(1587,2416)))</f>
        <v>61330993.041185118</v>
      </c>
      <c r="B1342">
        <v>254569874.92800564</v>
      </c>
    </row>
    <row r="1343" spans="1:2" x14ac:dyDescent="0.25">
      <c r="A1343">
        <f ca="1">34647.9409337599*((RANDBETWEEN(1587,2416)))</f>
        <v>77784627.396291032</v>
      </c>
      <c r="B1343">
        <v>243118967.66284189</v>
      </c>
    </row>
    <row r="1344" spans="1:2" x14ac:dyDescent="0.25">
      <c r="A1344">
        <f ca="1">31408.2968672662*((RANDBETWEEN(1587,2416)))</f>
        <v>70668667.951349035</v>
      </c>
      <c r="B1344">
        <v>236116787.43347064</v>
      </c>
    </row>
    <row r="1345" spans="1:2" x14ac:dyDescent="0.25">
      <c r="A1345">
        <f ca="1">30286.4604012486*((RANDBETWEEN(1587,2416)))</f>
        <v>59724899.911262318</v>
      </c>
      <c r="B1345">
        <v>237418452.22024447</v>
      </c>
    </row>
    <row r="1346" spans="1:2" x14ac:dyDescent="0.25">
      <c r="A1346">
        <f ca="1">26573.9195162622*((RANDBETWEEN(1587,2416)))</f>
        <v>43953262.879897676</v>
      </c>
      <c r="B1346">
        <v>265682484.59487405</v>
      </c>
    </row>
    <row r="1347" spans="1:2" x14ac:dyDescent="0.25">
      <c r="A1347">
        <f ca="1">30344.6460296554*((RANDBETWEEN(1587,2416)))</f>
        <v>49340394.444219701</v>
      </c>
      <c r="B1347">
        <v>224713961.72900939</v>
      </c>
    </row>
    <row r="1348" spans="1:2" x14ac:dyDescent="0.25">
      <c r="A1348">
        <f ca="1">28694.4053176898*((RANDBETWEEN(1587,2416)))</f>
        <v>68809183.95182021</v>
      </c>
      <c r="B1348">
        <v>234318895.40503371</v>
      </c>
    </row>
    <row r="1349" spans="1:2" x14ac:dyDescent="0.25">
      <c r="A1349">
        <f ca="1">28767.0519444263*((RANDBETWEEN(1587,2416)))</f>
        <v>66365588.835791394</v>
      </c>
      <c r="B1349">
        <v>258535068.87056977</v>
      </c>
    </row>
    <row r="1350" spans="1:2" x14ac:dyDescent="0.25">
      <c r="A1350">
        <f ca="1">31152.577301318*((RANDBETWEEN(1587,2416)))</f>
        <v>62211696.870731965</v>
      </c>
      <c r="B1350">
        <v>254975994.03920484</v>
      </c>
    </row>
    <row r="1351" spans="1:2" x14ac:dyDescent="0.25">
      <c r="A1351">
        <f ca="1">27094.1622969007*((RANDBETWEEN(1587,2416)))</f>
        <v>57331247.420241877</v>
      </c>
      <c r="B1351">
        <v>219782527.20440242</v>
      </c>
    </row>
    <row r="1352" spans="1:2" x14ac:dyDescent="0.25">
      <c r="A1352">
        <f ca="1">27772.3466099581*((RANDBETWEEN(1587,2416)))</f>
        <v>54211620.582638197</v>
      </c>
      <c r="B1352">
        <v>257000537.29736647</v>
      </c>
    </row>
    <row r="1353" spans="1:2" x14ac:dyDescent="0.25">
      <c r="A1353">
        <f ca="1">31257.8828466662*((RANDBETWEEN(1587,2416)))</f>
        <v>67173190.237485573</v>
      </c>
      <c r="B1353">
        <v>217517038.52070844</v>
      </c>
    </row>
    <row r="1354" spans="1:2" x14ac:dyDescent="0.25">
      <c r="A1354">
        <f ca="1">31568.6757394331*((RANDBETWEEN(1587,2416)))</f>
        <v>51772628.212670334</v>
      </c>
      <c r="B1354">
        <v>243684794.56718889</v>
      </c>
    </row>
    <row r="1355" spans="1:2" x14ac:dyDescent="0.25">
      <c r="A1355">
        <f ca="1">27649.8785599839*((RANDBETWEEN(1587,2416)))</f>
        <v>65889660.608441517</v>
      </c>
      <c r="B1355">
        <v>250018224.43902892</v>
      </c>
    </row>
    <row r="1356" spans="1:2" x14ac:dyDescent="0.25">
      <c r="A1356">
        <f ca="1">29896.9068110902*((RANDBETWEEN(1587,2416)))</f>
        <v>62693813.582856052</v>
      </c>
      <c r="B1356">
        <v>212707037.47861099</v>
      </c>
    </row>
    <row r="1357" spans="1:2" x14ac:dyDescent="0.25">
      <c r="A1357">
        <f ca="1">32369.9038965471*((RANDBETWEEN(1587,2416)))</f>
        <v>76943261.562092543</v>
      </c>
      <c r="B1357">
        <v>225678568.68466422</v>
      </c>
    </row>
    <row r="1358" spans="1:2" x14ac:dyDescent="0.25">
      <c r="A1358">
        <f ca="1">27538.4691430359*((RANDBETWEEN(1587,2416)))</f>
        <v>51662168.112335354</v>
      </c>
      <c r="B1358">
        <v>233867869.8798295</v>
      </c>
    </row>
    <row r="1359" spans="1:2" x14ac:dyDescent="0.25">
      <c r="A1359">
        <f ca="1">31628.4581245435*((RANDBETWEEN(1587,2416)))</f>
        <v>59366615.899768181</v>
      </c>
      <c r="B1359">
        <v>249975572.01392901</v>
      </c>
    </row>
    <row r="1360" spans="1:2" x14ac:dyDescent="0.25">
      <c r="A1360">
        <f ca="1">27785.0203531552*((RANDBETWEEN(1587,2416)))</f>
        <v>49457336.228616275</v>
      </c>
      <c r="B1360">
        <v>205381842.63653928</v>
      </c>
    </row>
    <row r="1361" spans="1:2" x14ac:dyDescent="0.25">
      <c r="A1361">
        <f ca="1">25320.6099443324*((RANDBETWEEN(1587,2416)))</f>
        <v>57756311.283022098</v>
      </c>
      <c r="B1361">
        <v>246156211.0223282</v>
      </c>
    </row>
    <row r="1362" spans="1:2" x14ac:dyDescent="0.25">
      <c r="A1362">
        <f ca="1">33022.3777491612*((RANDBETWEEN(1587,2416)))</f>
        <v>56732444.973058976</v>
      </c>
      <c r="B1362">
        <v>229922749.02654815</v>
      </c>
    </row>
    <row r="1363" spans="1:2" x14ac:dyDescent="0.25">
      <c r="A1363">
        <f ca="1">28943.5772264804*((RANDBETWEEN(1587,2416)))</f>
        <v>53198294.942271039</v>
      </c>
      <c r="B1363">
        <v>260267862.06586972</v>
      </c>
    </row>
    <row r="1364" spans="1:2" x14ac:dyDescent="0.25">
      <c r="A1364">
        <f ca="1">32691.0808968724*((RANDBETWEEN(1587,2416)))</f>
        <v>53449917.266386308</v>
      </c>
      <c r="B1364">
        <v>263111621.75368857</v>
      </c>
    </row>
    <row r="1365" spans="1:2" x14ac:dyDescent="0.25">
      <c r="A1365">
        <f ca="1">29841.3905861391*((RANDBETWEEN(1587,2416)))</f>
        <v>70007902.315082252</v>
      </c>
      <c r="B1365">
        <v>239281927.84316862</v>
      </c>
    </row>
    <row r="1366" spans="1:2" x14ac:dyDescent="0.25">
      <c r="A1366">
        <f ca="1">29292.0086598678*((RANDBETWEEN(1587,2416)))</f>
        <v>64237374.991090141</v>
      </c>
      <c r="B1366">
        <v>242059830.5735833</v>
      </c>
    </row>
    <row r="1367" spans="1:2" x14ac:dyDescent="0.25">
      <c r="A1367">
        <f ca="1">29328.2748421211*((RANDBETWEEN(1587,2416)))</f>
        <v>52087016.119607136</v>
      </c>
      <c r="B1367">
        <v>213301289.15476078</v>
      </c>
    </row>
    <row r="1368" spans="1:2" x14ac:dyDescent="0.25">
      <c r="A1368">
        <f ca="1">28739.6092290256*((RANDBETWEEN(1587,2416)))</f>
        <v>68256571.918935895</v>
      </c>
      <c r="B1368">
        <v>223924968.18958008</v>
      </c>
    </row>
    <row r="1369" spans="1:2" x14ac:dyDescent="0.25">
      <c r="A1369">
        <f ca="1">28002.0022183034*((RANDBETWEEN(1587,2416)))</f>
        <v>52195732.134917445</v>
      </c>
      <c r="B1369">
        <v>228053306.93185288</v>
      </c>
    </row>
    <row r="1370" spans="1:2" x14ac:dyDescent="0.25">
      <c r="A1370">
        <f ca="1">32253.5451847189*((RANDBETWEEN(1587,2416)))</f>
        <v>62894413.110201798</v>
      </c>
      <c r="B1370">
        <v>204126703.56705564</v>
      </c>
    </row>
    <row r="1371" spans="1:2" x14ac:dyDescent="0.25">
      <c r="A1371">
        <f ca="1">28020.9718160717*((RANDBETWEEN(1587,2416)))</f>
        <v>51726713.972468384</v>
      </c>
      <c r="B1371">
        <v>253567255.96154794</v>
      </c>
    </row>
    <row r="1372" spans="1:2" x14ac:dyDescent="0.25">
      <c r="A1372">
        <f ca="1">30011.0311983952*((RANDBETWEEN(1587,2416)))</f>
        <v>59661930.0224097</v>
      </c>
      <c r="B1372">
        <v>227325724.6073795</v>
      </c>
    </row>
    <row r="1373" spans="1:2" x14ac:dyDescent="0.25">
      <c r="A1373">
        <f ca="1">26544.260332979*((RANDBETWEEN(1587,2416)))</f>
        <v>53937936.996613234</v>
      </c>
      <c r="B1373">
        <v>223272377.05675274</v>
      </c>
    </row>
    <row r="1374" spans="1:2" x14ac:dyDescent="0.25">
      <c r="A1374">
        <f ca="1">30017.9700581898*((RANDBETWEEN(1587,2416)))</f>
        <v>66609875.559123188</v>
      </c>
      <c r="B1374">
        <v>264587050.072061</v>
      </c>
    </row>
    <row r="1375" spans="1:2" x14ac:dyDescent="0.25">
      <c r="A1375">
        <f ca="1">29994.5673324741*((RANDBETWEEN(1587,2416)))</f>
        <v>65208189.380798772</v>
      </c>
      <c r="B1375">
        <v>231123819.20041528</v>
      </c>
    </row>
    <row r="1376" spans="1:2" x14ac:dyDescent="0.25">
      <c r="A1376">
        <f ca="1">25812.4216983259*((RANDBETWEEN(1587,2416)))</f>
        <v>58723259.363691509</v>
      </c>
      <c r="B1376">
        <v>238276865.98391628</v>
      </c>
    </row>
    <row r="1377" spans="1:2" x14ac:dyDescent="0.25">
      <c r="A1377">
        <f ca="1">29472.5856536715*((RANDBETWEEN(1587,2416)))</f>
        <v>68111145.445634797</v>
      </c>
      <c r="B1377">
        <v>235602844.52680719</v>
      </c>
    </row>
    <row r="1378" spans="1:2" x14ac:dyDescent="0.25">
      <c r="A1378">
        <f ca="1">30500.697960721*((RANDBETWEEN(1587,2416)))</f>
        <v>71646139.509733558</v>
      </c>
      <c r="B1378">
        <v>212545877.45107231</v>
      </c>
    </row>
    <row r="1379" spans="1:2" x14ac:dyDescent="0.25">
      <c r="A1379">
        <f ca="1">29325.846273386*((RANDBETWEEN(1587,2416)))</f>
        <v>53373040.217562608</v>
      </c>
      <c r="B1379">
        <v>229682660.85478842</v>
      </c>
    </row>
    <row r="1380" spans="1:2" x14ac:dyDescent="0.25">
      <c r="A1380">
        <f ca="1">31131.7739410736*((RANDBETWEEN(1587,2416)))</f>
        <v>51896667.159769624</v>
      </c>
      <c r="B1380">
        <v>254354942.63978162</v>
      </c>
    </row>
    <row r="1381" spans="1:2" x14ac:dyDescent="0.25">
      <c r="A1381">
        <f ca="1">28131.489602309*((RANDBETWEEN(1587,2416)))</f>
        <v>60848412.009794399</v>
      </c>
      <c r="B1381">
        <v>230545044.06279626</v>
      </c>
    </row>
    <row r="1382" spans="1:2" x14ac:dyDescent="0.25">
      <c r="A1382">
        <f ca="1">33806.3015494554*((RANDBETWEEN(1587,2416)))</f>
        <v>60986567.995217554</v>
      </c>
      <c r="B1382">
        <v>208502067.9300406</v>
      </c>
    </row>
    <row r="1383" spans="1:2" x14ac:dyDescent="0.25">
      <c r="A1383">
        <f ca="1">27931.4979845611*((RANDBETWEEN(1587,2416)))</f>
        <v>51701202.76942265</v>
      </c>
      <c r="B1383">
        <v>230112018.65838078</v>
      </c>
    </row>
    <row r="1384" spans="1:2" x14ac:dyDescent="0.25">
      <c r="A1384">
        <f ca="1">31434.9871776723*((RANDBETWEEN(1587,2416)))</f>
        <v>52276383.676469073</v>
      </c>
      <c r="B1384">
        <v>223364909.05131531</v>
      </c>
    </row>
    <row r="1385" spans="1:2" x14ac:dyDescent="0.25">
      <c r="A1385">
        <f ca="1">33576.1556392486*((RANDBETWEEN(1587,2416)))</f>
        <v>65909993.519844934</v>
      </c>
      <c r="B1385">
        <v>264632879.1062457</v>
      </c>
    </row>
    <row r="1386" spans="1:2" x14ac:dyDescent="0.25">
      <c r="A1386">
        <f ca="1">27024.5586814022*((RANDBETWEEN(1587,2416)))</f>
        <v>49644114.297735773</v>
      </c>
      <c r="B1386">
        <v>234395659.33460408</v>
      </c>
    </row>
    <row r="1387" spans="1:2" x14ac:dyDescent="0.25">
      <c r="A1387">
        <f ca="1">26486.7866740316*((RANDBETWEEN(1587,2416)))</f>
        <v>42590752.971842885</v>
      </c>
      <c r="B1387">
        <v>215133221.19241562</v>
      </c>
    </row>
    <row r="1388" spans="1:2" x14ac:dyDescent="0.25">
      <c r="A1388">
        <f ca="1">29434.810562291*((RANDBETWEEN(1587,2416)))</f>
        <v>50745613.409389623</v>
      </c>
      <c r="B1388">
        <v>255293155.28559908</v>
      </c>
    </row>
    <row r="1389" spans="1:2" x14ac:dyDescent="0.25">
      <c r="A1389">
        <f ca="1">31828.1299950976*((RANDBETWEEN(1587,2416)))</f>
        <v>54935352.371538535</v>
      </c>
      <c r="B1389">
        <v>220220479.11764699</v>
      </c>
    </row>
    <row r="1390" spans="1:2" x14ac:dyDescent="0.25">
      <c r="A1390">
        <f ca="1">30060.8416757331*((RANDBETWEEN(1587,2416)))</f>
        <v>72386506.755165204</v>
      </c>
      <c r="B1390">
        <v>220448067.05807731</v>
      </c>
    </row>
    <row r="1391" spans="1:2" x14ac:dyDescent="0.25">
      <c r="A1391">
        <f ca="1">28824.0567854864*((RANDBETWEEN(1587,2416)))</f>
        <v>66352978.720189631</v>
      </c>
      <c r="B1391">
        <v>231356154.08005387</v>
      </c>
    </row>
    <row r="1392" spans="1:2" x14ac:dyDescent="0.25">
      <c r="A1392">
        <f ca="1">27254.4398438488*((RANDBETWEEN(1587,2416)))</f>
        <v>65274383.426017933</v>
      </c>
      <c r="B1392">
        <v>236101825.11899963</v>
      </c>
    </row>
    <row r="1393" spans="1:2" x14ac:dyDescent="0.25">
      <c r="A1393">
        <f ca="1">30387.0802127938*((RANDBETWEEN(1587,2416)))</f>
        <v>55577969.70919989</v>
      </c>
      <c r="B1393">
        <v>214941571.29044276</v>
      </c>
    </row>
    <row r="1394" spans="1:2" x14ac:dyDescent="0.25">
      <c r="A1394">
        <f ca="1">28407.7063406667*((RANDBETWEEN(1587,2416)))</f>
        <v>49514632.151782118</v>
      </c>
      <c r="B1394">
        <v>230200274.14374945</v>
      </c>
    </row>
    <row r="1395" spans="1:2" x14ac:dyDescent="0.25">
      <c r="A1395">
        <f ca="1">27746.9166784866*((RANDBETWEEN(1587,2416)))</f>
        <v>63956642.94391156</v>
      </c>
      <c r="B1395">
        <v>230760173.53833684</v>
      </c>
    </row>
    <row r="1396" spans="1:2" x14ac:dyDescent="0.25">
      <c r="A1396">
        <f ca="1">29005.2565968533*((RANDBETWEEN(1587,2416)))</f>
        <v>56444229.337476432</v>
      </c>
      <c r="B1396">
        <v>217354733.43143737</v>
      </c>
    </row>
    <row r="1397" spans="1:2" x14ac:dyDescent="0.25">
      <c r="A1397">
        <f ca="1">28693.0701278865*((RANDBETWEEN(1587,2416)))</f>
        <v>60858001.741247363</v>
      </c>
      <c r="B1397">
        <v>229753956.12090367</v>
      </c>
    </row>
    <row r="1398" spans="1:2" x14ac:dyDescent="0.25">
      <c r="A1398">
        <f ca="1">31257.1419935627*((RANDBETWEEN(1587,2416)))</f>
        <v>55012569.908670403</v>
      </c>
      <c r="B1398">
        <v>266617770.13053548</v>
      </c>
    </row>
    <row r="1399" spans="1:2" x14ac:dyDescent="0.25">
      <c r="A1399">
        <f ca="1">26125.8101774046*((RANDBETWEEN(1587,2416)))</f>
        <v>47339968.041457132</v>
      </c>
      <c r="B1399">
        <v>253046344.36175433</v>
      </c>
    </row>
    <row r="1400" spans="1:2" x14ac:dyDescent="0.25">
      <c r="A1400">
        <f ca="1">26728.2137885599*((RANDBETWEEN(1587,2416)))</f>
        <v>52226929.742845975</v>
      </c>
      <c r="B1400">
        <v>222429374.09305787</v>
      </c>
    </row>
    <row r="1401" spans="1:2" x14ac:dyDescent="0.25">
      <c r="A1401">
        <f ca="1">25728.9186752106*((RANDBETWEEN(1587,2416)))</f>
        <v>47804330.898541324</v>
      </c>
      <c r="B1401">
        <v>212707922.6794292</v>
      </c>
    </row>
    <row r="1402" spans="1:2" x14ac:dyDescent="0.25">
      <c r="A1402">
        <f ca="1">32328.22465292*((RANDBETWEEN(1587,2416)))</f>
        <v>68438851.590231538</v>
      </c>
      <c r="B1402">
        <v>252482172.87343812</v>
      </c>
    </row>
    <row r="1403" spans="1:2" x14ac:dyDescent="0.25">
      <c r="A1403">
        <f ca="1">31396.3117975217*((RANDBETWEEN(1587,2416)))</f>
        <v>74534844.207316503</v>
      </c>
      <c r="B1403">
        <v>209821903.50754064</v>
      </c>
    </row>
    <row r="1404" spans="1:2" x14ac:dyDescent="0.25">
      <c r="A1404">
        <f ca="1">31878.3741891317*((RANDBETWEEN(1587,2416)))</f>
        <v>63916140.249209084</v>
      </c>
      <c r="B1404">
        <v>228952511.07379428</v>
      </c>
    </row>
    <row r="1405" spans="1:2" x14ac:dyDescent="0.25">
      <c r="A1405">
        <f ca="1">27357.4236719281*((RANDBETWEEN(1587,2416)))</f>
        <v>64235230.781687155</v>
      </c>
      <c r="B1405">
        <v>232950411.49041337</v>
      </c>
    </row>
    <row r="1406" spans="1:2" x14ac:dyDescent="0.25">
      <c r="A1406">
        <f ca="1">29015.6852607157*((RANDBETWEEN(1587,2416)))</f>
        <v>56551570.573134981</v>
      </c>
      <c r="B1406">
        <v>219447799.4452883</v>
      </c>
    </row>
    <row r="1407" spans="1:2" x14ac:dyDescent="0.25">
      <c r="A1407">
        <f ca="1">30100.1177980108*((RANDBETWEEN(1587,2416)))</f>
        <v>66792161.393785976</v>
      </c>
      <c r="B1407">
        <v>210049584.82976234</v>
      </c>
    </row>
    <row r="1408" spans="1:2" x14ac:dyDescent="0.25">
      <c r="A1408">
        <f ca="1">28143.3173802061*((RANDBETWEEN(1587,2416)))</f>
        <v>47308916.516126439</v>
      </c>
      <c r="B1408">
        <v>258068799.97051513</v>
      </c>
    </row>
    <row r="1409" spans="1:2" x14ac:dyDescent="0.25">
      <c r="A1409">
        <f ca="1">28324.6518807902*((RANDBETWEEN(1587,2416)))</f>
        <v>52882125.061435312</v>
      </c>
      <c r="B1409">
        <v>243780236.98631433</v>
      </c>
    </row>
    <row r="1410" spans="1:2" x14ac:dyDescent="0.25">
      <c r="A1410">
        <f ca="1">29250.5483846892*((RANDBETWEEN(1587,2416)))</f>
        <v>57360325.382375486</v>
      </c>
      <c r="B1410">
        <v>211315899.4072386</v>
      </c>
    </row>
    <row r="1411" spans="1:2" x14ac:dyDescent="0.25">
      <c r="A1411">
        <f ca="1">26515.1928935072*((RANDBETWEEN(1587,2416)))</f>
        <v>46640224.29967913</v>
      </c>
      <c r="B1411">
        <v>265936430.33780473</v>
      </c>
    </row>
    <row r="1412" spans="1:2" x14ac:dyDescent="0.25">
      <c r="A1412">
        <f ca="1">30106.4433939989*((RANDBETWEEN(1587,2416)))</f>
        <v>60935441.429453678</v>
      </c>
      <c r="B1412">
        <v>205284839.10216567</v>
      </c>
    </row>
    <row r="1413" spans="1:2" x14ac:dyDescent="0.25">
      <c r="A1413">
        <f ca="1">32659.5580203569*((RANDBETWEEN(1587,2416)))</f>
        <v>64306669.742082745</v>
      </c>
      <c r="B1413">
        <v>252703479.81998238</v>
      </c>
    </row>
    <row r="1414" spans="1:2" x14ac:dyDescent="0.25">
      <c r="A1414">
        <f ca="1">30301.4693526461*((RANDBETWEEN(1587,2416)))</f>
        <v>57572791.770027675</v>
      </c>
      <c r="B1414">
        <v>251874951.04685307</v>
      </c>
    </row>
    <row r="1415" spans="1:2" x14ac:dyDescent="0.25">
      <c r="A1415">
        <f ca="1">26898.6731995709*((RANDBETWEEN(1587,2416)))</f>
        <v>59365371.751453049</v>
      </c>
      <c r="B1415">
        <v>249334378.65777189</v>
      </c>
    </row>
    <row r="1416" spans="1:2" x14ac:dyDescent="0.25">
      <c r="A1416">
        <f ca="1">27034.3831950505*((RANDBETWEEN(1587,2416)))</f>
        <v>47202033.058558166</v>
      </c>
      <c r="B1416">
        <v>241700610.07403469</v>
      </c>
    </row>
    <row r="1417" spans="1:2" x14ac:dyDescent="0.25">
      <c r="A1417">
        <f ca="1">31177.2294186605*((RANDBETWEEN(1587,2416)))</f>
        <v>56461962.477194093</v>
      </c>
      <c r="B1417">
        <v>219764553.19550642</v>
      </c>
    </row>
    <row r="1418" spans="1:2" x14ac:dyDescent="0.25">
      <c r="A1418">
        <f ca="1">28769.8203821095*((RANDBETWEEN(1587,2416)))</f>
        <v>50433495.129837908</v>
      </c>
      <c r="B1418">
        <v>226385137.55955133</v>
      </c>
    </row>
    <row r="1419" spans="1:2" x14ac:dyDescent="0.25">
      <c r="A1419">
        <f ca="1">31882.7194093348*((RANDBETWEEN(1587,2416)))</f>
        <v>60927876.791238762</v>
      </c>
      <c r="B1419">
        <v>240192445.65433004</v>
      </c>
    </row>
    <row r="1420" spans="1:2" x14ac:dyDescent="0.25">
      <c r="A1420">
        <f ca="1">30833.3849228479*((RANDBETWEEN(1587,2416)))</f>
        <v>57504262.881111391</v>
      </c>
      <c r="B1420">
        <v>229967663.21466392</v>
      </c>
    </row>
    <row r="1421" spans="1:2" x14ac:dyDescent="0.25">
      <c r="A1421">
        <f ca="1">30830.8244965096*((RANDBETWEEN(1587,2416)))</f>
        <v>60705893.433627397</v>
      </c>
      <c r="B1421">
        <v>260131029.05477348</v>
      </c>
    </row>
    <row r="1422" spans="1:2" x14ac:dyDescent="0.25">
      <c r="A1422">
        <f ca="1">30643.5299086786*((RANDBETWEEN(1587,2416)))</f>
        <v>52982663.212105356</v>
      </c>
      <c r="B1422">
        <v>221966834.97057545</v>
      </c>
    </row>
    <row r="1423" spans="1:2" x14ac:dyDescent="0.25">
      <c r="A1423">
        <f ca="1">29637.9151090321*((RANDBETWEEN(1587,2416)))</f>
        <v>58920175.236755818</v>
      </c>
      <c r="B1423">
        <v>218802378.64716041</v>
      </c>
    </row>
    <row r="1424" spans="1:2" x14ac:dyDescent="0.25">
      <c r="A1424">
        <f ca="1">26584.4962577307*((RANDBETWEEN(1587,2416)))</f>
        <v>52105612.665152229</v>
      </c>
      <c r="B1424">
        <v>237043027.24266478</v>
      </c>
    </row>
    <row r="1425" spans="1:2" x14ac:dyDescent="0.25">
      <c r="A1425">
        <f ca="1">29685.8222834431*((RANDBETWEEN(1587,2416)))</f>
        <v>61390280.482160293</v>
      </c>
      <c r="B1425">
        <v>245220386.88064414</v>
      </c>
    </row>
    <row r="1426" spans="1:2" x14ac:dyDescent="0.25">
      <c r="A1426">
        <f ca="1">31200.7469652812*((RANDBETWEEN(1587,2416)))</f>
        <v>71449710.550493911</v>
      </c>
      <c r="B1426">
        <v>265241387.73356128</v>
      </c>
    </row>
    <row r="1427" spans="1:2" x14ac:dyDescent="0.25">
      <c r="A1427">
        <f ca="1">27672.645690642*((RANDBETWEEN(1587,2416)))</f>
        <v>59966623.211621232</v>
      </c>
      <c r="B1427">
        <v>227158420.76798669</v>
      </c>
    </row>
    <row r="1428" spans="1:2" x14ac:dyDescent="0.25">
      <c r="A1428">
        <f ca="1">27799.8989780726*((RANDBETWEEN(1587,2416)))</f>
        <v>63606168.8618301</v>
      </c>
      <c r="B1428">
        <v>240879864.58872107</v>
      </c>
    </row>
    <row r="1429" spans="1:2" x14ac:dyDescent="0.25">
      <c r="A1429">
        <f ca="1">30982.0887709856*((RANDBETWEEN(1587,2416)))</f>
        <v>61003732.790070631</v>
      </c>
      <c r="B1429">
        <v>225391944.87436652</v>
      </c>
    </row>
    <row r="1430" spans="1:2" x14ac:dyDescent="0.25">
      <c r="A1430">
        <f ca="1">28949.4683454723*((RANDBETWEEN(1587,2416)))</f>
        <v>63920426.106802732</v>
      </c>
      <c r="B1430">
        <v>237514470.19042563</v>
      </c>
    </row>
    <row r="1431" spans="1:2" x14ac:dyDescent="0.25">
      <c r="A1431">
        <f ca="1">30249.9520036684*((RANDBETWEEN(1587,2416)))</f>
        <v>71147887.112628177</v>
      </c>
      <c r="B1431">
        <v>256247372.45730251</v>
      </c>
    </row>
    <row r="1432" spans="1:2" x14ac:dyDescent="0.25">
      <c r="A1432">
        <f ca="1">30518.3603528562*((RANDBETWEEN(1587,2416)))</f>
        <v>67659204.902282178</v>
      </c>
      <c r="B1432">
        <v>249542397.03148699</v>
      </c>
    </row>
    <row r="1433" spans="1:2" x14ac:dyDescent="0.25">
      <c r="A1433">
        <f ca="1">33235.8039352563*((RANDBETWEEN(1587,2416)))</f>
        <v>59857682.887396567</v>
      </c>
      <c r="B1433">
        <v>266522203.91269672</v>
      </c>
    </row>
    <row r="1434" spans="1:2" x14ac:dyDescent="0.25">
      <c r="A1434">
        <f ca="1">26906.7877757239*((RANDBETWEEN(1587,2416)))</f>
        <v>61105315.038668975</v>
      </c>
      <c r="B1434">
        <v>222542137.9676947</v>
      </c>
    </row>
    <row r="1435" spans="1:2" x14ac:dyDescent="0.25">
      <c r="A1435">
        <f ca="1">26886.9015049256*((RANDBETWEEN(1587,2416)))</f>
        <v>51757285.396981768</v>
      </c>
      <c r="B1435">
        <v>238114834.61102599</v>
      </c>
    </row>
    <row r="1436" spans="1:2" x14ac:dyDescent="0.25">
      <c r="A1436">
        <f ca="1">27919.5617981085*((RANDBETWEEN(1587,2416)))</f>
        <v>56620871.326563954</v>
      </c>
      <c r="B1436">
        <v>209793467.21949732</v>
      </c>
    </row>
    <row r="1437" spans="1:2" x14ac:dyDescent="0.25">
      <c r="A1437">
        <f ca="1">31197.4578800496*((RANDBETWEEN(1587,2416)))</f>
        <v>68135248.010028347</v>
      </c>
      <c r="B1437">
        <v>249854775.63955975</v>
      </c>
    </row>
    <row r="1438" spans="1:2" x14ac:dyDescent="0.25">
      <c r="A1438">
        <f ca="1">29311.6583138793*((RANDBETWEEN(1587,2416)))</f>
        <v>63137312.00809598</v>
      </c>
      <c r="B1438">
        <v>216589207.67206371</v>
      </c>
    </row>
    <row r="1439" spans="1:2" x14ac:dyDescent="0.25">
      <c r="A1439">
        <f ca="1">29678.6876449363*((RANDBETWEEN(1587,2416)))</f>
        <v>51848667.315703638</v>
      </c>
      <c r="B1439">
        <v>236184099.29674944</v>
      </c>
    </row>
    <row r="1440" spans="1:2" x14ac:dyDescent="0.25">
      <c r="A1440">
        <f ca="1">30786.8517667746*((RANDBETWEEN(1587,2416)))</f>
        <v>51013813.377545461</v>
      </c>
      <c r="B1440">
        <v>252682168.7677919</v>
      </c>
    </row>
    <row r="1441" spans="1:2" x14ac:dyDescent="0.25">
      <c r="A1441">
        <f ca="1">32428.3652256128*((RANDBETWEEN(1587,2416)))</f>
        <v>65959294.868896529</v>
      </c>
      <c r="B1441">
        <v>214395141.8431195</v>
      </c>
    </row>
    <row r="1442" spans="1:2" x14ac:dyDescent="0.25">
      <c r="A1442">
        <f ca="1">27839.0318984344*((RANDBETWEEN(1587,2416)))</f>
        <v>44598129.101291828</v>
      </c>
      <c r="B1442">
        <v>238845923.14779425</v>
      </c>
    </row>
    <row r="1443" spans="1:2" x14ac:dyDescent="0.25">
      <c r="A1443">
        <f ca="1">26677.4642023675*((RANDBETWEEN(1587,2416)))</f>
        <v>61918394.413694955</v>
      </c>
      <c r="B1443">
        <v>205236521.47562695</v>
      </c>
    </row>
    <row r="1444" spans="1:2" x14ac:dyDescent="0.25">
      <c r="A1444">
        <f ca="1">32143.2221639445*((RANDBETWEEN(1587,2416)))</f>
        <v>52136306.349917896</v>
      </c>
      <c r="B1444">
        <v>224516161.22030279</v>
      </c>
    </row>
    <row r="1445" spans="1:2" x14ac:dyDescent="0.25">
      <c r="A1445">
        <f ca="1">29518.0218397506*((RANDBETWEEN(1587,2416)))</f>
        <v>66858319.467035212</v>
      </c>
      <c r="B1445">
        <v>220857892.89497015</v>
      </c>
    </row>
    <row r="1446" spans="1:2" x14ac:dyDescent="0.25">
      <c r="A1446">
        <f ca="1">29406.8991275687*((RANDBETWEEN(1587,2416)))</f>
        <v>57137605.004865892</v>
      </c>
      <c r="B1446">
        <v>240875965.00337732</v>
      </c>
    </row>
    <row r="1447" spans="1:2" x14ac:dyDescent="0.25">
      <c r="A1447">
        <f ca="1">29226.9479256829*((RANDBETWEEN(1587,2416)))</f>
        <v>55005115.996135302</v>
      </c>
      <c r="B1447">
        <v>239820057.11729753</v>
      </c>
    </row>
    <row r="1448" spans="1:2" x14ac:dyDescent="0.25">
      <c r="A1448">
        <f ca="1">26797.0338451389*((RANDBETWEEN(1587,2416)))</f>
        <v>59167850.730066784</v>
      </c>
      <c r="B1448">
        <v>228426652.42021781</v>
      </c>
    </row>
    <row r="1449" spans="1:2" x14ac:dyDescent="0.25">
      <c r="A1449">
        <f ca="1">31248.3589426321*((RANDBETWEEN(1587,2416)))</f>
        <v>56747019.83981996</v>
      </c>
      <c r="B1449">
        <v>241665416.43588915</v>
      </c>
    </row>
    <row r="1450" spans="1:2" x14ac:dyDescent="0.25">
      <c r="A1450">
        <f ca="1">29009.2939149147*((RANDBETWEEN(1587,2416)))</f>
        <v>57351374.069786273</v>
      </c>
      <c r="B1450">
        <v>259806792.17960632</v>
      </c>
    </row>
    <row r="1451" spans="1:2" x14ac:dyDescent="0.25">
      <c r="A1451">
        <f ca="1">30079.4489189844*((RANDBETWEEN(1587,2416)))</f>
        <v>51826890.487410173</v>
      </c>
      <c r="B1451">
        <v>248898663.08588877</v>
      </c>
    </row>
    <row r="1452" spans="1:2" x14ac:dyDescent="0.25">
      <c r="A1452">
        <f ca="1">31748.0140462822*((RANDBETWEEN(1587,2416)))</f>
        <v>61845131.362157673</v>
      </c>
      <c r="B1452">
        <v>209723294.49057251</v>
      </c>
    </row>
    <row r="1453" spans="1:2" x14ac:dyDescent="0.25">
      <c r="A1453">
        <f ca="1">25293.7084700214*((RANDBETWEEN(1587,2416)))</f>
        <v>46869241.794949599</v>
      </c>
      <c r="B1453">
        <v>214958363.90627074</v>
      </c>
    </row>
    <row r="1454" spans="1:2" x14ac:dyDescent="0.25">
      <c r="A1454">
        <f ca="1">27777.8163319846*((RANDBETWEEN(1587,2416)))</f>
        <v>60166750.175078541</v>
      </c>
      <c r="B1454">
        <v>241188530.94804764</v>
      </c>
    </row>
    <row r="1455" spans="1:2" x14ac:dyDescent="0.25">
      <c r="A1455">
        <f ca="1">26891.0460656676*((RANDBETWEEN(1587,2416)))</f>
        <v>63247740.34645018</v>
      </c>
      <c r="B1455">
        <v>222476502.53693557</v>
      </c>
    </row>
    <row r="1456" spans="1:2" x14ac:dyDescent="0.25">
      <c r="A1456">
        <f ca="1">29954.0467563402*((RANDBETWEEN(1587,2416)))</f>
        <v>56343561.94867599</v>
      </c>
      <c r="B1456">
        <v>223674691.79447854</v>
      </c>
    </row>
    <row r="1457" spans="1:2" x14ac:dyDescent="0.25">
      <c r="A1457">
        <f ca="1">27085.3107061583*((RANDBETWEEN(1587,2416)))</f>
        <v>63244200.498879559</v>
      </c>
      <c r="B1457">
        <v>238919707.09956431</v>
      </c>
    </row>
    <row r="1458" spans="1:2" x14ac:dyDescent="0.25">
      <c r="A1458">
        <f ca="1">32877.8520495471*((RANDBETWEEN(1587,2416)))</f>
        <v>77854753.653327644</v>
      </c>
      <c r="B1458">
        <v>217389021.42938912</v>
      </c>
    </row>
    <row r="1459" spans="1:2" x14ac:dyDescent="0.25">
      <c r="A1459">
        <f ca="1">30189.0240030197*((RANDBETWEEN(1587,2416)))</f>
        <v>58264816.325828038</v>
      </c>
      <c r="B1459">
        <v>263269948.51956302</v>
      </c>
    </row>
    <row r="1460" spans="1:2" x14ac:dyDescent="0.25">
      <c r="A1460">
        <f ca="1">29194.9762238484*((RANDBETWEEN(1587,2416)))</f>
        <v>61688984.760991611</v>
      </c>
      <c r="B1460">
        <v>219223416.83417699</v>
      </c>
    </row>
    <row r="1461" spans="1:2" x14ac:dyDescent="0.25">
      <c r="A1461">
        <f ca="1">32123.4807518359*((RANDBETWEEN(1587,2416)))</f>
        <v>71217756.82682021</v>
      </c>
      <c r="B1461">
        <v>261004412.39105666</v>
      </c>
    </row>
    <row r="1462" spans="1:2" x14ac:dyDescent="0.25">
      <c r="A1462">
        <f ca="1">28756.813185595*((RANDBETWEEN(1587,2416)))</f>
        <v>49461718.679223441</v>
      </c>
      <c r="B1462">
        <v>239462071.51676434</v>
      </c>
    </row>
    <row r="1463" spans="1:2" x14ac:dyDescent="0.25">
      <c r="A1463">
        <f ca="1">33632.6880820564*((RANDBETWEEN(1587,2416)))</f>
        <v>69586031.641774639</v>
      </c>
      <c r="B1463">
        <v>203906812.55273214</v>
      </c>
    </row>
    <row r="1464" spans="1:2" x14ac:dyDescent="0.25">
      <c r="A1464">
        <f ca="1">27869.6309214271*((RANDBETWEEN(1587,2416)))</f>
        <v>56770438.186946914</v>
      </c>
      <c r="B1464">
        <v>207673977.20557994</v>
      </c>
    </row>
    <row r="1465" spans="1:2" x14ac:dyDescent="0.25">
      <c r="A1465">
        <f ca="1">33586.0799588437*((RANDBETWEEN(1587,2416)))</f>
        <v>70631526.153448373</v>
      </c>
      <c r="B1465">
        <v>225705119.09216988</v>
      </c>
    </row>
    <row r="1466" spans="1:2" x14ac:dyDescent="0.25">
      <c r="A1466">
        <f ca="1">28394.8303416188*((RANDBETWEEN(1587,2416)))</f>
        <v>66443902.999387987</v>
      </c>
      <c r="B1466">
        <v>237060194.23092833</v>
      </c>
    </row>
    <row r="1467" spans="1:2" x14ac:dyDescent="0.25">
      <c r="A1467">
        <f ca="1">32150.7662803137*((RANDBETWEEN(1587,2416)))</f>
        <v>68063172.215424061</v>
      </c>
      <c r="B1467">
        <v>248574503.04165518</v>
      </c>
    </row>
    <row r="1468" spans="1:2" x14ac:dyDescent="0.25">
      <c r="A1468">
        <f ca="1">31632.6615151385*((RANDBETWEEN(1587,2416)))</f>
        <v>57191852.01937034</v>
      </c>
      <c r="B1468">
        <v>217586147.73334506</v>
      </c>
    </row>
    <row r="1469" spans="1:2" x14ac:dyDescent="0.25">
      <c r="A1469">
        <f ca="1">33237.3704950853*((RANDBETWEEN(1587,2416)))</f>
        <v>64414024.019475251</v>
      </c>
      <c r="B1469">
        <v>221514823.29339951</v>
      </c>
    </row>
    <row r="1470" spans="1:2" x14ac:dyDescent="0.25">
      <c r="A1470">
        <f ca="1">32144.1882995602*((RANDBETWEEN(1587,2416)))</f>
        <v>55641589.946538627</v>
      </c>
      <c r="B1470">
        <v>218201822.48515552</v>
      </c>
    </row>
    <row r="1471" spans="1:2" x14ac:dyDescent="0.25">
      <c r="A1471">
        <f ca="1">32297.545334545*((RANDBETWEEN(1587,2416)))</f>
        <v>68277010.837228179</v>
      </c>
      <c r="B1471">
        <v>254248126.12498936</v>
      </c>
    </row>
    <row r="1472" spans="1:2" x14ac:dyDescent="0.25">
      <c r="A1472">
        <f ca="1">28547.151189785*((RANDBETWEEN(1587,2416)))</f>
        <v>48672892.778583445</v>
      </c>
      <c r="B1472">
        <v>252035488.51725006</v>
      </c>
    </row>
    <row r="1473" spans="1:2" x14ac:dyDescent="0.25">
      <c r="A1473">
        <f ca="1">29711.8473830517*((RANDBETWEEN(1587,2416)))</f>
        <v>61265829.30385261</v>
      </c>
      <c r="B1473">
        <v>206663394.77211392</v>
      </c>
    </row>
    <row r="1474" spans="1:2" x14ac:dyDescent="0.25">
      <c r="A1474">
        <f ca="1">28322.0495448136*((RANDBETWEEN(1587,2416)))</f>
        <v>57833625.170509398</v>
      </c>
      <c r="B1474">
        <v>247711269.94387168</v>
      </c>
    </row>
    <row r="1475" spans="1:2" x14ac:dyDescent="0.25">
      <c r="A1475">
        <f ca="1">28761.0458727228*((RANDBETWEEN(1587,2416)))</f>
        <v>50792007.011228524</v>
      </c>
      <c r="B1475">
        <v>234841993.75666946</v>
      </c>
    </row>
    <row r="1476" spans="1:2" x14ac:dyDescent="0.25">
      <c r="A1476">
        <f ca="1">32061.8534801799*((RANDBETWEEN(1587,2416)))</f>
        <v>52966181.94925724</v>
      </c>
      <c r="B1476">
        <v>264011338.76216552</v>
      </c>
    </row>
    <row r="1477" spans="1:2" x14ac:dyDescent="0.25">
      <c r="A1477">
        <f ca="1">30033.08055717*((RANDBETWEEN(1587,2416)))</f>
        <v>66853637.320260331</v>
      </c>
      <c r="B1477">
        <v>253366578.50113022</v>
      </c>
    </row>
    <row r="1478" spans="1:2" x14ac:dyDescent="0.25">
      <c r="A1478">
        <f ca="1">30396.8711799773*((RANDBETWEEN(1587,2416)))</f>
        <v>72101378.438906178</v>
      </c>
      <c r="B1478">
        <v>233112695.5752376</v>
      </c>
    </row>
    <row r="1479" spans="1:2" x14ac:dyDescent="0.25">
      <c r="A1479">
        <f ca="1">30574.6868728564*((RANDBETWEEN(1587,2416)))</f>
        <v>63687072.756159976</v>
      </c>
      <c r="B1479">
        <v>229921502.38593256</v>
      </c>
    </row>
    <row r="1480" spans="1:2" x14ac:dyDescent="0.25">
      <c r="A1480">
        <f ca="1">26694.1762312975*((RANDBETWEEN(1587,2416)))</f>
        <v>62891479.200936876</v>
      </c>
      <c r="B1480">
        <v>243687335.69917578</v>
      </c>
    </row>
    <row r="1481" spans="1:2" x14ac:dyDescent="0.25">
      <c r="A1481">
        <f ca="1">26928.6873331175*((RANDBETWEEN(1587,2416)))</f>
        <v>49171783.070272483</v>
      </c>
      <c r="B1481">
        <v>255031090.46723393</v>
      </c>
    </row>
    <row r="1482" spans="1:2" x14ac:dyDescent="0.25">
      <c r="A1482">
        <f ca="1">29865.9542072029*((RANDBETWEEN(1587,2416)))</f>
        <v>52534213.450469851</v>
      </c>
      <c r="B1482">
        <v>240671647.21200389</v>
      </c>
    </row>
    <row r="1483" spans="1:2" x14ac:dyDescent="0.25">
      <c r="A1483">
        <f ca="1">32381.8350239196*((RANDBETWEEN(1587,2416)))</f>
        <v>76874476.346785143</v>
      </c>
      <c r="B1483">
        <v>215996117.82219887</v>
      </c>
    </row>
    <row r="1484" spans="1:2" x14ac:dyDescent="0.25">
      <c r="A1484">
        <f ca="1">27443.3745514034*((RANDBETWEEN(1587,2416)))</f>
        <v>57823190.179806903</v>
      </c>
      <c r="B1484">
        <v>211951046.49156511</v>
      </c>
    </row>
    <row r="1485" spans="1:2" x14ac:dyDescent="0.25">
      <c r="A1485">
        <f ca="1">28244.8620942682*((RANDBETWEEN(1587,2416)))</f>
        <v>65838773.541739121</v>
      </c>
      <c r="B1485">
        <v>219682992.2399638</v>
      </c>
    </row>
    <row r="1486" spans="1:2" x14ac:dyDescent="0.25">
      <c r="A1486">
        <f ca="1">31374.215066567*((RANDBETWEEN(1587,2416)))</f>
        <v>58920775.895012818</v>
      </c>
      <c r="B1486">
        <v>206664985.55051264</v>
      </c>
    </row>
    <row r="1487" spans="1:2" x14ac:dyDescent="0.25">
      <c r="A1487">
        <f ca="1">26019.7821303455*((RANDBETWEEN(1587,2416)))</f>
        <v>61823002.341700934</v>
      </c>
      <c r="B1487">
        <v>232251955.47316685</v>
      </c>
    </row>
    <row r="1488" spans="1:2" x14ac:dyDescent="0.25">
      <c r="A1488">
        <f ca="1">31885.3745291457*((RANDBETWEEN(1587,2416)))</f>
        <v>65269361.661161229</v>
      </c>
      <c r="B1488">
        <v>250118753.08730984</v>
      </c>
    </row>
    <row r="1489" spans="1:2" x14ac:dyDescent="0.25">
      <c r="A1489">
        <f ca="1">25082.2230256631*((RANDBETWEEN(1587,2416)))</f>
        <v>50866748.296044834</v>
      </c>
      <c r="B1489">
        <v>266467021.58028802</v>
      </c>
    </row>
    <row r="1490" spans="1:2" x14ac:dyDescent="0.25">
      <c r="A1490">
        <f ca="1">26216.2295579886*((RANDBETWEEN(1587,2416)))</f>
        <v>51960566.983933419</v>
      </c>
      <c r="B1490">
        <v>229596170.11148578</v>
      </c>
    </row>
    <row r="1491" spans="1:2" x14ac:dyDescent="0.25">
      <c r="A1491">
        <f ca="1">35222.5007105998*((RANDBETWEEN(1587,2416)))</f>
        <v>75904489.03134267</v>
      </c>
      <c r="B1491">
        <v>239640287.63246644</v>
      </c>
    </row>
    <row r="1492" spans="1:2" x14ac:dyDescent="0.25">
      <c r="A1492">
        <f ca="1">32281.5692447288*((RANDBETWEEN(1587,2416)))</f>
        <v>68210955.814111918</v>
      </c>
      <c r="B1492">
        <v>253765831.36330378</v>
      </c>
    </row>
    <row r="1493" spans="1:2" x14ac:dyDescent="0.25">
      <c r="A1493">
        <f ca="1">28965.694108108*((RANDBETWEEN(1587,2416)))</f>
        <v>54078950.899837628</v>
      </c>
      <c r="B1493">
        <v>204911162.95278567</v>
      </c>
    </row>
    <row r="1494" spans="1:2" x14ac:dyDescent="0.25">
      <c r="A1494">
        <f ca="1">29205.4728504187*((RANDBETWEEN(1587,2416)))</f>
        <v>47342071.490528747</v>
      </c>
      <c r="B1494">
        <v>214008756.67182139</v>
      </c>
    </row>
    <row r="1495" spans="1:2" x14ac:dyDescent="0.25">
      <c r="A1495">
        <f ca="1">29909.2811478839*((RANDBETWEEN(1587,2416)))</f>
        <v>66847243.365520678</v>
      </c>
      <c r="B1495">
        <v>219457535.9373306</v>
      </c>
    </row>
    <row r="1496" spans="1:2" x14ac:dyDescent="0.25">
      <c r="A1496">
        <f ca="1">30096.0948031888*((RANDBETWEEN(1587,2416)))</f>
        <v>50531343.174553931</v>
      </c>
      <c r="B1496">
        <v>233820409.65581653</v>
      </c>
    </row>
    <row r="1497" spans="1:2" x14ac:dyDescent="0.25">
      <c r="A1497">
        <f ca="1">29035.1295916588*((RANDBETWEEN(1587,2416)))</f>
        <v>47036909.938487269</v>
      </c>
      <c r="B1497">
        <v>206379115.48844558</v>
      </c>
    </row>
    <row r="1498" spans="1:2" x14ac:dyDescent="0.25">
      <c r="A1498">
        <f ca="1">27620.8134039303*((RANDBETWEEN(1587,2416)))</f>
        <v>51761404.31896542</v>
      </c>
      <c r="B1498">
        <v>229807825.91303942</v>
      </c>
    </row>
    <row r="1499" spans="1:2" x14ac:dyDescent="0.25">
      <c r="A1499">
        <f ca="1">26355.9730022637*((RANDBETWEEN(1587,2416)))</f>
        <v>43460999.480732828</v>
      </c>
      <c r="B1499">
        <v>239826293.41748035</v>
      </c>
    </row>
    <row r="1500" spans="1:2" x14ac:dyDescent="0.25">
      <c r="A1500">
        <f ca="1">31985.2499701861*((RANDBETWEEN(1587,2416)))</f>
        <v>65857629.688613243</v>
      </c>
      <c r="B1500">
        <v>233896806.02432975</v>
      </c>
    </row>
    <row r="1501" spans="1:2" x14ac:dyDescent="0.25">
      <c r="A1501">
        <f ca="1">30242.172711946*((RANDBETWEEN(1587,2416)))</f>
        <v>59667806.760669388</v>
      </c>
      <c r="B1501">
        <v>214846647.69196376</v>
      </c>
    </row>
    <row r="1502" spans="1:2" x14ac:dyDescent="0.25">
      <c r="A1502">
        <f ca="1">28681.6292164399*((RANDBETWEEN(1587,2416)))</f>
        <v>55212136.241646737</v>
      </c>
      <c r="B1502">
        <v>219510349.68880236</v>
      </c>
    </row>
    <row r="1503" spans="1:2" x14ac:dyDescent="0.25">
      <c r="A1503">
        <f ca="1">26947.6152167464*((RANDBETWEEN(1587,2416)))</f>
        <v>43412608.114178434</v>
      </c>
      <c r="B1503">
        <v>257286885.00529164</v>
      </c>
    </row>
    <row r="1504" spans="1:2" x14ac:dyDescent="0.25">
      <c r="A1504">
        <f ca="1">31630.7605695041*((RANDBETWEEN(1587,2416)))</f>
        <v>53234570.038475335</v>
      </c>
      <c r="B1504">
        <v>241401288.45799345</v>
      </c>
    </row>
    <row r="1505" spans="1:2" x14ac:dyDescent="0.25">
      <c r="A1505">
        <f ca="1">26043.0803100238*((RANDBETWEEN(1587,2416)))</f>
        <v>58883404.58096382</v>
      </c>
      <c r="B1505">
        <v>248490009.18670556</v>
      </c>
    </row>
    <row r="1506" spans="1:2" x14ac:dyDescent="0.25">
      <c r="A1506">
        <f ca="1">29656.979827565*((RANDBETWEEN(1587,2416)))</f>
        <v>71265722.525638685</v>
      </c>
      <c r="B1506">
        <v>229189870.45265299</v>
      </c>
    </row>
    <row r="1507" spans="1:2" x14ac:dyDescent="0.25">
      <c r="A1507">
        <f ca="1">26259.9702245618*((RANDBETWEEN(1587,2416)))</f>
        <v>55145937.471579701</v>
      </c>
      <c r="B1507">
        <v>208364561.51831862</v>
      </c>
    </row>
    <row r="1508" spans="1:2" x14ac:dyDescent="0.25">
      <c r="A1508">
        <f ca="1">33593.0516586305*((RANDBETWEEN(1587,2416)))</f>
        <v>59997190.262314118</v>
      </c>
      <c r="B1508">
        <v>256256595.88772634</v>
      </c>
    </row>
    <row r="1509" spans="1:2" x14ac:dyDescent="0.25">
      <c r="A1509">
        <f ca="1">26969.8369210406*((RANDBETWEEN(1587,2416)))</f>
        <v>57041205.088000908</v>
      </c>
      <c r="B1509">
        <v>231729371.48424619</v>
      </c>
    </row>
    <row r="1510" spans="1:2" x14ac:dyDescent="0.25">
      <c r="A1510">
        <f ca="1">32343.2408446479*((RANDBETWEEN(1587,2416)))</f>
        <v>72545889.214545146</v>
      </c>
      <c r="B1510">
        <v>227126251.35386798</v>
      </c>
    </row>
    <row r="1511" spans="1:2" x14ac:dyDescent="0.25">
      <c r="A1511">
        <f ca="1">28603.7364914693*((RANDBETWEEN(1587,2416)))</f>
        <v>56034719.786788374</v>
      </c>
      <c r="B1511">
        <v>220881599.27085245</v>
      </c>
    </row>
    <row r="1512" spans="1:2" x14ac:dyDescent="0.25">
      <c r="A1512">
        <f ca="1">31506.5939219182*((RANDBETWEEN(1587,2416)))</f>
        <v>50347537.087225243</v>
      </c>
      <c r="B1512">
        <v>212844479.42075732</v>
      </c>
    </row>
    <row r="1513" spans="1:2" x14ac:dyDescent="0.25">
      <c r="A1513">
        <f ca="1">32906.3798470273*((RANDBETWEEN(1587,2416)))</f>
        <v>67589704.205794096</v>
      </c>
      <c r="B1513">
        <v>212452543.11190531</v>
      </c>
    </row>
    <row r="1514" spans="1:2" x14ac:dyDescent="0.25">
      <c r="A1514">
        <f ca="1">27770.958141191*((RANDBETWEEN(1587,2416)))</f>
        <v>44739013.565458655</v>
      </c>
      <c r="B1514">
        <v>215486937.78308189</v>
      </c>
    </row>
    <row r="1515" spans="1:2" x14ac:dyDescent="0.25">
      <c r="A1515">
        <f ca="1">32685.2980881963*((RANDBETWEEN(1587,2416)))</f>
        <v>70208020.293445602</v>
      </c>
      <c r="B1515">
        <v>218587468.12077582</v>
      </c>
    </row>
    <row r="1516" spans="1:2" x14ac:dyDescent="0.25">
      <c r="A1516">
        <f ca="1">27200.7470743689*((RANDBETWEEN(1587,2416)))</f>
        <v>46975690.197435148</v>
      </c>
      <c r="B1516">
        <v>249124519.9071674</v>
      </c>
    </row>
    <row r="1517" spans="1:2" x14ac:dyDescent="0.25">
      <c r="A1517">
        <f ca="1">27684.4543603435*((RANDBETWEEN(1587,2416)))</f>
        <v>59687683.60090062</v>
      </c>
      <c r="B1517">
        <v>210602372.34578726</v>
      </c>
    </row>
    <row r="1518" spans="1:2" x14ac:dyDescent="0.25">
      <c r="A1518">
        <f ca="1">33030.5271304694*((RANDBETWEEN(1587,2416)))</f>
        <v>69991686.989464626</v>
      </c>
      <c r="B1518">
        <v>220154743.66036367</v>
      </c>
    </row>
    <row r="1519" spans="1:2" x14ac:dyDescent="0.25">
      <c r="A1519">
        <f ca="1">30769.275996321*((RANDBETWEEN(1587,2416)))</f>
        <v>54184695.029521234</v>
      </c>
      <c r="B1519">
        <v>257440520.78061259</v>
      </c>
    </row>
    <row r="1520" spans="1:2" x14ac:dyDescent="0.25">
      <c r="A1520">
        <f ca="1">29933.7799180587*((RANDBETWEEN(1587,2416)))</f>
        <v>51545969.018897109</v>
      </c>
      <c r="B1520">
        <v>267052269.46523845</v>
      </c>
    </row>
    <row r="1521" spans="1:2" x14ac:dyDescent="0.25">
      <c r="A1521">
        <f ca="1">27489.3717294097*((RANDBETWEEN(1587,2416)))</f>
        <v>58854744.87266621</v>
      </c>
      <c r="B1521">
        <v>231292080.08700356</v>
      </c>
    </row>
    <row r="1522" spans="1:2" x14ac:dyDescent="0.25">
      <c r="A1522">
        <f ca="1">27398.5999488549*((RANDBETWEEN(1587,2416)))</f>
        <v>45673466.114741065</v>
      </c>
      <c r="B1522">
        <v>207389966.98825032</v>
      </c>
    </row>
    <row r="1523" spans="1:2" x14ac:dyDescent="0.25">
      <c r="A1523">
        <f ca="1">29307.2548784401*((RANDBETWEEN(1587,2416)))</f>
        <v>57061225.248322926</v>
      </c>
      <c r="B1523">
        <v>246836569.74987954</v>
      </c>
    </row>
    <row r="1524" spans="1:2" x14ac:dyDescent="0.25">
      <c r="A1524">
        <f ca="1">27351.1096049485*((RANDBETWEEN(1587,2416)))</f>
        <v>50462797.221129946</v>
      </c>
      <c r="B1524">
        <v>214110825.02292123</v>
      </c>
    </row>
    <row r="1525" spans="1:2" x14ac:dyDescent="0.25">
      <c r="A1525">
        <f ca="1">31381.7050680853*((RANDBETWEEN(1587,2416)))</f>
        <v>72554502.117413148</v>
      </c>
      <c r="B1525">
        <v>242468280.31671494</v>
      </c>
    </row>
    <row r="1526" spans="1:2" x14ac:dyDescent="0.25">
      <c r="A1526">
        <f ca="1">31666.943187025*((RANDBETWEEN(1587,2416)))</f>
        <v>73435641.250710919</v>
      </c>
      <c r="B1526">
        <v>228020383.74166161</v>
      </c>
    </row>
    <row r="1527" spans="1:2" x14ac:dyDescent="0.25">
      <c r="A1527">
        <f ca="1">28310.0619448524*((RANDBETWEEN(1587,2416)))</f>
        <v>65169762.597050168</v>
      </c>
      <c r="B1527">
        <v>224138689.64822116</v>
      </c>
    </row>
    <row r="1528" spans="1:2" x14ac:dyDescent="0.25">
      <c r="A1528">
        <f ca="1">25898.2815726655*((RANDBETWEEN(1587,2416)))</f>
        <v>58659607.762087382</v>
      </c>
      <c r="B1528">
        <v>207349691.60160905</v>
      </c>
    </row>
    <row r="1529" spans="1:2" x14ac:dyDescent="0.25">
      <c r="A1529">
        <f ca="1">32629.9182881205*((RANDBETWEEN(1587,2416)))</f>
        <v>60202199.241582237</v>
      </c>
      <c r="B1529">
        <v>242265520.50676653</v>
      </c>
    </row>
    <row r="1530" spans="1:2" x14ac:dyDescent="0.25">
      <c r="A1530">
        <f ca="1">31062.1470001123*((RANDBETWEEN(1587,2416)))</f>
        <v>58458960.654211327</v>
      </c>
      <c r="B1530">
        <v>251996318.92854607</v>
      </c>
    </row>
    <row r="1531" spans="1:2" x14ac:dyDescent="0.25">
      <c r="A1531">
        <f ca="1">27395.4438106639*((RANDBETWEEN(1587,2416)))</f>
        <v>56544196.025210194</v>
      </c>
      <c r="B1531">
        <v>210146087.32897973</v>
      </c>
    </row>
    <row r="1532" spans="1:2" x14ac:dyDescent="0.25">
      <c r="A1532">
        <f ca="1">29491.711874757*((RANDBETWEEN(1587,2416)))</f>
        <v>68214329.566312894</v>
      </c>
      <c r="B1532">
        <v>266340869.04419968</v>
      </c>
    </row>
    <row r="1533" spans="1:2" x14ac:dyDescent="0.25">
      <c r="A1533">
        <f ca="1">35281.6807218756*((RANDBETWEEN(1587,2416)))</f>
        <v>77302162.461629465</v>
      </c>
      <c r="B1533">
        <v>236110924.35162222</v>
      </c>
    </row>
    <row r="1534" spans="1:2" x14ac:dyDescent="0.25">
      <c r="A1534">
        <f ca="1">27011.9644933841*((RANDBETWEEN(1587,2416)))</f>
        <v>61668314.938395835</v>
      </c>
      <c r="B1534">
        <v>213447997.86745754</v>
      </c>
    </row>
    <row r="1535" spans="1:2" x14ac:dyDescent="0.25">
      <c r="A1535">
        <f ca="1">31287.4428441822*((RANDBETWEEN(1587,2416)))</f>
        <v>63763808.516443305</v>
      </c>
      <c r="B1535">
        <v>241105414.51404136</v>
      </c>
    </row>
    <row r="1536" spans="1:2" x14ac:dyDescent="0.25">
      <c r="A1536">
        <f ca="1">28470.2769871952*((RANDBETWEEN(1587,2416)))</f>
        <v>64769880.145869046</v>
      </c>
      <c r="B1536">
        <v>256974257.07778108</v>
      </c>
    </row>
    <row r="1537" spans="1:2" x14ac:dyDescent="0.25">
      <c r="A1537">
        <f ca="1">26812.6860527974*((RANDBETWEEN(1587,2416)))</f>
        <v>48665025.185827248</v>
      </c>
      <c r="B1537">
        <v>213432352.54286286</v>
      </c>
    </row>
    <row r="1538" spans="1:2" x14ac:dyDescent="0.25">
      <c r="A1538">
        <f ca="1">26444.6752268776*((RANDBETWEEN(1587,2416)))</f>
        <v>57570057.968912609</v>
      </c>
      <c r="B1538">
        <v>209857901.03537649</v>
      </c>
    </row>
    <row r="1539" spans="1:2" x14ac:dyDescent="0.25">
      <c r="A1539">
        <f ca="1">30462.4105543318*((RANDBETWEEN(1587,2416)))</f>
        <v>58396441.032654077</v>
      </c>
      <c r="B1539">
        <v>212002659.64879996</v>
      </c>
    </row>
    <row r="1540" spans="1:2" x14ac:dyDescent="0.25">
      <c r="A1540">
        <f ca="1">26348.7648828235*((RANDBETWEEN(1587,2416)))</f>
        <v>53356248.887717538</v>
      </c>
      <c r="B1540">
        <v>260602720.84695652</v>
      </c>
    </row>
    <row r="1541" spans="1:2" x14ac:dyDescent="0.25">
      <c r="A1541">
        <f ca="1">31752.7860371621*((RANDBETWEEN(1587,2416)))</f>
        <v>59790496.107976317</v>
      </c>
      <c r="B1541">
        <v>222606916.08477125</v>
      </c>
    </row>
    <row r="1542" spans="1:2" x14ac:dyDescent="0.25">
      <c r="A1542">
        <f ca="1">26999.7075985727*((RANDBETWEEN(1587,2416)))</f>
        <v>53135424.55399099</v>
      </c>
      <c r="B1542">
        <v>212782382.53815615</v>
      </c>
    </row>
    <row r="1543" spans="1:2" x14ac:dyDescent="0.25">
      <c r="A1543">
        <f ca="1">30971.7789921694*((RANDBETWEEN(1587,2416)))</f>
        <v>53240488.087539211</v>
      </c>
      <c r="B1543">
        <v>216272809.36678097</v>
      </c>
    </row>
    <row r="1544" spans="1:2" x14ac:dyDescent="0.25">
      <c r="A1544">
        <f ca="1">33864.8048840017*((RANDBETWEEN(1587,2416)))</f>
        <v>78430888.111348018</v>
      </c>
      <c r="B1544">
        <v>210641463.26332211</v>
      </c>
    </row>
    <row r="1545" spans="1:2" x14ac:dyDescent="0.25">
      <c r="A1545">
        <f ca="1">29699.3966701965*((RANDBETWEEN(1587,2416)))</f>
        <v>51973944.172843821</v>
      </c>
      <c r="B1545">
        <v>249366322.51769072</v>
      </c>
    </row>
    <row r="1546" spans="1:2" x14ac:dyDescent="0.25">
      <c r="A1546">
        <f ca="1">26308.6499870654*((RANDBETWEEN(1587,2416)))</f>
        <v>60746672.820134066</v>
      </c>
      <c r="B1546">
        <v>261890658.1572381</v>
      </c>
    </row>
    <row r="1547" spans="1:2" x14ac:dyDescent="0.25">
      <c r="A1547">
        <f ca="1">27716.9689134979*((RANDBETWEEN(1587,2416)))</f>
        <v>59813218.915328518</v>
      </c>
      <c r="B1547">
        <v>205606680.02083099</v>
      </c>
    </row>
    <row r="1548" spans="1:2" x14ac:dyDescent="0.25">
      <c r="A1548">
        <f ca="1">32317.3830235226*((RANDBETWEEN(1587,2416)))</f>
        <v>63826831.471457146</v>
      </c>
      <c r="B1548">
        <v>225065852.96043921</v>
      </c>
    </row>
    <row r="1549" spans="1:2" x14ac:dyDescent="0.25">
      <c r="A1549">
        <f ca="1">30300.8630466587*((RANDBETWEEN(1587,2416)))</f>
        <v>65692271.085156135</v>
      </c>
      <c r="B1549">
        <v>265731927.19660074</v>
      </c>
    </row>
    <row r="1550" spans="1:2" x14ac:dyDescent="0.25">
      <c r="A1550">
        <f ca="1">29979.3643536221*((RANDBETWEEN(1587,2416)))</f>
        <v>69312290.385574237</v>
      </c>
      <c r="B1550">
        <v>238961092.25813973</v>
      </c>
    </row>
    <row r="1551" spans="1:2" x14ac:dyDescent="0.25">
      <c r="A1551">
        <f ca="1">27246.5073836162*((RANDBETWEEN(1587,2416)))</f>
        <v>65282631.691144504</v>
      </c>
      <c r="B1551">
        <v>244873509.81518912</v>
      </c>
    </row>
    <row r="1552" spans="1:2" x14ac:dyDescent="0.25">
      <c r="A1552">
        <f ca="1">27524.4251909403*((RANDBETWEEN(1587,2416)))</f>
        <v>64709923.623900592</v>
      </c>
      <c r="B1552">
        <v>205878929.86384422</v>
      </c>
    </row>
    <row r="1553" spans="1:2" x14ac:dyDescent="0.25">
      <c r="A1553">
        <f ca="1">33777.8777109822*((RANDBETWEEN(1587,2416)))</f>
        <v>56476611.532762162</v>
      </c>
      <c r="B1553">
        <v>238303047.98605552</v>
      </c>
    </row>
    <row r="1554" spans="1:2" x14ac:dyDescent="0.25">
      <c r="A1554">
        <f ca="1">29633.4751337282*((RANDBETWEEN(1587,2416)))</f>
        <v>52777219.213169947</v>
      </c>
      <c r="B1554">
        <v>231924945.16524166</v>
      </c>
    </row>
    <row r="1555" spans="1:2" x14ac:dyDescent="0.25">
      <c r="A1555">
        <f ca="1">30104.2403976785*((RANDBETWEEN(1587,2416)))</f>
        <v>57499099.159565888</v>
      </c>
      <c r="B1555">
        <v>252762176.3307209</v>
      </c>
    </row>
    <row r="1556" spans="1:2" x14ac:dyDescent="0.25">
      <c r="A1556">
        <f ca="1">32587.1156294304*((RANDBETWEEN(1587,2416)))</f>
        <v>57581433.317203581</v>
      </c>
      <c r="B1556">
        <v>245111114.94597995</v>
      </c>
    </row>
    <row r="1557" spans="1:2" x14ac:dyDescent="0.25">
      <c r="A1557">
        <f ca="1">32771.1584032993*((RANDBETWEEN(1587,2416)))</f>
        <v>55448800.018382348</v>
      </c>
      <c r="B1557">
        <v>251225122.12393701</v>
      </c>
    </row>
    <row r="1558" spans="1:2" x14ac:dyDescent="0.25">
      <c r="A1558">
        <f ca="1">29379.3976640149*((RANDBETWEEN(1587,2416)))</f>
        <v>50914496.151737735</v>
      </c>
      <c r="B1558">
        <v>249231124.31976873</v>
      </c>
    </row>
    <row r="1559" spans="1:2" x14ac:dyDescent="0.25">
      <c r="A1559">
        <f ca="1">30070.3284093584*((RANDBETWEEN(1587,2416)))</f>
        <v>72439421.138144419</v>
      </c>
      <c r="B1559">
        <v>230810745.43936485</v>
      </c>
    </row>
    <row r="1560" spans="1:2" x14ac:dyDescent="0.25">
      <c r="A1560">
        <f ca="1">29838.2702625012*((RANDBETWEEN(1587,2416)))</f>
        <v>63018426.794402435</v>
      </c>
      <c r="B1560">
        <v>241535678.74644932</v>
      </c>
    </row>
    <row r="1561" spans="1:2" x14ac:dyDescent="0.25">
      <c r="A1561">
        <f ca="1">32792.9582318838*((RANDBETWEEN(1587,2416)))</f>
        <v>69750622.159216896</v>
      </c>
      <c r="B1561">
        <v>247692335.6956833</v>
      </c>
    </row>
    <row r="1562" spans="1:2" x14ac:dyDescent="0.25">
      <c r="A1562">
        <f ca="1">28000.9814262203*((RANDBETWEEN(1587,2416)))</f>
        <v>66502330.887273192</v>
      </c>
      <c r="B1562">
        <v>213492886.70286679</v>
      </c>
    </row>
    <row r="1563" spans="1:2" x14ac:dyDescent="0.25">
      <c r="A1563">
        <f ca="1">33349.9940547355*((RANDBETWEEN(1587,2416)))</f>
        <v>74003636.807458177</v>
      </c>
      <c r="B1563">
        <v>250967741.58246469</v>
      </c>
    </row>
    <row r="1564" spans="1:2" x14ac:dyDescent="0.25">
      <c r="A1564">
        <f ca="1">29273.0519141491*((RANDBETWEEN(1587,2416)))</f>
        <v>56145713.571337923</v>
      </c>
      <c r="B1564">
        <v>231846372.33823219</v>
      </c>
    </row>
    <row r="1565" spans="1:2" x14ac:dyDescent="0.25">
      <c r="A1565">
        <f ca="1">31770.4069273081*((RANDBETWEEN(1587,2416)))</f>
        <v>66749624.954274222</v>
      </c>
      <c r="B1565">
        <v>223730084.28276554</v>
      </c>
    </row>
    <row r="1566" spans="1:2" x14ac:dyDescent="0.25">
      <c r="A1566">
        <f ca="1">29337.5864708722*((RANDBETWEEN(1587,2416)))</f>
        <v>51692827.361676887</v>
      </c>
      <c r="B1566">
        <v>207526576.22050682</v>
      </c>
    </row>
    <row r="1567" spans="1:2" x14ac:dyDescent="0.25">
      <c r="A1567">
        <f ca="1">32451.4888849031*((RANDBETWEEN(1587,2416)))</f>
        <v>73892040.190924332</v>
      </c>
      <c r="B1567">
        <v>249237106.26994506</v>
      </c>
    </row>
    <row r="1568" spans="1:2" x14ac:dyDescent="0.25">
      <c r="A1568">
        <f ca="1">28918.0918120349*((RANDBETWEEN(1587,2416)))</f>
        <v>56158934.298971832</v>
      </c>
      <c r="B1568">
        <v>243501625.25727174</v>
      </c>
    </row>
    <row r="1569" spans="1:2" x14ac:dyDescent="0.25">
      <c r="A1569">
        <f ca="1">31716.3800678733*((RANDBETWEEN(1587,2416)))</f>
        <v>63401043.755678728</v>
      </c>
      <c r="B1569">
        <v>240236448.87359494</v>
      </c>
    </row>
    <row r="1570" spans="1:2" x14ac:dyDescent="0.25">
      <c r="A1570">
        <f ca="1">28936.1398565178*((RANDBETWEEN(1587,2416)))</f>
        <v>55181218.706379436</v>
      </c>
      <c r="B1570">
        <v>213589022.20864177</v>
      </c>
    </row>
    <row r="1571" spans="1:2" x14ac:dyDescent="0.25">
      <c r="A1571">
        <f ca="1">31826.3105474833*((RANDBETWEEN(1587,2416)))</f>
        <v>58051190.438609563</v>
      </c>
      <c r="B1571">
        <v>242865183.23302442</v>
      </c>
    </row>
    <row r="1572" spans="1:2" x14ac:dyDescent="0.25">
      <c r="A1572">
        <f ca="1">27422.3394844825*((RANDBETWEEN(1587,2416)))</f>
        <v>61151817.050396003</v>
      </c>
      <c r="B1572">
        <v>267577269.9581742</v>
      </c>
    </row>
    <row r="1573" spans="1:2" x14ac:dyDescent="0.25">
      <c r="A1573">
        <f ca="1">33192.7275177981*((RANDBETWEEN(1587,2416)))</f>
        <v>75911767.833204359</v>
      </c>
      <c r="B1573">
        <v>221986960.41124502</v>
      </c>
    </row>
    <row r="1574" spans="1:2" x14ac:dyDescent="0.25">
      <c r="A1574">
        <f ca="1">30052.8203001938*((RANDBETWEEN(1587,2416)))</f>
        <v>60586485.725190789</v>
      </c>
      <c r="B1574">
        <v>219755853.39868215</v>
      </c>
    </row>
    <row r="1575" spans="1:2" x14ac:dyDescent="0.25">
      <c r="A1575">
        <f ca="1">31549.9257093141*((RANDBETWEEN(1587,2416)))</f>
        <v>68652638.343467519</v>
      </c>
      <c r="B1575">
        <v>257603607.90814424</v>
      </c>
    </row>
    <row r="1576" spans="1:2" x14ac:dyDescent="0.25">
      <c r="A1576">
        <f ca="1">27571.7923023214*((RANDBETWEEN(1587,2416)))</f>
        <v>62863686.449292682</v>
      </c>
      <c r="B1576">
        <v>209959942.88591123</v>
      </c>
    </row>
    <row r="1577" spans="1:2" x14ac:dyDescent="0.25">
      <c r="A1577">
        <f ca="1">29311.7429650499*((RANDBETWEEN(1587,2416)))</f>
        <v>49067857.723493569</v>
      </c>
      <c r="B1577">
        <v>265569136.52896452</v>
      </c>
    </row>
    <row r="1578" spans="1:2" x14ac:dyDescent="0.25">
      <c r="A1578">
        <f ca="1">29319.7832901463*((RANDBETWEEN(1587,2416)))</f>
        <v>46999612.614104562</v>
      </c>
      <c r="B1578">
        <v>228315538.08690578</v>
      </c>
    </row>
    <row r="1579" spans="1:2" x14ac:dyDescent="0.25">
      <c r="A1579">
        <f ca="1">27467.1170885295*((RANDBETWEEN(1587,2416)))</f>
        <v>55565977.870095268</v>
      </c>
      <c r="B1579">
        <v>211190475.74427116</v>
      </c>
    </row>
    <row r="1580" spans="1:2" x14ac:dyDescent="0.25">
      <c r="A1580">
        <f ca="1">33995.083453939*((RANDBETWEEN(1587,2416)))</f>
        <v>68602078.410048962</v>
      </c>
      <c r="B1580">
        <v>249944058.31172597</v>
      </c>
    </row>
    <row r="1581" spans="1:2" x14ac:dyDescent="0.25">
      <c r="A1581">
        <f ca="1">30457.5695505034*((RANDBETWEEN(1587,2416)))</f>
        <v>53483492.130683884</v>
      </c>
      <c r="B1581">
        <v>234803767.74145162</v>
      </c>
    </row>
    <row r="1582" spans="1:2" x14ac:dyDescent="0.25">
      <c r="A1582">
        <f ca="1">28824.7723981625*((RANDBETWEEN(1587,2416)))</f>
        <v>56150656.631620482</v>
      </c>
      <c r="B1582">
        <v>238236260.41704071</v>
      </c>
    </row>
    <row r="1583" spans="1:2" x14ac:dyDescent="0.25">
      <c r="A1583">
        <f ca="1">32239.1520159689*((RANDBETWEEN(1587,2416)))</f>
        <v>77051573.318165764</v>
      </c>
      <c r="B1583">
        <v>207625816.97591496</v>
      </c>
    </row>
    <row r="1584" spans="1:2" x14ac:dyDescent="0.25">
      <c r="A1584">
        <f ca="1">26473.6296751733*((RANDBETWEEN(1587,2416)))</f>
        <v>51729472.385288715</v>
      </c>
      <c r="B1584">
        <v>266311946.71537286</v>
      </c>
    </row>
    <row r="1585" spans="1:2" x14ac:dyDescent="0.25">
      <c r="A1585">
        <f ca="1">33024.4683536035*((RANDBETWEEN(1587,2416)))</f>
        <v>60038483.466851152</v>
      </c>
      <c r="B1585">
        <v>215609119.7453638</v>
      </c>
    </row>
    <row r="1586" spans="1:2" x14ac:dyDescent="0.25">
      <c r="A1586">
        <f ca="1">31464.4434438388*((RANDBETWEEN(1587,2416)))</f>
        <v>65666293.467291512</v>
      </c>
      <c r="B1586">
        <v>227474525.94956234</v>
      </c>
    </row>
    <row r="1587" spans="1:2" x14ac:dyDescent="0.25">
      <c r="A1587">
        <f ca="1">33154.6187571049*((RANDBETWEEN(1587,2416)))</f>
        <v>78543291.835581422</v>
      </c>
      <c r="B1587">
        <v>228154292.90198141</v>
      </c>
    </row>
    <row r="1588" spans="1:2" x14ac:dyDescent="0.25">
      <c r="A1588">
        <f ca="1">29932.4405758546*((RANDBETWEEN(1587,2416)))</f>
        <v>55913798.995696396</v>
      </c>
      <c r="B1588">
        <v>227330441.15103829</v>
      </c>
    </row>
    <row r="1589" spans="1:2" x14ac:dyDescent="0.25">
      <c r="A1589">
        <f ca="1">29636.8263124668*((RANDBETWEEN(1587,2416)))</f>
        <v>58710552.924996816</v>
      </c>
      <c r="B1589">
        <v>222833454.08470845</v>
      </c>
    </row>
    <row r="1590" spans="1:2" x14ac:dyDescent="0.25">
      <c r="A1590">
        <f ca="1">27275.9578950566*((RANDBETWEEN(1587,2416)))</f>
        <v>49942278.9058486</v>
      </c>
      <c r="B1590">
        <v>208600372.5083684</v>
      </c>
    </row>
    <row r="1591" spans="1:2" x14ac:dyDescent="0.25">
      <c r="A1591">
        <f ca="1">28744.6419919886*((RANDBETWEEN(1587,2416)))</f>
        <v>65250337.321814038</v>
      </c>
      <c r="B1591">
        <v>251957160.68911919</v>
      </c>
    </row>
    <row r="1592" spans="1:2" x14ac:dyDescent="0.25">
      <c r="A1592">
        <f ca="1">34539.0906387135*((RANDBETWEEN(1587,2416)))</f>
        <v>76400468.49283421</v>
      </c>
      <c r="B1592">
        <v>209058779.05713415</v>
      </c>
    </row>
    <row r="1593" spans="1:2" x14ac:dyDescent="0.25">
      <c r="A1593">
        <f ca="1">29774.7073050994*((RANDBETWEEN(1587,2416)))</f>
        <v>54666362.612162508</v>
      </c>
      <c r="B1593">
        <v>255957431.19775212</v>
      </c>
    </row>
    <row r="1594" spans="1:2" x14ac:dyDescent="0.25">
      <c r="A1594">
        <f ca="1">28871.2305324139*((RANDBETWEEN(1587,2416)))</f>
        <v>67703035.598510519</v>
      </c>
      <c r="B1594">
        <v>247760391.28706944</v>
      </c>
    </row>
    <row r="1595" spans="1:2" x14ac:dyDescent="0.25">
      <c r="A1595">
        <f ca="1">32713.8906300453*((RANDBETWEEN(1587,2416)))</f>
        <v>74227817.839572757</v>
      </c>
      <c r="B1595">
        <v>203886850.75554651</v>
      </c>
    </row>
    <row r="1596" spans="1:2" x14ac:dyDescent="0.25">
      <c r="A1596">
        <f ca="1">29743.8430596165*((RANDBETWEEN(1587,2416)))</f>
        <v>71652917.9306162</v>
      </c>
      <c r="B1596">
        <v>256830480.35901403</v>
      </c>
    </row>
    <row r="1597" spans="1:2" x14ac:dyDescent="0.25">
      <c r="A1597">
        <f ca="1">31877.3773626034*((RANDBETWEEN(1587,2416)))</f>
        <v>71054674.141242996</v>
      </c>
      <c r="B1597">
        <v>211009459.23665869</v>
      </c>
    </row>
    <row r="1598" spans="1:2" x14ac:dyDescent="0.25">
      <c r="A1598">
        <f ca="1">29119.9541493964*((RANDBETWEEN(1587,2416)))</f>
        <v>48047924.346504055</v>
      </c>
      <c r="B1598">
        <v>204388709.44778034</v>
      </c>
    </row>
    <row r="1599" spans="1:2" x14ac:dyDescent="0.25">
      <c r="A1599">
        <f ca="1">25978.8337734814*((RANDBETWEEN(1587,2416)))</f>
        <v>53412482.238277689</v>
      </c>
      <c r="B1599">
        <v>240343018.37052384</v>
      </c>
    </row>
    <row r="1600" spans="1:2" x14ac:dyDescent="0.25">
      <c r="A1600">
        <f ca="1">31724.1958678731*((RANDBETWEEN(1587,2416)))</f>
        <v>71125647.135771438</v>
      </c>
      <c r="B1600">
        <v>206108573.49872783</v>
      </c>
    </row>
    <row r="1601" spans="1:2" x14ac:dyDescent="0.25">
      <c r="A1601">
        <f ca="1">31439.8325794393*((RANDBETWEEN(1587,2416)))</f>
        <v>52001483.086392626</v>
      </c>
      <c r="B1601">
        <v>266831292.86955765</v>
      </c>
    </row>
    <row r="1602" spans="1:2" x14ac:dyDescent="0.25">
      <c r="A1602">
        <f ca="1">34220.8479553834*((RANDBETWEEN(1587,2416)))</f>
        <v>82438022.724518552</v>
      </c>
      <c r="B1602">
        <v>259182642.0358195</v>
      </c>
    </row>
    <row r="1603" spans="1:2" x14ac:dyDescent="0.25">
      <c r="A1603">
        <f ca="1">34010.2870914564*((RANDBETWEEN(1587,2416)))</f>
        <v>64789596.909224495</v>
      </c>
      <c r="B1603">
        <v>250373375.43238831</v>
      </c>
    </row>
    <row r="1604" spans="1:2" x14ac:dyDescent="0.25">
      <c r="A1604">
        <f ca="1">30863.687918965*((RANDBETWEEN(1587,2416)))</f>
        <v>49659673.861614756</v>
      </c>
      <c r="B1604">
        <v>249926362.61664212</v>
      </c>
    </row>
    <row r="1605" spans="1:2" x14ac:dyDescent="0.25">
      <c r="A1605">
        <f ca="1">33112.6910557147*((RANDBETWEEN(1587,2416)))</f>
        <v>79867810.826383919</v>
      </c>
      <c r="B1605">
        <v>238180539.62781161</v>
      </c>
    </row>
    <row r="1606" spans="1:2" x14ac:dyDescent="0.25">
      <c r="A1606">
        <f ca="1">28976.0509189045*((RANDBETWEEN(1587,2416)))</f>
        <v>52765388.723325275</v>
      </c>
      <c r="B1606">
        <v>239013402.7735312</v>
      </c>
    </row>
    <row r="1607" spans="1:2" x14ac:dyDescent="0.25">
      <c r="A1607">
        <f ca="1">25863.9911573975*((RANDBETWEEN(1587,2416)))</f>
        <v>51107246.52701737</v>
      </c>
      <c r="B1607">
        <v>221765234.72854656</v>
      </c>
    </row>
    <row r="1608" spans="1:2" x14ac:dyDescent="0.25">
      <c r="A1608">
        <f ca="1">30634.7665937453*((RANDBETWEEN(1587,2416)))</f>
        <v>69479650.634614348</v>
      </c>
      <c r="B1608">
        <v>238066120.13783616</v>
      </c>
    </row>
    <row r="1609" spans="1:2" x14ac:dyDescent="0.25">
      <c r="A1609">
        <f ca="1">30454.2949220056*((RANDBETWEEN(1587,2416)))</f>
        <v>72785764.863593265</v>
      </c>
      <c r="B1609">
        <v>245767710.72323304</v>
      </c>
    </row>
    <row r="1610" spans="1:2" x14ac:dyDescent="0.25">
      <c r="A1610">
        <f ca="1">31168.583347459*((RANDBETWEEN(1587,2416)))</f>
        <v>58316419.44309596</v>
      </c>
      <c r="B1610">
        <v>252676913.7050423</v>
      </c>
    </row>
    <row r="1611" spans="1:2" x14ac:dyDescent="0.25">
      <c r="A1611">
        <f ca="1">29009.9067793075*((RANDBETWEEN(1587,2416)))</f>
        <v>49490900.965498514</v>
      </c>
      <c r="B1611">
        <v>206273777.40344861</v>
      </c>
    </row>
    <row r="1612" spans="1:2" x14ac:dyDescent="0.25">
      <c r="A1612">
        <f ca="1">30635.4909654024*((RANDBETWEEN(1587,2416)))</f>
        <v>52968763.879180714</v>
      </c>
      <c r="B1612">
        <v>251560297.58327663</v>
      </c>
    </row>
    <row r="1613" spans="1:2" x14ac:dyDescent="0.25">
      <c r="A1613">
        <f ca="1">32050.5912691448*((RANDBETWEEN(1587,2416)))</f>
        <v>66504976.88347549</v>
      </c>
      <c r="B1613">
        <v>265160284.50878292</v>
      </c>
    </row>
    <row r="1614" spans="1:2" x14ac:dyDescent="0.25">
      <c r="A1614">
        <f ca="1">30547.6339817773*((RANDBETWEEN(1587,2416)))</f>
        <v>50831262.945677474</v>
      </c>
      <c r="B1614">
        <v>210292615.63913789</v>
      </c>
    </row>
    <row r="1615" spans="1:2" x14ac:dyDescent="0.25">
      <c r="A1615">
        <f ca="1">26665.5990418303*((RANDBETWEEN(1587,2416)))</f>
        <v>51011290.967021376</v>
      </c>
      <c r="B1615">
        <v>251532226.60568878</v>
      </c>
    </row>
    <row r="1616" spans="1:2" x14ac:dyDescent="0.25">
      <c r="A1616">
        <f ca="1">31998.6416830615*((RANDBETWEEN(1587,2416)))</f>
        <v>72316930.203718886</v>
      </c>
      <c r="B1616">
        <v>250820687.29095525</v>
      </c>
    </row>
    <row r="1617" spans="1:2" x14ac:dyDescent="0.25">
      <c r="A1617">
        <f ca="1">31346.1183061025*((RANDBETWEEN(1587,2416)))</f>
        <v>64196850.290898003</v>
      </c>
      <c r="B1617">
        <v>228567597.66849446</v>
      </c>
    </row>
    <row r="1618" spans="1:2" x14ac:dyDescent="0.25">
      <c r="A1618">
        <f ca="1">28519.9875557775*((RANDBETWEEN(1587,2416)))</f>
        <v>53047176.853746146</v>
      </c>
      <c r="B1618">
        <v>213567283.64719284</v>
      </c>
    </row>
    <row r="1619" spans="1:2" x14ac:dyDescent="0.25">
      <c r="A1619">
        <f ca="1">28346.9396218729*((RANDBETWEEN(1587,2416)))</f>
        <v>57827756.828620717</v>
      </c>
      <c r="B1619">
        <v>216018951.44479585</v>
      </c>
    </row>
    <row r="1620" spans="1:2" x14ac:dyDescent="0.25">
      <c r="A1620">
        <f ca="1">30330.0881409301*((RANDBETWEEN(1587,2416)))</f>
        <v>60144564.783464313</v>
      </c>
      <c r="B1620">
        <v>234695453.52593517</v>
      </c>
    </row>
    <row r="1621" spans="1:2" x14ac:dyDescent="0.25">
      <c r="A1621">
        <f ca="1">33284.0117879088*((RANDBETWEEN(1587,2416)))</f>
        <v>60610185.465781987</v>
      </c>
      <c r="B1621">
        <v>257875455.91348287</v>
      </c>
    </row>
    <row r="1622" spans="1:2" x14ac:dyDescent="0.25">
      <c r="A1622">
        <f ca="1">29696.500491099*((RANDBETWEEN(1587,2416)))</f>
        <v>58145747.961571902</v>
      </c>
      <c r="B1622">
        <v>256860854.31770563</v>
      </c>
    </row>
    <row r="1623" spans="1:2" x14ac:dyDescent="0.25">
      <c r="A1623">
        <f ca="1">30713.5365156396*((RANDBETWEEN(1587,2416)))</f>
        <v>57618594.503339857</v>
      </c>
      <c r="B1623">
        <v>257590941.0541034</v>
      </c>
    </row>
    <row r="1624" spans="1:2" x14ac:dyDescent="0.25">
      <c r="A1624">
        <f ca="1">28895.9343036861*((RANDBETWEEN(1587,2416)))</f>
        <v>69263554.525935605</v>
      </c>
      <c r="B1624">
        <v>237310636.81913874</v>
      </c>
    </row>
    <row r="1625" spans="1:2" x14ac:dyDescent="0.25">
      <c r="A1625">
        <f ca="1">32061.2050880857*((RANDBETWEEN(1587,2416)))</f>
        <v>51201744.525672786</v>
      </c>
      <c r="B1625">
        <v>244365190.27183035</v>
      </c>
    </row>
    <row r="1626" spans="1:2" x14ac:dyDescent="0.25">
      <c r="A1626">
        <f ca="1">34413.6227198417*((RANDBETWEEN(1587,2416)))</f>
        <v>68242213.853446171</v>
      </c>
      <c r="B1626">
        <v>261496957.25649941</v>
      </c>
    </row>
    <row r="1627" spans="1:2" x14ac:dyDescent="0.25">
      <c r="A1627">
        <f ca="1">30621.1752208884*((RANDBETWEEN(1587,2416)))</f>
        <v>52423451.978160866</v>
      </c>
      <c r="B1627">
        <v>225152743.53753972</v>
      </c>
    </row>
    <row r="1628" spans="1:2" x14ac:dyDescent="0.25">
      <c r="A1628">
        <f ca="1">29930.1480981899*((RANDBETWEEN(1587,2416)))</f>
        <v>64948421.37307208</v>
      </c>
      <c r="B1628">
        <v>234175955.04466149</v>
      </c>
    </row>
    <row r="1629" spans="1:2" x14ac:dyDescent="0.25">
      <c r="A1629">
        <f ca="1">28700.1461080389*((RANDBETWEEN(1587,2416)))</f>
        <v>60413807.557421841</v>
      </c>
      <c r="B1629">
        <v>241345220.2086882</v>
      </c>
    </row>
    <row r="1630" spans="1:2" x14ac:dyDescent="0.25">
      <c r="A1630">
        <f ca="1">32468.1865631403*((RANDBETWEEN(1587,2416)))</f>
        <v>75813215.624932632</v>
      </c>
      <c r="B1630">
        <v>204829843.27356935</v>
      </c>
    </row>
    <row r="1631" spans="1:2" x14ac:dyDescent="0.25">
      <c r="A1631">
        <f ca="1">29720.0861200937*((RANDBETWEEN(1587,2416)))</f>
        <v>61996099.646515451</v>
      </c>
      <c r="B1631">
        <v>230885420.28169751</v>
      </c>
    </row>
    <row r="1632" spans="1:2" x14ac:dyDescent="0.25">
      <c r="A1632">
        <f ca="1">31057.7457567997*((RANDBETWEEN(1587,2416)))</f>
        <v>49537104.482095577</v>
      </c>
      <c r="B1632">
        <v>225122341.86779514</v>
      </c>
    </row>
    <row r="1633" spans="1:2" x14ac:dyDescent="0.25">
      <c r="A1633">
        <f ca="1">29609.670566994*((RANDBETWEEN(1587,2416)))</f>
        <v>63542353.036769144</v>
      </c>
      <c r="B1633">
        <v>229094269.71451634</v>
      </c>
    </row>
    <row r="1634" spans="1:2" x14ac:dyDescent="0.25">
      <c r="A1634">
        <f ca="1">29186.8839348349*((RANDBETWEEN(1587,2416)))</f>
        <v>51222981.305635296</v>
      </c>
      <c r="B1634">
        <v>232536220.14587268</v>
      </c>
    </row>
    <row r="1635" spans="1:2" x14ac:dyDescent="0.25">
      <c r="A1635">
        <f ca="1">32814.2271281002*((RANDBETWEEN(1587,2416)))</f>
        <v>52338692.26931987</v>
      </c>
      <c r="B1635">
        <v>257818204.33723298</v>
      </c>
    </row>
    <row r="1636" spans="1:2" x14ac:dyDescent="0.25">
      <c r="A1636">
        <f ca="1">28868.318434288*((RANDBETWEEN(1587,2416)))</f>
        <v>61720464.812507749</v>
      </c>
      <c r="B1636">
        <v>259230439.91204041</v>
      </c>
    </row>
    <row r="1637" spans="1:2" x14ac:dyDescent="0.25">
      <c r="A1637">
        <f ca="1">32430.1925185425*((RANDBETWEEN(1587,2416)))</f>
        <v>61649795.977749385</v>
      </c>
      <c r="B1637">
        <v>259217748.31677556</v>
      </c>
    </row>
    <row r="1638" spans="1:2" x14ac:dyDescent="0.25">
      <c r="A1638">
        <f ca="1">32011.0431343855*((RANDBETWEEN(1587,2416)))</f>
        <v>66166826.158774771</v>
      </c>
      <c r="B1638">
        <v>262596775.47457743</v>
      </c>
    </row>
    <row r="1639" spans="1:2" x14ac:dyDescent="0.25">
      <c r="A1639">
        <f ca="1">26508.9145441629*((RANDBETWEEN(1587,2416)))</f>
        <v>48696876.01762718</v>
      </c>
      <c r="B1639">
        <v>238796506.76212931</v>
      </c>
    </row>
    <row r="1640" spans="1:2" x14ac:dyDescent="0.25">
      <c r="A1640">
        <f ca="1">28287.5940930224*((RANDBETWEEN(1587,2416)))</f>
        <v>57876417.514323875</v>
      </c>
      <c r="B1640">
        <v>225126272.21398884</v>
      </c>
    </row>
    <row r="1641" spans="1:2" x14ac:dyDescent="0.25">
      <c r="A1641">
        <f ca="1">28009.7846324295*((RANDBETWEEN(1587,2416)))</f>
        <v>64646582.931647368</v>
      </c>
      <c r="B1641">
        <v>259723187.75763482</v>
      </c>
    </row>
    <row r="1642" spans="1:2" x14ac:dyDescent="0.25">
      <c r="A1642">
        <f ca="1">32529.7032180572*((RANDBETWEEN(1587,2416)))</f>
        <v>67922020.319303453</v>
      </c>
      <c r="B1642">
        <v>244837881.57896662</v>
      </c>
    </row>
    <row r="1643" spans="1:2" x14ac:dyDescent="0.25">
      <c r="A1643">
        <f ca="1">27462.5446333395*((RANDBETWEEN(1587,2416)))</f>
        <v>46082149.894743606</v>
      </c>
      <c r="B1643">
        <v>217212153.09359014</v>
      </c>
    </row>
    <row r="1644" spans="1:2" x14ac:dyDescent="0.25">
      <c r="A1644">
        <f ca="1">24803.9494195019*((RANDBETWEEN(1587,2416)))</f>
        <v>49483879.091906212</v>
      </c>
      <c r="B1644">
        <v>209912607.79727986</v>
      </c>
    </row>
    <row r="1645" spans="1:2" x14ac:dyDescent="0.25">
      <c r="A1645">
        <f ca="1">31420.3573849214*((RANDBETWEEN(1587,2416)))</f>
        <v>62306568.694299214</v>
      </c>
      <c r="B1645">
        <v>255554708.89502743</v>
      </c>
    </row>
    <row r="1646" spans="1:2" x14ac:dyDescent="0.25">
      <c r="A1646">
        <f ca="1">28892.4552561426*((RANDBETWEEN(1587,2416)))</f>
        <v>54231138.515779659</v>
      </c>
      <c r="B1646">
        <v>236245722.78864166</v>
      </c>
    </row>
    <row r="1647" spans="1:2" x14ac:dyDescent="0.25">
      <c r="A1647">
        <f ca="1">32026.7354261127*((RANDBETWEEN(1587,2416)))</f>
        <v>76928218.493522659</v>
      </c>
      <c r="B1647">
        <v>251963570.24330151</v>
      </c>
    </row>
    <row r="1648" spans="1:2" x14ac:dyDescent="0.25">
      <c r="A1648">
        <f ca="1">32074.3543559749*((RANDBETWEEN(1587,2416)))</f>
        <v>69440977.180685699</v>
      </c>
      <c r="B1648">
        <v>257720061.68299055</v>
      </c>
    </row>
    <row r="1649" spans="1:2" x14ac:dyDescent="0.25">
      <c r="A1649">
        <f ca="1">28998.6438803122*((RANDBETWEEN(1587,2416)))</f>
        <v>64376989.414293051</v>
      </c>
      <c r="B1649">
        <v>211805067.46826231</v>
      </c>
    </row>
    <row r="1650" spans="1:2" x14ac:dyDescent="0.25">
      <c r="A1650">
        <f ca="1">27047.1519087714*((RANDBETWEEN(1587,2416)))</f>
        <v>46169488.308272772</v>
      </c>
      <c r="B1650">
        <v>234703963.68098634</v>
      </c>
    </row>
    <row r="1651" spans="1:2" x14ac:dyDescent="0.25">
      <c r="A1651">
        <f ca="1">31402.2828317212*((RANDBETWEEN(1587,2416)))</f>
        <v>61077440.107697807</v>
      </c>
      <c r="B1651">
        <v>233749508.4961049</v>
      </c>
    </row>
    <row r="1652" spans="1:2" x14ac:dyDescent="0.25">
      <c r="A1652">
        <f ca="1">31925.8975516073*((RANDBETWEEN(1587,2416)))</f>
        <v>52103064.804223038</v>
      </c>
      <c r="B1652">
        <v>233250443.19661239</v>
      </c>
    </row>
    <row r="1653" spans="1:2" x14ac:dyDescent="0.25">
      <c r="A1653">
        <f ca="1">27287.1675792365*((RANDBETWEEN(1587,2416)))</f>
        <v>58776558.965675332</v>
      </c>
      <c r="B1653">
        <v>208179842.81071618</v>
      </c>
    </row>
    <row r="1654" spans="1:2" x14ac:dyDescent="0.25">
      <c r="A1654">
        <f ca="1">26964.2232914588*((RANDBETWEEN(1587,2416)))</f>
        <v>64821992.792666927</v>
      </c>
      <c r="B1654">
        <v>262082045.65948412</v>
      </c>
    </row>
    <row r="1655" spans="1:2" x14ac:dyDescent="0.25">
      <c r="A1655">
        <f ca="1">31048.6425221351*((RANDBETWEEN(1587,2416)))</f>
        <v>49739925.320460461</v>
      </c>
      <c r="B1655">
        <v>239597004.56205395</v>
      </c>
    </row>
    <row r="1656" spans="1:2" x14ac:dyDescent="0.25">
      <c r="A1656">
        <f ca="1">30870.7175140622*((RANDBETWEEN(1587,2416)))</f>
        <v>71681806.067652524</v>
      </c>
      <c r="B1656">
        <v>217688944.25718272</v>
      </c>
    </row>
    <row r="1657" spans="1:2" x14ac:dyDescent="0.25">
      <c r="A1657">
        <f ca="1">31749.9518820572*((RANDBETWEEN(1587,2416)))</f>
        <v>70103893.755582199</v>
      </c>
      <c r="B1657">
        <v>254001950.420057</v>
      </c>
    </row>
    <row r="1658" spans="1:2" x14ac:dyDescent="0.25">
      <c r="A1658">
        <f ca="1">30372.5014935665*((RANDBETWEEN(1587,2416)))</f>
        <v>66940993.291820541</v>
      </c>
      <c r="B1658">
        <v>228205825.75204799</v>
      </c>
    </row>
    <row r="1659" spans="1:2" x14ac:dyDescent="0.25">
      <c r="A1659">
        <f ca="1">32743.6606674031*((RANDBETWEEN(1587,2416)))</f>
        <v>52717293.674518958</v>
      </c>
      <c r="B1659">
        <v>220618056.35630932</v>
      </c>
    </row>
    <row r="1660" spans="1:2" x14ac:dyDescent="0.25">
      <c r="A1660">
        <f ca="1">28521.1851298982*((RANDBETWEEN(1587,2416)))</f>
        <v>50796230.716348641</v>
      </c>
      <c r="B1660">
        <v>242068524.58240828</v>
      </c>
    </row>
    <row r="1661" spans="1:2" x14ac:dyDescent="0.25">
      <c r="A1661">
        <f ca="1">28970.1847198949*((RANDBETWEEN(1587,2416)))</f>
        <v>64024108.23096776</v>
      </c>
      <c r="B1661">
        <v>259367946.8963899</v>
      </c>
    </row>
    <row r="1662" spans="1:2" x14ac:dyDescent="0.25">
      <c r="A1662">
        <f ca="1">32419.5875301488*((RANDBETWEEN(1587,2416)))</f>
        <v>73138589.468015581</v>
      </c>
      <c r="B1662">
        <v>218960531.86757672</v>
      </c>
    </row>
    <row r="1663" spans="1:2" x14ac:dyDescent="0.25">
      <c r="A1663">
        <f ca="1">27095.4830389806*((RANDBETWEEN(1587,2416)))</f>
        <v>49340874.613983594</v>
      </c>
      <c r="B1663">
        <v>231647933.61643639</v>
      </c>
    </row>
    <row r="1664" spans="1:2" x14ac:dyDescent="0.25">
      <c r="A1664">
        <f ca="1">27602.6163695537*((RANDBETWEEN(1587,2416)))</f>
        <v>51616892.611065477</v>
      </c>
      <c r="B1664">
        <v>217758994.24056596</v>
      </c>
    </row>
    <row r="1665" spans="1:2" x14ac:dyDescent="0.25">
      <c r="A1665">
        <f ca="1">27927.5122779639*((RANDBETWEEN(1587,2416)))</f>
        <v>51135274.980951905</v>
      </c>
      <c r="B1665">
        <v>211994898.51498842</v>
      </c>
    </row>
    <row r="1666" spans="1:2" x14ac:dyDescent="0.25">
      <c r="A1666">
        <f ca="1">30429.2416516231*((RANDBETWEEN(1587,2416)))</f>
        <v>60310756.95351696</v>
      </c>
      <c r="B1666">
        <v>230823952.32194257</v>
      </c>
    </row>
    <row r="1667" spans="1:2" x14ac:dyDescent="0.25">
      <c r="A1667">
        <f ca="1">30677.8327780053*((RANDBETWEEN(1587,2416)))</f>
        <v>64944971.991037197</v>
      </c>
      <c r="B1667">
        <v>255268664.53949222</v>
      </c>
    </row>
    <row r="1668" spans="1:2" x14ac:dyDescent="0.25">
      <c r="A1668">
        <f ca="1">32574.4308579218*((RANDBETWEEN(1587,2416)))</f>
        <v>72608406.382307619</v>
      </c>
      <c r="B1668">
        <v>240493916.17760628</v>
      </c>
    </row>
    <row r="1669" spans="1:2" x14ac:dyDescent="0.25">
      <c r="A1669">
        <f ca="1">29132.8293278633*((RANDBETWEEN(1587,2416)))</f>
        <v>69015672.677708089</v>
      </c>
      <c r="B1669">
        <v>235221561.16896921</v>
      </c>
    </row>
    <row r="1670" spans="1:2" x14ac:dyDescent="0.25">
      <c r="A1670">
        <f ca="1">26942.7515418603*((RANDBETWEEN(1587,2416)))</f>
        <v>55340411.666981116</v>
      </c>
      <c r="B1670">
        <v>214175874.79685938</v>
      </c>
    </row>
    <row r="1671" spans="1:2" x14ac:dyDescent="0.25">
      <c r="A1671">
        <f ca="1">28558.1233721932*((RANDBETWEEN(1587,2416)))</f>
        <v>53118109.47227931</v>
      </c>
      <c r="B1671">
        <v>232382570.57810879</v>
      </c>
    </row>
    <row r="1672" spans="1:2" x14ac:dyDescent="0.25">
      <c r="A1672">
        <f ca="1">27869.833486997*((RANDBETWEEN(1587,2416)))</f>
        <v>59056177.15894676</v>
      </c>
      <c r="B1672">
        <v>262344783.64367294</v>
      </c>
    </row>
    <row r="1673" spans="1:2" x14ac:dyDescent="0.25">
      <c r="A1673">
        <f ca="1">32101.9312828588*((RANDBETWEEN(1587,2416)))</f>
        <v>73673932.294160858</v>
      </c>
      <c r="B1673">
        <v>227481888.28236899</v>
      </c>
    </row>
    <row r="1674" spans="1:2" x14ac:dyDescent="0.25">
      <c r="A1674">
        <f ca="1">28699.2970761591*((RANDBETWEEN(1587,2416)))</f>
        <v>52031825.599076509</v>
      </c>
      <c r="B1674">
        <v>216913631.59529364</v>
      </c>
    </row>
    <row r="1675" spans="1:2" x14ac:dyDescent="0.25">
      <c r="A1675">
        <f ca="1">32587.4007227838*((RANDBETWEEN(1587,2416)))</f>
        <v>53019700.975969292</v>
      </c>
      <c r="B1675">
        <v>209312936.68122792</v>
      </c>
    </row>
    <row r="1676" spans="1:2" x14ac:dyDescent="0.25">
      <c r="A1676">
        <f ca="1">29744.308695546*((RANDBETWEEN(1587,2416)))</f>
        <v>61719440.543257862</v>
      </c>
      <c r="B1676">
        <v>251347265.04567131</v>
      </c>
    </row>
    <row r="1677" spans="1:2" x14ac:dyDescent="0.25">
      <c r="A1677">
        <f ca="1">28011.3005557706*((RANDBETWEEN(1587,2416)))</f>
        <v>59215889.374898963</v>
      </c>
      <c r="B1677">
        <v>231103846.35734296</v>
      </c>
    </row>
    <row r="1678" spans="1:2" x14ac:dyDescent="0.25">
      <c r="A1678">
        <f ca="1">28758.3640213317*((RANDBETWEEN(1587,2416)))</f>
        <v>65655345.060700268</v>
      </c>
      <c r="B1678">
        <v>256807568.63954782</v>
      </c>
    </row>
    <row r="1679" spans="1:2" x14ac:dyDescent="0.25">
      <c r="A1679">
        <f ca="1">32626.785289086*((RANDBETWEEN(1587,2416)))</f>
        <v>52235483.247826755</v>
      </c>
      <c r="B1679">
        <v>222473547.80449766</v>
      </c>
    </row>
    <row r="1680" spans="1:2" x14ac:dyDescent="0.25">
      <c r="A1680">
        <f ca="1">25828.4965137905*((RANDBETWEEN(1587,2416)))</f>
        <v>53594130.266115211</v>
      </c>
      <c r="B1680">
        <v>210039518.12052804</v>
      </c>
    </row>
    <row r="1681" spans="1:2" x14ac:dyDescent="0.25">
      <c r="A1681">
        <f ca="1">30270.6431262207*((RANDBETWEEN(1587,2416)))</f>
        <v>72498190.28729865</v>
      </c>
      <c r="B1681">
        <v>238518761.65062559</v>
      </c>
    </row>
    <row r="1682" spans="1:2" x14ac:dyDescent="0.25">
      <c r="A1682">
        <f ca="1">33990.8913712187*((RANDBETWEEN(1587,2416)))</f>
        <v>61761449.621504426</v>
      </c>
      <c r="B1682">
        <v>255692540.5002794</v>
      </c>
    </row>
    <row r="1683" spans="1:2" x14ac:dyDescent="0.25">
      <c r="A1683">
        <f ca="1">31001.3265217749*((RANDBETWEEN(1587,2416)))</f>
        <v>67892905.082687125</v>
      </c>
      <c r="B1683">
        <v>262661652.31488562</v>
      </c>
    </row>
    <row r="1684" spans="1:2" x14ac:dyDescent="0.25">
      <c r="A1684">
        <f ca="1">27983.9331100925*((RANDBETWEEN(1587,2416)))</f>
        <v>58570371.999423593</v>
      </c>
      <c r="B1684">
        <v>205104138.27095538</v>
      </c>
    </row>
    <row r="1685" spans="1:2" x14ac:dyDescent="0.25">
      <c r="A1685">
        <f ca="1">27029.0470772655*((RANDBETWEEN(1587,2416)))</f>
        <v>52517438.471126907</v>
      </c>
      <c r="B1685">
        <v>240443164.93304557</v>
      </c>
    </row>
    <row r="1686" spans="1:2" x14ac:dyDescent="0.25">
      <c r="A1686">
        <f ca="1">32136.022153725*((RANDBETWEEN(1587,2416)))</f>
        <v>66553701.880364545</v>
      </c>
      <c r="B1686">
        <v>208422397.88610268</v>
      </c>
    </row>
    <row r="1687" spans="1:2" x14ac:dyDescent="0.25">
      <c r="A1687">
        <f ca="1">28827.8718281004*((RANDBETWEEN(1587,2416)))</f>
        <v>63277178.662680417</v>
      </c>
      <c r="B1687">
        <v>241147053.13206202</v>
      </c>
    </row>
    <row r="1688" spans="1:2" x14ac:dyDescent="0.25">
      <c r="A1688">
        <f ca="1">33237.4419607754*((RANDBETWEEN(1587,2416)))</f>
        <v>69665678.349785179</v>
      </c>
      <c r="B1688">
        <v>267802849.51136276</v>
      </c>
    </row>
    <row r="1689" spans="1:2" x14ac:dyDescent="0.25">
      <c r="A1689">
        <f ca="1">28764.8447268153*((RANDBETWEEN(1587,2416)))</f>
        <v>51805485.352994375</v>
      </c>
      <c r="B1689">
        <v>264002877.76195705</v>
      </c>
    </row>
    <row r="1690" spans="1:2" x14ac:dyDescent="0.25">
      <c r="A1690">
        <f ca="1">28053.4384487711*((RANDBETWEEN(1587,2416)))</f>
        <v>46119852.809779637</v>
      </c>
      <c r="B1690">
        <v>210003838.06393448</v>
      </c>
    </row>
    <row r="1691" spans="1:2" x14ac:dyDescent="0.25">
      <c r="A1691">
        <f ca="1">32225.5319690827*((RANDBETWEEN(1587,2416)))</f>
        <v>52108685.194006778</v>
      </c>
      <c r="B1691">
        <v>221986767.28296721</v>
      </c>
    </row>
    <row r="1692" spans="1:2" x14ac:dyDescent="0.25">
      <c r="A1692">
        <f ca="1">32844.1871143027*((RANDBETWEEN(1587,2416)))</f>
        <v>60301927.541859694</v>
      </c>
      <c r="B1692">
        <v>254079962.88985941</v>
      </c>
    </row>
    <row r="1693" spans="1:2" x14ac:dyDescent="0.25">
      <c r="A1693">
        <f ca="1">26652.147818861*((RANDBETWEEN(1587,2416)))</f>
        <v>48293691.847776212</v>
      </c>
      <c r="B1693">
        <v>259283597.51025882</v>
      </c>
    </row>
    <row r="1694" spans="1:2" x14ac:dyDescent="0.25">
      <c r="A1694">
        <f ca="1">31781.7194175546*((RANDBETWEEN(1587,2416)))</f>
        <v>56444333.685577042</v>
      </c>
      <c r="B1694">
        <v>237011229.89055029</v>
      </c>
    </row>
    <row r="1695" spans="1:2" x14ac:dyDescent="0.25">
      <c r="A1695">
        <f ca="1">27901.4166304982*((RANDBETWEEN(1587,2416)))</f>
        <v>52315156.182184204</v>
      </c>
      <c r="B1695">
        <v>253146080.16642907</v>
      </c>
    </row>
    <row r="1696" spans="1:2" x14ac:dyDescent="0.25">
      <c r="A1696">
        <f ca="1">26669.9745762176*((RANDBETWEEN(1587,2416)))</f>
        <v>63021149.923602127</v>
      </c>
      <c r="B1696">
        <v>218028954.72306475</v>
      </c>
    </row>
    <row r="1697" spans="1:2" x14ac:dyDescent="0.25">
      <c r="A1697">
        <f ca="1">26627.5889246459*((RANDBETWEEN(1587,2416)))</f>
        <v>55917936.741756454</v>
      </c>
      <c r="B1697">
        <v>217103138.87798178</v>
      </c>
    </row>
    <row r="1698" spans="1:2" x14ac:dyDescent="0.25">
      <c r="A1698">
        <f ca="1">27469.8844112296*((RANDBETWEEN(1587,2416)))</f>
        <v>57824106.685638331</v>
      </c>
      <c r="B1698">
        <v>212383599.08385521</v>
      </c>
    </row>
    <row r="1699" spans="1:2" x14ac:dyDescent="0.25">
      <c r="A1699">
        <f ca="1">31856.7872904275*((RANDBETWEEN(1587,2416)))</f>
        <v>56099802.418442771</v>
      </c>
      <c r="B1699">
        <v>246595004.38442975</v>
      </c>
    </row>
    <row r="1700" spans="1:2" x14ac:dyDescent="0.25">
      <c r="A1700">
        <f ca="1">28100.7213898326*((RANDBETWEEN(1587,2416)))</f>
        <v>59348723.57532645</v>
      </c>
      <c r="B1700">
        <v>260643810.21458972</v>
      </c>
    </row>
    <row r="1701" spans="1:2" x14ac:dyDescent="0.25">
      <c r="A1701">
        <f ca="1">27827.4334477907*((RANDBETWEEN(1587,2416)))</f>
        <v>66090154.438502841</v>
      </c>
      <c r="B1701">
        <v>262120176.03786865</v>
      </c>
    </row>
    <row r="1702" spans="1:2" x14ac:dyDescent="0.25">
      <c r="A1702">
        <f ca="1">27220.3929598514*((RANDBETWEEN(1587,2416)))</f>
        <v>60483713.156789765</v>
      </c>
      <c r="B1702">
        <v>217056422.19045952</v>
      </c>
    </row>
    <row r="1703" spans="1:2" x14ac:dyDescent="0.25">
      <c r="A1703">
        <f ca="1">32593.1262745163*((RANDBETWEEN(1587,2416)))</f>
        <v>60949146.133345425</v>
      </c>
      <c r="B1703">
        <v>262340941.46991998</v>
      </c>
    </row>
    <row r="1704" spans="1:2" x14ac:dyDescent="0.25">
      <c r="A1704">
        <f ca="1">27113.5341200684*((RANDBETWEEN(1587,2416)))</f>
        <v>43490108.728589699</v>
      </c>
      <c r="B1704">
        <v>252587687.27543458</v>
      </c>
    </row>
    <row r="1705" spans="1:2" x14ac:dyDescent="0.25">
      <c r="A1705">
        <f ca="1">34507.3511500009*((RANDBETWEEN(1587,2416)))</f>
        <v>66633695.070651829</v>
      </c>
      <c r="B1705">
        <v>231107460.65306097</v>
      </c>
    </row>
    <row r="1706" spans="1:2" x14ac:dyDescent="0.25">
      <c r="A1706">
        <f ca="1">28367.076764082*((RANDBETWEEN(1587,2416)))</f>
        <v>51089105.252111718</v>
      </c>
      <c r="B1706">
        <v>263031901.97015429</v>
      </c>
    </row>
    <row r="1707" spans="1:2" x14ac:dyDescent="0.25">
      <c r="A1707">
        <f ca="1">27727.0079480019*((RANDBETWEEN(1587,2416)))</f>
        <v>54372662.58603166</v>
      </c>
      <c r="B1707">
        <v>253775998.65227944</v>
      </c>
    </row>
    <row r="1708" spans="1:2" x14ac:dyDescent="0.25">
      <c r="A1708">
        <f ca="1">31317.589112934*((RANDBETWEEN(1587,2416)))</f>
        <v>73784239.950072497</v>
      </c>
      <c r="B1708">
        <v>252544158.96498054</v>
      </c>
    </row>
    <row r="1709" spans="1:2" x14ac:dyDescent="0.25">
      <c r="A1709">
        <f ca="1">34168.1937557487*((RANDBETWEEN(1587,2416)))</f>
        <v>57402565.509657845</v>
      </c>
      <c r="B1709">
        <v>221612777.53707168</v>
      </c>
    </row>
    <row r="1710" spans="1:2" x14ac:dyDescent="0.25">
      <c r="A1710">
        <f ca="1">31705.7949817585*((RANDBETWEEN(1587,2416)))</f>
        <v>71750214.04371956</v>
      </c>
      <c r="B1710">
        <v>213581163.61336169</v>
      </c>
    </row>
    <row r="1711" spans="1:2" x14ac:dyDescent="0.25">
      <c r="A1711">
        <f ca="1">30263.774619067*((RANDBETWEEN(1587,2416)))</f>
        <v>58015655.944751494</v>
      </c>
      <c r="B1711">
        <v>262101023.7724309</v>
      </c>
    </row>
    <row r="1712" spans="1:2" x14ac:dyDescent="0.25">
      <c r="A1712">
        <f ca="1">29106.3546118228*((RANDBETWEEN(1587,2416)))</f>
        <v>49800972.740828864</v>
      </c>
      <c r="B1712">
        <v>219488600.65034682</v>
      </c>
    </row>
    <row r="1713" spans="1:2" x14ac:dyDescent="0.25">
      <c r="A1713">
        <f ca="1">30412.6362395108*((RANDBETWEEN(1587,2416)))</f>
        <v>63927361.375451788</v>
      </c>
      <c r="B1713">
        <v>234580990.82136673</v>
      </c>
    </row>
    <row r="1714" spans="1:2" x14ac:dyDescent="0.25">
      <c r="A1714">
        <f ca="1">33964.6725063994*((RANDBETWEEN(1587,2416)))</f>
        <v>74790208.859091371</v>
      </c>
      <c r="B1714">
        <v>255080269.62864295</v>
      </c>
    </row>
    <row r="1715" spans="1:2" x14ac:dyDescent="0.25">
      <c r="A1715">
        <f ca="1">29358.6601077814*((RANDBETWEEN(1587,2416)))</f>
        <v>55869530.185108058</v>
      </c>
      <c r="B1715">
        <v>243416511.77641383</v>
      </c>
    </row>
    <row r="1716" spans="1:2" x14ac:dyDescent="0.25">
      <c r="A1716">
        <f ca="1">26580.5374292772*((RANDBETWEEN(1587,2416)))</f>
        <v>56988672.248370238</v>
      </c>
      <c r="B1716">
        <v>232734991.77913481</v>
      </c>
    </row>
    <row r="1717" spans="1:2" x14ac:dyDescent="0.25">
      <c r="A1717">
        <f ca="1">27870.6374074606*((RANDBETWEEN(1587,2416)))</f>
        <v>57051194.773071915</v>
      </c>
      <c r="B1717">
        <v>259360104.84477648</v>
      </c>
    </row>
    <row r="1718" spans="1:2" x14ac:dyDescent="0.25">
      <c r="A1718">
        <f ca="1">25810.8972266465*((RANDBETWEEN(1587,2416)))</f>
        <v>52525175.856225558</v>
      </c>
      <c r="B1718">
        <v>260144941.79036254</v>
      </c>
    </row>
    <row r="1719" spans="1:2" x14ac:dyDescent="0.25">
      <c r="A1719">
        <f ca="1">27149.2788965801*((RANDBETWEEN(1587,2416)))</f>
        <v>63447864.781307727</v>
      </c>
      <c r="B1719">
        <v>235808362.98051998</v>
      </c>
    </row>
    <row r="1720" spans="1:2" x14ac:dyDescent="0.25">
      <c r="A1720">
        <f ca="1">27841.405498842*((RANDBETWEEN(1587,2416)))</f>
        <v>53344132.935781226</v>
      </c>
      <c r="B1720">
        <v>215387672.92305633</v>
      </c>
    </row>
    <row r="1721" spans="1:2" x14ac:dyDescent="0.25">
      <c r="A1721">
        <f ca="1">33233.2062928726*((RANDBETWEEN(1587,2416)))</f>
        <v>70919662.228990227</v>
      </c>
      <c r="B1721">
        <v>242150232.03815126</v>
      </c>
    </row>
    <row r="1722" spans="1:2" x14ac:dyDescent="0.25">
      <c r="A1722">
        <f ca="1">28399.1256967399*((RANDBETWEEN(1587,2416)))</f>
        <v>60348142.105572373</v>
      </c>
      <c r="B1722">
        <v>218673172.76593062</v>
      </c>
    </row>
    <row r="1723" spans="1:2" x14ac:dyDescent="0.25">
      <c r="A1723">
        <f ca="1">29383.8071046866*((RANDBETWEEN(1587,2416)))</f>
        <v>58767614.209373266</v>
      </c>
      <c r="B1723">
        <v>232125120.30396706</v>
      </c>
    </row>
    <row r="1724" spans="1:2" x14ac:dyDescent="0.25">
      <c r="A1724">
        <f ca="1">29412.5561227787*((RANDBETWEEN(1587,2416)))</f>
        <v>62266381.311922587</v>
      </c>
      <c r="B1724">
        <v>247102408.92914808</v>
      </c>
    </row>
    <row r="1725" spans="1:2" x14ac:dyDescent="0.25">
      <c r="A1725">
        <f ca="1">28812.2985387847*((RANDBETWEEN(1587,2416)))</f>
        <v>61226134.394917443</v>
      </c>
      <c r="B1725">
        <v>212134781.82759535</v>
      </c>
    </row>
    <row r="1726" spans="1:2" x14ac:dyDescent="0.25">
      <c r="A1726">
        <f ca="1">30798.2823516667*((RANDBETWEEN(1587,2416)))</f>
        <v>53773800.986010104</v>
      </c>
      <c r="B1726">
        <v>235350783.34696651</v>
      </c>
    </row>
    <row r="1727" spans="1:2" x14ac:dyDescent="0.25">
      <c r="A1727">
        <f ca="1">33487.433501089*((RANDBETWEEN(1587,2416)))</f>
        <v>64630746.657101765</v>
      </c>
      <c r="B1727">
        <v>250235733.6946615</v>
      </c>
    </row>
    <row r="1728" spans="1:2" x14ac:dyDescent="0.25">
      <c r="A1728">
        <f ca="1">31297.3313851829*((RANDBETWEEN(1587,2416)))</f>
        <v>60466444.236173347</v>
      </c>
      <c r="B1728">
        <v>244311973.11135429</v>
      </c>
    </row>
    <row r="1729" spans="1:2" x14ac:dyDescent="0.25">
      <c r="A1729">
        <f ca="1">29166.7408364657*((RANDBETWEEN(1587,2416)))</f>
        <v>65654333.622884378</v>
      </c>
      <c r="B1729">
        <v>213084267.36260986</v>
      </c>
    </row>
    <row r="1730" spans="1:2" x14ac:dyDescent="0.25">
      <c r="A1730">
        <f ca="1">29388.4028817494*((RANDBETWEEN(1587,2416)))</f>
        <v>49049244.409639694</v>
      </c>
      <c r="B1730">
        <v>267070914.52970555</v>
      </c>
    </row>
    <row r="1731" spans="1:2" x14ac:dyDescent="0.25">
      <c r="A1731">
        <f ca="1">32687.125986253*((RANDBETWEEN(1587,2416)))</f>
        <v>64099454.059042066</v>
      </c>
      <c r="B1731">
        <v>231009588.20504043</v>
      </c>
    </row>
    <row r="1732" spans="1:2" x14ac:dyDescent="0.25">
      <c r="A1732">
        <f ca="1">32798.4420087756*((RANDBETWEEN(1587,2416)))</f>
        <v>56741304.675181761</v>
      </c>
      <c r="B1732">
        <v>232604253.05464309</v>
      </c>
    </row>
    <row r="1733" spans="1:2" x14ac:dyDescent="0.25">
      <c r="A1733">
        <f ca="1">30974.985127723*((RANDBETWEEN(1587,2416)))</f>
        <v>54237198.958643027</v>
      </c>
      <c r="B1733">
        <v>235001710.16051105</v>
      </c>
    </row>
    <row r="1734" spans="1:2" x14ac:dyDescent="0.25">
      <c r="A1734">
        <f ca="1">27969.6862776359*((RANDBETWEEN(1587,2416)))</f>
        <v>46653436.711096637</v>
      </c>
      <c r="B1734">
        <v>208107245.71078247</v>
      </c>
    </row>
    <row r="1735" spans="1:2" x14ac:dyDescent="0.25">
      <c r="A1735">
        <f ca="1">31053.8103616693*((RANDBETWEEN(1587,2416)))</f>
        <v>61176006.412488475</v>
      </c>
      <c r="B1735">
        <v>204320507.9754298</v>
      </c>
    </row>
    <row r="1736" spans="1:2" x14ac:dyDescent="0.25">
      <c r="A1736">
        <f ca="1">28153.098128658*((RANDBETWEEN(1587,2416)))</f>
        <v>55686828.098485574</v>
      </c>
      <c r="B1736">
        <v>253592786.26495451</v>
      </c>
    </row>
    <row r="1737" spans="1:2" x14ac:dyDescent="0.25">
      <c r="A1737">
        <f ca="1">34229.0392915519*((RANDBETWEEN(1587,2416)))</f>
        <v>72120585.787299946</v>
      </c>
      <c r="B1737">
        <v>244176593.59700012</v>
      </c>
    </row>
    <row r="1738" spans="1:2" x14ac:dyDescent="0.25">
      <c r="A1738">
        <f ca="1">32817.243296345*((RANDBETWEEN(1587,2416)))</f>
        <v>70196083.410882011</v>
      </c>
      <c r="B1738">
        <v>264191561.24253786</v>
      </c>
    </row>
    <row r="1739" spans="1:2" x14ac:dyDescent="0.25">
      <c r="A1739">
        <f ca="1">30126.8411413942*((RANDBETWEEN(1587,2416)))</f>
        <v>68538563.596671909</v>
      </c>
      <c r="B1739">
        <v>225658113.01930928</v>
      </c>
    </row>
    <row r="1740" spans="1:2" x14ac:dyDescent="0.25">
      <c r="A1740">
        <f ca="1">28041.9777735244*((RANDBETWEEN(1587,2416)))</f>
        <v>53896681.280713856</v>
      </c>
      <c r="B1740">
        <v>212771854.80797029</v>
      </c>
    </row>
    <row r="1741" spans="1:2" x14ac:dyDescent="0.25">
      <c r="A1741">
        <f ca="1">29617.3648131141*((RANDBETWEEN(1587,2416)))</f>
        <v>57546539.831880622</v>
      </c>
      <c r="B1741">
        <v>221979481.22488302</v>
      </c>
    </row>
    <row r="1742" spans="1:2" x14ac:dyDescent="0.25">
      <c r="A1742">
        <f ca="1">28361.1225244869*((RANDBETWEEN(1587,2416)))</f>
        <v>62904969.75931187</v>
      </c>
      <c r="B1742">
        <v>247620719.3935501</v>
      </c>
    </row>
    <row r="1743" spans="1:2" x14ac:dyDescent="0.25">
      <c r="A1743">
        <f ca="1">29421.654483666*((RANDBETWEEN(1587,2416)))</f>
        <v>55606926.974128827</v>
      </c>
      <c r="B1743">
        <v>249048529.38863739</v>
      </c>
    </row>
    <row r="1744" spans="1:2" x14ac:dyDescent="0.25">
      <c r="A1744">
        <f ca="1">29708.359300164*((RANDBETWEEN(1587,2416)))</f>
        <v>56089382.358709618</v>
      </c>
      <c r="B1744">
        <v>206535933.69354594</v>
      </c>
    </row>
    <row r="1745" spans="1:2" x14ac:dyDescent="0.25">
      <c r="A1745">
        <f ca="1">26921.6254642333*((RANDBETWEEN(1587,2416)))</f>
        <v>44932192.899805456</v>
      </c>
      <c r="B1745">
        <v>246420456.91699886</v>
      </c>
    </row>
    <row r="1746" spans="1:2" x14ac:dyDescent="0.25">
      <c r="A1746">
        <f ca="1">32686.8433891904*((RANDBETWEEN(1587,2416)))</f>
        <v>52266262.579315461</v>
      </c>
      <c r="B1746">
        <v>206244826.27858323</v>
      </c>
    </row>
    <row r="1747" spans="1:2" x14ac:dyDescent="0.25">
      <c r="A1747">
        <f ca="1">31130.8923131018*((RANDBETWEEN(1587,2416)))</f>
        <v>67958737.919501156</v>
      </c>
      <c r="B1747">
        <v>218954978.84144998</v>
      </c>
    </row>
    <row r="1748" spans="1:2" x14ac:dyDescent="0.25">
      <c r="A1748">
        <f ca="1">27947.4593795385*((RANDBETWEEN(1587,2416)))</f>
        <v>44408512.954086617</v>
      </c>
      <c r="B1748">
        <v>228125877.45919549</v>
      </c>
    </row>
    <row r="1749" spans="1:2" x14ac:dyDescent="0.25">
      <c r="A1749">
        <f ca="1">30125.7137442722*((RANDBETWEEN(1587,2416)))</f>
        <v>48412021.987045467</v>
      </c>
      <c r="B1749">
        <v>203720309.02051201</v>
      </c>
    </row>
    <row r="1750" spans="1:2" x14ac:dyDescent="0.25">
      <c r="A1750">
        <f ca="1">28253.5007127322*((RANDBETWEEN(1587,2416)))</f>
        <v>50630273.277216181</v>
      </c>
      <c r="B1750">
        <v>254159597.34288999</v>
      </c>
    </row>
    <row r="1751" spans="1:2" x14ac:dyDescent="0.25">
      <c r="A1751">
        <f ca="1">33765.5965491472*((RANDBETWEEN(1587,2416)))</f>
        <v>61352088.929800436</v>
      </c>
      <c r="B1751">
        <v>222047602.83669341</v>
      </c>
    </row>
    <row r="1752" spans="1:2" x14ac:dyDescent="0.25">
      <c r="A1752">
        <f ca="1">26864.9915775476*((RANDBETWEEN(1587,2416)))</f>
        <v>59613416.310578167</v>
      </c>
      <c r="B1752">
        <v>248154644.69928455</v>
      </c>
    </row>
    <row r="1753" spans="1:2" x14ac:dyDescent="0.25">
      <c r="A1753">
        <f ca="1">27426.1986590178*((RANDBETWEEN(1587,2416)))</f>
        <v>47995847.653281197</v>
      </c>
      <c r="B1753">
        <v>221801883.80848739</v>
      </c>
    </row>
    <row r="1754" spans="1:2" x14ac:dyDescent="0.25">
      <c r="A1754">
        <f ca="1">27298.8813537227*((RANDBETWEEN(1587,2416)))</f>
        <v>62432541.655963913</v>
      </c>
      <c r="B1754">
        <v>216664176.94919509</v>
      </c>
    </row>
    <row r="1755" spans="1:2" x14ac:dyDescent="0.25">
      <c r="A1755">
        <f ca="1">29725.4827937387*((RANDBETWEEN(1587,2416)))</f>
        <v>64920454.421525329</v>
      </c>
      <c r="B1755">
        <v>225237890.71631747</v>
      </c>
    </row>
    <row r="1756" spans="1:2" x14ac:dyDescent="0.25">
      <c r="A1756">
        <f ca="1">33666.8005855057*((RANDBETWEEN(1587,2416)))</f>
        <v>68006937.182721466</v>
      </c>
      <c r="B1756">
        <v>218617357.52037653</v>
      </c>
    </row>
    <row r="1757" spans="1:2" x14ac:dyDescent="0.25">
      <c r="A1757">
        <f ca="1">31569.7273257942*((RANDBETWEEN(1587,2416)))</f>
        <v>51584934.450347684</v>
      </c>
      <c r="B1757">
        <v>238092153.21179733</v>
      </c>
    </row>
    <row r="1758" spans="1:2" x14ac:dyDescent="0.25">
      <c r="A1758">
        <f ca="1">24905.532795901*((RANDBETWEEN(1587,2416)))</f>
        <v>56485748.381103575</v>
      </c>
      <c r="B1758">
        <v>238318434.32627794</v>
      </c>
    </row>
    <row r="1759" spans="1:2" x14ac:dyDescent="0.25">
      <c r="A1759">
        <f ca="1">27350.3487678139*((RANDBETWEEN(1587,2416)))</f>
        <v>57052827.529659793</v>
      </c>
      <c r="B1759">
        <v>257942911.26474136</v>
      </c>
    </row>
    <row r="1760" spans="1:2" x14ac:dyDescent="0.25">
      <c r="A1760">
        <f ca="1">28001.0834022803*((RANDBETWEEN(1587,2416)))</f>
        <v>56618190.639410727</v>
      </c>
      <c r="B1760">
        <v>260865271.8470327</v>
      </c>
    </row>
    <row r="1761" spans="1:2" x14ac:dyDescent="0.25">
      <c r="A1761">
        <f ca="1">26715.68868446*((RANDBETWEEN(1587,2416)))</f>
        <v>59255397.502132244</v>
      </c>
      <c r="B1761">
        <v>221135512.05205679</v>
      </c>
    </row>
    <row r="1762" spans="1:2" x14ac:dyDescent="0.25">
      <c r="A1762">
        <f ca="1">29216.8406920981*((RANDBETWEEN(1587,2416)))</f>
        <v>59339403.445651293</v>
      </c>
      <c r="B1762">
        <v>207508763.54747686</v>
      </c>
    </row>
    <row r="1763" spans="1:2" x14ac:dyDescent="0.25">
      <c r="A1763">
        <f ca="1">28646.8294138046*((RANDBETWEEN(1587,2416)))</f>
        <v>68752390.593130961</v>
      </c>
      <c r="B1763">
        <v>245888114.0401451</v>
      </c>
    </row>
    <row r="1764" spans="1:2" x14ac:dyDescent="0.25">
      <c r="A1764">
        <f ca="1">30844.7786585424*((RANDBETWEEN(1587,2416)))</f>
        <v>70696232.685379222</v>
      </c>
      <c r="B1764">
        <v>205838035.37696108</v>
      </c>
    </row>
    <row r="1765" spans="1:2" x14ac:dyDescent="0.25">
      <c r="A1765">
        <f ca="1">32197.0703901764*((RANDBETWEEN(1587,2416)))</f>
        <v>52867589.580669701</v>
      </c>
      <c r="B1765">
        <v>228600762.03995675</v>
      </c>
    </row>
    <row r="1766" spans="1:2" x14ac:dyDescent="0.25">
      <c r="A1766">
        <f ca="1">31040.0449519841*((RANDBETWEEN(1587,2416)))</f>
        <v>73006185.727066606</v>
      </c>
      <c r="B1766">
        <v>232131388.06484741</v>
      </c>
    </row>
    <row r="1767" spans="1:2" x14ac:dyDescent="0.25">
      <c r="A1767">
        <f ca="1">33516.8280340008*((RANDBETWEEN(1587,2416)))</f>
        <v>55906069.160713285</v>
      </c>
      <c r="B1767">
        <v>234922286.23603529</v>
      </c>
    </row>
    <row r="1768" spans="1:2" x14ac:dyDescent="0.25">
      <c r="A1768">
        <f ca="1">27340.4013429524*((RANDBETWEEN(1587,2416)))</f>
        <v>51372614.123407565</v>
      </c>
      <c r="B1768">
        <v>246796094.2969259</v>
      </c>
    </row>
    <row r="1769" spans="1:2" x14ac:dyDescent="0.25">
      <c r="A1769">
        <f ca="1">28244.6636362663*((RANDBETWEEN(1587,2416)))</f>
        <v>58946613.008887872</v>
      </c>
      <c r="B1769">
        <v>244397404.20315066</v>
      </c>
    </row>
    <row r="1770" spans="1:2" x14ac:dyDescent="0.25">
      <c r="A1770">
        <f ca="1">32123.6409134843*((RANDBETWEEN(1587,2416)))</f>
        <v>54192582.221048057</v>
      </c>
      <c r="B1770">
        <v>214853652.63885593</v>
      </c>
    </row>
    <row r="1771" spans="1:2" x14ac:dyDescent="0.25">
      <c r="A1771">
        <f ca="1">28255.8293930507*((RANDBETWEEN(1587,2416)))</f>
        <v>60156660.777805045</v>
      </c>
      <c r="B1771">
        <v>217672341.74549532</v>
      </c>
    </row>
    <row r="1772" spans="1:2" x14ac:dyDescent="0.25">
      <c r="A1772">
        <f ca="1">32819.8899641182*((RANDBETWEEN(1587,2416)))</f>
        <v>73221174.509947762</v>
      </c>
      <c r="B1772">
        <v>210918185.09101573</v>
      </c>
    </row>
    <row r="1773" spans="1:2" x14ac:dyDescent="0.25">
      <c r="A1773">
        <f ca="1">28882.2567440123*((RANDBETWEEN(1587,2416)))</f>
        <v>55944931.313151814</v>
      </c>
      <c r="B1773">
        <v>252127251.4247877</v>
      </c>
    </row>
    <row r="1774" spans="1:2" x14ac:dyDescent="0.25">
      <c r="A1774">
        <f ca="1">27930.3156205267*((RANDBETWEEN(1587,2416)))</f>
        <v>62452185.727497786</v>
      </c>
      <c r="B1774">
        <v>236676896.13177246</v>
      </c>
    </row>
    <row r="1775" spans="1:2" x14ac:dyDescent="0.25">
      <c r="A1775">
        <f ca="1">26244.9971060057*((RANDBETWEEN(1587,2416)))</f>
        <v>49104389.585336663</v>
      </c>
      <c r="B1775">
        <v>205482803.20958573</v>
      </c>
    </row>
    <row r="1776" spans="1:2" x14ac:dyDescent="0.25">
      <c r="A1776">
        <f ca="1">28234.0123306957*((RANDBETWEEN(1587,2416)))</f>
        <v>51385902.441866256</v>
      </c>
      <c r="B1776">
        <v>245380171.62992167</v>
      </c>
    </row>
    <row r="1777" spans="1:2" x14ac:dyDescent="0.25">
      <c r="A1777">
        <f ca="1">26891.7994615697*((RANDBETWEEN(1587,2416)))</f>
        <v>62200732.154610798</v>
      </c>
      <c r="B1777">
        <v>257278763.29849729</v>
      </c>
    </row>
    <row r="1778" spans="1:2" x14ac:dyDescent="0.25">
      <c r="A1778">
        <f ca="1">28889.5710263107*((RANDBETWEEN(1587,2416)))</f>
        <v>50383411.869885921</v>
      </c>
      <c r="B1778">
        <v>211704847.41359341</v>
      </c>
    </row>
    <row r="1779" spans="1:2" x14ac:dyDescent="0.25">
      <c r="A1779">
        <f ca="1">30782.8472006923*((RANDBETWEEN(1587,2416)))</f>
        <v>48975509.896301605</v>
      </c>
      <c r="B1779">
        <v>218200866.36539915</v>
      </c>
    </row>
    <row r="1780" spans="1:2" x14ac:dyDescent="0.25">
      <c r="A1780">
        <f ca="1">28122.4285642524*((RANDBETWEEN(1587,2416)))</f>
        <v>66818890.268663608</v>
      </c>
      <c r="B1780">
        <v>227384304.44946355</v>
      </c>
    </row>
    <row r="1781" spans="1:2" x14ac:dyDescent="0.25">
      <c r="A1781">
        <f ca="1">27630.568745865*((RANDBETWEEN(1587,2416)))</f>
        <v>66672562.383772224</v>
      </c>
      <c r="B1781">
        <v>228816387.58811677</v>
      </c>
    </row>
    <row r="1782" spans="1:2" x14ac:dyDescent="0.25">
      <c r="A1782">
        <f ca="1">28241.856258693*((RANDBETWEEN(1587,2416)))</f>
        <v>55975359.104729488</v>
      </c>
      <c r="B1782">
        <v>219360656.52601525</v>
      </c>
    </row>
    <row r="1783" spans="1:2" x14ac:dyDescent="0.25">
      <c r="A1783">
        <f ca="1">30851.9835121396*((RANDBETWEEN(1587,2416)))</f>
        <v>52232408.086052351</v>
      </c>
      <c r="B1783">
        <v>260489274.41624391</v>
      </c>
    </row>
    <row r="1784" spans="1:2" x14ac:dyDescent="0.25">
      <c r="A1784">
        <f ca="1">31961.5878323981*((RANDBETWEEN(1587,2416)))</f>
        <v>64082983.603958093</v>
      </c>
      <c r="B1784">
        <v>265937343.44236743</v>
      </c>
    </row>
    <row r="1785" spans="1:2" x14ac:dyDescent="0.25">
      <c r="A1785">
        <f ca="1">31071.9949048922*((RANDBETWEEN(1587,2416)))</f>
        <v>60497174.079825193</v>
      </c>
      <c r="B1785">
        <v>204179844.17498267</v>
      </c>
    </row>
    <row r="1786" spans="1:2" x14ac:dyDescent="0.25">
      <c r="A1786">
        <f ca="1">29819.04177421*((RANDBETWEEN(1587,2416)))</f>
        <v>65065149.151326247</v>
      </c>
      <c r="B1786">
        <v>226302657.64266142</v>
      </c>
    </row>
    <row r="1787" spans="1:2" x14ac:dyDescent="0.25">
      <c r="A1787">
        <f ca="1">31285.0533088798*((RANDBETWEEN(1587,2416)))</f>
        <v>50087370.347516567</v>
      </c>
      <c r="B1787">
        <v>224778091.35980189</v>
      </c>
    </row>
    <row r="1788" spans="1:2" x14ac:dyDescent="0.25">
      <c r="A1788">
        <f ca="1">30333.7687558064*((RANDBETWEEN(1587,2416)))</f>
        <v>50536058.747173414</v>
      </c>
      <c r="B1788">
        <v>223252362.47226071</v>
      </c>
    </row>
    <row r="1789" spans="1:2" x14ac:dyDescent="0.25">
      <c r="A1789">
        <f ca="1">31257.7692405353*((RANDBETWEEN(1587,2416)))</f>
        <v>70048660.868039533</v>
      </c>
      <c r="B1789">
        <v>259956541.47857574</v>
      </c>
    </row>
    <row r="1790" spans="1:2" x14ac:dyDescent="0.25">
      <c r="A1790">
        <f ca="1">30646.1537397157*((RANDBETWEEN(1587,2416)))</f>
        <v>56971199.802131467</v>
      </c>
      <c r="B1790">
        <v>222343678.26961961</v>
      </c>
    </row>
    <row r="1791" spans="1:2" x14ac:dyDescent="0.25">
      <c r="A1791">
        <f ca="1">32236.5869422285*((RANDBETWEEN(1587,2416)))</f>
        <v>65827110.536030672</v>
      </c>
      <c r="B1791">
        <v>257335359.88437045</v>
      </c>
    </row>
    <row r="1792" spans="1:2" x14ac:dyDescent="0.25">
      <c r="A1792">
        <f ca="1">31094.3773212468*((RANDBETWEEN(1587,2416)))</f>
        <v>60665130.153752454</v>
      </c>
      <c r="B1792">
        <v>247611453.48796383</v>
      </c>
    </row>
    <row r="1793" spans="1:2" x14ac:dyDescent="0.25">
      <c r="A1793">
        <f ca="1">31763.2916343405*((RANDBETWEEN(1587,2416)))</f>
        <v>74770788.507237613</v>
      </c>
      <c r="B1793">
        <v>264634617.01411143</v>
      </c>
    </row>
    <row r="1794" spans="1:2" x14ac:dyDescent="0.25">
      <c r="A1794">
        <f ca="1">29328.5827793532*((RANDBETWEEN(1587,2416)))</f>
        <v>59449037.293748848</v>
      </c>
      <c r="B1794">
        <v>260588976.3878099</v>
      </c>
    </row>
    <row r="1795" spans="1:2" x14ac:dyDescent="0.25">
      <c r="A1795">
        <f ca="1">30975.1906576419*((RANDBETWEEN(1587,2416)))</f>
        <v>71150012.940603435</v>
      </c>
      <c r="B1795">
        <v>249179016.24133456</v>
      </c>
    </row>
    <row r="1796" spans="1:2" x14ac:dyDescent="0.25">
      <c r="A1796">
        <f ca="1">27059.5207999156*((RANDBETWEEN(1587,2416)))</f>
        <v>44810566.444660172</v>
      </c>
      <c r="B1796">
        <v>260393236.7697514</v>
      </c>
    </row>
    <row r="1797" spans="1:2" x14ac:dyDescent="0.25">
      <c r="A1797">
        <f ca="1">31557.0046566053*((RANDBETWEEN(1587,2416)))</f>
        <v>53646907.916229039</v>
      </c>
      <c r="B1797">
        <v>266578850.13491541</v>
      </c>
    </row>
    <row r="1798" spans="1:2" x14ac:dyDescent="0.25">
      <c r="A1798">
        <f ca="1">30770.0532744265*((RANDBETWEEN(1587,2416)))</f>
        <v>70894202.744278565</v>
      </c>
      <c r="B1798">
        <v>227652489.5805274</v>
      </c>
    </row>
    <row r="1799" spans="1:2" x14ac:dyDescent="0.25">
      <c r="A1799">
        <f ca="1">33097.0279711496*((RANDBETWEEN(1587,2416)))</f>
        <v>55139648.599935278</v>
      </c>
      <c r="B1799">
        <v>237989001.32041609</v>
      </c>
    </row>
    <row r="1800" spans="1:2" x14ac:dyDescent="0.25">
      <c r="A1800">
        <f ca="1">33536.0160564266*((RANDBETWEEN(1587,2416)))</f>
        <v>63047710.186081991</v>
      </c>
      <c r="B1800">
        <v>224619743.31834394</v>
      </c>
    </row>
    <row r="1801" spans="1:2" x14ac:dyDescent="0.25">
      <c r="A1801">
        <f ca="1">35831.5197904995*((RANDBETWEEN(1587,2416)))</f>
        <v>62991811.791698046</v>
      </c>
      <c r="B1801">
        <v>237718313.53131858</v>
      </c>
    </row>
    <row r="1802" spans="1:2" x14ac:dyDescent="0.25">
      <c r="A1802">
        <f ca="1">30173.8543640603*((RANDBETWEEN(1587,2416)))</f>
        <v>53287026.806930542</v>
      </c>
      <c r="B1802">
        <v>217227638.02380741</v>
      </c>
    </row>
    <row r="1803" spans="1:2" x14ac:dyDescent="0.25">
      <c r="A1803">
        <f ca="1">28453.7513126777*((RANDBETWEEN(1587,2416)))</f>
        <v>56935956.376668073</v>
      </c>
      <c r="B1803">
        <v>220055212.22080225</v>
      </c>
    </row>
    <row r="1804" spans="1:2" x14ac:dyDescent="0.25">
      <c r="A1804">
        <f ca="1">27139.9553771399*((RANDBETWEEN(1587,2416)))</f>
        <v>58649443.56999927</v>
      </c>
      <c r="B1804">
        <v>214596227.83182937</v>
      </c>
    </row>
    <row r="1805" spans="1:2" x14ac:dyDescent="0.25">
      <c r="A1805">
        <f ca="1">28812.5034715991*((RANDBETWEEN(1587,2416)))</f>
        <v>63589195.161819421</v>
      </c>
      <c r="B1805">
        <v>259763719.14229059</v>
      </c>
    </row>
    <row r="1806" spans="1:2" x14ac:dyDescent="0.25">
      <c r="A1806">
        <f ca="1">29720.9418127666*((RANDBETWEEN(1587,2416)))</f>
        <v>66247979.300656743</v>
      </c>
      <c r="B1806">
        <v>241188215.38353056</v>
      </c>
    </row>
    <row r="1807" spans="1:2" x14ac:dyDescent="0.25">
      <c r="A1807">
        <f ca="1">27934.8437387245*((RANDBETWEEN(1587,2416)))</f>
        <v>47880322.168173797</v>
      </c>
      <c r="B1807">
        <v>216595233.67473662</v>
      </c>
    </row>
    <row r="1808" spans="1:2" x14ac:dyDescent="0.25">
      <c r="A1808">
        <f ca="1">28728.5176920262*((RANDBETWEEN(1587,2416)))</f>
        <v>56078066.534835048</v>
      </c>
      <c r="B1808">
        <v>235196044.54295632</v>
      </c>
    </row>
    <row r="1809" spans="1:2" x14ac:dyDescent="0.25">
      <c r="A1809">
        <f ca="1">31058.7647660664*((RANDBETWEEN(1587,2416)))</f>
        <v>55005072.400703602</v>
      </c>
      <c r="B1809">
        <v>263227681.79421782</v>
      </c>
    </row>
    <row r="1810" spans="1:2" x14ac:dyDescent="0.25">
      <c r="A1810">
        <f ca="1">27729.5693123396*((RANDBETWEEN(1587,2416)))</f>
        <v>57760692.877603322</v>
      </c>
      <c r="B1810">
        <v>219178706.47392964</v>
      </c>
    </row>
    <row r="1811" spans="1:2" x14ac:dyDescent="0.25">
      <c r="A1811">
        <f ca="1">28579.9809774502*((RANDBETWEEN(1587,2416)))</f>
        <v>62933118.11234542</v>
      </c>
      <c r="B1811">
        <v>234482937.19554579</v>
      </c>
    </row>
    <row r="1812" spans="1:2" x14ac:dyDescent="0.25">
      <c r="A1812">
        <f ca="1">27691.5842019169*((RANDBETWEEN(1587,2416)))</f>
        <v>52614009.983642079</v>
      </c>
      <c r="B1812">
        <v>219073314.08522114</v>
      </c>
    </row>
    <row r="1813" spans="1:2" x14ac:dyDescent="0.25">
      <c r="A1813">
        <f ca="1">31859.7661128975*((RANDBETWEEN(1587,2416)))</f>
        <v>70856119.835084096</v>
      </c>
      <c r="B1813">
        <v>259729587.36781502</v>
      </c>
    </row>
    <row r="1814" spans="1:2" x14ac:dyDescent="0.25">
      <c r="A1814">
        <f ca="1">30473.7023238875*((RANDBETWEEN(1587,2416)))</f>
        <v>60825509.838479467</v>
      </c>
      <c r="B1814">
        <v>248980224.19996095</v>
      </c>
    </row>
    <row r="1815" spans="1:2" x14ac:dyDescent="0.25">
      <c r="A1815">
        <f ca="1">29463.6722886119*((RANDBETWEEN(1587,2416)))</f>
        <v>53889056.615871184</v>
      </c>
      <c r="B1815">
        <v>256801483.75651693</v>
      </c>
    </row>
    <row r="1816" spans="1:2" x14ac:dyDescent="0.25">
      <c r="A1816">
        <f ca="1">30721.7386084573*((RANDBETWEEN(1587,2416)))</f>
        <v>60091720.718142502</v>
      </c>
      <c r="B1816">
        <v>263691980.52703285</v>
      </c>
    </row>
    <row r="1817" spans="1:2" x14ac:dyDescent="0.25">
      <c r="A1817">
        <f ca="1">31427.7156814373*((RANDBETWEEN(1587,2416)))</f>
        <v>74766535.606139392</v>
      </c>
      <c r="B1817">
        <v>235324100.78870708</v>
      </c>
    </row>
    <row r="1818" spans="1:2" x14ac:dyDescent="0.25">
      <c r="A1818">
        <f ca="1">25871.4263765243*((RANDBETWEEN(1587,2416)))</f>
        <v>60797851.984832115</v>
      </c>
      <c r="B1818">
        <v>207668564.2753157</v>
      </c>
    </row>
    <row r="1819" spans="1:2" x14ac:dyDescent="0.25">
      <c r="A1819">
        <f ca="1">30548.1899442641*((RANDBETWEEN(1587,2416)))</f>
        <v>60913090.748862557</v>
      </c>
      <c r="B1819">
        <v>267347196.5382688</v>
      </c>
    </row>
    <row r="1820" spans="1:2" x14ac:dyDescent="0.25">
      <c r="A1820">
        <f ca="1">34220.4404485089*((RANDBETWEEN(1587,2416)))</f>
        <v>60672840.915206283</v>
      </c>
      <c r="B1820">
        <v>266804471.43742767</v>
      </c>
    </row>
    <row r="1821" spans="1:2" x14ac:dyDescent="0.25">
      <c r="A1821">
        <f ca="1">29077.1123341869*((RANDBETWEEN(1587,2416)))</f>
        <v>50710483.910822012</v>
      </c>
      <c r="B1821">
        <v>246233267.580827</v>
      </c>
    </row>
    <row r="1822" spans="1:2" x14ac:dyDescent="0.25">
      <c r="A1822">
        <f ca="1">32047.0111577658*((RANDBETWEEN(1587,2416)))</f>
        <v>75310476.220749587</v>
      </c>
      <c r="B1822">
        <v>243492842.03323689</v>
      </c>
    </row>
    <row r="1823" spans="1:2" x14ac:dyDescent="0.25">
      <c r="A1823">
        <f ca="1">26411.1099624488*((RANDBETWEEN(1587,2416)))</f>
        <v>50233931.148577601</v>
      </c>
      <c r="B1823">
        <v>251357068.25202918</v>
      </c>
    </row>
    <row r="1824" spans="1:2" x14ac:dyDescent="0.25">
      <c r="A1824">
        <f ca="1">26525.922311051*((RANDBETWEEN(1587,2416)))</f>
        <v>53184474.2336573</v>
      </c>
      <c r="B1824">
        <v>251727064.66513661</v>
      </c>
    </row>
    <row r="1825" spans="1:2" x14ac:dyDescent="0.25">
      <c r="A1825">
        <f ca="1">28150.1591705969*((RANDBETWEEN(1587,2416)))</f>
        <v>61057695.241024755</v>
      </c>
      <c r="B1825">
        <v>231136187.25585935</v>
      </c>
    </row>
    <row r="1826" spans="1:2" x14ac:dyDescent="0.25">
      <c r="A1826">
        <f ca="1">29105.5100211489*((RANDBETWEEN(1587,2416)))</f>
        <v>52069757.427835315</v>
      </c>
      <c r="B1826">
        <v>249355134.15252158</v>
      </c>
    </row>
    <row r="1827" spans="1:2" x14ac:dyDescent="0.25">
      <c r="A1827">
        <f ca="1">25982.1100276864*((RANDBETWEEN(1587,2416)))</f>
        <v>44923068.237869769</v>
      </c>
      <c r="B1827">
        <v>233438003.73068237</v>
      </c>
    </row>
    <row r="1828" spans="1:2" x14ac:dyDescent="0.25">
      <c r="A1828">
        <f ca="1">32525.3061456647*((RANDBETWEEN(1587,2416)))</f>
        <v>61342727.390723683</v>
      </c>
      <c r="B1828">
        <v>223428913.79924431</v>
      </c>
    </row>
    <row r="1829" spans="1:2" x14ac:dyDescent="0.25">
      <c r="A1829">
        <f ca="1">27654.4645093827*((RANDBETWEEN(1587,2416)))</f>
        <v>63273414.797467634</v>
      </c>
      <c r="B1829">
        <v>241064804.13696742</v>
      </c>
    </row>
    <row r="1830" spans="1:2" x14ac:dyDescent="0.25">
      <c r="A1830">
        <f ca="1">27772.6026489344*((RANDBETWEEN(1587,2416)))</f>
        <v>66598701.152144752</v>
      </c>
      <c r="B1830">
        <v>233207041.72769397</v>
      </c>
    </row>
    <row r="1831" spans="1:2" x14ac:dyDescent="0.25">
      <c r="A1831">
        <f ca="1">27990.2876904109*((RANDBETWEEN(1587,2416)))</f>
        <v>53097575.748709515</v>
      </c>
      <c r="B1831">
        <v>210111098.95263076</v>
      </c>
    </row>
    <row r="1832" spans="1:2" x14ac:dyDescent="0.25">
      <c r="A1832">
        <f ca="1">27076.6570913605*((RANDBETWEEN(1587,2416)))</f>
        <v>57944046.175511383</v>
      </c>
      <c r="B1832">
        <v>240267452.11195895</v>
      </c>
    </row>
    <row r="1833" spans="1:2" x14ac:dyDescent="0.25">
      <c r="A1833">
        <f ca="1">29063.2766774174*((RANDBETWEEN(1587,2416)))</f>
        <v>56993085.564415567</v>
      </c>
      <c r="B1833">
        <v>264566504.342087</v>
      </c>
    </row>
    <row r="1834" spans="1:2" x14ac:dyDescent="0.25">
      <c r="A1834">
        <f ca="1">31748.5219932972*((RANDBETWEEN(1587,2416)))</f>
        <v>61306395.969056889</v>
      </c>
      <c r="B1834">
        <v>234580593.8031961</v>
      </c>
    </row>
    <row r="1835" spans="1:2" x14ac:dyDescent="0.25">
      <c r="A1835">
        <f ca="1">26511.643048015*((RANDBETWEEN(1587,2416)))</f>
        <v>54322356.605382808</v>
      </c>
      <c r="B1835">
        <v>242587224.80012777</v>
      </c>
    </row>
    <row r="1836" spans="1:2" x14ac:dyDescent="0.25">
      <c r="A1836">
        <f ca="1">30778.8647291583*((RANDBETWEEN(1587,2416)))</f>
        <v>58048938.879192486</v>
      </c>
      <c r="B1836">
        <v>222010911.62137985</v>
      </c>
    </row>
    <row r="1837" spans="1:2" x14ac:dyDescent="0.25">
      <c r="A1837">
        <f ca="1">32851.2331399015*((RANDBETWEEN(1587,2416)))</f>
        <v>77003290.479929104</v>
      </c>
      <c r="B1837">
        <v>241366235.23713541</v>
      </c>
    </row>
    <row r="1838" spans="1:2" x14ac:dyDescent="0.25">
      <c r="A1838">
        <f ca="1">29357.4814926907*((RANDBETWEEN(1587,2416)))</f>
        <v>61210348.912260182</v>
      </c>
      <c r="B1838">
        <v>224187986.87836722</v>
      </c>
    </row>
    <row r="1839" spans="1:2" x14ac:dyDescent="0.25">
      <c r="A1839">
        <f ca="1">30794.2623552935*((RANDBETWEEN(1587,2416)))</f>
        <v>60510725.528151646</v>
      </c>
      <c r="B1839">
        <v>258588481.10054922</v>
      </c>
    </row>
    <row r="1840" spans="1:2" x14ac:dyDescent="0.25">
      <c r="A1840">
        <f ca="1">30948.9812499588*((RANDBETWEEN(1587,2416)))</f>
        <v>49920706.756183475</v>
      </c>
      <c r="B1840">
        <v>256941924.73513222</v>
      </c>
    </row>
    <row r="1841" spans="1:2" x14ac:dyDescent="0.25">
      <c r="A1841">
        <f ca="1">25012.8795983465*((RANDBETWEEN(1587,2416)))</f>
        <v>58980370.092901006</v>
      </c>
      <c r="B1841">
        <v>256358453.13854128</v>
      </c>
    </row>
    <row r="1842" spans="1:2" x14ac:dyDescent="0.25">
      <c r="A1842">
        <f ca="1">29203.879007421*((RANDBETWEEN(1587,2416)))</f>
        <v>52683797.729387432</v>
      </c>
      <c r="B1842">
        <v>229201800.66405815</v>
      </c>
    </row>
    <row r="1843" spans="1:2" x14ac:dyDescent="0.25">
      <c r="A1843">
        <f ca="1">31885.0724511031*((RANDBETWEEN(1587,2416)))</f>
        <v>59561315.338660605</v>
      </c>
      <c r="B1843">
        <v>218452835.63246644</v>
      </c>
    </row>
    <row r="1844" spans="1:2" x14ac:dyDescent="0.25">
      <c r="A1844">
        <f ca="1">27407.8157513513*((RANDBETWEEN(1587,2416)))</f>
        <v>53390425.083632275</v>
      </c>
      <c r="B1844">
        <v>218224829.93131024</v>
      </c>
    </row>
    <row r="1845" spans="1:2" x14ac:dyDescent="0.25">
      <c r="A1845">
        <f ca="1">31024.3693339243*((RANDBETWEEN(1587,2416)))</f>
        <v>68439758.750637114</v>
      </c>
      <c r="B1845">
        <v>258099731.99578342</v>
      </c>
    </row>
    <row r="1846" spans="1:2" x14ac:dyDescent="0.25">
      <c r="A1846">
        <f ca="1">32148.5253279772*((RANDBETWEEN(1587,2416)))</f>
        <v>66643893.004896767</v>
      </c>
      <c r="B1846">
        <v>248601542.70013067</v>
      </c>
    </row>
    <row r="1847" spans="1:2" x14ac:dyDescent="0.25">
      <c r="A1847">
        <f ca="1">29579.5831924838*((RANDBETWEEN(1587,2416)))</f>
        <v>47741447.272668906</v>
      </c>
      <c r="B1847">
        <v>262275099.65088302</v>
      </c>
    </row>
    <row r="1848" spans="1:2" x14ac:dyDescent="0.25">
      <c r="A1848">
        <f ca="1">27980.2699594307*((RANDBETWEEN(1587,2416)))</f>
        <v>66621022.773404457</v>
      </c>
      <c r="B1848">
        <v>205144857.19221854</v>
      </c>
    </row>
    <row r="1849" spans="1:2" x14ac:dyDescent="0.25">
      <c r="A1849">
        <f ca="1">27551.889759495*((RANDBETWEEN(1587,2416)))</f>
        <v>59980464.006420597</v>
      </c>
      <c r="B1849">
        <v>233856157.66353866</v>
      </c>
    </row>
    <row r="1850" spans="1:2" x14ac:dyDescent="0.25">
      <c r="A1850">
        <f ca="1">27921.6130292879*((RANDBETWEEN(1587,2416)))</f>
        <v>59305506.074207418</v>
      </c>
      <c r="B1850">
        <v>223666054.290061</v>
      </c>
    </row>
    <row r="1851" spans="1:2" x14ac:dyDescent="0.25">
      <c r="A1851">
        <f ca="1">32421.7660704836*((RANDBETWEEN(1587,2416)))</f>
        <v>62638852.048174299</v>
      </c>
      <c r="B1851">
        <v>257778769.77724868</v>
      </c>
    </row>
    <row r="1852" spans="1:2" x14ac:dyDescent="0.25">
      <c r="A1852">
        <f ca="1">32207.5290914947*((RANDBETWEEN(1587,2416)))</f>
        <v>56298760.851932749</v>
      </c>
      <c r="B1852">
        <v>265499565.54667905</v>
      </c>
    </row>
    <row r="1853" spans="1:2" x14ac:dyDescent="0.25">
      <c r="A1853">
        <f ca="1">31490.540158624*((RANDBETWEEN(1587,2416)))</f>
        <v>55139935.817750558</v>
      </c>
      <c r="B1853">
        <v>224025939.58235589</v>
      </c>
    </row>
    <row r="1854" spans="1:2" x14ac:dyDescent="0.25">
      <c r="A1854">
        <f ca="1">28913.4312427921*((RANDBETWEEN(1587,2416)))</f>
        <v>68842879.789087892</v>
      </c>
      <c r="B1854">
        <v>229805324.50386709</v>
      </c>
    </row>
    <row r="1855" spans="1:2" x14ac:dyDescent="0.25">
      <c r="A1855">
        <f ca="1">29798.4961835453*((RANDBETWEEN(1587,2416)))</f>
        <v>64513744.237375587</v>
      </c>
      <c r="B1855">
        <v>262860374.38619608</v>
      </c>
    </row>
    <row r="1856" spans="1:2" x14ac:dyDescent="0.25">
      <c r="A1856">
        <f ca="1">28035.1542968713*((RANDBETWEEN(1587,2416)))</f>
        <v>60527898.126945138</v>
      </c>
      <c r="B1856">
        <v>218098952.768742</v>
      </c>
    </row>
    <row r="1857" spans="1:2" x14ac:dyDescent="0.25">
      <c r="A1857">
        <f ca="1">32408.7265587206*((RANDBETWEEN(1587,2416)))</f>
        <v>59405195.782134876</v>
      </c>
      <c r="B1857">
        <v>217470575.36261904</v>
      </c>
    </row>
    <row r="1858" spans="1:2" x14ac:dyDescent="0.25">
      <c r="A1858">
        <f ca="1">27548.6855630155*((RANDBETWEEN(1587,2416)))</f>
        <v>48926465.559915572</v>
      </c>
      <c r="B1858">
        <v>215637845.55540329</v>
      </c>
    </row>
    <row r="1859" spans="1:2" x14ac:dyDescent="0.25">
      <c r="A1859">
        <f ca="1">30535.3759393784*((RANDBETWEEN(1587,2416)))</f>
        <v>53956009.284881704</v>
      </c>
      <c r="B1859">
        <v>209923103.84167528</v>
      </c>
    </row>
    <row r="1860" spans="1:2" x14ac:dyDescent="0.25">
      <c r="A1860">
        <f ca="1">30775.2233189201*((RANDBETWEEN(1587,2416)))</f>
        <v>68259445.321364671</v>
      </c>
      <c r="B1860">
        <v>256895864.86916968</v>
      </c>
    </row>
    <row r="1861" spans="1:2" x14ac:dyDescent="0.25">
      <c r="A1861">
        <f ca="1">26874.3961310141*((RANDBETWEEN(1587,2416)))</f>
        <v>47863299.509336062</v>
      </c>
      <c r="B1861">
        <v>260468742.8109585</v>
      </c>
    </row>
    <row r="1862" spans="1:2" x14ac:dyDescent="0.25">
      <c r="A1862">
        <f ca="1">29047.5825482136*((RANDBETWEEN(1587,2416)))</f>
        <v>46969940.980461434</v>
      </c>
      <c r="B1862">
        <v>203979645.26756915</v>
      </c>
    </row>
    <row r="1863" spans="1:2" x14ac:dyDescent="0.25">
      <c r="A1863">
        <f ca="1">31509.3029352287*((RANDBETWEEN(1587,2416)))</f>
        <v>64184450.079060785</v>
      </c>
      <c r="B1863">
        <v>265035724.80400127</v>
      </c>
    </row>
    <row r="1864" spans="1:2" x14ac:dyDescent="0.25">
      <c r="A1864">
        <f ca="1">28959.3130474089*((RANDBETWEEN(1587,2416)))</f>
        <v>52908664.93761608</v>
      </c>
      <c r="B1864">
        <v>220695410.76352292</v>
      </c>
    </row>
    <row r="1865" spans="1:2" x14ac:dyDescent="0.25">
      <c r="A1865">
        <f ca="1">28268.6436108124*((RANDBETWEEN(1587,2416)))</f>
        <v>60014330.385754667</v>
      </c>
      <c r="B1865">
        <v>234496595.47510961</v>
      </c>
    </row>
    <row r="1866" spans="1:2" x14ac:dyDescent="0.25">
      <c r="A1866">
        <f ca="1">30953.0953423754*((RANDBETWEEN(1587,2416)))</f>
        <v>60977597.824479505</v>
      </c>
      <c r="B1866">
        <v>237333965.03029877</v>
      </c>
    </row>
    <row r="1867" spans="1:2" x14ac:dyDescent="0.25">
      <c r="A1867">
        <f ca="1">25741.3228384362*((RANDBETWEEN(1587,2416)))</f>
        <v>41443529.769882351</v>
      </c>
      <c r="B1867">
        <v>254783143.03002459</v>
      </c>
    </row>
    <row r="1868" spans="1:2" x14ac:dyDescent="0.25">
      <c r="A1868">
        <f ca="1">31800.6394925466*((RANDBETWEEN(1587,2416)))</f>
        <v>72728062.519454136</v>
      </c>
      <c r="B1868">
        <v>260472024.47466061</v>
      </c>
    </row>
    <row r="1869" spans="1:2" x14ac:dyDescent="0.25">
      <c r="A1869">
        <f ca="1">29279.8452996617*((RANDBETWEEN(1587,2416)))</f>
        <v>69481072.896097213</v>
      </c>
      <c r="B1869">
        <v>223051343.35758334</v>
      </c>
    </row>
    <row r="1870" spans="1:2" x14ac:dyDescent="0.25">
      <c r="A1870">
        <f ca="1">27232.6617874235*((RANDBETWEEN(1587,2416)))</f>
        <v>58305128.886873677</v>
      </c>
      <c r="B1870">
        <v>239150220.85077384</v>
      </c>
    </row>
    <row r="1871" spans="1:2" x14ac:dyDescent="0.25">
      <c r="A1871">
        <f ca="1">27407.1123088636*((RANDBETWEEN(1587,2416)))</f>
        <v>46235798.465052933</v>
      </c>
      <c r="B1871">
        <v>267356826.01780704</v>
      </c>
    </row>
    <row r="1872" spans="1:2" x14ac:dyDescent="0.25">
      <c r="A1872">
        <f ca="1">27353.5897999737*((RANDBETWEEN(1587,2416)))</f>
        <v>59247875.506742947</v>
      </c>
      <c r="B1872">
        <v>256891706.18563437</v>
      </c>
    </row>
    <row r="1873" spans="1:2" x14ac:dyDescent="0.25">
      <c r="A1873">
        <f ca="1">33164.9139131064*((RANDBETWEEN(1587,2416)))</f>
        <v>74919540.529707447</v>
      </c>
      <c r="B1873">
        <v>235338700.58273214</v>
      </c>
    </row>
    <row r="1874" spans="1:2" x14ac:dyDescent="0.25">
      <c r="A1874">
        <f ca="1">33957.9288274191*((RANDBETWEEN(1587,2416)))</f>
        <v>69376048.594417274</v>
      </c>
      <c r="B1874">
        <v>208316974.1534884</v>
      </c>
    </row>
    <row r="1875" spans="1:2" x14ac:dyDescent="0.25">
      <c r="A1875">
        <f ca="1">31332.8610008991*((RANDBETWEEN(1587,2416)))</f>
        <v>63041716.333808966</v>
      </c>
      <c r="B1875">
        <v>231208356.80844128</v>
      </c>
    </row>
    <row r="1876" spans="1:2" x14ac:dyDescent="0.25">
      <c r="A1876">
        <f ca="1">30012.3911762167*((RANDBETWEEN(1587,2416)))</f>
        <v>61435364.737715594</v>
      </c>
      <c r="B1876">
        <v>214186862.25430548</v>
      </c>
    </row>
    <row r="1877" spans="1:2" x14ac:dyDescent="0.25">
      <c r="A1877">
        <f ca="1">30172.2311457273*((RANDBETWEEN(1587,2416)))</f>
        <v>58353095.035836533</v>
      </c>
      <c r="B1877">
        <v>218940389.06258875</v>
      </c>
    </row>
    <row r="1878" spans="1:2" x14ac:dyDescent="0.25">
      <c r="A1878">
        <f ca="1">29948.790716177*((RANDBETWEEN(1587,2416)))</f>
        <v>52440332.544025876</v>
      </c>
      <c r="B1878">
        <v>232928135.48653728</v>
      </c>
    </row>
    <row r="1879" spans="1:2" x14ac:dyDescent="0.25">
      <c r="A1879">
        <f ca="1">29043.3026172786*((RANDBETWEEN(1587,2416)))</f>
        <v>69965316.00502421</v>
      </c>
      <c r="B1879">
        <v>222132193.13147062</v>
      </c>
    </row>
    <row r="1880" spans="1:2" x14ac:dyDescent="0.25">
      <c r="A1880">
        <f ca="1">28266.6307144138*((RANDBETWEEN(1587,2416)))</f>
        <v>61310322.019563429</v>
      </c>
      <c r="B1880">
        <v>258270357.78630769</v>
      </c>
    </row>
    <row r="1881" spans="1:2" x14ac:dyDescent="0.25">
      <c r="A1881">
        <f ca="1">31161.4300823081*((RANDBETWEEN(1587,2416)))</f>
        <v>63818608.808567069</v>
      </c>
      <c r="B1881">
        <v>262460762.3498674</v>
      </c>
    </row>
    <row r="1882" spans="1:2" x14ac:dyDescent="0.25">
      <c r="A1882">
        <f ca="1">28207.8473489436*((RANDBETWEEN(1587,2416)))</f>
        <v>55202757.261882693</v>
      </c>
      <c r="B1882">
        <v>207661630.4056195</v>
      </c>
    </row>
    <row r="1883" spans="1:2" x14ac:dyDescent="0.25">
      <c r="A1883">
        <f ca="1">30072.7060780696*((RANDBETWEEN(1587,2416)))</f>
        <v>68776278.800545156</v>
      </c>
      <c r="B1883">
        <v>213806315.13273308</v>
      </c>
    </row>
    <row r="1884" spans="1:2" x14ac:dyDescent="0.25">
      <c r="A1884">
        <f ca="1">27992.980915117*((RANDBETWEEN(1587,2416)))</f>
        <v>63935968.410127267</v>
      </c>
      <c r="B1884">
        <v>241253421.65385589</v>
      </c>
    </row>
    <row r="1885" spans="1:2" x14ac:dyDescent="0.25">
      <c r="A1885">
        <f ca="1">34657.3951250996*((RANDBETWEEN(1587,2416)))</f>
        <v>61447561.556801595</v>
      </c>
      <c r="B1885">
        <v>262102025.52135828</v>
      </c>
    </row>
    <row r="1886" spans="1:2" x14ac:dyDescent="0.25">
      <c r="A1886">
        <f ca="1">27714.0112947032*((RANDBETWEEN(1587,2416)))</f>
        <v>53654325.866545454</v>
      </c>
      <c r="B1886">
        <v>243564869.8832528</v>
      </c>
    </row>
    <row r="1887" spans="1:2" x14ac:dyDescent="0.25">
      <c r="A1887">
        <f ca="1">29477.9484990223*((RANDBETWEEN(1587,2416)))</f>
        <v>57540955.470091566</v>
      </c>
      <c r="B1887">
        <v>210514232.22643137</v>
      </c>
    </row>
    <row r="1888" spans="1:2" x14ac:dyDescent="0.25">
      <c r="A1888">
        <f ca="1">26207.1155508219*((RANDBETWEEN(1587,2416)))</f>
        <v>55034942.656725906</v>
      </c>
      <c r="B1888">
        <v>211543244.6152716</v>
      </c>
    </row>
    <row r="1889" spans="1:2" x14ac:dyDescent="0.25">
      <c r="A1889">
        <f ca="1">31709.6184924886*((RANDBETWEEN(1587,2416)))</f>
        <v>66336521.886286236</v>
      </c>
      <c r="B1889">
        <v>221134287.72980326</v>
      </c>
    </row>
    <row r="1890" spans="1:2" x14ac:dyDescent="0.25">
      <c r="A1890">
        <f ca="1">34891.110833921*((RANDBETWEEN(1587,2416)))</f>
        <v>72957312.753728896</v>
      </c>
      <c r="B1890">
        <v>218549654.31837165</v>
      </c>
    </row>
    <row r="1891" spans="1:2" x14ac:dyDescent="0.25">
      <c r="A1891">
        <f ca="1">34056.3782485196*((RANDBETWEEN(1587,2416)))</f>
        <v>76456569.167926461</v>
      </c>
      <c r="B1891">
        <v>257863221.83310395</v>
      </c>
    </row>
    <row r="1892" spans="1:2" x14ac:dyDescent="0.25">
      <c r="A1892">
        <f ca="1">29255.9049291007*((RANDBETWEEN(1587,2416)))</f>
        <v>70360451.3544873</v>
      </c>
      <c r="B1892">
        <v>225300795.81387618</v>
      </c>
    </row>
    <row r="1893" spans="1:2" x14ac:dyDescent="0.25">
      <c r="A1893">
        <f ca="1">32560.5246449742*((RANDBETWEEN(1587,2416)))</f>
        <v>75475296.127050117</v>
      </c>
      <c r="B1893">
        <v>266117239.3906486</v>
      </c>
    </row>
    <row r="1894" spans="1:2" x14ac:dyDescent="0.25">
      <c r="A1894">
        <f ca="1">29767.6121905952*((RANDBETWEEN(1587,2416)))</f>
        <v>64059901.434160814</v>
      </c>
      <c r="B1894">
        <v>244537776.25573653</v>
      </c>
    </row>
    <row r="1895" spans="1:2" x14ac:dyDescent="0.25">
      <c r="A1895">
        <f ca="1">29770.0018930588*((RANDBETWEEN(1587,2416)))</f>
        <v>70406054.477084026</v>
      </c>
      <c r="B1895">
        <v>264922405.11276516</v>
      </c>
    </row>
    <row r="1896" spans="1:2" x14ac:dyDescent="0.25">
      <c r="A1896">
        <f ca="1">31055.5242922821*((RANDBETWEEN(1587,2416)))</f>
        <v>68663764.210235685</v>
      </c>
      <c r="B1896">
        <v>220664110.595844</v>
      </c>
    </row>
    <row r="1897" spans="1:2" x14ac:dyDescent="0.25">
      <c r="A1897">
        <f ca="1">30480.867929409*((RANDBETWEEN(1587,2416)))</f>
        <v>51238338.989336587</v>
      </c>
      <c r="B1897">
        <v>247908112.12424225</v>
      </c>
    </row>
    <row r="1898" spans="1:2" x14ac:dyDescent="0.25">
      <c r="A1898">
        <f ca="1">31043.6101273102*((RANDBETWEEN(1587,2416)))</f>
        <v>53829619.960755959</v>
      </c>
      <c r="B1898">
        <v>224304613.73146388</v>
      </c>
    </row>
    <row r="1899" spans="1:2" x14ac:dyDescent="0.25">
      <c r="A1899">
        <f ca="1">30780.1021710513*((RANDBETWEEN(1587,2416)))</f>
        <v>54788581.864471383</v>
      </c>
      <c r="B1899">
        <v>237671717.22573778</v>
      </c>
    </row>
    <row r="1900" spans="1:2" x14ac:dyDescent="0.25">
      <c r="A1900">
        <f ca="1">29957.2054054391*((RANDBETWEEN(1587,2416)))</f>
        <v>53473611.648708701</v>
      </c>
      <c r="B1900">
        <v>233732623.15292171</v>
      </c>
    </row>
    <row r="1901" spans="1:2" x14ac:dyDescent="0.25">
      <c r="A1901">
        <f ca="1">30027.7667336122*((RANDBETWEEN(1587,2416)))</f>
        <v>49846092.777796313</v>
      </c>
      <c r="B1901">
        <v>207545539.53164902</v>
      </c>
    </row>
    <row r="1902" spans="1:2" x14ac:dyDescent="0.25">
      <c r="A1902">
        <f ca="1">26275.7747145981*((RANDBETWEEN(1587,2416)))</f>
        <v>54338302.109788813</v>
      </c>
      <c r="B1902">
        <v>230906873.119892</v>
      </c>
    </row>
    <row r="1903" spans="1:2" x14ac:dyDescent="0.25">
      <c r="A1903">
        <f ca="1">30075.4271097236*((RANDBETWEEN(1587,2416)))</f>
        <v>68211068.684853017</v>
      </c>
      <c r="B1903">
        <v>225720965.67350027</v>
      </c>
    </row>
    <row r="1904" spans="1:2" x14ac:dyDescent="0.25">
      <c r="A1904">
        <f ca="1">27890.9155446631*((RANDBETWEEN(1587,2416)))</f>
        <v>48307065.723356403</v>
      </c>
      <c r="B1904">
        <v>263958655.8957485</v>
      </c>
    </row>
    <row r="1905" spans="1:2" x14ac:dyDescent="0.25">
      <c r="A1905">
        <f ca="1">28744.4555669215*((RANDBETWEEN(1587,2416)))</f>
        <v>56051688.35549698</v>
      </c>
      <c r="B1905">
        <v>218504992.45283517</v>
      </c>
    </row>
    <row r="1906" spans="1:2" x14ac:dyDescent="0.25">
      <c r="A1906">
        <f ca="1">28085.7423738716*((RANDBETWEEN(1587,2416)))</f>
        <v>63080577.371715538</v>
      </c>
      <c r="B1906">
        <v>231442284.70073718</v>
      </c>
    </row>
    <row r="1907" spans="1:2" x14ac:dyDescent="0.25">
      <c r="A1907">
        <f ca="1">30813.4793962887*((RANDBETWEEN(1587,2416)))</f>
        <v>69422769.079838425</v>
      </c>
      <c r="B1907">
        <v>254254852.43943658</v>
      </c>
    </row>
    <row r="1908" spans="1:2" x14ac:dyDescent="0.25">
      <c r="A1908">
        <f ca="1">32696.948657935*((RANDBETWEEN(1587,2416)))</f>
        <v>66309411.878292173</v>
      </c>
      <c r="B1908">
        <v>215853420.88227972</v>
      </c>
    </row>
    <row r="1909" spans="1:2" x14ac:dyDescent="0.25">
      <c r="A1909">
        <f ca="1">28659.4182559032*((RANDBETWEEN(1587,2416)))</f>
        <v>49695431.255736105</v>
      </c>
      <c r="B1909">
        <v>226183633.44497064</v>
      </c>
    </row>
    <row r="1910" spans="1:2" x14ac:dyDescent="0.25">
      <c r="A1910">
        <f ca="1">32787.3166641808*((RANDBETWEEN(1587,2416)))</f>
        <v>68984514.261436328</v>
      </c>
      <c r="B1910">
        <v>239590564.84242836</v>
      </c>
    </row>
    <row r="1911" spans="1:2" x14ac:dyDescent="0.25">
      <c r="A1911">
        <f ca="1">33007.9282170389*((RANDBETWEEN(1587,2416)))</f>
        <v>55288279.763540141</v>
      </c>
      <c r="B1911">
        <v>266062213.92451</v>
      </c>
    </row>
    <row r="1912" spans="1:2" x14ac:dyDescent="0.25">
      <c r="A1912">
        <f ca="1">29698.8415201917*((RANDBETWEEN(1587,2416)))</f>
        <v>62367567.192402504</v>
      </c>
      <c r="B1912">
        <v>219776655.70362651</v>
      </c>
    </row>
    <row r="1913" spans="1:2" x14ac:dyDescent="0.25">
      <c r="A1913">
        <f ca="1">31972.9888207879*((RANDBETWEEN(1587,2416)))</f>
        <v>67910628.255353585</v>
      </c>
      <c r="B1913">
        <v>245736126.80973694</v>
      </c>
    </row>
    <row r="1914" spans="1:2" x14ac:dyDescent="0.25">
      <c r="A1914">
        <f ca="1">27524.550040341*((RANDBETWEEN(1587,2416)))</f>
        <v>55241771.930964321</v>
      </c>
      <c r="B1914">
        <v>240127507.29613459</v>
      </c>
    </row>
    <row r="1915" spans="1:2" x14ac:dyDescent="0.25">
      <c r="A1915">
        <f ca="1">27746.2232636587*((RANDBETWEEN(1587,2416)))</f>
        <v>51802198.833250761</v>
      </c>
      <c r="B1915">
        <v>204334755.54497606</v>
      </c>
    </row>
    <row r="1916" spans="1:2" x14ac:dyDescent="0.25">
      <c r="A1916">
        <f ca="1">32119.2483146875*((RANDBETWEEN(1587,2416)))</f>
        <v>59420609.382171959</v>
      </c>
      <c r="B1916">
        <v>240893874.89814049</v>
      </c>
    </row>
    <row r="1917" spans="1:2" x14ac:dyDescent="0.25">
      <c r="A1917">
        <f ca="1">27057.2554620335*((RANDBETWEEN(1587,2416)))</f>
        <v>62881061.693765759</v>
      </c>
      <c r="B1917">
        <v>219542551.87999523</v>
      </c>
    </row>
    <row r="1918" spans="1:2" x14ac:dyDescent="0.25">
      <c r="A1918">
        <f ca="1">33951.2675992156*((RANDBETWEEN(1587,2416)))</f>
        <v>81856506.181708902</v>
      </c>
      <c r="B1918">
        <v>265349276.49383163</v>
      </c>
    </row>
    <row r="1919" spans="1:2" x14ac:dyDescent="0.25">
      <c r="A1919">
        <f ca="1">27939.0310052297*((RANDBETWEEN(1587,2416)))</f>
        <v>44925961.856409371</v>
      </c>
      <c r="B1919">
        <v>233675681.33779287</v>
      </c>
    </row>
    <row r="1920" spans="1:2" x14ac:dyDescent="0.25">
      <c r="A1920">
        <f ca="1">34253.3651518347*((RANDBETWEEN(1587,2416)))</f>
        <v>54394343.861113578</v>
      </c>
      <c r="B1920">
        <v>233218191.5495584</v>
      </c>
    </row>
    <row r="1921" spans="1:2" x14ac:dyDescent="0.25">
      <c r="A1921">
        <f ca="1">32609.5936866848*((RANDBETWEEN(1587,2416)))</f>
        <v>64371337.937515803</v>
      </c>
      <c r="B1921">
        <v>209497568.86868054</v>
      </c>
    </row>
    <row r="1922" spans="1:2" x14ac:dyDescent="0.25">
      <c r="A1922">
        <f ca="1">28168.2902693543*((RANDBETWEEN(1587,2416)))</f>
        <v>61547714.238539234</v>
      </c>
      <c r="B1922">
        <v>214580640.04270589</v>
      </c>
    </row>
    <row r="1923" spans="1:2" x14ac:dyDescent="0.25">
      <c r="A1923">
        <f ca="1">29622.4824749715*((RANDBETWEEN(1587,2416)))</f>
        <v>57882330.756094255</v>
      </c>
      <c r="B1923">
        <v>242909846.53799471</v>
      </c>
    </row>
    <row r="1924" spans="1:2" x14ac:dyDescent="0.25">
      <c r="A1924">
        <f ca="1">28468.6554292762*((RANDBETWEEN(1587,2416)))</f>
        <v>66474310.427359961</v>
      </c>
      <c r="B1924">
        <v>212433027.59727156</v>
      </c>
    </row>
    <row r="1925" spans="1:2" x14ac:dyDescent="0.25">
      <c r="A1925">
        <f ca="1">27460.4740607898*((RANDBETWEEN(1587,2416)))</f>
        <v>57996521.216388144</v>
      </c>
      <c r="B1925">
        <v>250201621.52275735</v>
      </c>
    </row>
    <row r="1926" spans="1:2" x14ac:dyDescent="0.25">
      <c r="A1926">
        <f ca="1">30689.378141726*((RANDBETWEEN(1587,2416)))</f>
        <v>67240427.508521602</v>
      </c>
      <c r="B1926">
        <v>252777170.91369712</v>
      </c>
    </row>
    <row r="1927" spans="1:2" x14ac:dyDescent="0.25">
      <c r="A1927">
        <f ca="1">28274.9765069408*((RANDBETWEEN(1587,2416)))</f>
        <v>59462275.594096594</v>
      </c>
      <c r="B1927">
        <v>223182122.23729286</v>
      </c>
    </row>
    <row r="1928" spans="1:2" x14ac:dyDescent="0.25">
      <c r="A1928">
        <f ca="1">32379.5970807335*((RANDBETWEEN(1587,2416)))</f>
        <v>53814890.348179139</v>
      </c>
      <c r="B1928">
        <v>223808828.08384329</v>
      </c>
    </row>
    <row r="1929" spans="1:2" x14ac:dyDescent="0.25">
      <c r="A1929">
        <f ca="1">32948.862602116*((RANDBETWEEN(1587,2416)))</f>
        <v>76968543.038542986</v>
      </c>
      <c r="B1929">
        <v>245161973.72850826</v>
      </c>
    </row>
    <row r="1930" spans="1:2" x14ac:dyDescent="0.25">
      <c r="A1930">
        <f ca="1">25801.4080390187*((RANDBETWEEN(1587,2416)))</f>
        <v>45487882.372790009</v>
      </c>
      <c r="B1930">
        <v>222367316.84894219</v>
      </c>
    </row>
    <row r="1931" spans="1:2" x14ac:dyDescent="0.25">
      <c r="A1931">
        <f ca="1">26831.2154179809*((RANDBETWEEN(1587,2416)))</f>
        <v>56399214.808595777</v>
      </c>
      <c r="B1931">
        <v>215148567.79980934</v>
      </c>
    </row>
    <row r="1932" spans="1:2" x14ac:dyDescent="0.25">
      <c r="A1932">
        <f ca="1">29474.6169990999*((RANDBETWEEN(1587,2416)))</f>
        <v>58035520.871227622</v>
      </c>
      <c r="B1932">
        <v>219550521.93176103</v>
      </c>
    </row>
    <row r="1933" spans="1:2" x14ac:dyDescent="0.25">
      <c r="A1933">
        <f ca="1">31337.7713896237*((RANDBETWEEN(1587,2416)))</f>
        <v>52804144.791515879</v>
      </c>
      <c r="B1933">
        <v>264962698.16968846</v>
      </c>
    </row>
    <row r="1934" spans="1:2" x14ac:dyDescent="0.25">
      <c r="A1934">
        <f ca="1">32906.1802515324*((RANDBETWEEN(1587,2416)))</f>
        <v>66075609.945077047</v>
      </c>
      <c r="B1934">
        <v>242096063.20272022</v>
      </c>
    </row>
    <row r="1935" spans="1:2" x14ac:dyDescent="0.25">
      <c r="A1935">
        <f ca="1">31467.7998282412*((RANDBETWEEN(1587,2416)))</f>
        <v>63722294.652188398</v>
      </c>
      <c r="B1935">
        <v>215345233.36501896</v>
      </c>
    </row>
    <row r="1936" spans="1:2" x14ac:dyDescent="0.25">
      <c r="A1936">
        <f ca="1">30434.0843568744*((RANDBETWEEN(1587,2416)))</f>
        <v>71246191.479443014</v>
      </c>
      <c r="B1936">
        <v>231724925.99989378</v>
      </c>
    </row>
    <row r="1937" spans="1:2" x14ac:dyDescent="0.25">
      <c r="A1937">
        <f ca="1">28372.7566607606*((RANDBETWEEN(1587,2416)))</f>
        <v>47978331.513346128</v>
      </c>
      <c r="B1937">
        <v>237031495.32798731</v>
      </c>
    </row>
    <row r="1938" spans="1:2" x14ac:dyDescent="0.25">
      <c r="A1938">
        <f ca="1">26496.8560995267*((RANDBETWEEN(1587,2416)))</f>
        <v>53311674.472247653</v>
      </c>
      <c r="B1938">
        <v>210350962.31081218</v>
      </c>
    </row>
    <row r="1939" spans="1:2" x14ac:dyDescent="0.25">
      <c r="A1939">
        <f ca="1">30727.620122889*((RANDBETWEEN(1587,2416)))</f>
        <v>55494081.94193764</v>
      </c>
      <c r="B1939">
        <v>265734185.90153337</v>
      </c>
    </row>
    <row r="1940" spans="1:2" x14ac:dyDescent="0.25">
      <c r="A1940">
        <f ca="1">28942.9534375217*((RANDBETWEEN(1587,2416)))</f>
        <v>53168205.464727312</v>
      </c>
      <c r="B1940">
        <v>207912483.64457971</v>
      </c>
    </row>
    <row r="1941" spans="1:2" x14ac:dyDescent="0.25">
      <c r="A1941">
        <f ca="1">31491.3012073811*((RANDBETWEEN(1587,2416)))</f>
        <v>73343240.511990577</v>
      </c>
      <c r="B1941">
        <v>255887662.42941284</v>
      </c>
    </row>
    <row r="1942" spans="1:2" x14ac:dyDescent="0.25">
      <c r="A1942">
        <f ca="1">32059.5936898151*((RANDBETWEEN(1587,2416)))</f>
        <v>58476698.890222728</v>
      </c>
      <c r="B1942">
        <v>232546836.43396404</v>
      </c>
    </row>
    <row r="1943" spans="1:2" x14ac:dyDescent="0.25">
      <c r="A1943">
        <f ca="1">32088.084809352*((RANDBETWEEN(1587,2416)))</f>
        <v>57598112.232786827</v>
      </c>
      <c r="B1943">
        <v>258499563.50239265</v>
      </c>
    </row>
    <row r="1944" spans="1:2" x14ac:dyDescent="0.25">
      <c r="A1944">
        <f ca="1">31921.3730883365*((RANDBETWEEN(1587,2416)))</f>
        <v>69971649.809633538</v>
      </c>
      <c r="B1944">
        <v>245024608.74191427</v>
      </c>
    </row>
    <row r="1945" spans="1:2" x14ac:dyDescent="0.25">
      <c r="A1945">
        <f ca="1">31092.5850593339*((RANDBETWEEN(1587,2416)))</f>
        <v>50090154.530586854</v>
      </c>
      <c r="B1945">
        <v>220031833.37622333</v>
      </c>
    </row>
    <row r="1946" spans="1:2" x14ac:dyDescent="0.25">
      <c r="A1946">
        <f ca="1">28068.3747361708*((RANDBETWEEN(1587,2416)))</f>
        <v>49288066.036715962</v>
      </c>
      <c r="B1946">
        <v>257460879.87486637</v>
      </c>
    </row>
    <row r="1947" spans="1:2" x14ac:dyDescent="0.25">
      <c r="A1947">
        <f ca="1">28271.7070281029*((RANDBETWEEN(1587,2416)))</f>
        <v>60642811.575280711</v>
      </c>
      <c r="B1947">
        <v>263092321.20722187</v>
      </c>
    </row>
    <row r="1948" spans="1:2" x14ac:dyDescent="0.25">
      <c r="A1948">
        <f ca="1">29903.0991573534*((RANDBETWEEN(1587,2416)))</f>
        <v>63185248.519487627</v>
      </c>
      <c r="B1948">
        <v>237741365.02458659</v>
      </c>
    </row>
    <row r="1949" spans="1:2" x14ac:dyDescent="0.25">
      <c r="A1949">
        <f ca="1">31450.429985018*((RANDBETWEEN(1587,2416)))</f>
        <v>75481031.964043275</v>
      </c>
      <c r="B1949">
        <v>215489455.93500313</v>
      </c>
    </row>
    <row r="1950" spans="1:2" x14ac:dyDescent="0.25">
      <c r="A1950">
        <f ca="1">29855.3285121932*((RANDBETWEEN(1587,2416)))</f>
        <v>59710657.024386488</v>
      </c>
      <c r="B1950">
        <v>263958212.43674305</v>
      </c>
    </row>
    <row r="1951" spans="1:2" x14ac:dyDescent="0.25">
      <c r="A1951">
        <f ca="1">27559.800229309*((RANDBETWEEN(1587,2416)))</f>
        <v>58371656.885676391</v>
      </c>
      <c r="B1951">
        <v>254387487.67934334</v>
      </c>
    </row>
    <row r="1952" spans="1:2" x14ac:dyDescent="0.25">
      <c r="A1952">
        <f ca="1">31647.2980702869*((RANDBETWEEN(1587,2416)))</f>
        <v>59591862.266350314</v>
      </c>
      <c r="B1952">
        <v>231011980.32352373</v>
      </c>
    </row>
    <row r="1953" spans="1:2" x14ac:dyDescent="0.25">
      <c r="A1953">
        <f ca="1">29978.8064607729*((RANDBETWEEN(1587,2416)))</f>
        <v>51173822.628539391</v>
      </c>
      <c r="B1953">
        <v>239134982.26259902</v>
      </c>
    </row>
    <row r="1954" spans="1:2" x14ac:dyDescent="0.25">
      <c r="A1954">
        <f ca="1">32208.8061838377*((RANDBETWEEN(1587,2416)))</f>
        <v>75594068.113467082</v>
      </c>
      <c r="B1954">
        <v>241670225.30052495</v>
      </c>
    </row>
    <row r="1955" spans="1:2" x14ac:dyDescent="0.25">
      <c r="A1955">
        <f ca="1">29435.5830840478*((RANDBETWEEN(1587,2416)))</f>
        <v>55221153.865673602</v>
      </c>
      <c r="B1955">
        <v>263215245.8557443</v>
      </c>
    </row>
    <row r="1956" spans="1:2" x14ac:dyDescent="0.25">
      <c r="A1956">
        <f ca="1">29144.0685299533*((RANDBETWEEN(1587,2416)))</f>
        <v>51002119.927418314</v>
      </c>
      <c r="B1956">
        <v>249190628.51670778</v>
      </c>
    </row>
    <row r="1957" spans="1:2" x14ac:dyDescent="0.25">
      <c r="A1957">
        <f ca="1">33727.1547876541*((RANDBETWEEN(1587,2416)))</f>
        <v>53727357.576733008</v>
      </c>
      <c r="B1957">
        <v>210248043.52140892</v>
      </c>
    </row>
    <row r="1958" spans="1:2" x14ac:dyDescent="0.25">
      <c r="A1958">
        <f ca="1">27313.7813215998*((RANDBETWEEN(1587,2416)))</f>
        <v>52060067.198969245</v>
      </c>
      <c r="B1958">
        <v>248640440.02782172</v>
      </c>
    </row>
    <row r="1959" spans="1:2" x14ac:dyDescent="0.25">
      <c r="A1959">
        <f ca="1">32459.3020760931*((RANDBETWEEN(1587,2416)))</f>
        <v>55148354.227282181</v>
      </c>
      <c r="B1959">
        <v>252977854.25340897</v>
      </c>
    </row>
    <row r="1960" spans="1:2" x14ac:dyDescent="0.25">
      <c r="A1960">
        <f ca="1">25971.6768876717*((RANDBETWEEN(1587,2416)))</f>
        <v>54774266.556099638</v>
      </c>
      <c r="B1960">
        <v>218862234.88618851</v>
      </c>
    </row>
    <row r="1961" spans="1:2" x14ac:dyDescent="0.25">
      <c r="A1961">
        <f ca="1">31603.5010298759*((RANDBETWEEN(1587,2416)))</f>
        <v>63870675.58137913</v>
      </c>
      <c r="B1961">
        <v>220600588.45143315</v>
      </c>
    </row>
    <row r="1962" spans="1:2" x14ac:dyDescent="0.25">
      <c r="A1962">
        <f ca="1">32753.5906739888*((RANDBETWEEN(1587,2416)))</f>
        <v>56630958.27532658</v>
      </c>
      <c r="B1962">
        <v>251936543.8849487</v>
      </c>
    </row>
    <row r="1963" spans="1:2" x14ac:dyDescent="0.25">
      <c r="A1963">
        <f ca="1">25795.4519633711*((RANDBETWEEN(1587,2416)))</f>
        <v>41633859.468880892</v>
      </c>
      <c r="B1963">
        <v>235943438.85323054</v>
      </c>
    </row>
    <row r="1964" spans="1:2" x14ac:dyDescent="0.25">
      <c r="A1964">
        <f ca="1">28327.6089197882*((RANDBETWEEN(1587,2416)))</f>
        <v>56173648.487939976</v>
      </c>
      <c r="B1964">
        <v>204391437.46688139</v>
      </c>
    </row>
    <row r="1965" spans="1:2" x14ac:dyDescent="0.25">
      <c r="A1965">
        <f ca="1">26402.0640396458*((RANDBETWEEN(1587,2416)))</f>
        <v>55708355.123652712</v>
      </c>
      <c r="B1965">
        <v>243072815.94992766</v>
      </c>
    </row>
    <row r="1966" spans="1:2" x14ac:dyDescent="0.25">
      <c r="A1966">
        <f ca="1">26338.259629706*((RANDBETWEEN(1587,2416)))</f>
        <v>63290837.890183628</v>
      </c>
      <c r="B1966">
        <v>232483355.40708107</v>
      </c>
    </row>
    <row r="1967" spans="1:2" x14ac:dyDescent="0.25">
      <c r="A1967">
        <f ca="1">26781.4730557369*((RANDBETWEEN(1587,2416)))</f>
        <v>59294181.345401451</v>
      </c>
      <c r="B1967">
        <v>215010062.58866239</v>
      </c>
    </row>
    <row r="1968" spans="1:2" x14ac:dyDescent="0.25">
      <c r="A1968">
        <f ca="1">26155.985503606*((RANDBETWEEN(1587,2416)))</f>
        <v>51605759.39861463</v>
      </c>
      <c r="B1968">
        <v>256540311.31100482</v>
      </c>
    </row>
    <row r="1969" spans="1:2" x14ac:dyDescent="0.25">
      <c r="A1969">
        <f ca="1">29247.4167514511*((RANDBETWEEN(1587,2416)))</f>
        <v>50451793.896253161</v>
      </c>
      <c r="B1969">
        <v>261772623.57021159</v>
      </c>
    </row>
    <row r="1970" spans="1:2" x14ac:dyDescent="0.25">
      <c r="A1970">
        <f ca="1">31338.7337698057*((RANDBETWEEN(1587,2416)))</f>
        <v>73802718.027892515</v>
      </c>
      <c r="B1970">
        <v>233797328.62912419</v>
      </c>
    </row>
    <row r="1971" spans="1:2" x14ac:dyDescent="0.25">
      <c r="A1971">
        <f ca="1">27418.0195173261*((RANDBETWEEN(1587,2416)))</f>
        <v>51381368.575469092</v>
      </c>
      <c r="B1971">
        <v>232774611.69009176</v>
      </c>
    </row>
    <row r="1972" spans="1:2" x14ac:dyDescent="0.25">
      <c r="A1972">
        <f ca="1">31592.700926952*((RANDBETWEEN(1587,2416)))</f>
        <v>67166082.170699894</v>
      </c>
      <c r="B1972">
        <v>206142344.85144585</v>
      </c>
    </row>
    <row r="1973" spans="1:2" x14ac:dyDescent="0.25">
      <c r="A1973">
        <f ca="1">28669.8629114149*((RANDBETWEEN(1587,2416)))</f>
        <v>54100031.31383986</v>
      </c>
      <c r="B1973">
        <v>207450720.36235613</v>
      </c>
    </row>
    <row r="1974" spans="1:2" x14ac:dyDescent="0.25">
      <c r="A1974">
        <f ca="1">29121.4690954564*((RANDBETWEEN(1587,2416)))</f>
        <v>56350042.699708089</v>
      </c>
      <c r="B1974">
        <v>245118383.10231781</v>
      </c>
    </row>
    <row r="1975" spans="1:2" x14ac:dyDescent="0.25">
      <c r="A1975">
        <f ca="1">26435.4577181462*((RANDBETWEEN(1587,2416)))</f>
        <v>47636694.808099531</v>
      </c>
      <c r="B1975">
        <v>221128295.70297658</v>
      </c>
    </row>
    <row r="1976" spans="1:2" x14ac:dyDescent="0.25">
      <c r="A1976">
        <f ca="1">29750.9091077517*((RANDBETWEEN(1587,2416)))</f>
        <v>61346374.580184035</v>
      </c>
      <c r="B1976">
        <v>263527200.64922634</v>
      </c>
    </row>
    <row r="1977" spans="1:2" x14ac:dyDescent="0.25">
      <c r="A1977">
        <f ca="1">27967.0122382423*((RANDBETWEEN(1587,2416)))</f>
        <v>63848688.939907193</v>
      </c>
      <c r="B1977">
        <v>225818288.9463037</v>
      </c>
    </row>
    <row r="1978" spans="1:2" x14ac:dyDescent="0.25">
      <c r="A1978">
        <f ca="1">34635.4016406026*((RANDBETWEEN(1587,2416)))</f>
        <v>72041635.412453443</v>
      </c>
      <c r="B1978">
        <v>258889140.41056663</v>
      </c>
    </row>
    <row r="1979" spans="1:2" x14ac:dyDescent="0.25">
      <c r="A1979">
        <f ca="1">27598.3033129389*((RANDBETWEEN(1587,2416)))</f>
        <v>55610581.175571956</v>
      </c>
      <c r="B1979">
        <v>251269590.59664679</v>
      </c>
    </row>
    <row r="1980" spans="1:2" x14ac:dyDescent="0.25">
      <c r="A1980">
        <f ca="1">29910.2338473992*((RANDBETWEEN(1587,2416)))</f>
        <v>66849372.648937248</v>
      </c>
      <c r="B1980">
        <v>218865707.71384341</v>
      </c>
    </row>
    <row r="1981" spans="1:2" x14ac:dyDescent="0.25">
      <c r="A1981">
        <f ca="1">26801.2222685843*((RANDBETWEEN(1587,2416)))</f>
        <v>60463557.43792621</v>
      </c>
      <c r="B1981">
        <v>226923865.55442271</v>
      </c>
    </row>
    <row r="1982" spans="1:2" x14ac:dyDescent="0.25">
      <c r="A1982">
        <f ca="1">31868.8295724746*((RANDBETWEEN(1587,2416)))</f>
        <v>64725592.861695819</v>
      </c>
      <c r="B1982">
        <v>246978486.21604198</v>
      </c>
    </row>
    <row r="1983" spans="1:2" x14ac:dyDescent="0.25">
      <c r="A1983">
        <f ca="1">27307.2515789769*((RANDBETWEEN(1587,2416)))</f>
        <v>62260533.600067332</v>
      </c>
      <c r="B1983">
        <v>215699036.80540177</v>
      </c>
    </row>
    <row r="1984" spans="1:2" x14ac:dyDescent="0.25">
      <c r="A1984">
        <f ca="1">28200.706737759*((RANDBETWEEN(1587,2416)))</f>
        <v>48928226.190011896</v>
      </c>
      <c r="B1984">
        <v>259844978.17542213</v>
      </c>
    </row>
    <row r="1985" spans="1:2" x14ac:dyDescent="0.25">
      <c r="A1985">
        <f ca="1">32390.3397532926*((RANDBETWEEN(1587,2416)))</f>
        <v>61152961.454216495</v>
      </c>
      <c r="B1985">
        <v>261740580.0364213</v>
      </c>
    </row>
    <row r="1986" spans="1:2" x14ac:dyDescent="0.25">
      <c r="A1986">
        <f ca="1">30641.1374599455*((RANDBETWEEN(1587,2416)))</f>
        <v>71148721.18199338</v>
      </c>
      <c r="B1986">
        <v>231662301.60240752</v>
      </c>
    </row>
    <row r="1987" spans="1:2" x14ac:dyDescent="0.25">
      <c r="A1987">
        <f ca="1">30650.545499118*((RANDBETWEEN(1587,2416)))</f>
        <v>71507722.649442226</v>
      </c>
      <c r="B1987">
        <v>229739031.76616704</v>
      </c>
    </row>
    <row r="1988" spans="1:2" x14ac:dyDescent="0.25">
      <c r="A1988">
        <f ca="1">29027.787608115*((RANDBETWEEN(1587,2416)))</f>
        <v>46676682.473848857</v>
      </c>
      <c r="B1988">
        <v>247185559.64471948</v>
      </c>
    </row>
    <row r="1989" spans="1:2" x14ac:dyDescent="0.25">
      <c r="A1989">
        <f ca="1">27130.9302359409*((RANDBETWEEN(1587,2416)))</f>
        <v>60990331.170395173</v>
      </c>
      <c r="B1989">
        <v>227870584.22823468</v>
      </c>
    </row>
    <row r="1990" spans="1:2" x14ac:dyDescent="0.25">
      <c r="A1990">
        <f ca="1">27328.29819336*((RANDBETWEEN(1587,2416)))</f>
        <v>47414597.365479559</v>
      </c>
      <c r="B1990">
        <v>233782052.556777</v>
      </c>
    </row>
    <row r="1991" spans="1:2" x14ac:dyDescent="0.25">
      <c r="A1991">
        <f ca="1">26715.3581343932*((RANDBETWEEN(1587,2416)))</f>
        <v>55193929.905656248</v>
      </c>
      <c r="B1991">
        <v>250674880.41976744</v>
      </c>
    </row>
    <row r="1992" spans="1:2" x14ac:dyDescent="0.25">
      <c r="A1992">
        <f ca="1">32657.0108701297*((RANDBETWEEN(1587,2416)))</f>
        <v>56627256.848804861</v>
      </c>
      <c r="B1992">
        <v>244585713.07921135</v>
      </c>
    </row>
    <row r="1993" spans="1:2" x14ac:dyDescent="0.25">
      <c r="A1993">
        <f ca="1">27612.3445133654*((RANDBETWEEN(1587,2416)))</f>
        <v>64502436.78322152</v>
      </c>
      <c r="B1993">
        <v>239459450.20695353</v>
      </c>
    </row>
    <row r="1994" spans="1:2" x14ac:dyDescent="0.25">
      <c r="A1994">
        <f ca="1">27473.25404228*((RANDBETWEEN(1587,2416)))</f>
        <v>54314623.241587512</v>
      </c>
      <c r="B1994">
        <v>224958573.79449433</v>
      </c>
    </row>
    <row r="1995" spans="1:2" x14ac:dyDescent="0.25">
      <c r="A1995">
        <f ca="1">29351.8697004343*((RANDBETWEEN(1587,2416)))</f>
        <v>56179478.606631331</v>
      </c>
      <c r="B1995">
        <v>240896610.60596919</v>
      </c>
    </row>
    <row r="1996" spans="1:2" x14ac:dyDescent="0.25">
      <c r="A1996">
        <f ca="1">29209.4308819303*((RANDBETWEEN(1587,2416)))</f>
        <v>67649041.92255047</v>
      </c>
      <c r="B1996">
        <v>243063483.00418419</v>
      </c>
    </row>
    <row r="1997" spans="1:2" x14ac:dyDescent="0.25">
      <c r="A1997">
        <f ca="1">26329.2414649618*((RANDBETWEEN(1587,2416)))</f>
        <v>59872695.091323242</v>
      </c>
      <c r="B1997">
        <v>210516972.1650649</v>
      </c>
    </row>
    <row r="1998" spans="1:2" x14ac:dyDescent="0.25">
      <c r="A1998">
        <f ca="1">29132.3048028139*((RANDBETWEEN(1587,2416)))</f>
        <v>61673089.267556921</v>
      </c>
      <c r="B1998">
        <v>213314945.96448037</v>
      </c>
    </row>
    <row r="1999" spans="1:2" x14ac:dyDescent="0.25">
      <c r="A1999">
        <f ca="1">28160.3332654183*((RANDBETWEEN(1587,2416)))</f>
        <v>49111621.214889541</v>
      </c>
      <c r="B1999">
        <v>240246973.64430985</v>
      </c>
    </row>
    <row r="2000" spans="1:2" x14ac:dyDescent="0.25">
      <c r="A2000">
        <f ca="1">28710.5688668144*((RANDBETWEEN(1587,2416)))</f>
        <v>49669284.139588945</v>
      </c>
      <c r="B2000">
        <v>234497911.06892985</v>
      </c>
    </row>
    <row r="2001" spans="1:2" x14ac:dyDescent="0.25">
      <c r="A2001">
        <f ca="1">30710.3351074527*((RANDBETWEEN(1587,2416)))</f>
        <v>51439811.304983333</v>
      </c>
      <c r="B2001">
        <v>245246613.22638214</v>
      </c>
    </row>
    <row r="2002" spans="1:2" x14ac:dyDescent="0.25">
      <c r="A2002">
        <f ca="1">27811.0638115051*((RANDBETWEEN(1587,2416)))</f>
        <v>57596713.15362712</v>
      </c>
      <c r="B2002">
        <v>221757223.06568301</v>
      </c>
    </row>
    <row r="2003" spans="1:2" x14ac:dyDescent="0.25">
      <c r="A2003">
        <f ca="1">31933.1850531127*((RANDBETWEEN(1587,2416)))</f>
        <v>70348806.672007248</v>
      </c>
      <c r="B2003">
        <v>247821866.69445595</v>
      </c>
    </row>
    <row r="2004" spans="1:2" x14ac:dyDescent="0.25">
      <c r="A2004">
        <f ca="1">27795.2369530245*((RANDBETWEEN(1587,2416)))</f>
        <v>53505831.134572186</v>
      </c>
      <c r="B2004">
        <v>232067239.51972508</v>
      </c>
    </row>
    <row r="2005" spans="1:2" x14ac:dyDescent="0.25">
      <c r="A2005">
        <f ca="1">28541.389924203*((RANDBETWEEN(1587,2416)))</f>
        <v>54314265.025758214</v>
      </c>
      <c r="B2005">
        <v>226146963.82536715</v>
      </c>
    </row>
    <row r="2006" spans="1:2" x14ac:dyDescent="0.25">
      <c r="A2006">
        <f ca="1">30204.8223780051*((RANDBETWEEN(1587,2416)))</f>
        <v>65363235.626003057</v>
      </c>
      <c r="B2006">
        <v>263048888.19802654</v>
      </c>
    </row>
    <row r="2007" spans="1:2" x14ac:dyDescent="0.25">
      <c r="A2007">
        <f ca="1">30212.4509526646*((RANDBETWEEN(1587,2416)))</f>
        <v>61089575.826287918</v>
      </c>
      <c r="B2007">
        <v>238804700.7404941</v>
      </c>
    </row>
    <row r="2008" spans="1:2" x14ac:dyDescent="0.25">
      <c r="A2008">
        <f ca="1">31402.030192549*((RANDBETWEEN(1587,2416)))</f>
        <v>66069871.525123097</v>
      </c>
      <c r="B2008">
        <v>224541532.21926126</v>
      </c>
    </row>
    <row r="2009" spans="1:2" x14ac:dyDescent="0.25">
      <c r="A2009">
        <f ca="1">29969.6103940196*((RANDBETWEEN(1587,2416)))</f>
        <v>51158124.942591541</v>
      </c>
      <c r="B2009">
        <v>249300332.93608129</v>
      </c>
    </row>
    <row r="2010" spans="1:2" x14ac:dyDescent="0.25">
      <c r="A2010">
        <f ca="1">28199.3655464552*((RANDBETWEEN(1587,2416)))</f>
        <v>49687282.092854053</v>
      </c>
      <c r="B2010">
        <v>224197600.699527</v>
      </c>
    </row>
    <row r="2011" spans="1:2" x14ac:dyDescent="0.25">
      <c r="A2011">
        <f ca="1">32608.9829207925*((RANDBETWEEN(1587,2416)))</f>
        <v>75881103.256684139</v>
      </c>
      <c r="B2011">
        <v>263325166.87221658</v>
      </c>
    </row>
    <row r="2012" spans="1:2" x14ac:dyDescent="0.25">
      <c r="A2012">
        <f ca="1">29071.4116476508*((RANDBETWEEN(1587,2416)))</f>
        <v>60381321.992170736</v>
      </c>
      <c r="B2012">
        <v>207987995.440916</v>
      </c>
    </row>
    <row r="2013" spans="1:2" x14ac:dyDescent="0.25">
      <c r="A2013">
        <f ca="1">28710.2732738033*((RANDBETWEEN(1587,2416)))</f>
        <v>63851647.760938495</v>
      </c>
      <c r="B2013">
        <v>265593767.79500896</v>
      </c>
    </row>
    <row r="2014" spans="1:2" x14ac:dyDescent="0.25">
      <c r="A2014">
        <f ca="1">31913.1545916634*((RANDBETWEEN(1587,2416)))</f>
        <v>55560802.144085944</v>
      </c>
      <c r="B2014">
        <v>265672511.55354744</v>
      </c>
    </row>
    <row r="2015" spans="1:2" x14ac:dyDescent="0.25">
      <c r="A2015">
        <f ca="1">27511.7312746829*((RANDBETWEEN(1587,2416)))</f>
        <v>55105997.743189856</v>
      </c>
      <c r="B2015">
        <v>265272750.46863058</v>
      </c>
    </row>
    <row r="2016" spans="1:2" x14ac:dyDescent="0.25">
      <c r="A2016">
        <f ca="1">28956.3328264898*((RANDBETWEEN(1587,2416)))</f>
        <v>63095849.228921317</v>
      </c>
      <c r="B2016">
        <v>207120861.68204841</v>
      </c>
    </row>
    <row r="2017" spans="1:2" x14ac:dyDescent="0.25">
      <c r="A2017">
        <f ca="1">26379.548026053*((RANDBETWEEN(1587,2416)))</f>
        <v>58377939.781655326</v>
      </c>
      <c r="B2017">
        <v>263847973.65056056</v>
      </c>
    </row>
    <row r="2018" spans="1:2" x14ac:dyDescent="0.25">
      <c r="A2018">
        <f ca="1">30252.1832599544*((RANDBETWEEN(1587,2416)))</f>
        <v>68611951.633576512</v>
      </c>
      <c r="B2018">
        <v>266715847.60601741</v>
      </c>
    </row>
    <row r="2019" spans="1:2" x14ac:dyDescent="0.25">
      <c r="A2019">
        <f ca="1">32522.0263323168*((RANDBETWEEN(1587,2416)))</f>
        <v>72263942.510408029</v>
      </c>
      <c r="B2019">
        <v>255925888.38995332</v>
      </c>
    </row>
    <row r="2020" spans="1:2" x14ac:dyDescent="0.25">
      <c r="A2020">
        <f ca="1">30151.1413803126*((RANDBETWEEN(1587,2416)))</f>
        <v>48694093.32920479</v>
      </c>
      <c r="B2020">
        <v>238187380.76461923</v>
      </c>
    </row>
    <row r="2021" spans="1:2" x14ac:dyDescent="0.25">
      <c r="A2021">
        <f ca="1">27638.2028573721*((RANDBETWEEN(1587,2416)))</f>
        <v>53010073.080439664</v>
      </c>
      <c r="B2021">
        <v>249883409.89375508</v>
      </c>
    </row>
    <row r="2022" spans="1:2" x14ac:dyDescent="0.25">
      <c r="A2022">
        <f ca="1">26536.9202587585*((RANDBETWEEN(1587,2416)))</f>
        <v>44608562.954973094</v>
      </c>
      <c r="B2022">
        <v>212931017.89272711</v>
      </c>
    </row>
    <row r="2023" spans="1:2" x14ac:dyDescent="0.25">
      <c r="A2023">
        <f ca="1">29243.7253358958*((RANDBETWEEN(1587,2416)))</f>
        <v>63868296.133596458</v>
      </c>
      <c r="B2023">
        <v>228261921.13395908</v>
      </c>
    </row>
    <row r="2024" spans="1:2" x14ac:dyDescent="0.25">
      <c r="A2024">
        <f ca="1">28661.097579105*((RANDBETWEEN(1587,2416)))</f>
        <v>61134121.136230975</v>
      </c>
      <c r="B2024">
        <v>210188693.90226775</v>
      </c>
    </row>
    <row r="2025" spans="1:2" x14ac:dyDescent="0.25">
      <c r="A2025">
        <f ca="1">30707.9681772413*((RANDBETWEEN(1587,2416)))</f>
        <v>60064785.754684053</v>
      </c>
      <c r="B2025">
        <v>250067108.23359853</v>
      </c>
    </row>
    <row r="2026" spans="1:2" x14ac:dyDescent="0.25">
      <c r="A2026">
        <f ca="1">27592.9107541279*((RANDBETWEEN(1587,2416)))</f>
        <v>60345695.819277622</v>
      </c>
      <c r="B2026">
        <v>230462677.14252019</v>
      </c>
    </row>
    <row r="2027" spans="1:2" x14ac:dyDescent="0.25">
      <c r="A2027">
        <f ca="1">27339.6242876206*((RANDBETWEEN(1587,2416)))</f>
        <v>54651908.950953625</v>
      </c>
      <c r="B2027">
        <v>221631792.61284417</v>
      </c>
    </row>
    <row r="2028" spans="1:2" x14ac:dyDescent="0.25">
      <c r="A2028">
        <f ca="1">26730.0221513786*((RANDBETWEEN(1587,2416)))</f>
        <v>54850005.454628825</v>
      </c>
      <c r="B2028">
        <v>244146669.98595241</v>
      </c>
    </row>
    <row r="2029" spans="1:2" x14ac:dyDescent="0.25">
      <c r="A2029">
        <f ca="1">33856.8921381433*((RANDBETWEEN(1587,2416)))</f>
        <v>73266314.586942002</v>
      </c>
      <c r="B2029">
        <v>257908396.90417916</v>
      </c>
    </row>
    <row r="2030" spans="1:2" x14ac:dyDescent="0.25">
      <c r="A2030">
        <f ca="1">28002.905990433*((RANDBETWEEN(1587,2416)))</f>
        <v>56257838.1347799</v>
      </c>
      <c r="B2030">
        <v>238239181.65023884</v>
      </c>
    </row>
    <row r="2031" spans="1:2" x14ac:dyDescent="0.25">
      <c r="A2031">
        <f ca="1">27481.6242437971*((RANDBETWEEN(1587,2416)))</f>
        <v>61998544.294006214</v>
      </c>
      <c r="B2031">
        <v>229161675.12783143</v>
      </c>
    </row>
    <row r="2032" spans="1:2" x14ac:dyDescent="0.25">
      <c r="A2032">
        <f ca="1">32994.5696240173*((RANDBETWEEN(1587,2416)))</f>
        <v>55298898.68985308</v>
      </c>
      <c r="B2032">
        <v>244594617.14405271</v>
      </c>
    </row>
    <row r="2033" spans="1:2" x14ac:dyDescent="0.25">
      <c r="A2033">
        <f ca="1">28464.2931337017*((RANDBETWEEN(1587,2416)))</f>
        <v>45514404.720789045</v>
      </c>
      <c r="B2033">
        <v>242487407.25027737</v>
      </c>
    </row>
    <row r="2034" spans="1:2" x14ac:dyDescent="0.25">
      <c r="A2034">
        <f ca="1">27891.9274053359*((RANDBETWEEN(1587,2416)))</f>
        <v>66466463.006915443</v>
      </c>
      <c r="B2034">
        <v>203978583.6884487</v>
      </c>
    </row>
    <row r="2035" spans="1:2" x14ac:dyDescent="0.25">
      <c r="A2035">
        <f ca="1">30265.9653397876*((RANDBETWEEN(1587,2416)))</f>
        <v>57747461.868314698</v>
      </c>
      <c r="B2035">
        <v>240689505.17213517</v>
      </c>
    </row>
    <row r="2036" spans="1:2" x14ac:dyDescent="0.25">
      <c r="A2036">
        <f ca="1">33424.2587422684*((RANDBETWEEN(1587,2416)))</f>
        <v>79349190.25414525</v>
      </c>
      <c r="B2036">
        <v>219255093.90749812</v>
      </c>
    </row>
    <row r="2037" spans="1:2" x14ac:dyDescent="0.25">
      <c r="A2037">
        <f ca="1">30387.3082931717*((RANDBETWEEN(1587,2416)))</f>
        <v>72807990.670439407</v>
      </c>
      <c r="B2037">
        <v>244789262.46305418</v>
      </c>
    </row>
    <row r="2038" spans="1:2" x14ac:dyDescent="0.25">
      <c r="A2038">
        <f ca="1">28087.0811033861*((RANDBETWEEN(1587,2416)))</f>
        <v>67689865.459160432</v>
      </c>
      <c r="B2038">
        <v>219661022.62321994</v>
      </c>
    </row>
    <row r="2039" spans="1:2" x14ac:dyDescent="0.25">
      <c r="A2039">
        <f ca="1">26400.9200560165*((RANDBETWEEN(1587,2416)))</f>
        <v>62728586.053095274</v>
      </c>
      <c r="B2039">
        <v>204680300.94043538</v>
      </c>
    </row>
    <row r="2040" spans="1:2" x14ac:dyDescent="0.25">
      <c r="A2040">
        <f ca="1">28393.6236165766*((RANDBETWEEN(1587,2416)))</f>
        <v>63601716.901131682</v>
      </c>
      <c r="B2040">
        <v>203928295.54723865</v>
      </c>
    </row>
    <row r="2041" spans="1:2" x14ac:dyDescent="0.25">
      <c r="A2041">
        <f ca="1">26822.7829132935*((RANDBETWEEN(1587,2416)))</f>
        <v>44874515.813940048</v>
      </c>
      <c r="B2041">
        <v>252812555.95180231</v>
      </c>
    </row>
    <row r="2042" spans="1:2" x14ac:dyDescent="0.25">
      <c r="A2042">
        <f ca="1">26784.4577213079*((RANDBETWEEN(1587,2416)))</f>
        <v>53033226.288189612</v>
      </c>
      <c r="B2042">
        <v>230187003.445696</v>
      </c>
    </row>
    <row r="2043" spans="1:2" x14ac:dyDescent="0.25">
      <c r="A2043">
        <f ca="1">30624.0652509585*((RANDBETWEEN(1587,2416)))</f>
        <v>71047831.382223636</v>
      </c>
      <c r="B2043">
        <v>252890606.86818904</v>
      </c>
    </row>
    <row r="2044" spans="1:2" x14ac:dyDescent="0.25">
      <c r="A2044">
        <f ca="1">30350.8793116679*((RANDBETWEEN(1587,2416)))</f>
        <v>60216144.554349169</v>
      </c>
      <c r="B2044">
        <v>207999765.23686445</v>
      </c>
    </row>
    <row r="2045" spans="1:2" x14ac:dyDescent="0.25">
      <c r="A2045">
        <f ca="1">30365.1017903552*((RANDBETWEEN(1587,2416)))</f>
        <v>54626818.120848998</v>
      </c>
      <c r="B2045">
        <v>267045887.83258912</v>
      </c>
    </row>
    <row r="2046" spans="1:2" x14ac:dyDescent="0.25">
      <c r="A2046">
        <f ca="1">32205.0324543771*((RANDBETWEEN(1587,2416)))</f>
        <v>68145848.673461959</v>
      </c>
      <c r="B2046">
        <v>228854671.8542074</v>
      </c>
    </row>
    <row r="2047" spans="1:2" x14ac:dyDescent="0.25">
      <c r="A2047">
        <f ca="1">29843.5532212548*((RANDBETWEEN(1587,2416)))</f>
        <v>47570623.834680103</v>
      </c>
      <c r="B2047">
        <v>266622208.13852352</v>
      </c>
    </row>
    <row r="2048" spans="1:2" x14ac:dyDescent="0.25">
      <c r="A2048">
        <f ca="1">28822.366151384*((RANDBETWEEN(1587,2416)))</f>
        <v>68914277.467959136</v>
      </c>
      <c r="B2048">
        <v>241087458.81837356</v>
      </c>
    </row>
    <row r="2049" spans="1:2" x14ac:dyDescent="0.25">
      <c r="A2049">
        <f ca="1">31096.3978630867*((RANDBETWEEN(1587,2416)))</f>
        <v>54574178.249717213</v>
      </c>
      <c r="B2049">
        <v>217379290.44791543</v>
      </c>
    </row>
    <row r="2050" spans="1:2" x14ac:dyDescent="0.25">
      <c r="A2050">
        <f ca="1">26114.8085309805*((RANDBETWEEN(1587,2416)))</f>
        <v>41444201.138666101</v>
      </c>
      <c r="B2050">
        <v>210652759.08720604</v>
      </c>
    </row>
    <row r="2051" spans="1:2" x14ac:dyDescent="0.25">
      <c r="A2051">
        <f ca="1">28340.5956317489*((RANDBETWEEN(1587,2416)))</f>
        <v>61414070.733999766</v>
      </c>
      <c r="B2051">
        <v>205992026.19306466</v>
      </c>
    </row>
    <row r="2052" spans="1:2" x14ac:dyDescent="0.25">
      <c r="A2052">
        <f ca="1">30629.2811038625*((RANDBETWEEN(1587,2416)))</f>
        <v>62269328.484152377</v>
      </c>
      <c r="B2052">
        <v>219666225.53986305</v>
      </c>
    </row>
    <row r="2053" spans="1:2" x14ac:dyDescent="0.25">
      <c r="A2053">
        <f ca="1">33062.8804079115*((RANDBETWEEN(1587,2416)))</f>
        <v>57760852.07262139</v>
      </c>
      <c r="B2053">
        <v>249352973.67372718</v>
      </c>
    </row>
    <row r="2054" spans="1:2" x14ac:dyDescent="0.25">
      <c r="A2054">
        <f ca="1">28850.9751857652*((RANDBETWEEN(1587,2416)))</f>
        <v>50864269.252504103</v>
      </c>
      <c r="B2054">
        <v>232320394.62717006</v>
      </c>
    </row>
    <row r="2055" spans="1:2" x14ac:dyDescent="0.25">
      <c r="A2055">
        <f ca="1">32621.2231507369*((RANDBETWEEN(1587,2416)))</f>
        <v>65242446.301473886</v>
      </c>
      <c r="B2055">
        <v>204951727.759698</v>
      </c>
    </row>
    <row r="2056" spans="1:2" x14ac:dyDescent="0.25">
      <c r="A2056">
        <f ca="1">32163.242277795*((RANDBETWEEN(1587,2416)))</f>
        <v>57958162.58458662</v>
      </c>
      <c r="B2056">
        <v>256514107.95536545</v>
      </c>
    </row>
    <row r="2057" spans="1:2" x14ac:dyDescent="0.25">
      <c r="A2057">
        <f ca="1">30412.5881315636*((RANDBETWEEN(1587,2416)))</f>
        <v>50667371.827184886</v>
      </c>
      <c r="B2057">
        <v>243297391.79281345</v>
      </c>
    </row>
    <row r="2058" spans="1:2" x14ac:dyDescent="0.25">
      <c r="A2058">
        <f ca="1">30936.9577459396*((RANDBETWEEN(1587,2416)))</f>
        <v>69484407.097380325</v>
      </c>
      <c r="B2058">
        <v>220184016.14233556</v>
      </c>
    </row>
    <row r="2059" spans="1:2" x14ac:dyDescent="0.25">
      <c r="A2059">
        <f ca="1">26532.5678325827*((RANDBETWEEN(1587,2416)))</f>
        <v>53808047.564477786</v>
      </c>
      <c r="B2059">
        <v>242131597.62033224</v>
      </c>
    </row>
    <row r="2060" spans="1:2" x14ac:dyDescent="0.25">
      <c r="A2060">
        <f ca="1">26964.6127387473*((RANDBETWEEN(1587,2416)))</f>
        <v>60292874.083838955</v>
      </c>
      <c r="B2060">
        <v>219797832.53073451</v>
      </c>
    </row>
    <row r="2061" spans="1:2" x14ac:dyDescent="0.25">
      <c r="A2061">
        <f ca="1">28366.9556171364*((RANDBETWEEN(1587,2416)))</f>
        <v>53471711.338302121</v>
      </c>
      <c r="B2061">
        <v>240730189.00560626</v>
      </c>
    </row>
    <row r="2062" spans="1:2" x14ac:dyDescent="0.25">
      <c r="A2062">
        <f ca="1">28207.043672826*((RANDBETWEEN(1587,2416)))</f>
        <v>56978228.219108582</v>
      </c>
      <c r="B2062">
        <v>247612209.40205619</v>
      </c>
    </row>
    <row r="2063" spans="1:2" x14ac:dyDescent="0.25">
      <c r="A2063">
        <f ca="1">33748.8948842552*((RANDBETWEEN(1587,2416)))</f>
        <v>78061193.867282346</v>
      </c>
      <c r="B2063">
        <v>263672498.05973321</v>
      </c>
    </row>
    <row r="2064" spans="1:2" x14ac:dyDescent="0.25">
      <c r="A2064">
        <f ca="1">27183.5638813832*((RANDBETWEEN(1587,2416)))</f>
        <v>53171050.951985635</v>
      </c>
      <c r="B2064">
        <v>262181267.43888995</v>
      </c>
    </row>
    <row r="2065" spans="1:2" x14ac:dyDescent="0.25">
      <c r="A2065">
        <f ca="1">26201.1957358022*((RANDBETWEEN(1587,2416)))</f>
        <v>44201417.206298225</v>
      </c>
      <c r="B2065">
        <v>264793572.2041246</v>
      </c>
    </row>
    <row r="2066" spans="1:2" x14ac:dyDescent="0.25">
      <c r="A2066">
        <f ca="1">26989.0245167945*((RANDBETWEEN(1587,2416)))</f>
        <v>50901300.238674484</v>
      </c>
      <c r="B2066">
        <v>242848081.90347776</v>
      </c>
    </row>
    <row r="2067" spans="1:2" x14ac:dyDescent="0.25">
      <c r="A2067">
        <f ca="1">30746.941580311*((RANDBETWEEN(1587,2416)))</f>
        <v>59802801.373704985</v>
      </c>
      <c r="B2067">
        <v>258218739.66438252</v>
      </c>
    </row>
    <row r="2068" spans="1:2" x14ac:dyDescent="0.25">
      <c r="A2068">
        <f ca="1">31223.5827356429*((RANDBETWEEN(1587,2416)))</f>
        <v>70096943.241518259</v>
      </c>
      <c r="B2068">
        <v>261425469.18008775</v>
      </c>
    </row>
    <row r="2069" spans="1:2" x14ac:dyDescent="0.25">
      <c r="A2069">
        <f ca="1">27728.0852415056*((RANDBETWEEN(1587,2416)))</f>
        <v>57147583.682743013</v>
      </c>
      <c r="B2069">
        <v>238419639.43247503</v>
      </c>
    </row>
    <row r="2070" spans="1:2" x14ac:dyDescent="0.25">
      <c r="A2070">
        <f ca="1">31288.3435123756*((RANDBETWEEN(1587,2416)))</f>
        <v>67926993.765367359</v>
      </c>
      <c r="B2070">
        <v>229557702.14982137</v>
      </c>
    </row>
    <row r="2071" spans="1:2" x14ac:dyDescent="0.25">
      <c r="A2071">
        <f ca="1">34053.9941551782*((RANDBETWEEN(1587,2416)))</f>
        <v>62489079.274751946</v>
      </c>
      <c r="B2071">
        <v>259163156.46345058</v>
      </c>
    </row>
    <row r="2072" spans="1:2" x14ac:dyDescent="0.25">
      <c r="A2072">
        <f ca="1">27360.7649523706*((RANDBETWEEN(1587,2416)))</f>
        <v>58114264.758835241</v>
      </c>
      <c r="B2072">
        <v>216144990.84922245</v>
      </c>
    </row>
    <row r="2073" spans="1:2" x14ac:dyDescent="0.25">
      <c r="A2073">
        <f ca="1">29639.3901430256*((RANDBETWEEN(1587,2416)))</f>
        <v>54684674.813882276</v>
      </c>
      <c r="B2073">
        <v>259023578.91313726</v>
      </c>
    </row>
    <row r="2074" spans="1:2" x14ac:dyDescent="0.25">
      <c r="A2074">
        <f ca="1">33064.4638910228*((RANDBETWEEN(1587,2416)))</f>
        <v>76378911.588262573</v>
      </c>
      <c r="B2074">
        <v>259532386.38070002</v>
      </c>
    </row>
    <row r="2075" spans="1:2" x14ac:dyDescent="0.25">
      <c r="A2075">
        <f ca="1">31423.8352231237*((RANDBETWEEN(1587,2416)))</f>
        <v>66524259.167352937</v>
      </c>
      <c r="B2075">
        <v>246485900.90828037</v>
      </c>
    </row>
    <row r="2076" spans="1:2" x14ac:dyDescent="0.25">
      <c r="A2076">
        <f ca="1">24764.459880868*((RANDBETWEEN(1587,2416)))</f>
        <v>52302539.268393144</v>
      </c>
      <c r="B2076">
        <v>245203753.08609658</v>
      </c>
    </row>
    <row r="2077" spans="1:2" x14ac:dyDescent="0.25">
      <c r="A2077">
        <f ca="1">33617.8706065158*((RANDBETWEEN(1587,2416)))</f>
        <v>64781636.658755913</v>
      </c>
      <c r="B2077">
        <v>250446489.6097036</v>
      </c>
    </row>
    <row r="2078" spans="1:2" x14ac:dyDescent="0.25">
      <c r="A2078">
        <f ca="1">31628.2077917022*((RANDBETWEEN(1587,2416)))</f>
        <v>59144748.570483051</v>
      </c>
      <c r="B2078">
        <v>250139833.02284476</v>
      </c>
    </row>
    <row r="2079" spans="1:2" x14ac:dyDescent="0.25">
      <c r="A2079">
        <f ca="1">26164.0898026442*((RANDBETWEEN(1587,2416)))</f>
        <v>51229287.833577327</v>
      </c>
      <c r="B2079">
        <v>212246683.06896898</v>
      </c>
    </row>
    <row r="2080" spans="1:2" x14ac:dyDescent="0.25">
      <c r="A2080">
        <f ca="1">30519.7423308443*((RANDBETWEEN(1587,2416)))</f>
        <v>48740028.502358302</v>
      </c>
      <c r="B2080">
        <v>221767656.65239236</v>
      </c>
    </row>
    <row r="2081" spans="1:2" x14ac:dyDescent="0.25">
      <c r="A2081">
        <f ca="1">32800.8439535083*((RANDBETWEEN(1587,2416)))</f>
        <v>52973362.984915897</v>
      </c>
      <c r="B2081">
        <v>251176512.7631588</v>
      </c>
    </row>
    <row r="2082" spans="1:2" x14ac:dyDescent="0.25">
      <c r="A2082">
        <f ca="1">31376.1449608706*((RANDBETWEEN(1587,2416)))</f>
        <v>59708803.860536769</v>
      </c>
      <c r="B2082">
        <v>218175591.79344389</v>
      </c>
    </row>
    <row r="2083" spans="1:2" x14ac:dyDescent="0.25">
      <c r="A2083">
        <f ca="1">32271.0142501755*((RANDBETWEEN(1587,2416)))</f>
        <v>59733647.377074815</v>
      </c>
      <c r="B2083">
        <v>266277658.80459911</v>
      </c>
    </row>
    <row r="2084" spans="1:2" x14ac:dyDescent="0.25">
      <c r="A2084">
        <f ca="1">32374.3735015633*((RANDBETWEEN(1587,2416)))</f>
        <v>60313457.833412498</v>
      </c>
      <c r="B2084">
        <v>228166024.08488083</v>
      </c>
    </row>
    <row r="2085" spans="1:2" x14ac:dyDescent="0.25">
      <c r="A2085">
        <f ca="1">30396.8534660077*((RANDBETWEEN(1587,2416)))</f>
        <v>66265140.555896759</v>
      </c>
      <c r="B2085">
        <v>229638973.18744335</v>
      </c>
    </row>
    <row r="2086" spans="1:2" x14ac:dyDescent="0.25">
      <c r="A2086">
        <f ca="1">30182.0114843985*((RANDBETWEEN(1587,2416)))</f>
        <v>56198905.383950032</v>
      </c>
      <c r="B2086">
        <v>250402748.21305692</v>
      </c>
    </row>
    <row r="2087" spans="1:2" x14ac:dyDescent="0.25">
      <c r="A2087">
        <f ca="1">25598.9284796515*((RANDBETWEEN(1587,2416)))</f>
        <v>54346525.162300199</v>
      </c>
      <c r="B2087">
        <v>208988459.85453254</v>
      </c>
    </row>
    <row r="2088" spans="1:2" x14ac:dyDescent="0.25">
      <c r="A2088">
        <f ca="1">30706.5244882804*((RANDBETWEEN(1587,2416)))</f>
        <v>59601364.031752303</v>
      </c>
      <c r="B2088">
        <v>254441173.76372924</v>
      </c>
    </row>
    <row r="2089" spans="1:2" x14ac:dyDescent="0.25">
      <c r="A2089">
        <f ca="1">29824.84202429*((RANDBETWEEN(1587,2416)))</f>
        <v>50105734.60080719</v>
      </c>
      <c r="B2089">
        <v>217207385.78994235</v>
      </c>
    </row>
    <row r="2090" spans="1:2" x14ac:dyDescent="0.25">
      <c r="A2090">
        <f ca="1">30182.0180849115*((RANDBETWEEN(1587,2416)))</f>
        <v>52637439.540085584</v>
      </c>
      <c r="B2090">
        <v>243572791.57476169</v>
      </c>
    </row>
    <row r="2091" spans="1:2" x14ac:dyDescent="0.25">
      <c r="A2091">
        <f ca="1">27740.5419413971*((RANDBETWEEN(1587,2416)))</f>
        <v>63692284.297447674</v>
      </c>
      <c r="B2091">
        <v>247577759.0373601</v>
      </c>
    </row>
    <row r="2092" spans="1:2" x14ac:dyDescent="0.25">
      <c r="A2092">
        <f ca="1">28083.6765635394*((RANDBETWEEN(1587,2416)))</f>
        <v>45579807.062624462</v>
      </c>
      <c r="B2092">
        <v>253313648.15052095</v>
      </c>
    </row>
    <row r="2093" spans="1:2" x14ac:dyDescent="0.25">
      <c r="A2093">
        <f ca="1">30244.71840125*((RANDBETWEEN(1587,2416)))</f>
        <v>66931561.821966268</v>
      </c>
      <c r="B2093">
        <v>235926115.69121087</v>
      </c>
    </row>
    <row r="2094" spans="1:2" x14ac:dyDescent="0.25">
      <c r="A2094">
        <f ca="1">32469.4073284083*((RANDBETWEEN(1587,2416)))</f>
        <v>70393675.087989256</v>
      </c>
      <c r="B2094">
        <v>259792149.08919623</v>
      </c>
    </row>
    <row r="2095" spans="1:2" x14ac:dyDescent="0.25">
      <c r="A2095">
        <f ca="1">34632.9536503099*((RANDBETWEEN(1587,2416)))</f>
        <v>75153509.42117241</v>
      </c>
      <c r="B2095">
        <v>247371116.01839745</v>
      </c>
    </row>
    <row r="2096" spans="1:2" x14ac:dyDescent="0.25">
      <c r="A2096">
        <f ca="1">27874.8970336636*((RANDBETWEEN(1587,2416)))</f>
        <v>50620813.013133124</v>
      </c>
      <c r="B2096">
        <v>214217276.60766089</v>
      </c>
    </row>
    <row r="2097" spans="1:2" x14ac:dyDescent="0.25">
      <c r="A2097">
        <f ca="1">27864.4227440167*((RANDBETWEEN(1587,2416)))</f>
        <v>53806200.318696275</v>
      </c>
      <c r="B2097">
        <v>217962520.66017032</v>
      </c>
    </row>
    <row r="2098" spans="1:2" x14ac:dyDescent="0.25">
      <c r="A2098">
        <f ca="1">26768.8199379401*((RANDBETWEEN(1587,2416)))</f>
        <v>43178106.559897348</v>
      </c>
      <c r="B2098">
        <v>266543914.97539058</v>
      </c>
    </row>
    <row r="2099" spans="1:2" x14ac:dyDescent="0.25">
      <c r="A2099">
        <f ca="1">28386.1401528833*((RANDBETWEEN(1587,2416)))</f>
        <v>55069111.896593653</v>
      </c>
      <c r="B2099">
        <v>236786618.87812397</v>
      </c>
    </row>
    <row r="2100" spans="1:2" x14ac:dyDescent="0.25">
      <c r="A2100">
        <f ca="1">27290.6035697941*((RANDBETWEEN(1587,2416)))</f>
        <v>58647507.071487434</v>
      </c>
      <c r="B2100">
        <v>204133144.81133872</v>
      </c>
    </row>
    <row r="2101" spans="1:2" x14ac:dyDescent="0.25">
      <c r="A2101">
        <f ca="1">27769.7341470737*((RANDBETWEEN(1587,2416)))</f>
        <v>53762205.30873464</v>
      </c>
      <c r="B2101">
        <v>241326520.8045544</v>
      </c>
    </row>
    <row r="2102" spans="1:2" x14ac:dyDescent="0.25">
      <c r="A2102">
        <f ca="1">28299.9949238053*((RANDBETWEEN(1587,2416)))</f>
        <v>62741088.74607636</v>
      </c>
      <c r="B2102">
        <v>240722481.51858819</v>
      </c>
    </row>
    <row r="2103" spans="1:2" x14ac:dyDescent="0.25">
      <c r="A2103">
        <f ca="1">29333.75503866*((RANDBETWEEN(1587,2416)))</f>
        <v>50102053.606031261</v>
      </c>
      <c r="B2103">
        <v>216101140.29075372</v>
      </c>
    </row>
    <row r="2104" spans="1:2" x14ac:dyDescent="0.25">
      <c r="A2104">
        <f ca="1">34295.2155368504*((RANDBETWEEN(1587,2416)))</f>
        <v>80250804.35623005</v>
      </c>
      <c r="B2104">
        <v>218744214.85847163</v>
      </c>
    </row>
    <row r="2105" spans="1:2" x14ac:dyDescent="0.25">
      <c r="A2105">
        <f ca="1">25429.7796861085*((RANDBETWEEN(1587,2416)))</f>
        <v>52741363.068989083</v>
      </c>
      <c r="B2105">
        <v>253402762.3413586</v>
      </c>
    </row>
    <row r="2106" spans="1:2" x14ac:dyDescent="0.25">
      <c r="A2106">
        <f ca="1">31360.6326314214*((RANDBETWEEN(1587,2416)))</f>
        <v>52717223.453419417</v>
      </c>
      <c r="B2106">
        <v>243363253.84311503</v>
      </c>
    </row>
    <row r="2107" spans="1:2" x14ac:dyDescent="0.25">
      <c r="A2107">
        <f ca="1">28718.7399262322*((RANDBETWEEN(1587,2416)))</f>
        <v>50860888.409357302</v>
      </c>
      <c r="B2107">
        <v>209413672.12021193</v>
      </c>
    </row>
    <row r="2108" spans="1:2" x14ac:dyDescent="0.25">
      <c r="A2108">
        <f ca="1">29715.2999671067*((RANDBETWEEN(1587,2416)))</f>
        <v>49891988.644772217</v>
      </c>
      <c r="B2108">
        <v>218773582.57788056</v>
      </c>
    </row>
    <row r="2109" spans="1:2" x14ac:dyDescent="0.25">
      <c r="A2109">
        <f ca="1">34784.0759712322*((RANDBETWEEN(1587,2416)))</f>
        <v>73011775.463616356</v>
      </c>
      <c r="B2109">
        <v>229585251.55595389</v>
      </c>
    </row>
    <row r="2110" spans="1:2" x14ac:dyDescent="0.25">
      <c r="A2110">
        <f ca="1">32017.1432238226*((RANDBETWEEN(1587,2416)))</f>
        <v>55933949.212018117</v>
      </c>
      <c r="B2110">
        <v>259242127.2605131</v>
      </c>
    </row>
    <row r="2111" spans="1:2" x14ac:dyDescent="0.25">
      <c r="A2111">
        <f ca="1">30999.744926295*((RANDBETWEEN(1587,2416)))</f>
        <v>71578411.034815192</v>
      </c>
      <c r="B2111">
        <v>221518648.21341354</v>
      </c>
    </row>
    <row r="2112" spans="1:2" x14ac:dyDescent="0.25">
      <c r="A2112">
        <f ca="1">32501.5276678487*((RANDBETWEEN(1587,2416)))</f>
        <v>66953146.995768338</v>
      </c>
      <c r="B2112">
        <v>213117468.9909794</v>
      </c>
    </row>
    <row r="2113" spans="1:2" x14ac:dyDescent="0.25">
      <c r="A2113">
        <f ca="1">31941.2822767897*((RANDBETWEEN(1587,2416)))</f>
        <v>55482007.314783633</v>
      </c>
      <c r="B2113">
        <v>256112916.82140902</v>
      </c>
    </row>
    <row r="2114" spans="1:2" x14ac:dyDescent="0.25">
      <c r="A2114">
        <f ca="1">29611.0300332165*((RANDBETWEEN(1587,2416)))</f>
        <v>58511395.345635876</v>
      </c>
      <c r="B2114">
        <v>254001828.63205385</v>
      </c>
    </row>
    <row r="2115" spans="1:2" x14ac:dyDescent="0.25">
      <c r="A2115">
        <f ca="1">31405.6938949213*((RANDBETWEEN(1587,2416)))</f>
        <v>65449466.077015974</v>
      </c>
      <c r="B2115">
        <v>233623645.77733111</v>
      </c>
    </row>
    <row r="2116" spans="1:2" x14ac:dyDescent="0.25">
      <c r="A2116">
        <f ca="1">32542.7384503085*((RANDBETWEEN(1587,2416)))</f>
        <v>56591822.165086433</v>
      </c>
      <c r="B2116">
        <v>215683972.67193487</v>
      </c>
    </row>
    <row r="2117" spans="1:2" x14ac:dyDescent="0.25">
      <c r="A2117">
        <f ca="1">29380.1728640746*((RANDBETWEEN(1587,2416)))</f>
        <v>55234724.98446016</v>
      </c>
      <c r="B2117">
        <v>266791648.68393171</v>
      </c>
    </row>
    <row r="2118" spans="1:2" x14ac:dyDescent="0.25">
      <c r="A2118">
        <f ca="1">30272.4292192159*((RANDBETWEEN(1587,2416)))</f>
        <v>50585229.225309685</v>
      </c>
      <c r="B2118">
        <v>251473292.02164036</v>
      </c>
    </row>
    <row r="2119" spans="1:2" x14ac:dyDescent="0.25">
      <c r="A2119">
        <f ca="1">30195.8679439019*((RANDBETWEEN(1587,2416)))</f>
        <v>54986675.525845356</v>
      </c>
      <c r="B2119">
        <v>264143159.00571436</v>
      </c>
    </row>
    <row r="2120" spans="1:2" x14ac:dyDescent="0.25">
      <c r="A2120">
        <f ca="1">29865.5897270274*((RANDBETWEEN(1587,2416)))</f>
        <v>66450937.142635994</v>
      </c>
      <c r="B2120">
        <v>215998945.29030058</v>
      </c>
    </row>
    <row r="2121" spans="1:2" x14ac:dyDescent="0.25">
      <c r="A2121">
        <f ca="1">28469.204069707*((RANDBETWEEN(1587,2416)))</f>
        <v>54717810.221976899</v>
      </c>
      <c r="B2121">
        <v>223822158.29309285</v>
      </c>
    </row>
    <row r="2122" spans="1:2" x14ac:dyDescent="0.25">
      <c r="A2122">
        <f ca="1">26240.7891641363*((RANDBETWEEN(1587,2416)))</f>
        <v>61954503.216525786</v>
      </c>
      <c r="B2122">
        <v>229894958.96322528</v>
      </c>
    </row>
    <row r="2123" spans="1:2" x14ac:dyDescent="0.25">
      <c r="A2123">
        <f ca="1">27982.195588435*((RANDBETWEEN(1587,2416)))</f>
        <v>50759702.797421023</v>
      </c>
      <c r="B2123">
        <v>242272271.50912803</v>
      </c>
    </row>
    <row r="2124" spans="1:2" x14ac:dyDescent="0.25">
      <c r="A2124">
        <f ca="1">32450.4765883247*((RANDBETWEEN(1587,2416)))</f>
        <v>64089691.261941329</v>
      </c>
      <c r="B2124">
        <v>238229039.70179614</v>
      </c>
    </row>
    <row r="2125" spans="1:2" x14ac:dyDescent="0.25">
      <c r="A2125">
        <f ca="1">26968.8799147201*((RANDBETWEEN(1587,2416)))</f>
        <v>43392927.782784618</v>
      </c>
      <c r="B2125">
        <v>216831576.53962463</v>
      </c>
    </row>
    <row r="2126" spans="1:2" x14ac:dyDescent="0.25">
      <c r="A2126">
        <f ca="1">32048.0940173403*((RANDBETWEEN(1587,2416)))</f>
        <v>74607962.872368321</v>
      </c>
      <c r="B2126">
        <v>238697985.59577048</v>
      </c>
    </row>
    <row r="2127" spans="1:2" x14ac:dyDescent="0.25">
      <c r="A2127">
        <f ca="1">31837.9689994315*((RANDBETWEEN(1587,2416)))</f>
        <v>51513833.841080084</v>
      </c>
      <c r="B2127">
        <v>218136199.31039521</v>
      </c>
    </row>
    <row r="2128" spans="1:2" x14ac:dyDescent="0.25">
      <c r="A2128">
        <f ca="1">30324.5121153994*((RANDBETWEEN(1587,2416)))</f>
        <v>57283003.385989532</v>
      </c>
      <c r="B2128">
        <v>250523120.24916127</v>
      </c>
    </row>
    <row r="2129" spans="1:2" x14ac:dyDescent="0.25">
      <c r="A2129">
        <f ca="1">26710.1523613659*((RANDBETWEEN(1587,2416)))</f>
        <v>54542131.121909261</v>
      </c>
      <c r="B2129">
        <v>211487312.94772345</v>
      </c>
    </row>
    <row r="2130" spans="1:2" x14ac:dyDescent="0.25">
      <c r="A2130">
        <f ca="1">28269.0861560507*((RANDBETWEEN(1587,2416)))</f>
        <v>62107182.28484349</v>
      </c>
      <c r="B2130">
        <v>245005396.21590731</v>
      </c>
    </row>
    <row r="2131" spans="1:2" x14ac:dyDescent="0.25">
      <c r="A2131">
        <f ca="1">26425.0027364533*((RANDBETWEEN(1587,2416)))</f>
        <v>51634455.347029664</v>
      </c>
      <c r="B2131">
        <v>204478549.34231305</v>
      </c>
    </row>
    <row r="2132" spans="1:2" x14ac:dyDescent="0.25">
      <c r="A2132">
        <f ca="1">31177.9461134801*((RANDBETWEEN(1587,2416)))</f>
        <v>70243912.593670577</v>
      </c>
      <c r="B2132">
        <v>266516993.78264207</v>
      </c>
    </row>
    <row r="2133" spans="1:2" x14ac:dyDescent="0.25">
      <c r="A2133">
        <f ca="1">34547.0670569441*((RANDBETWEEN(1587,2416)))</f>
        <v>80598307.443850666</v>
      </c>
      <c r="B2133">
        <v>211239740.37480348</v>
      </c>
    </row>
    <row r="2134" spans="1:2" x14ac:dyDescent="0.25">
      <c r="A2134">
        <f ca="1">32478.9592065482*((RANDBETWEEN(1587,2416)))</f>
        <v>75286227.440778628</v>
      </c>
      <c r="B2134">
        <v>265482745.786318</v>
      </c>
    </row>
    <row r="2135" spans="1:2" x14ac:dyDescent="0.25">
      <c r="A2135">
        <f ca="1">29252.3573880274*((RANDBETWEEN(1587,2416)))</f>
        <v>64062662.679780178</v>
      </c>
      <c r="B2135">
        <v>224551102.87813267</v>
      </c>
    </row>
    <row r="2136" spans="1:2" x14ac:dyDescent="0.25">
      <c r="A2136">
        <f ca="1">30794.9921383544*((RANDBETWEEN(1587,2416)))</f>
        <v>53429311.360044882</v>
      </c>
      <c r="B2136">
        <v>232145987.08309671</v>
      </c>
    </row>
    <row r="2137" spans="1:2" x14ac:dyDescent="0.25">
      <c r="A2137">
        <f ca="1">33680.6355225053*((RANDBETWEEN(1587,2416)))</f>
        <v>65744600.539930396</v>
      </c>
      <c r="B2137">
        <v>256962498.709158</v>
      </c>
    </row>
    <row r="2138" spans="1:2" x14ac:dyDescent="0.25">
      <c r="A2138">
        <f ca="1">28586.6057860356*((RANDBETWEEN(1587,2416)))</f>
        <v>65777779.913667955</v>
      </c>
      <c r="B2138">
        <v>210806749.51168555</v>
      </c>
    </row>
    <row r="2139" spans="1:2" x14ac:dyDescent="0.25">
      <c r="A2139">
        <f ca="1">31014.8838427025*((RANDBETWEEN(1587,2416)))</f>
        <v>66185762.120327204</v>
      </c>
      <c r="B2139">
        <v>210137445.73093486</v>
      </c>
    </row>
    <row r="2140" spans="1:2" x14ac:dyDescent="0.25">
      <c r="A2140">
        <f ca="1">33339.371105267*((RANDBETWEEN(1587,2416)))</f>
        <v>74813548.760219052</v>
      </c>
      <c r="B2140">
        <v>228823937.75098172</v>
      </c>
    </row>
    <row r="2141" spans="1:2" x14ac:dyDescent="0.25">
      <c r="A2141">
        <f ca="1">28056.4564542696*((RANDBETWEEN(1587,2416)))</f>
        <v>45732024.020459443</v>
      </c>
      <c r="B2141">
        <v>224735974.36648941</v>
      </c>
    </row>
    <row r="2142" spans="1:2" x14ac:dyDescent="0.25">
      <c r="A2142">
        <f ca="1">30255.0891204066*((RANDBETWEEN(1587,2416)))</f>
        <v>62204463.23155605</v>
      </c>
      <c r="B2142">
        <v>253070236.50783253</v>
      </c>
    </row>
    <row r="2143" spans="1:2" x14ac:dyDescent="0.25">
      <c r="A2143">
        <f ca="1">26938.4105460951*((RANDBETWEEN(1587,2416)))</f>
        <v>61042438.297451571</v>
      </c>
      <c r="B2143">
        <v>232899220.55393115</v>
      </c>
    </row>
    <row r="2144" spans="1:2" x14ac:dyDescent="0.25">
      <c r="A2144">
        <f ca="1">30699.3867382877*((RANDBETWEEN(1587,2416)))</f>
        <v>65328294.979076333</v>
      </c>
      <c r="B2144">
        <v>255940328.78459185</v>
      </c>
    </row>
    <row r="2145" spans="1:2" x14ac:dyDescent="0.25">
      <c r="A2145">
        <f ca="1">28440.9899800406*((RANDBETWEEN(1587,2416)))</f>
        <v>54436054.821797766</v>
      </c>
      <c r="B2145">
        <v>264105571.06279802</v>
      </c>
    </row>
    <row r="2146" spans="1:2" x14ac:dyDescent="0.25">
      <c r="A2146">
        <f ca="1">26353.8077809177*((RANDBETWEEN(1587,2416)))</f>
        <v>59480544.161531188</v>
      </c>
      <c r="B2146">
        <v>235623748.34968132</v>
      </c>
    </row>
    <row r="2147" spans="1:2" x14ac:dyDescent="0.25">
      <c r="A2147">
        <f ca="1">27102.6950055661*((RANDBETWEEN(1587,2416)))</f>
        <v>56590427.17162203</v>
      </c>
      <c r="B2147">
        <v>259088363.46352601</v>
      </c>
    </row>
    <row r="2148" spans="1:2" x14ac:dyDescent="0.25">
      <c r="A2148">
        <f ca="1">29691.926119641*((RANDBETWEEN(1587,2416)))</f>
        <v>57275725.484787449</v>
      </c>
      <c r="B2148">
        <v>211175163.3604323</v>
      </c>
    </row>
    <row r="2149" spans="1:2" x14ac:dyDescent="0.25">
      <c r="A2149">
        <f ca="1">30669.5334452029*((RANDBETWEEN(1587,2416)))</f>
        <v>62381831.027542695</v>
      </c>
      <c r="B2149">
        <v>220718033.37651533</v>
      </c>
    </row>
    <row r="2150" spans="1:2" x14ac:dyDescent="0.25">
      <c r="A2150">
        <f ca="1">28088.8243197998*((RANDBETWEEN(1587,2416)))</f>
        <v>63817808.854585133</v>
      </c>
      <c r="B2150">
        <v>261136968.40032646</v>
      </c>
    </row>
    <row r="2151" spans="1:2" x14ac:dyDescent="0.25">
      <c r="A2151">
        <f ca="1">29557.1577508379*((RANDBETWEEN(1587,2416)))</f>
        <v>51754583.221717194</v>
      </c>
      <c r="B2151">
        <v>215121735.78010041</v>
      </c>
    </row>
    <row r="2152" spans="1:2" x14ac:dyDescent="0.25">
      <c r="A2152">
        <f ca="1">27604.0601190212*((RANDBETWEEN(1587,2416)))</f>
        <v>60866952.562441818</v>
      </c>
      <c r="B2152">
        <v>216677174.03816518</v>
      </c>
    </row>
    <row r="2153" spans="1:2" x14ac:dyDescent="0.25">
      <c r="A2153">
        <f ca="1">30668.6508230759*((RANDBETWEEN(1587,2416)))</f>
        <v>63790793.711997896</v>
      </c>
      <c r="B2153">
        <v>250091813.94464254</v>
      </c>
    </row>
    <row r="2154" spans="1:2" x14ac:dyDescent="0.25">
      <c r="A2154">
        <f ca="1">27203.4406657826*((RANDBETWEEN(1587,2416)))</f>
        <v>57997735.499448523</v>
      </c>
      <c r="B2154">
        <v>207008252.56054538</v>
      </c>
    </row>
    <row r="2155" spans="1:2" x14ac:dyDescent="0.25">
      <c r="A2155">
        <f ca="1">32867.5707161426*((RANDBETWEEN(1587,2416)))</f>
        <v>67937268.670266837</v>
      </c>
      <c r="B2155">
        <v>261924541.44022498</v>
      </c>
    </row>
    <row r="2156" spans="1:2" x14ac:dyDescent="0.25">
      <c r="A2156">
        <f ca="1">26497.3546267824*((RANDBETWEEN(1587,2416)))</f>
        <v>47721735.682835095</v>
      </c>
      <c r="B2156">
        <v>204053435.20495754</v>
      </c>
    </row>
    <row r="2157" spans="1:2" x14ac:dyDescent="0.25">
      <c r="A2157">
        <f ca="1">30778.8441951679*((RANDBETWEEN(1587,2416)))</f>
        <v>53031948.548274234</v>
      </c>
      <c r="B2157">
        <v>212100722.51635081</v>
      </c>
    </row>
    <row r="2158" spans="1:2" x14ac:dyDescent="0.25">
      <c r="A2158">
        <f ca="1">29323.7115957969*((RANDBETWEEN(1587,2416)))</f>
        <v>54835340.684140183</v>
      </c>
      <c r="B2158">
        <v>221361775.47745928</v>
      </c>
    </row>
    <row r="2159" spans="1:2" x14ac:dyDescent="0.25">
      <c r="A2159">
        <f ca="1">28189.8613439007*((RANDBETWEEN(1587,2416)))</f>
        <v>64442023.032157034</v>
      </c>
      <c r="B2159">
        <v>243907201.32540962</v>
      </c>
    </row>
    <row r="2160" spans="1:2" x14ac:dyDescent="0.25">
      <c r="A2160">
        <f ca="1">32998.5064404336*((RANDBETWEEN(1587,2416)))</f>
        <v>74873611.11334382</v>
      </c>
      <c r="B2160">
        <v>230326280.60628986</v>
      </c>
    </row>
    <row r="2161" spans="1:2" x14ac:dyDescent="0.25">
      <c r="A2161">
        <f ca="1">28890.3773979508*((RANDBETWEEN(1587,2416)))</f>
        <v>54082786.48896382</v>
      </c>
      <c r="B2161">
        <v>217582260.92562342</v>
      </c>
    </row>
    <row r="2162" spans="1:2" x14ac:dyDescent="0.25">
      <c r="A2162">
        <f ca="1">32522.072361246*((RANDBETWEEN(1587,2416)))</f>
        <v>58702340.612049036</v>
      </c>
      <c r="B2162">
        <v>264733854.60142815</v>
      </c>
    </row>
    <row r="2163" spans="1:2" x14ac:dyDescent="0.25">
      <c r="A2163">
        <f ca="1">32400.2117760931*((RANDBETWEEN(1587,2416)))</f>
        <v>56246767.643297583</v>
      </c>
      <c r="B2163">
        <v>253306791.5142096</v>
      </c>
    </row>
    <row r="2164" spans="1:2" x14ac:dyDescent="0.25">
      <c r="A2164">
        <f ca="1">33464.9088020995*((RANDBETWEEN(1587,2416)))</f>
        <v>60805739.293414876</v>
      </c>
      <c r="B2164">
        <v>243594451.82814944</v>
      </c>
    </row>
    <row r="2165" spans="1:2" x14ac:dyDescent="0.25">
      <c r="A2165">
        <f ca="1">29342.1225994721*((RANDBETWEEN(1587,2416)))</f>
        <v>66459907.687804252</v>
      </c>
      <c r="B2165">
        <v>234940081.94871396</v>
      </c>
    </row>
    <row r="2166" spans="1:2" x14ac:dyDescent="0.25">
      <c r="A2166">
        <f ca="1">27570.4288989762*((RANDBETWEEN(1587,2416)))</f>
        <v>61950753.735999562</v>
      </c>
      <c r="B2166">
        <v>237025459.15825325</v>
      </c>
    </row>
    <row r="2167" spans="1:2" x14ac:dyDescent="0.25">
      <c r="A2167">
        <f ca="1">26567.6827782701*((RANDBETWEEN(1587,2416)))</f>
        <v>49575296.064252026</v>
      </c>
      <c r="B2167">
        <v>240728186.71559852</v>
      </c>
    </row>
    <row r="2168" spans="1:2" x14ac:dyDescent="0.25">
      <c r="A2168">
        <f ca="1">28690.5763460267*((RANDBETWEEN(1587,2416)))</f>
        <v>57467224.421091415</v>
      </c>
      <c r="B2168">
        <v>262281640.52258</v>
      </c>
    </row>
    <row r="2169" spans="1:2" x14ac:dyDescent="0.25">
      <c r="A2169">
        <f ca="1">28505.2744987718*((RANDBETWEEN(1587,2416)))</f>
        <v>55271727.253118433</v>
      </c>
      <c r="B2169">
        <v>236200917.96853113</v>
      </c>
    </row>
    <row r="2170" spans="1:2" x14ac:dyDescent="0.25">
      <c r="A2170">
        <f ca="1">32365.7498512044*((RANDBETWEEN(1587,2416)))</f>
        <v>77289410.644676104</v>
      </c>
      <c r="B2170">
        <v>206773471.96267354</v>
      </c>
    </row>
    <row r="2171" spans="1:2" x14ac:dyDescent="0.25">
      <c r="A2171">
        <f ca="1">32511.4567676264*((RANDBETWEEN(1587,2416)))</f>
        <v>68631685.23645936</v>
      </c>
      <c r="B2171">
        <v>241863290.1578165</v>
      </c>
    </row>
    <row r="2172" spans="1:2" x14ac:dyDescent="0.25">
      <c r="A2172">
        <f ca="1">28693.5336372467*((RANDBETWEEN(1587,2416)))</f>
        <v>49869361.461534753</v>
      </c>
      <c r="B2172">
        <v>206584012.7042129</v>
      </c>
    </row>
    <row r="2173" spans="1:2" x14ac:dyDescent="0.25">
      <c r="A2173">
        <f ca="1">28798.4492906215*((RANDBETWEEN(1587,2416)))</f>
        <v>46307906.459319443</v>
      </c>
      <c r="B2173">
        <v>245660468.37085137</v>
      </c>
    </row>
    <row r="2174" spans="1:2" x14ac:dyDescent="0.25">
      <c r="A2174">
        <f ca="1">29879.7088617695*((RANDBETWEEN(1587,2416)))</f>
        <v>52887084.685331948</v>
      </c>
      <c r="B2174">
        <v>264297866.58970618</v>
      </c>
    </row>
    <row r="2175" spans="1:2" x14ac:dyDescent="0.25">
      <c r="A2175">
        <f ca="1">28377.9984704977*((RANDBETWEEN(1587,2416)))</f>
        <v>64815348.506616734</v>
      </c>
      <c r="B2175">
        <v>253665440.625963</v>
      </c>
    </row>
    <row r="2176" spans="1:2" x14ac:dyDescent="0.25">
      <c r="A2176">
        <f ca="1">31397.8207656758*((RANDBETWEEN(1587,2416)))</f>
        <v>67536712.46696867</v>
      </c>
      <c r="B2176">
        <v>259414203.58471447</v>
      </c>
    </row>
    <row r="2177" spans="1:2" x14ac:dyDescent="0.25">
      <c r="A2177">
        <f ca="1">31028.8191771379*((RANDBETWEEN(1587,2416)))</f>
        <v>65967269.570595115</v>
      </c>
      <c r="B2177">
        <v>246883701.7845459</v>
      </c>
    </row>
    <row r="2178" spans="1:2" x14ac:dyDescent="0.25">
      <c r="A2178">
        <f ca="1">31719.7494008189*((RANDBETWEEN(1587,2416)))</f>
        <v>60521281.856762521</v>
      </c>
      <c r="B2178">
        <v>238716103.61275271</v>
      </c>
    </row>
    <row r="2179" spans="1:2" x14ac:dyDescent="0.25">
      <c r="A2179">
        <f ca="1">31831.4681117637*((RANDBETWEEN(1587,2416)))</f>
        <v>69965566.909656599</v>
      </c>
      <c r="B2179">
        <v>215897826.13638818</v>
      </c>
    </row>
    <row r="2180" spans="1:2" x14ac:dyDescent="0.25">
      <c r="A2180">
        <f ca="1">27565.4130492606*((RANDBETWEEN(1587,2416)))</f>
        <v>62794010.926215619</v>
      </c>
      <c r="B2180">
        <v>250499441.38136846</v>
      </c>
    </row>
    <row r="2181" spans="1:2" x14ac:dyDescent="0.25">
      <c r="A2181">
        <f ca="1">32084.1762429231*((RANDBETWEEN(1587,2416)))</f>
        <v>74114447.121152461</v>
      </c>
      <c r="B2181">
        <v>255386681.23759979</v>
      </c>
    </row>
    <row r="2182" spans="1:2" x14ac:dyDescent="0.25">
      <c r="A2182">
        <f ca="1">28988.55466189*((RANDBETWEEN(1587,2416)))</f>
        <v>59397548.502212517</v>
      </c>
      <c r="B2182">
        <v>220669966.31267694</v>
      </c>
    </row>
    <row r="2183" spans="1:2" x14ac:dyDescent="0.25">
      <c r="A2183">
        <f ca="1">25083.1030979162*((RANDBETWEEN(1587,2416)))</f>
        <v>46905402.79310327</v>
      </c>
      <c r="B2183">
        <v>218578981.6009627</v>
      </c>
    </row>
    <row r="2184" spans="1:2" x14ac:dyDescent="0.25">
      <c r="A2184">
        <f ca="1">31755.4987038549*((RANDBETWEEN(1587,2416)))</f>
        <v>58969961.093058601</v>
      </c>
      <c r="B2184">
        <v>246898212.00300163</v>
      </c>
    </row>
    <row r="2185" spans="1:2" x14ac:dyDescent="0.25">
      <c r="A2185">
        <f ca="1">33633.5415776593*((RANDBETWEEN(1587,2416)))</f>
        <v>61616648.170271851</v>
      </c>
      <c r="B2185">
        <v>233255612.91834152</v>
      </c>
    </row>
    <row r="2186" spans="1:2" x14ac:dyDescent="0.25">
      <c r="A2186">
        <f ca="1">29041.1782005011*((RANDBETWEEN(1587,2416)))</f>
        <v>47424244.00141824</v>
      </c>
      <c r="B2186">
        <v>221605927.970801</v>
      </c>
    </row>
    <row r="2187" spans="1:2" x14ac:dyDescent="0.25">
      <c r="A2187">
        <f ca="1">30858.1389856634*((RANDBETWEEN(1587,2416)))</f>
        <v>65912984.873377115</v>
      </c>
      <c r="B2187">
        <v>207993261.74513328</v>
      </c>
    </row>
    <row r="2188" spans="1:2" x14ac:dyDescent="0.25">
      <c r="A2188">
        <f ca="1">27962.0872536962*((RANDBETWEEN(1587,2416)))</f>
        <v>56091947.030914538</v>
      </c>
      <c r="B2188">
        <v>205993423.34464598</v>
      </c>
    </row>
    <row r="2189" spans="1:2" x14ac:dyDescent="0.25">
      <c r="A2189">
        <f ca="1">27141.85002975*((RANDBETWEEN(1587,2416)))</f>
        <v>44322641.098581769</v>
      </c>
      <c r="B2189">
        <v>227866641.80006182</v>
      </c>
    </row>
    <row r="2190" spans="1:2" x14ac:dyDescent="0.25">
      <c r="A2190">
        <f ca="1">31156.2686643779*((RANDBETWEEN(1587,2416)))</f>
        <v>70662417.330809087</v>
      </c>
      <c r="B2190">
        <v>245347001.98442501</v>
      </c>
    </row>
    <row r="2191" spans="1:2" x14ac:dyDescent="0.25">
      <c r="A2191">
        <f ca="1">29771.8785435708*((RANDBETWEEN(1587,2416)))</f>
        <v>59513985.208597951</v>
      </c>
      <c r="B2191">
        <v>264864480.16377792</v>
      </c>
    </row>
    <row r="2192" spans="1:2" x14ac:dyDescent="0.25">
      <c r="A2192">
        <f ca="1">27813.8900801301*((RANDBETWEEN(1587,2416)))</f>
        <v>51539138.318481036</v>
      </c>
      <c r="B2192">
        <v>218496652.02675781</v>
      </c>
    </row>
    <row r="2193" spans="1:2" x14ac:dyDescent="0.25">
      <c r="A2193">
        <f ca="1">28413.4649119615*((RANDBETWEEN(1587,2416)))</f>
        <v>56287073.990595713</v>
      </c>
      <c r="B2193">
        <v>232791341.72588313</v>
      </c>
    </row>
    <row r="2194" spans="1:2" x14ac:dyDescent="0.25">
      <c r="A2194">
        <f ca="1">30256.586127591*((RANDBETWEEN(1587,2416)))</f>
        <v>64174219.176620431</v>
      </c>
      <c r="B2194">
        <v>209497581.6229423</v>
      </c>
    </row>
    <row r="2195" spans="1:2" x14ac:dyDescent="0.25">
      <c r="A2195">
        <f ca="1">29674.5097784772*((RANDBETWEEN(1587,2416)))</f>
        <v>57390501.911574885</v>
      </c>
      <c r="B2195">
        <v>209115197.97803035</v>
      </c>
    </row>
    <row r="2196" spans="1:2" x14ac:dyDescent="0.25">
      <c r="A2196">
        <f ca="1">27837.620885909*((RANDBETWEEN(1587,2416)))</f>
        <v>55118489.354099825</v>
      </c>
      <c r="B2196">
        <v>215030301.1824536</v>
      </c>
    </row>
    <row r="2197" spans="1:2" x14ac:dyDescent="0.25">
      <c r="A2197">
        <f ca="1">29462.8389786729*((RANDBETWEEN(1587,2416)))</f>
        <v>64170063.295549616</v>
      </c>
      <c r="B2197">
        <v>207645417.32848057</v>
      </c>
    </row>
    <row r="2198" spans="1:2" x14ac:dyDescent="0.25">
      <c r="A2198">
        <f ca="1">26413.4732458357*((RANDBETWEEN(1587,2416)))</f>
        <v>62203729.493943043</v>
      </c>
      <c r="B2198">
        <v>224556486.09483767</v>
      </c>
    </row>
    <row r="2199" spans="1:2" x14ac:dyDescent="0.25">
      <c r="A2199">
        <f ca="1">29745.4809382914*((RANDBETWEEN(1587,2416)))</f>
        <v>54136775.307690315</v>
      </c>
      <c r="B2199">
        <v>224842168.24401039</v>
      </c>
    </row>
    <row r="2200" spans="1:2" x14ac:dyDescent="0.25">
      <c r="A2200">
        <f ca="1">29300.0931543847*((RANDBETWEEN(1587,2416)))</f>
        <v>51597464.044871442</v>
      </c>
      <c r="B2200">
        <v>235973241.82312286</v>
      </c>
    </row>
    <row r="2201" spans="1:2" x14ac:dyDescent="0.25">
      <c r="A2201">
        <f ca="1">30039.1629438079*((RANDBETWEEN(1587,2416)))</f>
        <v>47972543.221261144</v>
      </c>
      <c r="B2201">
        <v>224106241.30751783</v>
      </c>
    </row>
    <row r="2202" spans="1:2" x14ac:dyDescent="0.25">
      <c r="A2202">
        <f ca="1">29534.7914364732*((RANDBETWEEN(1587,2416)))</f>
        <v>50947515.227916256</v>
      </c>
      <c r="B2202">
        <v>209243914.18241006</v>
      </c>
    </row>
    <row r="2203" spans="1:2" x14ac:dyDescent="0.25">
      <c r="A2203">
        <f ca="1">31876.3266709487*((RANDBETWEEN(1587,2416)))</f>
        <v>63210755.788491338</v>
      </c>
      <c r="B2203">
        <v>247729423.72484684</v>
      </c>
    </row>
    <row r="2204" spans="1:2" x14ac:dyDescent="0.25">
      <c r="A2204">
        <f ca="1">28228.5991332023*((RANDBETWEEN(1587,2416)))</f>
        <v>67607494.924019411</v>
      </c>
      <c r="B2204">
        <v>260101943.76091436</v>
      </c>
    </row>
    <row r="2205" spans="1:2" x14ac:dyDescent="0.25">
      <c r="A2205">
        <f ca="1">30797.8729650988*((RANDBETWEEN(1587,2416)))</f>
        <v>50169735.0601459</v>
      </c>
      <c r="B2205">
        <v>217175165.84616625</v>
      </c>
    </row>
    <row r="2206" spans="1:2" x14ac:dyDescent="0.25">
      <c r="A2206">
        <f ca="1">31922.8206011852*((RANDBETWEEN(1587,2416)))</f>
        <v>59025295.291591369</v>
      </c>
      <c r="B2206">
        <v>243543728.72285527</v>
      </c>
    </row>
    <row r="2207" spans="1:2" x14ac:dyDescent="0.25">
      <c r="A2207">
        <f ca="1">26435.6535266538*((RANDBETWEEN(1587,2416)))</f>
        <v>48245067.686143138</v>
      </c>
      <c r="B2207">
        <v>231744194.00629073</v>
      </c>
    </row>
    <row r="2208" spans="1:2" x14ac:dyDescent="0.25">
      <c r="A2208">
        <f ca="1">34101.5636185702*((RANDBETWEEN(1587,2416)))</f>
        <v>66191134.983644821</v>
      </c>
      <c r="B2208">
        <v>242433135.11534965</v>
      </c>
    </row>
    <row r="2209" spans="1:2" x14ac:dyDescent="0.25">
      <c r="A2209">
        <f ca="1">26563.3028335424*((RANDBETWEEN(1587,2416)))</f>
        <v>51107794.651735559</v>
      </c>
      <c r="B2209">
        <v>222072582.28516778</v>
      </c>
    </row>
    <row r="2210" spans="1:2" x14ac:dyDescent="0.25">
      <c r="A2210">
        <f ca="1">30063.103057145*((RANDBETWEEN(1587,2416)))</f>
        <v>63643589.171975918</v>
      </c>
      <c r="B2210">
        <v>207738898.67565438</v>
      </c>
    </row>
    <row r="2211" spans="1:2" x14ac:dyDescent="0.25">
      <c r="A2211">
        <f ca="1">32991.8134426903*((RANDBETWEEN(1587,2416)))</f>
        <v>53710672.284699783</v>
      </c>
      <c r="B2211">
        <v>229015435.46060699</v>
      </c>
    </row>
    <row r="2212" spans="1:2" x14ac:dyDescent="0.25">
      <c r="A2212">
        <f ca="1">28603.8315932762*((RANDBETWEEN(1587,2416)))</f>
        <v>56263736.743974306</v>
      </c>
      <c r="B2212">
        <v>224793469.43766251</v>
      </c>
    </row>
    <row r="2213" spans="1:2" x14ac:dyDescent="0.25">
      <c r="A2213">
        <f ca="1">28287.851661264*((RANDBETWEEN(1587,2416)))</f>
        <v>48683392.7090353</v>
      </c>
      <c r="B2213">
        <v>253473277.06417769</v>
      </c>
    </row>
    <row r="2214" spans="1:2" x14ac:dyDescent="0.25">
      <c r="A2214">
        <f ca="1">28395.0363643486*((RANDBETWEEN(1587,2416)))</f>
        <v>54802420.183192782</v>
      </c>
      <c r="B2214">
        <v>254494835.34877929</v>
      </c>
    </row>
    <row r="2215" spans="1:2" x14ac:dyDescent="0.25">
      <c r="A2215">
        <f ca="1">28757.4087938566*((RANDBETWEEN(1587,2416)))</f>
        <v>68097544.023852348</v>
      </c>
      <c r="B2215">
        <v>238305657.60240534</v>
      </c>
    </row>
    <row r="2216" spans="1:2" x14ac:dyDescent="0.25">
      <c r="A2216">
        <f ca="1">31431.6725669524*((RANDBETWEEN(1587,2416)))</f>
        <v>63554841.930377781</v>
      </c>
      <c r="B2216">
        <v>218643834.64593822</v>
      </c>
    </row>
    <row r="2217" spans="1:2" x14ac:dyDescent="0.25">
      <c r="A2217">
        <f ca="1">27520.9436548466*((RANDBETWEEN(1587,2416)))</f>
        <v>59610363.956397697</v>
      </c>
      <c r="B2217">
        <v>226938603.83465728</v>
      </c>
    </row>
    <row r="2218" spans="1:2" x14ac:dyDescent="0.25">
      <c r="A2218">
        <f ca="1">30736.3106695839*((RANDBETWEEN(1587,2416)))</f>
        <v>67128102.502371311</v>
      </c>
      <c r="B2218">
        <v>244013496.99656561</v>
      </c>
    </row>
    <row r="2219" spans="1:2" x14ac:dyDescent="0.25">
      <c r="A2219">
        <f ca="1">31995.5068508516*((RANDBETWEEN(1587,2416)))</f>
        <v>73013746.633643284</v>
      </c>
      <c r="B2219">
        <v>220786593.65826225</v>
      </c>
    </row>
    <row r="2220" spans="1:2" x14ac:dyDescent="0.25">
      <c r="A2220">
        <f ca="1">26253.5760681987*((RANDBETWEEN(1587,2416)))</f>
        <v>61932185.944880649</v>
      </c>
      <c r="B2220">
        <v>242833257.76987752</v>
      </c>
    </row>
    <row r="2221" spans="1:2" x14ac:dyDescent="0.25">
      <c r="A2221">
        <f ca="1">29464.7615652576*((RANDBETWEEN(1587,2416)))</f>
        <v>61787605.002345145</v>
      </c>
      <c r="B2221">
        <v>226164472.58156809</v>
      </c>
    </row>
    <row r="2222" spans="1:2" x14ac:dyDescent="0.25">
      <c r="A2222">
        <f ca="1">32519.6186986934*((RANDBETWEEN(1587,2416)))</f>
        <v>75608113.474462196</v>
      </c>
      <c r="B2222">
        <v>248234228.91025472</v>
      </c>
    </row>
    <row r="2223" spans="1:2" x14ac:dyDescent="0.25">
      <c r="A2223">
        <f ca="1">31847.6815710712*((RANDBETWEEN(1587,2416)))</f>
        <v>68249581.606805533</v>
      </c>
      <c r="B2223">
        <v>239159856.20788708</v>
      </c>
    </row>
    <row r="2224" spans="1:2" x14ac:dyDescent="0.25">
      <c r="A2224">
        <f ca="1">28496.1683211811*((RANDBETWEEN(1587,2416)))</f>
        <v>57362786.830537483</v>
      </c>
      <c r="B2224">
        <v>230719435.47671372</v>
      </c>
    </row>
    <row r="2225" spans="1:2" x14ac:dyDescent="0.25">
      <c r="A2225">
        <f ca="1">26426.466877245*((RANDBETWEEN(1587,2416)))</f>
        <v>52852933.754489966</v>
      </c>
      <c r="B2225">
        <v>236941548.46988636</v>
      </c>
    </row>
    <row r="2226" spans="1:2" x14ac:dyDescent="0.25">
      <c r="A2226">
        <f ca="1">27357.6108534506*((RANDBETWEEN(1587,2416)))</f>
        <v>45440991.627581388</v>
      </c>
      <c r="B2226">
        <v>259029090.53136358</v>
      </c>
    </row>
    <row r="2227" spans="1:2" x14ac:dyDescent="0.25">
      <c r="A2227">
        <f ca="1">29691.9903950692*((RANDBETWEEN(1587,2416)))</f>
        <v>56563241.702606842</v>
      </c>
      <c r="B2227">
        <v>252612253.27289188</v>
      </c>
    </row>
    <row r="2228" spans="1:2" x14ac:dyDescent="0.25">
      <c r="A2228">
        <f ca="1">32925.3253528977*((RANDBETWEEN(1587,2416)))</f>
        <v>78098871.737073392</v>
      </c>
      <c r="B2228">
        <v>251167554.21674284</v>
      </c>
    </row>
    <row r="2229" spans="1:2" x14ac:dyDescent="0.25">
      <c r="A2229">
        <f ca="1">29665.0539258028*((RANDBETWEEN(1587,2416)))</f>
        <v>71344454.691555738</v>
      </c>
      <c r="B2229">
        <v>234619425.72793081</v>
      </c>
    </row>
    <row r="2230" spans="1:2" x14ac:dyDescent="0.25">
      <c r="A2230">
        <f ca="1">27921.9275262833*((RANDBETWEEN(1587,2416)))</f>
        <v>52381536.039307386</v>
      </c>
      <c r="B2230">
        <v>239676938.86778378</v>
      </c>
    </row>
    <row r="2231" spans="1:2" x14ac:dyDescent="0.25">
      <c r="A2231">
        <f ca="1">26968.2504301875*((RANDBETWEEN(1587,2416)))</f>
        <v>44470644.959379114</v>
      </c>
      <c r="B2231">
        <v>260021417.86734319</v>
      </c>
    </row>
    <row r="2232" spans="1:2" x14ac:dyDescent="0.25">
      <c r="A2232">
        <f ca="1">32352.4166449*((RANDBETWEEN(1587,2416)))</f>
        <v>51860923.881774656</v>
      </c>
      <c r="B2232">
        <v>262744074.17028347</v>
      </c>
    </row>
    <row r="2233" spans="1:2" x14ac:dyDescent="0.25">
      <c r="A2233">
        <f ca="1">27661.2123564723*((RANDBETWEEN(1587,2416)))</f>
        <v>45032453.716336921</v>
      </c>
      <c r="B2233">
        <v>250740661.75239259</v>
      </c>
    </row>
    <row r="2234" spans="1:2" x14ac:dyDescent="0.25">
      <c r="A2234">
        <f ca="1">29963.7911220185*((RANDBETWEEN(1587,2416)))</f>
        <v>50429060.458357215</v>
      </c>
      <c r="B2234">
        <v>213605905.05907339</v>
      </c>
    </row>
    <row r="2235" spans="1:2" x14ac:dyDescent="0.25">
      <c r="A2235">
        <f ca="1">28142.3657107928*((RANDBETWEEN(1587,2416)))</f>
        <v>63292180.483572975</v>
      </c>
      <c r="B2235">
        <v>212340443.93505001</v>
      </c>
    </row>
    <row r="2236" spans="1:2" x14ac:dyDescent="0.25">
      <c r="A2236">
        <f ca="1">31212.4442728105*((RANDBETWEEN(1587,2416)))</f>
        <v>64672184.533263281</v>
      </c>
      <c r="B2236">
        <v>259355699.82078871</v>
      </c>
    </row>
    <row r="2237" spans="1:2" x14ac:dyDescent="0.25">
      <c r="A2237">
        <f ca="1">30702.3003184613*((RANDBETWEEN(1587,2416)))</f>
        <v>52163208.241065815</v>
      </c>
      <c r="B2237">
        <v>241296559.5740577</v>
      </c>
    </row>
    <row r="2238" spans="1:2" x14ac:dyDescent="0.25">
      <c r="A2238">
        <f ca="1">29959.484310726*((RANDBETWEEN(1587,2416)))</f>
        <v>66929487.950161874</v>
      </c>
      <c r="B2238">
        <v>260626651.30652618</v>
      </c>
    </row>
    <row r="2239" spans="1:2" x14ac:dyDescent="0.25">
      <c r="A2239">
        <f ca="1">30232.2849381886*((RANDBETWEEN(1587,2416)))</f>
        <v>70924940.464990541</v>
      </c>
      <c r="B2239">
        <v>258454040.71436098</v>
      </c>
    </row>
    <row r="2240" spans="1:2" x14ac:dyDescent="0.25">
      <c r="A2240">
        <f ca="1">30727.9122980474*((RANDBETWEEN(1587,2416)))</f>
        <v>67601407.055704266</v>
      </c>
      <c r="B2240">
        <v>229366305.61816099</v>
      </c>
    </row>
    <row r="2241" spans="1:2" x14ac:dyDescent="0.25">
      <c r="A2241">
        <f ca="1">31693.7336537696*((RANDBETWEEN(1587,2416)))</f>
        <v>73339299.674822882</v>
      </c>
      <c r="B2241">
        <v>247548699.60860273</v>
      </c>
    </row>
    <row r="2242" spans="1:2" x14ac:dyDescent="0.25">
      <c r="A2242">
        <f ca="1">28401.0965077564*((RANDBETWEEN(1587,2416)))</f>
        <v>67310598.723382697</v>
      </c>
      <c r="B2242">
        <v>207288833.26660317</v>
      </c>
    </row>
    <row r="2243" spans="1:2" x14ac:dyDescent="0.25">
      <c r="A2243">
        <f ca="1">26927.594772385*((RANDBETWEEN(1587,2416)))</f>
        <v>55659338.394519828</v>
      </c>
      <c r="B2243">
        <v>255644452.84265947</v>
      </c>
    </row>
    <row r="2244" spans="1:2" x14ac:dyDescent="0.25">
      <c r="A2244">
        <f ca="1">32580.1669055438*((RANDBETWEEN(1587,2416)))</f>
        <v>59523964.93642845</v>
      </c>
      <c r="B2244">
        <v>205166801.05617484</v>
      </c>
    </row>
    <row r="2245" spans="1:2" x14ac:dyDescent="0.25">
      <c r="A2245">
        <f ca="1">27283.8892407195*((RANDBETWEEN(1587,2416)))</f>
        <v>52494202.89914427</v>
      </c>
      <c r="B2245">
        <v>222780332.99066865</v>
      </c>
    </row>
    <row r="2246" spans="1:2" x14ac:dyDescent="0.25">
      <c r="A2246">
        <f ca="1">29440.4723195826*((RANDBETWEEN(1587,2416)))</f>
        <v>65298967.604834206</v>
      </c>
      <c r="B2246">
        <v>206345126.36742577</v>
      </c>
    </row>
    <row r="2247" spans="1:2" x14ac:dyDescent="0.25">
      <c r="A2247">
        <f ca="1">32836.6506912719*((RANDBETWEEN(1587,2416)))</f>
        <v>67939030.28024146</v>
      </c>
      <c r="B2247">
        <v>223062874.47010022</v>
      </c>
    </row>
    <row r="2248" spans="1:2" x14ac:dyDescent="0.25">
      <c r="A2248">
        <f ca="1">32211.2545810943*((RANDBETWEEN(1587,2416)))</f>
        <v>70252746.24136664</v>
      </c>
      <c r="B2248">
        <v>212636040.4199338</v>
      </c>
    </row>
    <row r="2249" spans="1:2" x14ac:dyDescent="0.25">
      <c r="A2249">
        <f ca="1">26700.6746153219*((RANDBETWEEN(1587,2416)))</f>
        <v>49476350.062191539</v>
      </c>
      <c r="B2249">
        <v>262856617.80473948</v>
      </c>
    </row>
    <row r="2250" spans="1:2" x14ac:dyDescent="0.25">
      <c r="A2250">
        <f ca="1">27834.091490134*((RANDBETWEEN(1587,2416)))</f>
        <v>58479426.220771499</v>
      </c>
      <c r="B2250">
        <v>251507100.68323559</v>
      </c>
    </row>
    <row r="2251" spans="1:2" x14ac:dyDescent="0.25">
      <c r="A2251">
        <f ca="1">28602.4679190123*((RANDBETWEEN(1587,2416)))</f>
        <v>56718693.883401409</v>
      </c>
      <c r="B2251">
        <v>236067127.20233774</v>
      </c>
    </row>
    <row r="2252" spans="1:2" x14ac:dyDescent="0.25">
      <c r="A2252">
        <f ca="1">28222.8870101774*((RANDBETWEEN(1587,2416)))</f>
        <v>46567763.566792697</v>
      </c>
      <c r="B2252">
        <v>203857263.40657741</v>
      </c>
    </row>
    <row r="2253" spans="1:2" x14ac:dyDescent="0.25">
      <c r="A2253">
        <f ca="1">27642.9421022879*((RANDBETWEEN(1587,2416)))</f>
        <v>60233970.840885304</v>
      </c>
      <c r="B2253">
        <v>258309068.37551659</v>
      </c>
    </row>
    <row r="2254" spans="1:2" x14ac:dyDescent="0.25">
      <c r="A2254">
        <f ca="1">28298.808366938*((RANDBETWEEN(1587,2416)))</f>
        <v>61436712.964622356</v>
      </c>
      <c r="B2254">
        <v>258501439.78047326</v>
      </c>
    </row>
    <row r="2255" spans="1:2" x14ac:dyDescent="0.25">
      <c r="A2255">
        <f ca="1">31674.7048052757*((RANDBETWEEN(1587,2416)))</f>
        <v>56571022.782222465</v>
      </c>
      <c r="B2255">
        <v>221181510.75869301</v>
      </c>
    </row>
    <row r="2256" spans="1:2" x14ac:dyDescent="0.25">
      <c r="A2256">
        <f ca="1">29068.296732753*((RANDBETWEEN(1587,2416)))</f>
        <v>66246648.253944181</v>
      </c>
      <c r="B2256">
        <v>204824161.77467567</v>
      </c>
    </row>
    <row r="2257" spans="1:2" x14ac:dyDescent="0.25">
      <c r="A2257">
        <f ca="1">29940.7760148883*((RANDBETWEEN(1587,2416)))</f>
        <v>69462600.35454081</v>
      </c>
      <c r="B2257">
        <v>259159036.0263083</v>
      </c>
    </row>
    <row r="2258" spans="1:2" x14ac:dyDescent="0.25">
      <c r="A2258">
        <f ca="1">29447.3665321377*((RANDBETWEEN(1587,2416)))</f>
        <v>50826154.634469636</v>
      </c>
      <c r="B2258">
        <v>223713656.3685289</v>
      </c>
    </row>
    <row r="2259" spans="1:2" x14ac:dyDescent="0.25">
      <c r="A2259">
        <f ca="1">31576.012622928*((RANDBETWEEN(1587,2416)))</f>
        <v>75908734.345518991</v>
      </c>
      <c r="B2259">
        <v>232782711.94363749</v>
      </c>
    </row>
    <row r="2260" spans="1:2" x14ac:dyDescent="0.25">
      <c r="A2260">
        <f ca="1">27897.993996202*((RANDBETWEEN(1587,2416)))</f>
        <v>53229372.544753499</v>
      </c>
      <c r="B2260">
        <v>255597937.27449819</v>
      </c>
    </row>
    <row r="2261" spans="1:2" x14ac:dyDescent="0.25">
      <c r="A2261">
        <f ca="1">29116.8912578418*((RANDBETWEEN(1587,2416)))</f>
        <v>65600356.003917567</v>
      </c>
      <c r="B2261">
        <v>217891903.13478696</v>
      </c>
    </row>
    <row r="2262" spans="1:2" x14ac:dyDescent="0.25">
      <c r="A2262">
        <f ca="1">33257.4339047394*((RANDBETWEEN(1587,2416)))</f>
        <v>52812805.040726088</v>
      </c>
      <c r="B2262">
        <v>252584550.55763927</v>
      </c>
    </row>
    <row r="2263" spans="1:2" x14ac:dyDescent="0.25">
      <c r="A2263">
        <f ca="1">29467.2631476928*((RANDBETWEEN(1587,2416)))</f>
        <v>54514436.823231667</v>
      </c>
      <c r="B2263">
        <v>258439352.93401837</v>
      </c>
    </row>
    <row r="2264" spans="1:2" x14ac:dyDescent="0.25">
      <c r="A2264">
        <f ca="1">31428.2657389649*((RANDBETWEEN(1587,2416)))</f>
        <v>70870739.24136588</v>
      </c>
      <c r="B2264">
        <v>235884439.78160059</v>
      </c>
    </row>
    <row r="2265" spans="1:2" x14ac:dyDescent="0.25">
      <c r="A2265">
        <f ca="1">28268.4023305239*((RANDBETWEEN(1587,2416)))</f>
        <v>68239923.225884572</v>
      </c>
      <c r="B2265">
        <v>224509380.53634226</v>
      </c>
    </row>
    <row r="2266" spans="1:2" x14ac:dyDescent="0.25">
      <c r="A2266">
        <f ca="1">29145.0002728265*((RANDBETWEEN(1587,2416)))</f>
        <v>60388440.565296419</v>
      </c>
      <c r="B2266">
        <v>264936661.01067713</v>
      </c>
    </row>
    <row r="2267" spans="1:2" x14ac:dyDescent="0.25">
      <c r="A2267">
        <f ca="1">26840.8978363999*((RANDBETWEEN(1587,2416)))</f>
        <v>59264702.422771014</v>
      </c>
      <c r="B2267">
        <v>247026061.8369984</v>
      </c>
    </row>
    <row r="2268" spans="1:2" x14ac:dyDescent="0.25">
      <c r="A2268">
        <f ca="1">34110.0231001526*((RANDBETWEEN(1587,2416)))</f>
        <v>70778297.932816729</v>
      </c>
      <c r="B2268">
        <v>243833441.5981667</v>
      </c>
    </row>
    <row r="2269" spans="1:2" x14ac:dyDescent="0.25">
      <c r="A2269">
        <f ca="1">29486.024551702*((RANDBETWEEN(1587,2416)))</f>
        <v>64780795.94008939</v>
      </c>
      <c r="B2269">
        <v>212560149.62171304</v>
      </c>
    </row>
    <row r="2270" spans="1:2" x14ac:dyDescent="0.25">
      <c r="A2270">
        <f ca="1">30106.8499491072*((RANDBETWEEN(1587,2416)))</f>
        <v>72647828.927195638</v>
      </c>
      <c r="B2270">
        <v>226900359.15456617</v>
      </c>
    </row>
    <row r="2271" spans="1:2" x14ac:dyDescent="0.25">
      <c r="A2271">
        <f ca="1">26983.0708204995*((RANDBETWEEN(1587,2416)))</f>
        <v>48110815.272950605</v>
      </c>
      <c r="B2271">
        <v>246887988.76559964</v>
      </c>
    </row>
    <row r="2272" spans="1:2" x14ac:dyDescent="0.25">
      <c r="A2272">
        <f ca="1">31454.9218642437*((RANDBETWEEN(1587,2416)))</f>
        <v>68068450.914223358</v>
      </c>
      <c r="B2272">
        <v>259514271.7188679</v>
      </c>
    </row>
    <row r="2273" spans="1:2" x14ac:dyDescent="0.25">
      <c r="A2273">
        <f ca="1">29502.7924677349*((RANDBETWEEN(1587,2416)))</f>
        <v>51216847.723987758</v>
      </c>
      <c r="B2273">
        <v>218923140.49542338</v>
      </c>
    </row>
    <row r="2274" spans="1:2" x14ac:dyDescent="0.25">
      <c r="A2274">
        <f ca="1">28014.4880522295*((RANDBETWEEN(1587,2416)))</f>
        <v>47400513.78437224</v>
      </c>
      <c r="B2274">
        <v>262911735.19555905</v>
      </c>
    </row>
    <row r="2275" spans="1:2" x14ac:dyDescent="0.25">
      <c r="A2275">
        <f ca="1">31860.391501961*((RANDBETWEEN(1587,2416)))</f>
        <v>75094942.770122126</v>
      </c>
      <c r="B2275">
        <v>215603770.40529901</v>
      </c>
    </row>
    <row r="2276" spans="1:2" x14ac:dyDescent="0.25">
      <c r="A2276">
        <f ca="1">30599.2199573261*((RANDBETWEEN(1587,2416)))</f>
        <v>59331887.497255296</v>
      </c>
      <c r="B2276">
        <v>204100326.07322934</v>
      </c>
    </row>
    <row r="2277" spans="1:2" x14ac:dyDescent="0.25">
      <c r="A2277">
        <f ca="1">29905.6516551916*((RANDBETWEEN(1587,2416)))</f>
        <v>48207910.468168922</v>
      </c>
      <c r="B2277">
        <v>266665066.4296388</v>
      </c>
    </row>
    <row r="2278" spans="1:2" x14ac:dyDescent="0.25">
      <c r="A2278">
        <f ca="1">28339.4863790072*((RANDBETWEEN(1587,2416)))</f>
        <v>63197054.625186011</v>
      </c>
      <c r="B2278">
        <v>255953316.37889591</v>
      </c>
    </row>
    <row r="2279" spans="1:2" x14ac:dyDescent="0.25">
      <c r="A2279">
        <f ca="1">33799.3498812977*((RANDBETWEEN(1587,2416)))</f>
        <v>73445987.292059809</v>
      </c>
      <c r="B2279">
        <v>250466569.47939259</v>
      </c>
    </row>
    <row r="2280" spans="1:2" x14ac:dyDescent="0.25">
      <c r="A2280">
        <f ca="1">32000.7511696935*((RANDBETWEEN(1587,2416)))</f>
        <v>57377346.847260378</v>
      </c>
      <c r="B2280">
        <v>255639473.6844748</v>
      </c>
    </row>
    <row r="2281" spans="1:2" x14ac:dyDescent="0.25">
      <c r="A2281">
        <f ca="1">33107.7112762298*((RANDBETWEEN(1587,2416)))</f>
        <v>61580342.973787464</v>
      </c>
      <c r="B2281">
        <v>238832730.7456727</v>
      </c>
    </row>
    <row r="2282" spans="1:2" x14ac:dyDescent="0.25">
      <c r="A2282">
        <f ca="1">28032.8587038651*((RANDBETWEEN(1587,2416)))</f>
        <v>61419993.420168534</v>
      </c>
      <c r="B2282">
        <v>206911444.97638768</v>
      </c>
    </row>
    <row r="2283" spans="1:2" x14ac:dyDescent="0.25">
      <c r="A2283">
        <f ca="1">29243.7387225276*((RANDBETWEEN(1587,2416)))</f>
        <v>65155049.873791397</v>
      </c>
      <c r="B2283">
        <v>255279058.5623686</v>
      </c>
    </row>
    <row r="2284" spans="1:2" x14ac:dyDescent="0.25">
      <c r="A2284">
        <f ca="1">27819.8603964129*((RANDBETWEEN(1587,2416)))</f>
        <v>51522381.4541566</v>
      </c>
      <c r="B2284">
        <v>251720181.12215361</v>
      </c>
    </row>
    <row r="2285" spans="1:2" x14ac:dyDescent="0.25">
      <c r="A2285">
        <f ca="1">26449.3531757308*((RANDBETWEEN(1587,2416)))</f>
        <v>44038173.037591815</v>
      </c>
      <c r="B2285">
        <v>211171093.87919992</v>
      </c>
    </row>
    <row r="2286" spans="1:2" x14ac:dyDescent="0.25">
      <c r="A2286">
        <f ca="1">28410.8935790344*((RANDBETWEEN(1587,2416)))</f>
        <v>48895147.84951818</v>
      </c>
      <c r="B2286">
        <v>257725647.13544127</v>
      </c>
    </row>
    <row r="2287" spans="1:2" x14ac:dyDescent="0.25">
      <c r="A2287">
        <f ca="1">27872.0445335869*((RANDBETWEEN(1587,2416)))</f>
        <v>66168233.722735278</v>
      </c>
      <c r="B2287">
        <v>214445769.55404839</v>
      </c>
    </row>
    <row r="2288" spans="1:2" x14ac:dyDescent="0.25">
      <c r="A2288">
        <f ca="1">27393.9149070994*((RANDBETWEEN(1587,2416)))</f>
        <v>46240928.363183863</v>
      </c>
      <c r="B2288">
        <v>208238626.84895816</v>
      </c>
    </row>
    <row r="2289" spans="1:2" x14ac:dyDescent="0.25">
      <c r="A2289">
        <f ca="1">28753.5889810992*((RANDBETWEEN(1587,2416)))</f>
        <v>65299400.576076224</v>
      </c>
      <c r="B2289">
        <v>249510494.73767245</v>
      </c>
    </row>
    <row r="2290" spans="1:2" x14ac:dyDescent="0.25">
      <c r="A2290">
        <f ca="1">34153.41114278*((RANDBETWEEN(1587,2416)))</f>
        <v>63969339.070426941</v>
      </c>
      <c r="B2290">
        <v>261551082.10336259</v>
      </c>
    </row>
    <row r="2291" spans="1:2" x14ac:dyDescent="0.25">
      <c r="A2291">
        <f ca="1">26918.7491214659*((RANDBETWEEN(1587,2416)))</f>
        <v>61832366.732007116</v>
      </c>
      <c r="B2291">
        <v>234602078.703637</v>
      </c>
    </row>
    <row r="2292" spans="1:2" x14ac:dyDescent="0.25">
      <c r="A2292">
        <f ca="1">26536.4475403133*((RANDBETWEEN(1587,2416)))</f>
        <v>63581328.306590572</v>
      </c>
      <c r="B2292">
        <v>207561933.2447471</v>
      </c>
    </row>
    <row r="2293" spans="1:2" x14ac:dyDescent="0.25">
      <c r="A2293">
        <f ca="1">26691.873269183*((RANDBETWEEN(1587,2416)))</f>
        <v>52956676.566059023</v>
      </c>
      <c r="B2293">
        <v>219020063.81100878</v>
      </c>
    </row>
    <row r="2294" spans="1:2" x14ac:dyDescent="0.25">
      <c r="A2294">
        <f ca="1">31854.2785374382*((RANDBETWEEN(1587,2416)))</f>
        <v>53578896.499971032</v>
      </c>
      <c r="B2294">
        <v>222600200.54311675</v>
      </c>
    </row>
    <row r="2295" spans="1:2" x14ac:dyDescent="0.25">
      <c r="A2295">
        <f ca="1">27812.634573572*((RANDBETWEEN(1587,2416)))</f>
        <v>63996872.153789274</v>
      </c>
      <c r="B2295">
        <v>243307398.48203173</v>
      </c>
    </row>
    <row r="2296" spans="1:2" x14ac:dyDescent="0.25">
      <c r="A2296">
        <f ca="1">29193.5478853686*((RANDBETWEEN(1587,2416)))</f>
        <v>53891289.396390401</v>
      </c>
      <c r="B2296">
        <v>247803123.53145847</v>
      </c>
    </row>
    <row r="2297" spans="1:2" x14ac:dyDescent="0.25">
      <c r="A2297">
        <f ca="1">26562.2784589712*((RANDBETWEEN(1587,2416)))</f>
        <v>62580728.049336217</v>
      </c>
      <c r="B2297">
        <v>265847636.67229185</v>
      </c>
    </row>
    <row r="2298" spans="1:2" x14ac:dyDescent="0.25">
      <c r="A2298">
        <f ca="1">34033.554819776*((RANDBETWEEN(1587,2416)))</f>
        <v>60409559.805102371</v>
      </c>
      <c r="B2298">
        <v>258915241.495372</v>
      </c>
    </row>
    <row r="2299" spans="1:2" x14ac:dyDescent="0.25">
      <c r="A2299">
        <f ca="1">31323.6718769112*((RANDBETWEEN(1587,2416)))</f>
        <v>70227672.348034829</v>
      </c>
      <c r="B2299">
        <v>207629309.52522659</v>
      </c>
    </row>
    <row r="2300" spans="1:2" x14ac:dyDescent="0.25">
      <c r="A2300">
        <f ca="1">29560.1767555895*((RANDBETWEEN(1587,2416)))</f>
        <v>69200373.784834951</v>
      </c>
      <c r="B2300">
        <v>230922337.90540701</v>
      </c>
    </row>
    <row r="2301" spans="1:2" x14ac:dyDescent="0.25">
      <c r="A2301">
        <f ca="1">33555.4650611095*((RANDBETWEEN(1587,2416)))</f>
        <v>53420300.377286345</v>
      </c>
      <c r="B2301">
        <v>258167137.02787492</v>
      </c>
    </row>
    <row r="2302" spans="1:2" x14ac:dyDescent="0.25">
      <c r="A2302">
        <f ca="1">27725.4479225925*((RANDBETWEEN(1587,2416)))</f>
        <v>50183060.739892341</v>
      </c>
      <c r="B2302">
        <v>215030258.09657258</v>
      </c>
    </row>
    <row r="2303" spans="1:2" x14ac:dyDescent="0.25">
      <c r="A2303">
        <f ca="1">32661.4617319724*((RANDBETWEEN(1587,2416)))</f>
        <v>52095031.462496005</v>
      </c>
      <c r="B2303">
        <v>248869084.99687713</v>
      </c>
    </row>
    <row r="2304" spans="1:2" x14ac:dyDescent="0.25">
      <c r="A2304">
        <f ca="1">28037.0181587589*((RANDBETWEEN(1587,2416)))</f>
        <v>46064820.834840864</v>
      </c>
      <c r="B2304">
        <v>258601056.03067353</v>
      </c>
    </row>
    <row r="2305" spans="1:2" x14ac:dyDescent="0.25">
      <c r="A2305">
        <f ca="1">30967.2233782418*((RANDBETWEEN(1587,2416)))</f>
        <v>71565253.227116778</v>
      </c>
      <c r="B2305">
        <v>235506279.3175405</v>
      </c>
    </row>
    <row r="2306" spans="1:2" x14ac:dyDescent="0.25">
      <c r="A2306">
        <f ca="1">27631.8178993789*((RANDBETWEEN(1587,2416)))</f>
        <v>59132090.304670818</v>
      </c>
      <c r="B2306">
        <v>221020291.67726701</v>
      </c>
    </row>
    <row r="2307" spans="1:2" x14ac:dyDescent="0.25">
      <c r="A2307">
        <f ca="1">28618.8966846511*((RANDBETWEEN(1587,2416)))</f>
        <v>53116672.246712461</v>
      </c>
      <c r="B2307">
        <v>226972752.06842795</v>
      </c>
    </row>
    <row r="2308" spans="1:2" x14ac:dyDescent="0.25">
      <c r="A2308">
        <f ca="1">31171.7836456258*((RANDBETWEEN(1587,2416)))</f>
        <v>69481905.746099994</v>
      </c>
      <c r="B2308">
        <v>243986195.99889481</v>
      </c>
    </row>
    <row r="2309" spans="1:2" x14ac:dyDescent="0.25">
      <c r="A2309">
        <f ca="1">28241.1947523739*((RANDBETWEEN(1587,2416)))</f>
        <v>54053646.756043635</v>
      </c>
      <c r="B2309">
        <v>245719771.43340224</v>
      </c>
    </row>
    <row r="2310" spans="1:2" x14ac:dyDescent="0.25">
      <c r="A2310">
        <f ca="1">27198.3819933657*((RANDBETWEEN(1587,2416)))</f>
        <v>59537258.183477484</v>
      </c>
      <c r="B2310">
        <v>212515694.34478796</v>
      </c>
    </row>
    <row r="2311" spans="1:2" x14ac:dyDescent="0.25">
      <c r="A2311">
        <f ca="1">30970.3786978351*((RANDBETWEEN(1587,2416)))</f>
        <v>56830644.910527416</v>
      </c>
      <c r="B2311">
        <v>254173204.7177341</v>
      </c>
    </row>
    <row r="2312" spans="1:2" x14ac:dyDescent="0.25">
      <c r="A2312">
        <f ca="1">26929.3579006103*((RANDBETWEEN(1587,2416)))</f>
        <v>53724069.011717491</v>
      </c>
      <c r="B2312">
        <v>267177550.45840177</v>
      </c>
    </row>
    <row r="2313" spans="1:2" x14ac:dyDescent="0.25">
      <c r="A2313">
        <f ca="1">30530.9930566832*((RANDBETWEEN(1587,2416)))</f>
        <v>52299591.106098376</v>
      </c>
      <c r="B2313">
        <v>248700744.08992013</v>
      </c>
    </row>
    <row r="2314" spans="1:2" x14ac:dyDescent="0.25">
      <c r="A2314">
        <f ca="1">28197.6604806758*((RANDBETWEEN(1587,2416)))</f>
        <v>62288632.001812868</v>
      </c>
      <c r="B2314">
        <v>239455553.87148511</v>
      </c>
    </row>
    <row r="2315" spans="1:2" x14ac:dyDescent="0.25">
      <c r="A2315">
        <f ca="1">30026.4445430355*((RANDBETWEEN(1587,2416)))</f>
        <v>70111748.007987916</v>
      </c>
      <c r="B2315">
        <v>263730849.62637505</v>
      </c>
    </row>
    <row r="2316" spans="1:2" x14ac:dyDescent="0.25">
      <c r="A2316">
        <f ca="1">31279.7765857508*((RANDBETWEEN(1587,2416)))</f>
        <v>74539707.603844047</v>
      </c>
      <c r="B2316">
        <v>266893536.2491219</v>
      </c>
    </row>
    <row r="2317" spans="1:2" x14ac:dyDescent="0.25">
      <c r="A2317">
        <f ca="1">30709.1904955638*((RANDBETWEEN(1587,2416)))</f>
        <v>68542913.186098456</v>
      </c>
      <c r="B2317">
        <v>250627028.26106504</v>
      </c>
    </row>
    <row r="2318" spans="1:2" x14ac:dyDescent="0.25">
      <c r="A2318">
        <f ca="1">27825.6738291414*((RANDBETWEEN(1587,2416)))</f>
        <v>53119211.339830935</v>
      </c>
      <c r="B2318">
        <v>239919132.72987527</v>
      </c>
    </row>
    <row r="2319" spans="1:2" x14ac:dyDescent="0.25">
      <c r="A2319">
        <f ca="1">26463.6994788723*((RANDBETWEEN(1587,2416)))</f>
        <v>55044494.916054375</v>
      </c>
      <c r="B2319">
        <v>205196490.91344497</v>
      </c>
    </row>
    <row r="2320" spans="1:2" x14ac:dyDescent="0.25">
      <c r="A2320">
        <f ca="1">27048.9475600001*((RANDBETWEEN(1587,2416)))</f>
        <v>54963461.441920124</v>
      </c>
      <c r="B2320">
        <v>262574123.90352386</v>
      </c>
    </row>
    <row r="2321" spans="1:2" x14ac:dyDescent="0.25">
      <c r="A2321">
        <f ca="1">29767.6783197778*((RANDBETWEEN(1587,2416)))</f>
        <v>64774468.023836426</v>
      </c>
      <c r="B2321">
        <v>214753497.95072609</v>
      </c>
    </row>
    <row r="2322" spans="1:2" x14ac:dyDescent="0.25">
      <c r="A2322">
        <f ca="1">27458.9596299607*((RANDBETWEEN(1587,2416)))</f>
        <v>55961359.725859813</v>
      </c>
      <c r="B2322">
        <v>215501242.37382185</v>
      </c>
    </row>
    <row r="2323" spans="1:2" x14ac:dyDescent="0.25">
      <c r="A2323">
        <f ca="1">28475.5339999196*((RANDBETWEEN(1587,2416)))</f>
        <v>45760183.137870774</v>
      </c>
      <c r="B2323">
        <v>259763297.82526112</v>
      </c>
    </row>
    <row r="2324" spans="1:2" x14ac:dyDescent="0.25">
      <c r="A2324">
        <f ca="1">28503.7711835297*((RANDBETWEEN(1587,2416)))</f>
        <v>62651289.06139826</v>
      </c>
      <c r="B2324">
        <v>260103218.1024819</v>
      </c>
    </row>
    <row r="2325" spans="1:2" x14ac:dyDescent="0.25">
      <c r="A2325">
        <f ca="1">29430.8697769486*((RANDBETWEEN(1587,2416)))</f>
        <v>66808074.393673368</v>
      </c>
      <c r="B2325">
        <v>212325705.75792179</v>
      </c>
    </row>
    <row r="2326" spans="1:2" x14ac:dyDescent="0.25">
      <c r="A2326">
        <f ca="1">28480.3777033765*((RANDBETWEEN(1587,2416)))</f>
        <v>45255320.170665197</v>
      </c>
      <c r="B2326">
        <v>252432641.07900059</v>
      </c>
    </row>
    <row r="2327" spans="1:2" x14ac:dyDescent="0.25">
      <c r="A2327">
        <f ca="1">32112.8425247509*((RANDBETWEEN(1587,2416)))</f>
        <v>68657257.317917347</v>
      </c>
      <c r="B2327">
        <v>226437998.22365844</v>
      </c>
    </row>
    <row r="2328" spans="1:2" x14ac:dyDescent="0.25">
      <c r="A2328">
        <f ca="1">29777.8313527784*((RANDBETWEEN(1587,2416)))</f>
        <v>58126326.800623432</v>
      </c>
      <c r="B2328">
        <v>224255846.97996491</v>
      </c>
    </row>
    <row r="2329" spans="1:2" x14ac:dyDescent="0.25">
      <c r="A2329">
        <f ca="1">32412.7844408399*((RANDBETWEEN(1587,2416)))</f>
        <v>72734288.285244659</v>
      </c>
      <c r="B2329">
        <v>257007241.84250411</v>
      </c>
    </row>
    <row r="2330" spans="1:2" x14ac:dyDescent="0.25">
      <c r="A2330">
        <f ca="1">27124.1971404781*((RANDBETWEEN(1587,2416)))</f>
        <v>53841531.323849075</v>
      </c>
      <c r="B2330">
        <v>246903186.37692884</v>
      </c>
    </row>
    <row r="2331" spans="1:2" x14ac:dyDescent="0.25">
      <c r="A2331">
        <f ca="1">28035.0718070567*((RANDBETWEEN(1587,2416)))</f>
        <v>59518457.446381368</v>
      </c>
      <c r="B2331">
        <v>226139802.37049747</v>
      </c>
    </row>
    <row r="2332" spans="1:2" x14ac:dyDescent="0.25">
      <c r="A2332">
        <f ca="1">30463.6659934078*((RANDBETWEEN(1587,2416)))</f>
        <v>56327318.421810962</v>
      </c>
      <c r="B2332">
        <v>222568384.6429981</v>
      </c>
    </row>
    <row r="2333" spans="1:2" x14ac:dyDescent="0.25">
      <c r="A2333">
        <f ca="1">25811.5817343671*((RANDBETWEEN(1587,2416)))</f>
        <v>47261006.1556262</v>
      </c>
      <c r="B2333">
        <v>254318482.44448814</v>
      </c>
    </row>
    <row r="2334" spans="1:2" x14ac:dyDescent="0.25">
      <c r="A2334">
        <f ca="1">33248.2185625392*((RANDBETWEEN(1587,2416)))</f>
        <v>63404352.798762254</v>
      </c>
      <c r="B2334">
        <v>220490338.54483801</v>
      </c>
    </row>
    <row r="2335" spans="1:2" x14ac:dyDescent="0.25">
      <c r="A2335">
        <f ca="1">30130.7082068047*((RANDBETWEEN(1587,2416)))</f>
        <v>57429129.842169821</v>
      </c>
      <c r="B2335">
        <v>206184417.73762199</v>
      </c>
    </row>
    <row r="2336" spans="1:2" x14ac:dyDescent="0.25">
      <c r="A2336">
        <f ca="1">32086.1929858321*((RANDBETWEEN(1587,2416)))</f>
        <v>53519769.900367983</v>
      </c>
      <c r="B2336">
        <v>218196652.18393368</v>
      </c>
    </row>
    <row r="2337" spans="1:2" x14ac:dyDescent="0.25">
      <c r="A2337">
        <f ca="1">31018.3075655058*((RANDBETWEEN(1587,2416)))</f>
        <v>68519441.412202224</v>
      </c>
      <c r="B2337">
        <v>246544693.98327714</v>
      </c>
    </row>
    <row r="2338" spans="1:2" x14ac:dyDescent="0.25">
      <c r="A2338">
        <f ca="1">30589.4996587338*((RANDBETWEEN(1587,2416)))</f>
        <v>64819149.776856929</v>
      </c>
      <c r="B2338">
        <v>233482868.81908447</v>
      </c>
    </row>
    <row r="2339" spans="1:2" x14ac:dyDescent="0.25">
      <c r="A2339">
        <f ca="1">27648.6034432175*((RANDBETWEEN(1587,2416)))</f>
        <v>65969567.815516859</v>
      </c>
      <c r="B2339">
        <v>238414619.85712412</v>
      </c>
    </row>
    <row r="2340" spans="1:2" x14ac:dyDescent="0.25">
      <c r="A2340">
        <f ca="1">31723.2702635214*((RANDBETWEEN(1587,2416)))</f>
        <v>70393936.714754</v>
      </c>
      <c r="B2340">
        <v>239073502.39371592</v>
      </c>
    </row>
    <row r="2341" spans="1:2" x14ac:dyDescent="0.25">
      <c r="A2341">
        <f ca="1">28533.2242883746*((RANDBETWEEN(1587,2416)))</f>
        <v>47964350.028757729</v>
      </c>
      <c r="B2341">
        <v>257287665.42187274</v>
      </c>
    </row>
    <row r="2342" spans="1:2" x14ac:dyDescent="0.25">
      <c r="A2342">
        <f ca="1">25930.8935805814*((RANDBETWEEN(1587,2416)))</f>
        <v>52302612.352032654</v>
      </c>
      <c r="B2342">
        <v>225704275.08294371</v>
      </c>
    </row>
    <row r="2343" spans="1:2" x14ac:dyDescent="0.25">
      <c r="A2343">
        <f ca="1">26293.3277543233*((RANDBETWEEN(1587,2416)))</f>
        <v>51824149.003771365</v>
      </c>
      <c r="B2343">
        <v>212495813.74195465</v>
      </c>
    </row>
    <row r="2344" spans="1:2" x14ac:dyDescent="0.25">
      <c r="A2344">
        <f ca="1">29762.1185558379*((RANDBETWEEN(1587,2416)))</f>
        <v>68452872.678427234</v>
      </c>
      <c r="B2344">
        <v>231698526.21050268</v>
      </c>
    </row>
    <row r="2345" spans="1:2" x14ac:dyDescent="0.25">
      <c r="A2345">
        <f ca="1">25595.6364692097*((RANDBETWEEN(1587,2416)))</f>
        <v>47582288.196261019</v>
      </c>
      <c r="B2345">
        <v>263209146.33928967</v>
      </c>
    </row>
    <row r="2346" spans="1:2" x14ac:dyDescent="0.25">
      <c r="A2346">
        <f ca="1">31720.7471716939*((RANDBETWEEN(1587,2416)))</f>
        <v>66106037.105810009</v>
      </c>
      <c r="B2346">
        <v>245600087.44756359</v>
      </c>
    </row>
    <row r="2347" spans="1:2" x14ac:dyDescent="0.25">
      <c r="A2347">
        <f ca="1">27191.8595027689*((RANDBETWEEN(1587,2416)))</f>
        <v>57184480.534323096</v>
      </c>
      <c r="B2347">
        <v>224024586.10004985</v>
      </c>
    </row>
    <row r="2348" spans="1:2" x14ac:dyDescent="0.25">
      <c r="A2348">
        <f ca="1">32175.8690685689*((RANDBETWEEN(1587,2416)))</f>
        <v>66571873.102869108</v>
      </c>
      <c r="B2348">
        <v>207419250.93251333</v>
      </c>
    </row>
    <row r="2349" spans="1:2" x14ac:dyDescent="0.25">
      <c r="A2349">
        <f ca="1">28959.2264384688*((RANDBETWEEN(1587,2416)))</f>
        <v>64521156.50490845</v>
      </c>
      <c r="B2349">
        <v>250672290.91455549</v>
      </c>
    </row>
    <row r="2350" spans="1:2" x14ac:dyDescent="0.25">
      <c r="A2350">
        <f ca="1">31510.5587975715*((RANDBETWEEN(1587,2416)))</f>
        <v>62327885.301596396</v>
      </c>
      <c r="B2350">
        <v>257593216.52803582</v>
      </c>
    </row>
    <row r="2351" spans="1:2" x14ac:dyDescent="0.25">
      <c r="A2351">
        <f ca="1">31893.6470136828*((RANDBETWEEN(1587,2416)))</f>
        <v>57376670.977615342</v>
      </c>
      <c r="B2351">
        <v>231180826.33709118</v>
      </c>
    </row>
    <row r="2352" spans="1:2" x14ac:dyDescent="0.25">
      <c r="A2352">
        <f ca="1">31005.5378882994*((RANDBETWEEN(1587,2416)))</f>
        <v>54693768.834960125</v>
      </c>
      <c r="B2352">
        <v>227808082.735901</v>
      </c>
    </row>
    <row r="2353" spans="1:2" x14ac:dyDescent="0.25">
      <c r="A2353">
        <f ca="1">27713.1774070252*((RANDBETWEEN(1587,2416)))</f>
        <v>55149223.039980151</v>
      </c>
      <c r="B2353">
        <v>234662301.97066963</v>
      </c>
    </row>
    <row r="2354" spans="1:2" x14ac:dyDescent="0.25">
      <c r="A2354">
        <f ca="1">29007.7889775363*((RANDBETWEEN(1587,2416)))</f>
        <v>59030850.569286369</v>
      </c>
      <c r="B2354">
        <v>220542428.04324147</v>
      </c>
    </row>
    <row r="2355" spans="1:2" x14ac:dyDescent="0.25">
      <c r="A2355">
        <f ca="1">27419.1292044023*((RANDBETWEEN(1587,2416)))</f>
        <v>65312365.7648862</v>
      </c>
      <c r="B2355">
        <v>213214342.32915062</v>
      </c>
    </row>
    <row r="2356" spans="1:2" x14ac:dyDescent="0.25">
      <c r="A2356">
        <f ca="1">29899.1716620682*((RANDBETWEEN(1587,2416)))</f>
        <v>59708645.809150152</v>
      </c>
      <c r="B2356">
        <v>259401618.4080849</v>
      </c>
    </row>
    <row r="2357" spans="1:2" x14ac:dyDescent="0.25">
      <c r="A2357">
        <f ca="1">30347.5345433536*((RANDBETWEEN(1587,2416)))</f>
        <v>59511515.239516377</v>
      </c>
      <c r="B2357">
        <v>217676719.7340301</v>
      </c>
    </row>
    <row r="2358" spans="1:2" x14ac:dyDescent="0.25">
      <c r="A2358">
        <f ca="1">32098.6819668074*((RANDBETWEEN(1587,2416)))</f>
        <v>51357891.146891877</v>
      </c>
      <c r="B2358">
        <v>264449270.65900639</v>
      </c>
    </row>
    <row r="2359" spans="1:2" x14ac:dyDescent="0.25">
      <c r="A2359">
        <f ca="1">32347.4384046282*((RANDBETWEEN(1587,2416)))</f>
        <v>60780836.762296297</v>
      </c>
      <c r="B2359">
        <v>259465525.37484744</v>
      </c>
    </row>
    <row r="2360" spans="1:2" x14ac:dyDescent="0.25">
      <c r="A2360">
        <f ca="1">30541.6951492195*((RANDBETWEEN(1587,2416)))</f>
        <v>71803525.295815006</v>
      </c>
      <c r="B2360">
        <v>212145095.96583781</v>
      </c>
    </row>
    <row r="2361" spans="1:2" x14ac:dyDescent="0.25">
      <c r="A2361">
        <f ca="1">32941.2920084779*((RANDBETWEEN(1587,2416)))</f>
        <v>75336734.823388875</v>
      </c>
      <c r="B2361">
        <v>212272651.81134355</v>
      </c>
    </row>
    <row r="2362" spans="1:2" x14ac:dyDescent="0.25">
      <c r="A2362">
        <f ca="1">29732.1469048729*((RANDBETWEEN(1587,2416)))</f>
        <v>69811080.932641625</v>
      </c>
      <c r="B2362">
        <v>213256231.12923172</v>
      </c>
    </row>
    <row r="2363" spans="1:2" x14ac:dyDescent="0.25">
      <c r="A2363">
        <f ca="1">28397.0918142721*((RANDBETWEEN(1587,2416)))</f>
        <v>57532508.015715286</v>
      </c>
      <c r="B2363">
        <v>226430428.68690464</v>
      </c>
    </row>
    <row r="2364" spans="1:2" x14ac:dyDescent="0.25">
      <c r="A2364">
        <f ca="1">32201.4426592711*((RANDBETWEEN(1587,2416)))</f>
        <v>63823259.350675322</v>
      </c>
      <c r="B2364">
        <v>249248780.62800774</v>
      </c>
    </row>
    <row r="2365" spans="1:2" x14ac:dyDescent="0.25">
      <c r="A2365">
        <f ca="1">32191.7130696883*((RANDBETWEEN(1587,2416)))</f>
        <v>70403276.483408347</v>
      </c>
      <c r="B2365">
        <v>247753742.52827197</v>
      </c>
    </row>
    <row r="2366" spans="1:2" x14ac:dyDescent="0.25">
      <c r="A2366">
        <f ca="1">26779.5818557283*((RANDBETWEEN(1587,2416)))</f>
        <v>54067975.766715519</v>
      </c>
      <c r="B2366">
        <v>259658919.07912651</v>
      </c>
    </row>
    <row r="2367" spans="1:2" x14ac:dyDescent="0.25">
      <c r="A2367">
        <f ca="1">31598.2806957241*((RANDBETWEEN(1587,2416)))</f>
        <v>56782110.410216287</v>
      </c>
      <c r="B2367">
        <v>248461501.0223386</v>
      </c>
    </row>
    <row r="2368" spans="1:2" x14ac:dyDescent="0.25">
      <c r="A2368">
        <f ca="1">30134.69356998*((RANDBETWEEN(1587,2416)))</f>
        <v>72082187.019392192</v>
      </c>
      <c r="B2368">
        <v>264468127.36150485</v>
      </c>
    </row>
    <row r="2369" spans="1:2" x14ac:dyDescent="0.25">
      <c r="A2369">
        <f ca="1">28808.1161769926*((RANDBETWEEN(1587,2416)))</f>
        <v>46525107.625843041</v>
      </c>
      <c r="B2369">
        <v>237944642.80498579</v>
      </c>
    </row>
    <row r="2370" spans="1:2" x14ac:dyDescent="0.25">
      <c r="A2370">
        <f ca="1">30156.6303942872*((RANDBETWEEN(1587,2416)))</f>
        <v>68425394.364637718</v>
      </c>
      <c r="B2370">
        <v>236722654.51042938</v>
      </c>
    </row>
    <row r="2371" spans="1:2" x14ac:dyDescent="0.25">
      <c r="A2371">
        <f ca="1">32224.57947007*((RANDBETWEEN(1587,2416)))</f>
        <v>77596787.363928676</v>
      </c>
      <c r="B2371">
        <v>237734155.32684886</v>
      </c>
    </row>
    <row r="2372" spans="1:2" x14ac:dyDescent="0.25">
      <c r="A2372">
        <f ca="1">26916.8180989503*((RANDBETWEEN(1587,2416)))</f>
        <v>57494323.459357902</v>
      </c>
      <c r="B2372">
        <v>222032458.05831686</v>
      </c>
    </row>
    <row r="2373" spans="1:2" x14ac:dyDescent="0.25">
      <c r="A2373">
        <f ca="1">31016.7545798151*((RANDBETWEEN(1587,2416)))</f>
        <v>53658985.423080079</v>
      </c>
      <c r="B2373">
        <v>251742523.85714257</v>
      </c>
    </row>
    <row r="2374" spans="1:2" x14ac:dyDescent="0.25">
      <c r="A2374">
        <f ca="1">29633.7167448556*((RANDBETWEEN(1587,2416)))</f>
        <v>67920478.779209137</v>
      </c>
      <c r="B2374">
        <v>257441549.24688447</v>
      </c>
    </row>
    <row r="2375" spans="1:2" x14ac:dyDescent="0.25">
      <c r="A2375">
        <f ca="1">28432.6544833465*((RANDBETWEEN(1587,2416)))</f>
        <v>50240500.472073227</v>
      </c>
      <c r="B2375">
        <v>222769636.61826491</v>
      </c>
    </row>
    <row r="2376" spans="1:2" x14ac:dyDescent="0.25">
      <c r="A2376">
        <f ca="1">33043.5806728802*((RANDBETWEEN(1587,2416)))</f>
        <v>59214096.565801367</v>
      </c>
      <c r="B2376">
        <v>222731668.64314795</v>
      </c>
    </row>
    <row r="2377" spans="1:2" x14ac:dyDescent="0.25">
      <c r="A2377">
        <f ca="1">32124.0153184207*((RANDBETWEEN(1587,2416)))</f>
        <v>57437739.389336161</v>
      </c>
      <c r="B2377">
        <v>240099297.94803736</v>
      </c>
    </row>
    <row r="2378" spans="1:2" x14ac:dyDescent="0.25">
      <c r="A2378">
        <f ca="1">27981.7090209783*((RANDBETWEEN(1587,2416)))</f>
        <v>53361119.10300564</v>
      </c>
      <c r="B2378">
        <v>237512904.25684911</v>
      </c>
    </row>
    <row r="2379" spans="1:2" x14ac:dyDescent="0.25">
      <c r="A2379">
        <f ca="1">29220.4134943169*((RANDBETWEEN(1587,2416)))</f>
        <v>60369374.279258668</v>
      </c>
      <c r="B2379">
        <v>227612971.91896439</v>
      </c>
    </row>
    <row r="2380" spans="1:2" x14ac:dyDescent="0.25">
      <c r="A2380">
        <f ca="1">31971.3487082676*((RANDBETWEEN(1587,2416)))</f>
        <v>70241053.11206384</v>
      </c>
      <c r="B2380">
        <v>258566667.00011826</v>
      </c>
    </row>
    <row r="2381" spans="1:2" x14ac:dyDescent="0.25">
      <c r="A2381">
        <f ca="1">31764.3843576897*((RANDBETWEEN(1587,2416)))</f>
        <v>69722823.665128917</v>
      </c>
      <c r="B2381">
        <v>247970797.79173568</v>
      </c>
    </row>
    <row r="2382" spans="1:2" x14ac:dyDescent="0.25">
      <c r="A2382">
        <f ca="1">30459.4576318491*((RANDBETWEEN(1587,2416)))</f>
        <v>61528104.41633527</v>
      </c>
      <c r="B2382">
        <v>262354811.35737395</v>
      </c>
    </row>
    <row r="2383" spans="1:2" x14ac:dyDescent="0.25">
      <c r="A2383">
        <f ca="1">33011.8284644664*((RANDBETWEEN(1587,2416)))</f>
        <v>56384203.017308541</v>
      </c>
      <c r="B2383">
        <v>258817486.49327582</v>
      </c>
    </row>
    <row r="2384" spans="1:2" x14ac:dyDescent="0.25">
      <c r="A2384">
        <f ca="1">27866.0959558162*((RANDBETWEEN(1587,2416)))</f>
        <v>60720223.087723538</v>
      </c>
      <c r="B2384">
        <v>209678106.65513581</v>
      </c>
    </row>
    <row r="2385" spans="1:2" x14ac:dyDescent="0.25">
      <c r="A2385">
        <f ca="1">33984.4748764075*((RANDBETWEEN(1587,2416)))</f>
        <v>76872882.170433789</v>
      </c>
      <c r="B2385">
        <v>204776465.91400954</v>
      </c>
    </row>
    <row r="2386" spans="1:2" x14ac:dyDescent="0.25">
      <c r="A2386">
        <f ca="1">27483.8111959323*((RANDBETWEEN(1587,2416)))</f>
        <v>56176910.084485583</v>
      </c>
      <c r="B2386">
        <v>207408205.11550868</v>
      </c>
    </row>
    <row r="2387" spans="1:2" x14ac:dyDescent="0.25">
      <c r="A2387">
        <f ca="1">32170.323446485*((RANDBETWEEN(1587,2416)))</f>
        <v>62249575.868948452</v>
      </c>
      <c r="B2387">
        <v>214605832.69842324</v>
      </c>
    </row>
    <row r="2388" spans="1:2" x14ac:dyDescent="0.25">
      <c r="A2388">
        <f ca="1">29454.8238830945*((RANDBETWEEN(1587,2416)))</f>
        <v>50956845.317753449</v>
      </c>
      <c r="B2388">
        <v>262197667.88881645</v>
      </c>
    </row>
    <row r="2389" spans="1:2" x14ac:dyDescent="0.25">
      <c r="A2389">
        <f ca="1">31023.7645864336*((RANDBETWEEN(1587,2416)))</f>
        <v>65429119.512788437</v>
      </c>
      <c r="B2389">
        <v>254223762.28538567</v>
      </c>
    </row>
    <row r="2390" spans="1:2" x14ac:dyDescent="0.25">
      <c r="A2390">
        <f ca="1">29482.1398283451*((RANDBETWEEN(1587,2416)))</f>
        <v>49824816.309903212</v>
      </c>
      <c r="B2390">
        <v>232076984.9506641</v>
      </c>
    </row>
    <row r="2391" spans="1:2" x14ac:dyDescent="0.25">
      <c r="A2391">
        <f ca="1">32880.5586491745*((RANDBETWEEN(1587,2416)))</f>
        <v>76841865.563120753</v>
      </c>
      <c r="B2391">
        <v>234473587.11975521</v>
      </c>
    </row>
    <row r="2392" spans="1:2" x14ac:dyDescent="0.25">
      <c r="A2392">
        <f ca="1">31031.7583760434*((RANDBETWEEN(1587,2416)))</f>
        <v>62746215.43635983</v>
      </c>
      <c r="B2392">
        <v>224060031.63852113</v>
      </c>
    </row>
    <row r="2393" spans="1:2" x14ac:dyDescent="0.25">
      <c r="A2393">
        <f ca="1">28746.5070136402*((RANDBETWEEN(1587,2416)))</f>
        <v>60195185.686562538</v>
      </c>
      <c r="B2393">
        <v>207035530.81890398</v>
      </c>
    </row>
    <row r="2394" spans="1:2" x14ac:dyDescent="0.25">
      <c r="A2394">
        <f ca="1">26318.3605614308*((RANDBETWEEN(1587,2416)))</f>
        <v>60558547.65185219</v>
      </c>
      <c r="B2394">
        <v>210213334.42027751</v>
      </c>
    </row>
    <row r="2395" spans="1:2" x14ac:dyDescent="0.25">
      <c r="A2395">
        <f ca="1">28769.8628904944*((RANDBETWEEN(1587,2416)))</f>
        <v>56878018.934507512</v>
      </c>
      <c r="B2395">
        <v>259743335.91019279</v>
      </c>
    </row>
    <row r="2396" spans="1:2" x14ac:dyDescent="0.25">
      <c r="A2396">
        <f ca="1">28337.6441245774*((RANDBETWEEN(1587,2416)))</f>
        <v>47578904.485165529</v>
      </c>
      <c r="B2396">
        <v>218827923.37469205</v>
      </c>
    </row>
    <row r="2397" spans="1:2" x14ac:dyDescent="0.25">
      <c r="A2397">
        <f ca="1">26954.3338282381*((RANDBETWEEN(1587,2416)))</f>
        <v>48895161.564423852</v>
      </c>
      <c r="B2397">
        <v>235612383.45736706</v>
      </c>
    </row>
    <row r="2398" spans="1:2" x14ac:dyDescent="0.25">
      <c r="A2398">
        <f ca="1">29336.9277111487*((RANDBETWEEN(1587,2416)))</f>
        <v>60228712.590988204</v>
      </c>
      <c r="B2398">
        <v>239153355.79300496</v>
      </c>
    </row>
    <row r="2399" spans="1:2" x14ac:dyDescent="0.25">
      <c r="A2399">
        <f ca="1">32687.4187545927*((RANDBETWEEN(1587,2416)))</f>
        <v>67728331.659516051</v>
      </c>
      <c r="B2399">
        <v>231221094.49404353</v>
      </c>
    </row>
    <row r="2400" spans="1:2" x14ac:dyDescent="0.25">
      <c r="A2400">
        <f ca="1">28386.0309635837*((RANDBETWEEN(1587,2416)))</f>
        <v>47149197.430512458</v>
      </c>
      <c r="B2400">
        <v>262036599.55835974</v>
      </c>
    </row>
    <row r="2401" spans="1:2" x14ac:dyDescent="0.25">
      <c r="A2401">
        <f ca="1">32919.9000910652*((RANDBETWEEN(1587,2416)))</f>
        <v>61395613.669836648</v>
      </c>
      <c r="B2401">
        <v>210249660.60559788</v>
      </c>
    </row>
    <row r="2402" spans="1:2" x14ac:dyDescent="0.25">
      <c r="A2402">
        <f ca="1">27795.4946108803*((RANDBETWEEN(1587,2416)))</f>
        <v>65375003.324790455</v>
      </c>
      <c r="B2402">
        <v>211741654.67155305</v>
      </c>
    </row>
    <row r="2403" spans="1:2" x14ac:dyDescent="0.25">
      <c r="A2403">
        <f ca="1">27935.2590813889*((RANDBETWEEN(1587,2416)))</f>
        <v>48886703.392430618</v>
      </c>
      <c r="B2403">
        <v>247169431.94984087</v>
      </c>
    </row>
    <row r="2404" spans="1:2" x14ac:dyDescent="0.25">
      <c r="A2404">
        <f ca="1">29199.0061279893*((RANDBETWEEN(1587,2416)))</f>
        <v>59098788.403050512</v>
      </c>
      <c r="B2404">
        <v>211265190.12220016</v>
      </c>
    </row>
    <row r="2405" spans="1:2" x14ac:dyDescent="0.25">
      <c r="A2405">
        <f ca="1">29916.0922004857*((RANDBETWEEN(1587,2416)))</f>
        <v>52263413.074248493</v>
      </c>
      <c r="B2405">
        <v>228024509.75932473</v>
      </c>
    </row>
    <row r="2406" spans="1:2" x14ac:dyDescent="0.25">
      <c r="A2406">
        <f ca="1">31057.2010867156*((RANDBETWEEN(1587,2416)))</f>
        <v>68729586.004901677</v>
      </c>
      <c r="B2406">
        <v>250600709.08701599</v>
      </c>
    </row>
    <row r="2407" spans="1:2" x14ac:dyDescent="0.25">
      <c r="A2407">
        <f ca="1">30324.1485443729*((RANDBETWEEN(1587,2416)))</f>
        <v>65651781.598567329</v>
      </c>
      <c r="B2407">
        <v>263131845.87604076</v>
      </c>
    </row>
    <row r="2408" spans="1:2" x14ac:dyDescent="0.25">
      <c r="A2408">
        <f ca="1">28176.8170041206*((RANDBETWEEN(1587,2416)))</f>
        <v>55029323.609047465</v>
      </c>
      <c r="B2408">
        <v>204612199.60654029</v>
      </c>
    </row>
    <row r="2409" spans="1:2" x14ac:dyDescent="0.25">
      <c r="A2409">
        <f ca="1">30015.2831028405*((RANDBETWEEN(1587,2416)))</f>
        <v>61201162.246691793</v>
      </c>
      <c r="B2409">
        <v>204446120.57295722</v>
      </c>
    </row>
    <row r="2410" spans="1:2" x14ac:dyDescent="0.25">
      <c r="A2410">
        <f ca="1">27580.9451367384*((RANDBETWEEN(1587,2416)))</f>
        <v>45315492.859661169</v>
      </c>
      <c r="B2410">
        <v>230155889.46426329</v>
      </c>
    </row>
    <row r="2411" spans="1:2" x14ac:dyDescent="0.25">
      <c r="A2411">
        <f ca="1">27015.6480702028*((RANDBETWEEN(1587,2416)))</f>
        <v>50546277.539349362</v>
      </c>
      <c r="B2411">
        <v>237477350.76226828</v>
      </c>
    </row>
    <row r="2412" spans="1:2" x14ac:dyDescent="0.25">
      <c r="A2412">
        <f ca="1">33145.5031744203*((RANDBETWEEN(1587,2416)))</f>
        <v>55187262.785409801</v>
      </c>
      <c r="B2412">
        <v>210713677.39220881</v>
      </c>
    </row>
    <row r="2413" spans="1:2" x14ac:dyDescent="0.25">
      <c r="A2413">
        <f ca="1">27723.429200934*((RANDBETWEEN(1587,2416)))</f>
        <v>60298458.51203154</v>
      </c>
      <c r="B2413">
        <v>228376049.05413345</v>
      </c>
    </row>
    <row r="2414" spans="1:2" x14ac:dyDescent="0.25">
      <c r="A2414">
        <f ca="1">29575.3404265217*((RANDBETWEEN(1587,2416)))</f>
        <v>50041476.001674756</v>
      </c>
      <c r="B2414">
        <v>218919612.30810899</v>
      </c>
    </row>
    <row r="2415" spans="1:2" x14ac:dyDescent="0.25">
      <c r="A2415">
        <f ca="1">29488.1993346889*((RANDBETWEEN(1587,2416)))</f>
        <v>67793370.270449847</v>
      </c>
      <c r="B2415">
        <v>226361684.16773692</v>
      </c>
    </row>
    <row r="2416" spans="1:2" x14ac:dyDescent="0.25">
      <c r="A2416">
        <f ca="1">27041.2255998781*((RANDBETWEEN(1587,2416)))</f>
        <v>43671579.343803182</v>
      </c>
      <c r="B2416">
        <v>229329264.82117486</v>
      </c>
    </row>
    <row r="2417" spans="1:2" x14ac:dyDescent="0.25">
      <c r="A2417">
        <f ca="1">27074.4566894751*((RANDBETWEEN(1587,2416)))</f>
        <v>47136629.096376084</v>
      </c>
      <c r="B2417">
        <v>244964028.77193606</v>
      </c>
    </row>
    <row r="2418" spans="1:2" x14ac:dyDescent="0.25">
      <c r="A2418">
        <f ca="1">30160.8960404648*((RANDBETWEEN(1587,2416)))</f>
        <v>54108647.496593885</v>
      </c>
      <c r="B2418">
        <v>235316681.02775857</v>
      </c>
    </row>
    <row r="2419" spans="1:2" x14ac:dyDescent="0.25">
      <c r="A2419">
        <f ca="1">33684.7916850838*((RANDBETWEEN(1587,2416)))</f>
        <v>60464201.074725471</v>
      </c>
      <c r="B2419">
        <v>267657967.23554122</v>
      </c>
    </row>
    <row r="2420" spans="1:2" x14ac:dyDescent="0.25">
      <c r="A2420">
        <f ca="1">30898.145032231*((RANDBETWEEN(1587,2416)))</f>
        <v>50920143.013116725</v>
      </c>
      <c r="B2420">
        <v>257444184.40415606</v>
      </c>
    </row>
    <row r="2421" spans="1:2" x14ac:dyDescent="0.25">
      <c r="A2421">
        <f ca="1">29047.1663487092*((RANDBETWEEN(1587,2416)))</f>
        <v>66924671.26742591</v>
      </c>
      <c r="B2421">
        <v>233246994.67887911</v>
      </c>
    </row>
    <row r="2422" spans="1:2" x14ac:dyDescent="0.25">
      <c r="A2422">
        <f ca="1">33321.6827516585*((RANDBETWEEN(1587,2416)))</f>
        <v>53847839.326680213</v>
      </c>
      <c r="B2422">
        <v>264423928.46606982</v>
      </c>
    </row>
    <row r="2423" spans="1:2" x14ac:dyDescent="0.25">
      <c r="A2423">
        <f ca="1">30176.8862964901*((RANDBETWEEN(1587,2416)))</f>
        <v>59599350.435567878</v>
      </c>
      <c r="B2423">
        <v>265929482.08636665</v>
      </c>
    </row>
    <row r="2424" spans="1:2" x14ac:dyDescent="0.25">
      <c r="A2424">
        <f ca="1">28275.0998372284*((RANDBETWEEN(1587,2416)))</f>
        <v>56012972.777549513</v>
      </c>
      <c r="B2424">
        <v>232885841.85393441</v>
      </c>
    </row>
    <row r="2425" spans="1:2" x14ac:dyDescent="0.25">
      <c r="A2425">
        <f ca="1">31856.4052458994*((RANDBETWEEN(1587,2416)))</f>
        <v>74543988.275404558</v>
      </c>
      <c r="B2425">
        <v>260210884.89117569</v>
      </c>
    </row>
    <row r="2426" spans="1:2" x14ac:dyDescent="0.25">
      <c r="A2426">
        <f ca="1">32139.8289766144*((RANDBETWEEN(1587,2416)))</f>
        <v>59426543.777759999</v>
      </c>
      <c r="B2426">
        <v>240975991.22654715</v>
      </c>
    </row>
    <row r="2427" spans="1:2" x14ac:dyDescent="0.25">
      <c r="A2427">
        <f ca="1">27729.6092274892*((RANDBETWEEN(1587,2416)))</f>
        <v>50467888.794030383</v>
      </c>
      <c r="B2427">
        <v>254541377.08513159</v>
      </c>
    </row>
    <row r="2428" spans="1:2" x14ac:dyDescent="0.25">
      <c r="A2428">
        <f ca="1">27674.6118196748*((RANDBETWEEN(1587,2416)))</f>
        <v>56151787.382120207</v>
      </c>
      <c r="B2428">
        <v>204247584.59934056</v>
      </c>
    </row>
    <row r="2429" spans="1:2" x14ac:dyDescent="0.25">
      <c r="A2429">
        <f ca="1">27836.8364326562*((RANDBETWEEN(1587,2416)))</f>
        <v>64024723.795109227</v>
      </c>
      <c r="B2429">
        <v>235405862.20175332</v>
      </c>
    </row>
    <row r="2430" spans="1:2" x14ac:dyDescent="0.25">
      <c r="A2430">
        <f ca="1">29039.0259878202*((RANDBETWEEN(1587,2416)))</f>
        <v>64263364.511046179</v>
      </c>
      <c r="B2430">
        <v>205463197.71177366</v>
      </c>
    </row>
    <row r="2431" spans="1:2" x14ac:dyDescent="0.25">
      <c r="A2431">
        <f ca="1">29842.3366258399*((RANDBETWEEN(1587,2416)))</f>
        <v>65056293.844331086</v>
      </c>
      <c r="B2431">
        <v>226976756.60381234</v>
      </c>
    </row>
    <row r="2432" spans="1:2" x14ac:dyDescent="0.25">
      <c r="A2432">
        <f ca="1">28291.9301047388*((RANDBETWEEN(1587,2416)))</f>
        <v>54631717.03225071</v>
      </c>
      <c r="B2432">
        <v>205642016.60434046</v>
      </c>
    </row>
    <row r="2433" spans="1:2" x14ac:dyDescent="0.25">
      <c r="A2433">
        <f ca="1">30531.7065295556*((RANDBETWEEN(1587,2416)))</f>
        <v>68116237.267438501</v>
      </c>
      <c r="B2433">
        <v>231587618.65048373</v>
      </c>
    </row>
    <row r="2434" spans="1:2" x14ac:dyDescent="0.25">
      <c r="A2434">
        <f ca="1">30524.8860350451*((RANDBETWEEN(1587,2416)))</f>
        <v>48442994.137616582</v>
      </c>
      <c r="B2434">
        <v>222361142.87233502</v>
      </c>
    </row>
    <row r="2435" spans="1:2" x14ac:dyDescent="0.25">
      <c r="A2435">
        <f ca="1">32067.8298685289*((RANDBETWEEN(1587,2416)))</f>
        <v>71671599.756162137</v>
      </c>
      <c r="B2435">
        <v>250492156.2702682</v>
      </c>
    </row>
    <row r="2436" spans="1:2" x14ac:dyDescent="0.25">
      <c r="A2436">
        <f ca="1">32443.5649648026*((RANDBETWEEN(1587,2416)))</f>
        <v>66963518.087352507</v>
      </c>
      <c r="B2436">
        <v>258364138.75257272</v>
      </c>
    </row>
    <row r="2437" spans="1:2" x14ac:dyDescent="0.25">
      <c r="A2437">
        <f ca="1">32720.4538510549*((RANDBETWEEN(1587,2416)))</f>
        <v>67142371.302364588</v>
      </c>
      <c r="B2437">
        <v>243439478.39523351</v>
      </c>
    </row>
    <row r="2438" spans="1:2" x14ac:dyDescent="0.25">
      <c r="A2438">
        <f ca="1">31643.0883695505*((RANDBETWEEN(1587,2416)))</f>
        <v>65279691.306382589</v>
      </c>
      <c r="B2438">
        <v>211454351.42529273</v>
      </c>
    </row>
    <row r="2439" spans="1:2" x14ac:dyDescent="0.25">
      <c r="A2439">
        <f ca="1">31258.767232289*((RANDBETWEEN(1587,2416)))</f>
        <v>60579490.896176018</v>
      </c>
      <c r="B2439">
        <v>223236722.82879156</v>
      </c>
    </row>
    <row r="2440" spans="1:2" x14ac:dyDescent="0.25">
      <c r="A2440">
        <f ca="1">29780.9608346583*((RANDBETWEEN(1587,2416)))</f>
        <v>60514912.416025661</v>
      </c>
      <c r="B2440">
        <v>264114578.12408856</v>
      </c>
    </row>
    <row r="2441" spans="1:2" x14ac:dyDescent="0.25">
      <c r="A2441">
        <f ca="1">32431.5859310763*((RANDBETWEEN(1587,2416)))</f>
        <v>77349332.445616886</v>
      </c>
      <c r="B2441">
        <v>242970627.73043826</v>
      </c>
    </row>
    <row r="2442" spans="1:2" x14ac:dyDescent="0.25">
      <c r="A2442">
        <f ca="1">28381.4255636498*((RANDBETWEEN(1587,2416)))</f>
        <v>46006290.838676408</v>
      </c>
      <c r="B2442">
        <v>231617048.8591193</v>
      </c>
    </row>
    <row r="2443" spans="1:2" x14ac:dyDescent="0.25">
      <c r="A2443">
        <f ca="1">26404.1669612843*((RANDBETWEEN(1587,2416)))</f>
        <v>42220262.97109367</v>
      </c>
      <c r="B2443">
        <v>212430299.7002745</v>
      </c>
    </row>
    <row r="2444" spans="1:2" x14ac:dyDescent="0.25">
      <c r="A2444">
        <f ca="1">33147.8015330758*((RANDBETWEEN(1587,2416)))</f>
        <v>64538769.584898621</v>
      </c>
      <c r="B2444">
        <v>266947810.11399162</v>
      </c>
    </row>
    <row r="2445" spans="1:2" x14ac:dyDescent="0.25">
      <c r="A2445">
        <f ca="1">29056.5257097874*((RANDBETWEEN(1587,2416)))</f>
        <v>55556077.15711353</v>
      </c>
      <c r="B2445">
        <v>241268748.03271973</v>
      </c>
    </row>
    <row r="2446" spans="1:2" x14ac:dyDescent="0.25">
      <c r="A2446">
        <f ca="1">33929.7798253327*((RANDBETWEEN(1587,2416)))</f>
        <v>81058244.002719879</v>
      </c>
      <c r="B2446">
        <v>229071360.37914833</v>
      </c>
    </row>
    <row r="2447" spans="1:2" x14ac:dyDescent="0.25">
      <c r="A2447">
        <f ca="1">27728.5318928715*((RANDBETWEEN(1587,2416)))</f>
        <v>46306648.261095434</v>
      </c>
      <c r="B2447">
        <v>241563625.96834242</v>
      </c>
    </row>
    <row r="2448" spans="1:2" x14ac:dyDescent="0.25">
      <c r="A2448">
        <f ca="1">28561.2966872034*((RANDBETWEEN(1587,2416)))</f>
        <v>53866605.552065529</v>
      </c>
      <c r="B2448">
        <v>223497555.71266782</v>
      </c>
    </row>
    <row r="2449" spans="1:2" x14ac:dyDescent="0.25">
      <c r="A2449">
        <f ca="1">33628.7741479461*((RANDBETWEEN(1587,2416)))</f>
        <v>68266411.520330697</v>
      </c>
      <c r="B2449">
        <v>249633845.90255496</v>
      </c>
    </row>
    <row r="2450" spans="1:2" x14ac:dyDescent="0.25">
      <c r="A2450">
        <f ca="1">31562.0175165786*((RANDBETWEEN(1587,2416)))</f>
        <v>62240298.542693034</v>
      </c>
      <c r="B2450">
        <v>227536311.18455848</v>
      </c>
    </row>
    <row r="2451" spans="1:2" x14ac:dyDescent="0.25">
      <c r="A2451">
        <f ca="1">29532.0578035222*((RANDBETWEEN(1587,2416)))</f>
        <v>63671116.624393873</v>
      </c>
      <c r="B2451">
        <v>207435892.507305</v>
      </c>
    </row>
    <row r="2452" spans="1:2" x14ac:dyDescent="0.25">
      <c r="A2452">
        <f ca="1">27675.9159544513*((RANDBETWEEN(1587,2416)))</f>
        <v>44309141.443076514</v>
      </c>
      <c r="B2452">
        <v>204288714.98959762</v>
      </c>
    </row>
    <row r="2453" spans="1:2" x14ac:dyDescent="0.25">
      <c r="A2453">
        <f ca="1">28741.5551961851*((RANDBETWEEN(1587,2416)))</f>
        <v>47164892.076939784</v>
      </c>
      <c r="B2453">
        <v>249444107.67394769</v>
      </c>
    </row>
    <row r="2454" spans="1:2" x14ac:dyDescent="0.25">
      <c r="A2454">
        <f ca="1">26404.670742673*((RANDBETWEEN(1587,2416)))</f>
        <v>63424019.123900481</v>
      </c>
      <c r="B2454">
        <v>233970363.69053331</v>
      </c>
    </row>
    <row r="2455" spans="1:2" x14ac:dyDescent="0.25">
      <c r="A2455">
        <f ca="1">29195.9867820153*((RANDBETWEEN(1587,2416)))</f>
        <v>65515794.338842385</v>
      </c>
      <c r="B2455">
        <v>234631108.17475438</v>
      </c>
    </row>
    <row r="2456" spans="1:2" x14ac:dyDescent="0.25">
      <c r="A2456">
        <f ca="1">29954.9296757564*((RANDBETWEEN(1587,2416)))</f>
        <v>58142518.500643231</v>
      </c>
      <c r="B2456">
        <v>239216266.94551504</v>
      </c>
    </row>
    <row r="2457" spans="1:2" x14ac:dyDescent="0.25">
      <c r="A2457">
        <f ca="1">28015.3685349464*((RANDBETWEEN(1587,2416)))</f>
        <v>48830787.356411524</v>
      </c>
      <c r="B2457">
        <v>245001345.2049253</v>
      </c>
    </row>
    <row r="2458" spans="1:2" x14ac:dyDescent="0.25">
      <c r="A2458">
        <f ca="1">29576.3262985435*((RANDBETWEEN(1587,2416)))</f>
        <v>57111886.082487479</v>
      </c>
      <c r="B2458">
        <v>223225170.55989832</v>
      </c>
    </row>
    <row r="2459" spans="1:2" x14ac:dyDescent="0.25">
      <c r="A2459">
        <f ca="1">29584.9822763648*((RANDBETWEEN(1587,2416)))</f>
        <v>63933146.699224249</v>
      </c>
      <c r="B2459">
        <v>207626525.12758499</v>
      </c>
    </row>
    <row r="2460" spans="1:2" x14ac:dyDescent="0.25">
      <c r="A2460">
        <f ca="1">29607.4991883929*((RANDBETWEEN(1587,2416)))</f>
        <v>59599895.866234921</v>
      </c>
      <c r="B2460">
        <v>215548045.82906014</v>
      </c>
    </row>
    <row r="2461" spans="1:2" x14ac:dyDescent="0.25">
      <c r="A2461">
        <f ca="1">30829.1636983332*((RANDBETWEEN(1587,2416)))</f>
        <v>69735568.28562969</v>
      </c>
      <c r="B2461">
        <v>208291728.30845904</v>
      </c>
    </row>
    <row r="2462" spans="1:2" x14ac:dyDescent="0.25">
      <c r="A2462">
        <f ca="1">28435.76289044*((RANDBETWEEN(1587,2416)))</f>
        <v>67222143.473000243</v>
      </c>
      <c r="B2462">
        <v>206911187.9009338</v>
      </c>
    </row>
    <row r="2463" spans="1:2" x14ac:dyDescent="0.25">
      <c r="A2463">
        <f ca="1">30884.0190814824*((RANDBETWEEN(1587,2416)))</f>
        <v>63651963.326935299</v>
      </c>
      <c r="B2463">
        <v>210636416.0836527</v>
      </c>
    </row>
    <row r="2464" spans="1:2" x14ac:dyDescent="0.25">
      <c r="A2464">
        <f ca="1">25597.6516951543*((RANDBETWEEN(1587,2416)))</f>
        <v>52296002.413200289</v>
      </c>
      <c r="B2464">
        <v>244126500.82434905</v>
      </c>
    </row>
    <row r="2465" spans="1:2" x14ac:dyDescent="0.25">
      <c r="A2465">
        <f ca="1">26637.6743604088*((RANDBETWEEN(1587,2416)))</f>
        <v>57564014.292843446</v>
      </c>
      <c r="B2465">
        <v>205397954.19060019</v>
      </c>
    </row>
    <row r="2466" spans="1:2" x14ac:dyDescent="0.25">
      <c r="A2466">
        <f ca="1">30796.3293190852*((RANDBETWEEN(1587,2416)))</f>
        <v>61377084.332936898</v>
      </c>
      <c r="B2466">
        <v>234491581.02332228</v>
      </c>
    </row>
    <row r="2467" spans="1:2" x14ac:dyDescent="0.25">
      <c r="A2467">
        <f ca="1">29316.633930426*((RANDBETWEEN(1587,2416)))</f>
        <v>57167436.164330654</v>
      </c>
      <c r="B2467">
        <v>207103088.34268409</v>
      </c>
    </row>
    <row r="2468" spans="1:2" x14ac:dyDescent="0.25">
      <c r="A2468">
        <f ca="1">35379.3172036876*((RANDBETWEEN(1587,2416)))</f>
        <v>80700222.541611522</v>
      </c>
      <c r="B2468">
        <v>204987220.2112211</v>
      </c>
    </row>
    <row r="2469" spans="1:2" x14ac:dyDescent="0.25">
      <c r="A2469">
        <f ca="1">25284.1679416127*((RANDBETWEEN(1587,2416)))</f>
        <v>40935067.897470966</v>
      </c>
      <c r="B2469">
        <v>209619809.69104427</v>
      </c>
    </row>
    <row r="2470" spans="1:2" x14ac:dyDescent="0.25">
      <c r="A2470">
        <f ca="1">28654.442358995*((RANDBETWEEN(1587,2416)))</f>
        <v>68971242.758100882</v>
      </c>
      <c r="B2470">
        <v>260145121.30464894</v>
      </c>
    </row>
    <row r="2471" spans="1:2" x14ac:dyDescent="0.25">
      <c r="A2471">
        <f ca="1">31731.0870181001*((RANDBETWEEN(1587,2416)))</f>
        <v>51150512.273177288</v>
      </c>
      <c r="B2471">
        <v>233531374.52978566</v>
      </c>
    </row>
    <row r="2472" spans="1:2" x14ac:dyDescent="0.25">
      <c r="A2472">
        <f ca="1">27633.1934052153*((RANDBETWEEN(1587,2416)))</f>
        <v>66568362.913163751</v>
      </c>
      <c r="B2472">
        <v>260281623.00446135</v>
      </c>
    </row>
    <row r="2473" spans="1:2" x14ac:dyDescent="0.25">
      <c r="A2473">
        <f ca="1">29280.7269303154*((RANDBETWEEN(1587,2416)))</f>
        <v>60640385.472683154</v>
      </c>
      <c r="B2473">
        <v>254386888.48062381</v>
      </c>
    </row>
    <row r="2474" spans="1:2" x14ac:dyDescent="0.25">
      <c r="A2474">
        <f ca="1">30265.0580735912*((RANDBETWEEN(1587,2416)))</f>
        <v>72605874.318545222</v>
      </c>
      <c r="B2474">
        <v>212897056.2234377</v>
      </c>
    </row>
    <row r="2475" spans="1:2" x14ac:dyDescent="0.25">
      <c r="A2475">
        <f ca="1">30665.7947198358*((RANDBETWEEN(1587,2416)))</f>
        <v>55995741.158420235</v>
      </c>
      <c r="B2475">
        <v>216947769.77423725</v>
      </c>
    </row>
    <row r="2476" spans="1:2" x14ac:dyDescent="0.25">
      <c r="A2476">
        <f ca="1">30959.8522995542*((RANDBETWEEN(1587,2416)))</f>
        <v>65727766.431953534</v>
      </c>
      <c r="B2476">
        <v>259998187.81035706</v>
      </c>
    </row>
    <row r="2477" spans="1:2" x14ac:dyDescent="0.25">
      <c r="A2477">
        <f ca="1">28947.0222982171*((RANDBETWEEN(1587,2416)))</f>
        <v>49209937.906969056</v>
      </c>
      <c r="B2477">
        <v>258153872.71448249</v>
      </c>
    </row>
    <row r="2478" spans="1:2" x14ac:dyDescent="0.25">
      <c r="A2478">
        <f ca="1">31920.7179862144*((RANDBETWEEN(1587,2416)))</f>
        <v>56691195.143516771</v>
      </c>
      <c r="B2478">
        <v>249208182.75301039</v>
      </c>
    </row>
    <row r="2479" spans="1:2" x14ac:dyDescent="0.25">
      <c r="A2479">
        <f ca="1">29444.1320727973*((RANDBETWEEN(1587,2416)))</f>
        <v>51968893.108487226</v>
      </c>
      <c r="B2479">
        <v>224548633.69159883</v>
      </c>
    </row>
    <row r="2480" spans="1:2" x14ac:dyDescent="0.25">
      <c r="A2480">
        <f ca="1">28636.4998092976*((RANDBETWEEN(1587,2416)))</f>
        <v>59936194.100859918</v>
      </c>
      <c r="B2480">
        <v>215071483.87111753</v>
      </c>
    </row>
    <row r="2481" spans="1:2" x14ac:dyDescent="0.25">
      <c r="A2481">
        <f ca="1">27153.0539797661*((RANDBETWEEN(1587,2416)))</f>
        <v>61963269.181826159</v>
      </c>
      <c r="B2481">
        <v>217804503.62716913</v>
      </c>
    </row>
    <row r="2482" spans="1:2" x14ac:dyDescent="0.25">
      <c r="A2482">
        <f ca="1">25571.4955193149*((RANDBETWEEN(1587,2416)))</f>
        <v>52498280.301153563</v>
      </c>
      <c r="B2482">
        <v>235340957.54101485</v>
      </c>
    </row>
    <row r="2483" spans="1:2" x14ac:dyDescent="0.25">
      <c r="A2483">
        <f ca="1">27403.316204201*((RANDBETWEEN(1587,2416)))</f>
        <v>63986743.336809322</v>
      </c>
      <c r="B2483">
        <v>233322386.99629498</v>
      </c>
    </row>
    <row r="2484" spans="1:2" x14ac:dyDescent="0.25">
      <c r="A2484">
        <f ca="1">33842.3855175957*((RANDBETWEEN(1587,2416)))</f>
        <v>77600589.991846934</v>
      </c>
      <c r="B2484">
        <v>229938134.24989447</v>
      </c>
    </row>
    <row r="2485" spans="1:2" x14ac:dyDescent="0.25">
      <c r="A2485">
        <f ca="1">29443.6010497813*((RANDBETWEEN(1587,2416)))</f>
        <v>49141370.152084947</v>
      </c>
      <c r="B2485">
        <v>249492459.69480139</v>
      </c>
    </row>
    <row r="2486" spans="1:2" x14ac:dyDescent="0.25">
      <c r="A2486">
        <f ca="1">30463.2619577751*((RANDBETWEEN(1587,2416)))</f>
        <v>66288058.020118631</v>
      </c>
      <c r="B2486">
        <v>221506538.94944394</v>
      </c>
    </row>
    <row r="2487" spans="1:2" x14ac:dyDescent="0.25">
      <c r="A2487">
        <f ca="1">27492.7754883884*((RANDBETWEEN(1587,2416)))</f>
        <v>65460298.437852681</v>
      </c>
      <c r="B2487">
        <v>249257546.02592486</v>
      </c>
    </row>
    <row r="2488" spans="1:2" x14ac:dyDescent="0.25">
      <c r="A2488">
        <f ca="1">26496.3254286548*((RANDBETWEEN(1587,2416)))</f>
        <v>54979875.264458723</v>
      </c>
      <c r="B2488">
        <v>211094896.90395492</v>
      </c>
    </row>
    <row r="2489" spans="1:2" x14ac:dyDescent="0.25">
      <c r="A2489">
        <f ca="1">31384.0696591288*((RANDBETWEEN(1587,2416)))</f>
        <v>56303020.968477085</v>
      </c>
      <c r="B2489">
        <v>227502807.28758869</v>
      </c>
    </row>
    <row r="2490" spans="1:2" x14ac:dyDescent="0.25">
      <c r="A2490">
        <f ca="1">28773.6412901386*((RANDBETWEEN(1587,2416)))</f>
        <v>53288783.669336766</v>
      </c>
      <c r="B2490">
        <v>260574027.83541006</v>
      </c>
    </row>
    <row r="2491" spans="1:2" x14ac:dyDescent="0.25">
      <c r="A2491">
        <f ca="1">32938.9453557428*((RANDBETWEEN(1587,2416)))</f>
        <v>59619491.093894385</v>
      </c>
      <c r="B2491">
        <v>226269710.75221723</v>
      </c>
    </row>
    <row r="2492" spans="1:2" x14ac:dyDescent="0.25">
      <c r="A2492">
        <f ca="1">29793.6295374671*((RANDBETWEEN(1587,2416)))</f>
        <v>54492548.424027294</v>
      </c>
      <c r="B2492">
        <v>225679944.73818788</v>
      </c>
    </row>
    <row r="2493" spans="1:2" x14ac:dyDescent="0.25">
      <c r="A2493">
        <f ca="1">31283.6000488293*((RANDBETWEEN(1587,2416)))</f>
        <v>59970661.293605842</v>
      </c>
      <c r="B2493">
        <v>207848182.25614062</v>
      </c>
    </row>
    <row r="2494" spans="1:2" x14ac:dyDescent="0.25">
      <c r="A2494">
        <f ca="1">31149.5924948426*((RANDBETWEEN(1587,2416)))</f>
        <v>61271248.437355436</v>
      </c>
      <c r="B2494">
        <v>217281384.85544509</v>
      </c>
    </row>
    <row r="2495" spans="1:2" x14ac:dyDescent="0.25">
      <c r="A2495">
        <f ca="1">27167.0818118114*((RANDBETWEEN(1587,2416)))</f>
        <v>49770093.879238479</v>
      </c>
      <c r="B2495">
        <v>231887647.89732185</v>
      </c>
    </row>
    <row r="2496" spans="1:2" x14ac:dyDescent="0.25">
      <c r="A2496">
        <f ca="1">29744.161916179*((RANDBETWEEN(1587,2416)))</f>
        <v>60529369.499424338</v>
      </c>
      <c r="B2496">
        <v>250550230.95939592</v>
      </c>
    </row>
    <row r="2497" spans="1:2" x14ac:dyDescent="0.25">
      <c r="A2497">
        <f ca="1">28332.8705790829*((RANDBETWEEN(1587,2416)))</f>
        <v>65590595.390577018</v>
      </c>
      <c r="B2497">
        <v>214726040.97416699</v>
      </c>
    </row>
    <row r="2498" spans="1:2" x14ac:dyDescent="0.25">
      <c r="A2498">
        <f ca="1">31699.1855867648*((RANDBETWEEN(1587,2416)))</f>
        <v>65522216.607842736</v>
      </c>
      <c r="B2498">
        <v>230347367.8833057</v>
      </c>
    </row>
    <row r="2499" spans="1:2" x14ac:dyDescent="0.25">
      <c r="A2499">
        <f ca="1">29968.7060160286*((RANDBETWEEN(1587,2416)))</f>
        <v>69916991.135394648</v>
      </c>
      <c r="B2499">
        <v>217286797.04587123</v>
      </c>
    </row>
    <row r="2500" spans="1:2" x14ac:dyDescent="0.25">
      <c r="A2500">
        <f ca="1">28298.5430137786*((RANDBETWEEN(1587,2416)))</f>
        <v>46890685.773831174</v>
      </c>
      <c r="B2500">
        <v>213378109.59485704</v>
      </c>
    </row>
    <row r="2501" spans="1:2" x14ac:dyDescent="0.25">
      <c r="A2501">
        <f ca="1">28869.1810750869*((RANDBETWEEN(1587,2416)))</f>
        <v>62559515.389713287</v>
      </c>
      <c r="B2501">
        <v>235372367.98173106</v>
      </c>
    </row>
    <row r="2502" spans="1:2" x14ac:dyDescent="0.25">
      <c r="A2502">
        <f ca="1">29888.515086187*((RANDBETWEEN(1587,2416)))</f>
        <v>61839337.713320903</v>
      </c>
      <c r="B2502">
        <v>224227287.66047096</v>
      </c>
    </row>
    <row r="2503" spans="1:2" x14ac:dyDescent="0.25">
      <c r="A2503">
        <f ca="1">27038.9974913023*((RANDBETWEEN(1587,2416)))</f>
        <v>50698120.296191797</v>
      </c>
      <c r="B2503">
        <v>230954295.70742998</v>
      </c>
    </row>
    <row r="2504" spans="1:2" x14ac:dyDescent="0.25">
      <c r="A2504">
        <f ca="1">27053.4662066579*((RANDBETWEEN(1587,2416)))</f>
        <v>55107910.662962116</v>
      </c>
      <c r="B2504">
        <v>214784329.64275408</v>
      </c>
    </row>
    <row r="2505" spans="1:2" x14ac:dyDescent="0.25">
      <c r="A2505">
        <f ca="1">28523.5179366409*((RANDBETWEEN(1587,2416)))</f>
        <v>60897710.794728361</v>
      </c>
      <c r="B2505">
        <v>252455932.1112504</v>
      </c>
    </row>
    <row r="2506" spans="1:2" x14ac:dyDescent="0.25">
      <c r="A2506">
        <f ca="1">26992.7360468767*((RANDBETWEEN(1587,2416)))</f>
        <v>46805404.305284262</v>
      </c>
      <c r="B2506">
        <v>242787974.33202139</v>
      </c>
    </row>
    <row r="2507" spans="1:2" x14ac:dyDescent="0.25">
      <c r="A2507">
        <f ca="1">31969.9301509735*((RANDBETWEEN(1587,2416)))</f>
        <v>74425997.391466305</v>
      </c>
      <c r="B2507">
        <v>238385541.84292471</v>
      </c>
    </row>
    <row r="2508" spans="1:2" x14ac:dyDescent="0.25">
      <c r="A2508">
        <f ca="1">29529.1038794173*((RANDBETWEEN(1587,2416)))</f>
        <v>68773282.935162887</v>
      </c>
      <c r="B2508">
        <v>208296371.56744808</v>
      </c>
    </row>
    <row r="2509" spans="1:2" x14ac:dyDescent="0.25">
      <c r="A2509">
        <f ca="1">29077.3551709125*((RANDBETWEEN(1587,2416)))</f>
        <v>57137002.910843156</v>
      </c>
      <c r="B2509">
        <v>246373042.60477093</v>
      </c>
    </row>
    <row r="2510" spans="1:2" x14ac:dyDescent="0.25">
      <c r="A2510">
        <f ca="1">33173.1173989056*((RANDBETWEEN(1587,2416)))</f>
        <v>71355375.525046051</v>
      </c>
      <c r="B2510">
        <v>221215269.50451273</v>
      </c>
    </row>
    <row r="2511" spans="1:2" x14ac:dyDescent="0.25">
      <c r="A2511">
        <f ca="1">31655.7732650921*((RANDBETWEEN(1587,2416)))</f>
        <v>65115925.606294446</v>
      </c>
      <c r="B2511">
        <v>263776427.46765047</v>
      </c>
    </row>
    <row r="2512" spans="1:2" x14ac:dyDescent="0.25">
      <c r="A2512">
        <f ca="1">29770.9070224986*((RANDBETWEEN(1587,2416)))</f>
        <v>70824987.806524247</v>
      </c>
      <c r="B2512">
        <v>260647648.86768743</v>
      </c>
    </row>
    <row r="2513" spans="1:2" x14ac:dyDescent="0.25">
      <c r="A2513">
        <f ca="1">32765.1458998146*((RANDBETWEEN(1587,2416)))</f>
        <v>71133131.748497441</v>
      </c>
      <c r="B2513">
        <v>235863822.6123549</v>
      </c>
    </row>
    <row r="2514" spans="1:2" x14ac:dyDescent="0.25">
      <c r="A2514">
        <f ca="1">32399.3886038141*((RANDBETWEEN(1587,2416)))</f>
        <v>70987060.430956706</v>
      </c>
      <c r="B2514">
        <v>230760643.46130651</v>
      </c>
    </row>
    <row r="2515" spans="1:2" x14ac:dyDescent="0.25">
      <c r="A2515">
        <f ca="1">30707.3329135212*((RANDBETWEEN(1587,2416)))</f>
        <v>70104841.04156889</v>
      </c>
      <c r="B2515">
        <v>214295446.12908006</v>
      </c>
    </row>
    <row r="2516" spans="1:2" x14ac:dyDescent="0.25">
      <c r="A2516">
        <f ca="1">28430.4613619062*((RANDBETWEEN(1587,2416)))</f>
        <v>52255187.983183615</v>
      </c>
      <c r="B2516">
        <v>240954508.62516773</v>
      </c>
    </row>
    <row r="2517" spans="1:2" x14ac:dyDescent="0.25">
      <c r="A2517">
        <f ca="1">31739.0512169134*((RANDBETWEEN(1587,2416)))</f>
        <v>57288987.446528681</v>
      </c>
      <c r="B2517">
        <v>219758020.06313127</v>
      </c>
    </row>
    <row r="2518" spans="1:2" x14ac:dyDescent="0.25">
      <c r="A2518">
        <f ca="1">28773.531006174*((RANDBETWEEN(1587,2416)))</f>
        <v>58985738.562656686</v>
      </c>
      <c r="B2518">
        <v>245593459.83049148</v>
      </c>
    </row>
    <row r="2519" spans="1:2" x14ac:dyDescent="0.25">
      <c r="A2519">
        <f ca="1">28304.2614914999*((RANDBETWEEN(1587,2416)))</f>
        <v>61052292.037165247</v>
      </c>
      <c r="B2519">
        <v>203949270.01455182</v>
      </c>
    </row>
    <row r="2520" spans="1:2" x14ac:dyDescent="0.25">
      <c r="A2520">
        <f ca="1">29268.7959600198*((RANDBETWEEN(1587,2416)))</f>
        <v>48030094.170392446</v>
      </c>
      <c r="B2520">
        <v>204153374.76131564</v>
      </c>
    </row>
    <row r="2521" spans="1:2" x14ac:dyDescent="0.25">
      <c r="A2521">
        <f ca="1">31983.915985067*((RANDBETWEEN(1587,2416)))</f>
        <v>70684454.326998174</v>
      </c>
      <c r="B2521">
        <v>209255108.21959972</v>
      </c>
    </row>
    <row r="2522" spans="1:2" x14ac:dyDescent="0.25">
      <c r="A2522">
        <f ca="1">31297.0151585238*((RANDBETWEEN(1587,2416)))</f>
        <v>54269024.284880273</v>
      </c>
      <c r="B2522">
        <v>251679470.71331111</v>
      </c>
    </row>
    <row r="2523" spans="1:2" x14ac:dyDescent="0.25">
      <c r="A2523">
        <f ca="1">28439.8380757839*((RANDBETWEEN(1587,2416)))</f>
        <v>53210937.039791763</v>
      </c>
      <c r="B2523">
        <v>252863871.52978507</v>
      </c>
    </row>
    <row r="2524" spans="1:2" x14ac:dyDescent="0.25">
      <c r="A2524">
        <f ca="1">28207.6185622729*((RANDBETWEEN(1587,2416)))</f>
        <v>46091248.730753973</v>
      </c>
      <c r="B2524">
        <v>247646092.44284225</v>
      </c>
    </row>
    <row r="2525" spans="1:2" x14ac:dyDescent="0.25">
      <c r="A2525">
        <f ca="1">32296.7535351412*((RANDBETWEEN(1587,2416)))</f>
        <v>67209544.106628865</v>
      </c>
      <c r="B2525">
        <v>221571162.36351877</v>
      </c>
    </row>
    <row r="2526" spans="1:2" x14ac:dyDescent="0.25">
      <c r="A2526">
        <f ca="1">31910.5142353887*((RANDBETWEEN(1587,2416)))</f>
        <v>65480375.211017519</v>
      </c>
      <c r="B2526">
        <v>251841659.81713596</v>
      </c>
    </row>
    <row r="2527" spans="1:2" x14ac:dyDescent="0.25">
      <c r="A2527">
        <f ca="1">30285.6514947225*((RANDBETWEEN(1587,2416)))</f>
        <v>70383854.073735103</v>
      </c>
      <c r="B2527">
        <v>267552750.5331237</v>
      </c>
    </row>
    <row r="2528" spans="1:2" x14ac:dyDescent="0.25">
      <c r="A2528">
        <f ca="1">29493.6726205897*((RANDBETWEEN(1587,2416)))</f>
        <v>68897219.241697565</v>
      </c>
      <c r="B2528">
        <v>256337868.93251649</v>
      </c>
    </row>
    <row r="2529" spans="1:2" x14ac:dyDescent="0.25">
      <c r="A2529">
        <f ca="1">31446.0651274874*((RANDBETWEEN(1587,2416)))</f>
        <v>63112252.710867196</v>
      </c>
      <c r="B2529">
        <v>235546671.22390187</v>
      </c>
    </row>
    <row r="2530" spans="1:2" x14ac:dyDescent="0.25">
      <c r="A2530">
        <f ca="1">27369.0513242008*((RANDBETWEEN(1587,2416)))</f>
        <v>54628626.443104811</v>
      </c>
      <c r="B2530">
        <v>206082115.88830024</v>
      </c>
    </row>
    <row r="2531" spans="1:2" x14ac:dyDescent="0.25">
      <c r="A2531">
        <f ca="1">28628.5220929642*((RANDBETWEEN(1587,2416)))</f>
        <v>55310304.683606908</v>
      </c>
      <c r="B2531">
        <v>221713004.8980782</v>
      </c>
    </row>
    <row r="2532" spans="1:2" x14ac:dyDescent="0.25">
      <c r="A2532">
        <f ca="1">34199.8124244142*((RANDBETWEEN(1587,2416)))</f>
        <v>58823677.369992487</v>
      </c>
      <c r="B2532">
        <v>238207130.13792187</v>
      </c>
    </row>
    <row r="2533" spans="1:2" x14ac:dyDescent="0.25">
      <c r="A2533">
        <f ca="1">29329.3793671936*((RANDBETWEEN(1587,2416)))</f>
        <v>54259351.829308085</v>
      </c>
      <c r="B2533">
        <v>204797035.70775643</v>
      </c>
    </row>
    <row r="2534" spans="1:2" x14ac:dyDescent="0.25">
      <c r="A2534">
        <f ca="1">27784.5642461276*((RANDBETWEEN(1587,2416)))</f>
        <v>50567906.927952312</v>
      </c>
      <c r="B2534">
        <v>213265948.67885372</v>
      </c>
    </row>
    <row r="2535" spans="1:2" x14ac:dyDescent="0.25">
      <c r="A2535">
        <f ca="1">27938.7832460675*((RANDBETWEEN(1587,2416)))</f>
        <v>50317748.626167603</v>
      </c>
      <c r="B2535">
        <v>241508382.94242021</v>
      </c>
    </row>
    <row r="2536" spans="1:2" x14ac:dyDescent="0.25">
      <c r="A2536">
        <f ca="1">26014.2505545854*((RANDBETWEEN(1587,2416)))</f>
        <v>50545688.827559389</v>
      </c>
      <c r="B2536">
        <v>244046202.91779989</v>
      </c>
    </row>
    <row r="2537" spans="1:2" x14ac:dyDescent="0.25">
      <c r="A2537">
        <f ca="1">27571.9069976767*((RANDBETWEEN(1587,2416)))</f>
        <v>56522409.345237277</v>
      </c>
      <c r="B2537">
        <v>232463839.60618368</v>
      </c>
    </row>
    <row r="2538" spans="1:2" x14ac:dyDescent="0.25">
      <c r="A2538">
        <f ca="1">27103.6648959229*((RANDBETWEEN(1587,2416)))</f>
        <v>55047543.403619356</v>
      </c>
      <c r="B2538">
        <v>264107434.22660118</v>
      </c>
    </row>
    <row r="2539" spans="1:2" x14ac:dyDescent="0.25">
      <c r="A2539">
        <f ca="1">27230.9019041766*((RANDBETWEEN(1587,2416)))</f>
        <v>53699338.555036224</v>
      </c>
      <c r="B2539">
        <v>226271822.13867611</v>
      </c>
    </row>
    <row r="2540" spans="1:2" x14ac:dyDescent="0.25">
      <c r="A2540">
        <f ca="1">32996.4001286992*((RANDBETWEEN(1587,2416)))</f>
        <v>72163127.081465214</v>
      </c>
      <c r="B2540">
        <v>212387756.49476692</v>
      </c>
    </row>
    <row r="2541" spans="1:2" x14ac:dyDescent="0.25">
      <c r="A2541">
        <f ca="1">31490.4479213311*((RANDBETWEEN(1587,2416)))</f>
        <v>60178245.9776638</v>
      </c>
      <c r="B2541">
        <v>267511746.33206931</v>
      </c>
    </row>
    <row r="2542" spans="1:2" x14ac:dyDescent="0.25">
      <c r="A2542">
        <f ca="1">31833.8123361875*((RANDBETWEEN(1587,2416)))</f>
        <v>74554788.491351172</v>
      </c>
      <c r="B2542">
        <v>223808789.0092423</v>
      </c>
    </row>
    <row r="2543" spans="1:2" x14ac:dyDescent="0.25">
      <c r="A2543">
        <f ca="1">30702.6565845731*((RANDBETWEEN(1587,2416)))</f>
        <v>55602511.074661799</v>
      </c>
      <c r="B2543">
        <v>266793767.60710248</v>
      </c>
    </row>
    <row r="2544" spans="1:2" x14ac:dyDescent="0.25">
      <c r="A2544">
        <f ca="1">27992.8623975831*((RANDBETWEEN(1587,2416)))</f>
        <v>62871968.944971681</v>
      </c>
      <c r="B2544">
        <v>259745108.95193481</v>
      </c>
    </row>
    <row r="2545" spans="1:2" x14ac:dyDescent="0.25">
      <c r="A2545">
        <f ca="1">26038.1218045742*((RANDBETWEEN(1587,2416)))</f>
        <v>45462560.670786582</v>
      </c>
      <c r="B2545">
        <v>238410271.71692556</v>
      </c>
    </row>
    <row r="2546" spans="1:2" x14ac:dyDescent="0.25">
      <c r="A2546">
        <f ca="1">34079.6845799065*((RANDBETWEEN(1587,2416)))</f>
        <v>78689991.695004225</v>
      </c>
      <c r="B2546">
        <v>240652627.86268711</v>
      </c>
    </row>
    <row r="2547" spans="1:2" x14ac:dyDescent="0.25">
      <c r="A2547">
        <f ca="1">27680.6603424866*((RANDBETWEEN(1587,2416)))</f>
        <v>51070818.331887819</v>
      </c>
      <c r="B2547">
        <v>244341444.32130951</v>
      </c>
    </row>
    <row r="2548" spans="1:2" x14ac:dyDescent="0.25">
      <c r="A2548">
        <f ca="1">33334.0185597019*((RANDBETWEEN(1587,2416)))</f>
        <v>75134877.833568096</v>
      </c>
      <c r="B2548">
        <v>209392968.20172107</v>
      </c>
    </row>
    <row r="2549" spans="1:2" x14ac:dyDescent="0.25">
      <c r="A2549">
        <f ca="1">31095.2192814925*((RANDBETWEEN(1587,2416)))</f>
        <v>57215203.47794614</v>
      </c>
      <c r="B2549">
        <v>251455772.40574387</v>
      </c>
    </row>
    <row r="2550" spans="1:2" x14ac:dyDescent="0.25">
      <c r="A2550">
        <f ca="1">26430.4492349556*((RANDBETWEEN(1587,2416)))</f>
        <v>45566094.481063373</v>
      </c>
      <c r="B2550">
        <v>221486195.80496794</v>
      </c>
    </row>
    <row r="2551" spans="1:2" x14ac:dyDescent="0.25">
      <c r="A2551">
        <f ca="1">28693.1866120451*((RANDBETWEEN(1587,2416)))</f>
        <v>67199443.045409665</v>
      </c>
      <c r="B2551">
        <v>248012529.02464014</v>
      </c>
    </row>
    <row r="2552" spans="1:2" x14ac:dyDescent="0.25">
      <c r="A2552">
        <f ca="1">29753.5513135331*((RANDBETWEEN(1587,2416)))</f>
        <v>50343008.822497956</v>
      </c>
      <c r="B2552">
        <v>263902331.23976746</v>
      </c>
    </row>
    <row r="2553" spans="1:2" x14ac:dyDescent="0.25">
      <c r="A2553">
        <f ca="1">28826.2933835968*((RANDBETWEEN(1587,2416)))</f>
        <v>46122069.413754828</v>
      </c>
      <c r="B2553">
        <v>263373904.30371597</v>
      </c>
    </row>
    <row r="2554" spans="1:2" x14ac:dyDescent="0.25">
      <c r="A2554">
        <f ca="1">27660.8512271356*((RANDBETWEEN(1587,2416)))</f>
        <v>60936855.25337974</v>
      </c>
      <c r="B2554">
        <v>264270144.87268329</v>
      </c>
    </row>
    <row r="2555" spans="1:2" x14ac:dyDescent="0.25">
      <c r="A2555">
        <f ca="1">30719.2959236881*((RANDBETWEEN(1587,2416)))</f>
        <v>58213065.775389016</v>
      </c>
      <c r="B2555">
        <v>220373223.94433656</v>
      </c>
    </row>
    <row r="2556" spans="1:2" x14ac:dyDescent="0.25">
      <c r="A2556">
        <f ca="1">28151.8934355705*((RANDBETWEEN(1587,2416)))</f>
        <v>66156949.573590726</v>
      </c>
      <c r="B2556">
        <v>221949516.86750701</v>
      </c>
    </row>
    <row r="2557" spans="1:2" x14ac:dyDescent="0.25">
      <c r="A2557">
        <f ca="1">27005.9037193023*((RANDBETWEEN(1587,2416)))</f>
        <v>48853679.828217886</v>
      </c>
      <c r="B2557">
        <v>237973547.01952597</v>
      </c>
    </row>
    <row r="2558" spans="1:2" x14ac:dyDescent="0.25">
      <c r="A2558">
        <f ca="1">28658.6853592857*((RANDBETWEEN(1587,2416)))</f>
        <v>52302100.780696467</v>
      </c>
      <c r="B2558">
        <v>235335494.80799088</v>
      </c>
    </row>
    <row r="2559" spans="1:2" x14ac:dyDescent="0.25">
      <c r="A2559">
        <f ca="1">29630.633098309*((RANDBETWEEN(1587,2416)))</f>
        <v>65750374.845147759</v>
      </c>
      <c r="B2559">
        <v>216850284.86024672</v>
      </c>
    </row>
    <row r="2560" spans="1:2" x14ac:dyDescent="0.25">
      <c r="A2560">
        <f ca="1">33717.6749577002*((RANDBETWEEN(1587,2416)))</f>
        <v>67131890.840781048</v>
      </c>
      <c r="B2560">
        <v>266773289.08011803</v>
      </c>
    </row>
    <row r="2561" spans="1:2" x14ac:dyDescent="0.25">
      <c r="A2561">
        <f ca="1">29411.676951416*((RANDBETWEEN(1587,2416)))</f>
        <v>52911606.835597306</v>
      </c>
      <c r="B2561">
        <v>238713060.50564864</v>
      </c>
    </row>
    <row r="2562" spans="1:2" x14ac:dyDescent="0.25">
      <c r="A2562">
        <f ca="1">26572.444916317*((RANDBETWEEN(1587,2416)))</f>
        <v>49663899.548596412</v>
      </c>
      <c r="B2562">
        <v>218005518.10226816</v>
      </c>
    </row>
    <row r="2563" spans="1:2" x14ac:dyDescent="0.25">
      <c r="A2563">
        <f ca="1">26977.4472103617*((RANDBETWEEN(1587,2416)))</f>
        <v>47588216.879078023</v>
      </c>
      <c r="B2563">
        <v>229613311.39882389</v>
      </c>
    </row>
    <row r="2564" spans="1:2" x14ac:dyDescent="0.25">
      <c r="A2564">
        <f ca="1">27841.5567317613*((RANDBETWEEN(1587,2416)))</f>
        <v>52982482.460541733</v>
      </c>
      <c r="B2564">
        <v>218012044.671803</v>
      </c>
    </row>
    <row r="2565" spans="1:2" x14ac:dyDescent="0.25">
      <c r="A2565">
        <f ca="1">27067.0441915346*((RANDBETWEEN(1587,2416)))</f>
        <v>64852637.882916868</v>
      </c>
      <c r="B2565">
        <v>206876302.07720295</v>
      </c>
    </row>
    <row r="2566" spans="1:2" x14ac:dyDescent="0.25">
      <c r="A2566">
        <f ca="1">29678.0085359392*((RANDBETWEEN(1587,2416)))</f>
        <v>48642255.990404345</v>
      </c>
      <c r="B2566">
        <v>227969153.43344378</v>
      </c>
    </row>
    <row r="2567" spans="1:2" x14ac:dyDescent="0.25">
      <c r="A2567">
        <f ca="1">26609.5377397428*((RANDBETWEEN(1587,2416)))</f>
        <v>56651705.847912349</v>
      </c>
      <c r="B2567">
        <v>264564315.98789591</v>
      </c>
    </row>
    <row r="2568" spans="1:2" x14ac:dyDescent="0.25">
      <c r="A2568">
        <f ca="1">29883.2513421623*((RANDBETWEEN(1587,2416)))</f>
        <v>64069690.877595931</v>
      </c>
      <c r="B2568">
        <v>228741721.734698</v>
      </c>
    </row>
    <row r="2569" spans="1:2" x14ac:dyDescent="0.25">
      <c r="A2569">
        <f ca="1">31863.2571095818*((RANDBETWEEN(1587,2416)))</f>
        <v>66721660.38746427</v>
      </c>
      <c r="B2569">
        <v>230880178.62480584</v>
      </c>
    </row>
    <row r="2570" spans="1:2" x14ac:dyDescent="0.25">
      <c r="A2570">
        <f ca="1">28284.5975533081*((RANDBETWEEN(1587,2416)))</f>
        <v>61858414.849084847</v>
      </c>
      <c r="B2570">
        <v>212121083.34136957</v>
      </c>
    </row>
    <row r="2571" spans="1:2" x14ac:dyDescent="0.25">
      <c r="A2571">
        <f ca="1">31336.5733815355*((RANDBETWEEN(1587,2416)))</f>
        <v>52802126.147887394</v>
      </c>
      <c r="B2571">
        <v>245239495.83458412</v>
      </c>
    </row>
    <row r="2572" spans="1:2" x14ac:dyDescent="0.25">
      <c r="A2572">
        <f ca="1">28507.7436339104*((RANDBETWEEN(1587,2416)))</f>
        <v>55048452.957081005</v>
      </c>
      <c r="B2572">
        <v>240495670.17712775</v>
      </c>
    </row>
    <row r="2573" spans="1:2" x14ac:dyDescent="0.25">
      <c r="A2573">
        <f ca="1">31347.7225463995*((RANDBETWEEN(1587,2416)))</f>
        <v>50219051.519332029</v>
      </c>
      <c r="B2573">
        <v>237057967.17973635</v>
      </c>
    </row>
    <row r="2574" spans="1:2" x14ac:dyDescent="0.25">
      <c r="A2574">
        <f ca="1">26425.0211540781*((RANDBETWEEN(1587,2416)))</f>
        <v>61068223.887074597</v>
      </c>
      <c r="B2574">
        <v>227557357.96894175</v>
      </c>
    </row>
    <row r="2575" spans="1:2" x14ac:dyDescent="0.25">
      <c r="A2575">
        <f ca="1">32598.8254297952*((RANDBETWEEN(1587,2416)))</f>
        <v>52255917.163961641</v>
      </c>
      <c r="B2575">
        <v>237094863.14366311</v>
      </c>
    </row>
    <row r="2576" spans="1:2" x14ac:dyDescent="0.25">
      <c r="A2576">
        <f ca="1">29326.8219797561*((RANDBETWEEN(1587,2416)))</f>
        <v>63991125.559827894</v>
      </c>
      <c r="B2576">
        <v>253100658.84687668</v>
      </c>
    </row>
    <row r="2577" spans="1:2" x14ac:dyDescent="0.25">
      <c r="A2577">
        <f ca="1">29383.6265806552*((RANDBETWEEN(1587,2416)))</f>
        <v>49952165.187113844</v>
      </c>
      <c r="B2577">
        <v>250999416.41613978</v>
      </c>
    </row>
    <row r="2578" spans="1:2" x14ac:dyDescent="0.25">
      <c r="A2578">
        <f ca="1">31951.9733676461*((RANDBETWEEN(1587,2416)))</f>
        <v>61731212.546292312</v>
      </c>
      <c r="B2578">
        <v>257163873.51883647</v>
      </c>
    </row>
    <row r="2579" spans="1:2" x14ac:dyDescent="0.25">
      <c r="A2579">
        <f ca="1">34299.2301436318*((RANDBETWEEN(1587,2416)))</f>
        <v>64516851.900171489</v>
      </c>
      <c r="B2579">
        <v>251730910.66307163</v>
      </c>
    </row>
    <row r="2580" spans="1:2" x14ac:dyDescent="0.25">
      <c r="A2580">
        <f ca="1">30421.7235658025*((RANDBETWEEN(1587,2416)))</f>
        <v>72221171.745215118</v>
      </c>
      <c r="B2580">
        <v>226348748.80836165</v>
      </c>
    </row>
    <row r="2581" spans="1:2" x14ac:dyDescent="0.25">
      <c r="A2581">
        <f ca="1">30503.7001713321*((RANDBETWEEN(1587,2416)))</f>
        <v>61983518.74814681</v>
      </c>
      <c r="B2581">
        <v>247399164.236296</v>
      </c>
    </row>
    <row r="2582" spans="1:2" x14ac:dyDescent="0.25">
      <c r="A2582">
        <f ca="1">30044.9109188696*((RANDBETWEEN(1587,2416)))</f>
        <v>72017651.472530469</v>
      </c>
      <c r="B2582">
        <v>239012359.36148965</v>
      </c>
    </row>
    <row r="2583" spans="1:2" x14ac:dyDescent="0.25">
      <c r="A2583">
        <f ca="1">32268.5796261618*((RANDBETWEEN(1587,2416)))</f>
        <v>69377446.196247876</v>
      </c>
      <c r="B2583">
        <v>236112852.09908354</v>
      </c>
    </row>
    <row r="2584" spans="1:2" x14ac:dyDescent="0.25">
      <c r="A2584">
        <f ca="1">26685.2352846682*((RANDBETWEEN(1587,2416)))</f>
        <v>53263729.628197722</v>
      </c>
      <c r="B2584">
        <v>220871705.40033662</v>
      </c>
    </row>
    <row r="2585" spans="1:2" x14ac:dyDescent="0.25">
      <c r="A2585">
        <f ca="1">28309.8693935664*((RANDBETWEEN(1587,2416)))</f>
        <v>55289174.925635114</v>
      </c>
      <c r="B2585">
        <v>248908812.88805002</v>
      </c>
    </row>
    <row r="2586" spans="1:2" x14ac:dyDescent="0.25">
      <c r="A2586">
        <f ca="1">32994.7023082965*((RANDBETWEEN(1587,2416)))</f>
        <v>68826949.015106454</v>
      </c>
      <c r="B2586">
        <v>231620850.75094873</v>
      </c>
    </row>
    <row r="2587" spans="1:2" x14ac:dyDescent="0.25">
      <c r="A2587">
        <f ca="1">29335.2816346455*((RANDBETWEEN(1587,2416)))</f>
        <v>48960585.048223294</v>
      </c>
      <c r="B2587">
        <v>256339877.34314767</v>
      </c>
    </row>
    <row r="2588" spans="1:2" x14ac:dyDescent="0.25">
      <c r="A2588">
        <f ca="1">30463.4892793892*((RANDBETWEEN(1587,2416)))</f>
        <v>71406418.870888278</v>
      </c>
      <c r="B2588">
        <v>214612146.41643962</v>
      </c>
    </row>
    <row r="2589" spans="1:2" x14ac:dyDescent="0.25">
      <c r="A2589">
        <f ca="1">29800.8714371872*((RANDBETWEEN(1587,2416)))</f>
        <v>62552029.14665585</v>
      </c>
      <c r="B2589">
        <v>250383347.67616183</v>
      </c>
    </row>
    <row r="2590" spans="1:2" x14ac:dyDescent="0.25">
      <c r="A2590">
        <f ca="1">28088.2770986862*((RANDBETWEEN(1587,2416)))</f>
        <v>59996559.882793643</v>
      </c>
      <c r="B2590">
        <v>265696865.33731374</v>
      </c>
    </row>
    <row r="2591" spans="1:2" x14ac:dyDescent="0.25">
      <c r="A2591">
        <f ca="1">33750.8704605395*((RANDBETWEEN(1587,2416)))</f>
        <v>61392833.367721371</v>
      </c>
      <c r="B2591">
        <v>205316422.87805361</v>
      </c>
    </row>
    <row r="2592" spans="1:2" x14ac:dyDescent="0.25">
      <c r="A2592">
        <f ca="1">30378.2927249676*((RANDBETWEEN(1587,2416)))</f>
        <v>66285434.725879304</v>
      </c>
      <c r="B2592">
        <v>216138064.00257677</v>
      </c>
    </row>
    <row r="2593" spans="1:2" x14ac:dyDescent="0.25">
      <c r="A2593">
        <f ca="1">30283.3173523176*((RANDBETWEEN(1587,2416)))</f>
        <v>70681262.700309262</v>
      </c>
      <c r="B2593">
        <v>266971804.58338133</v>
      </c>
    </row>
    <row r="2594" spans="1:2" x14ac:dyDescent="0.25">
      <c r="A2594">
        <f ca="1">31124.722290318*((RANDBETWEEN(1587,2416)))</f>
        <v>54343765.118895262</v>
      </c>
      <c r="B2594">
        <v>267795450.02333874</v>
      </c>
    </row>
    <row r="2595" spans="1:2" x14ac:dyDescent="0.25">
      <c r="A2595">
        <f ca="1">28444.7883149324*((RANDBETWEEN(1587,2416)))</f>
        <v>63090540.482520148</v>
      </c>
      <c r="B2595">
        <v>215733913.40686959</v>
      </c>
    </row>
    <row r="2596" spans="1:2" x14ac:dyDescent="0.25">
      <c r="A2596">
        <f ca="1">29916.2710997746*((RANDBETWEEN(1587,2416)))</f>
        <v>53939036.792893544</v>
      </c>
      <c r="B2596">
        <v>263230977.7383872</v>
      </c>
    </row>
    <row r="2597" spans="1:2" x14ac:dyDescent="0.25">
      <c r="A2597">
        <f ca="1">29768.0882146051*((RANDBETWEEN(1587,2416)))</f>
        <v>54832818.491302565</v>
      </c>
      <c r="B2597">
        <v>251424488.41743332</v>
      </c>
    </row>
    <row r="2598" spans="1:2" x14ac:dyDescent="0.25">
      <c r="A2598">
        <f ca="1">32638.8181824132*((RANDBETWEEN(1587,2416)))</f>
        <v>72001232.910403609</v>
      </c>
      <c r="B2598">
        <v>249970700.36950877</v>
      </c>
    </row>
    <row r="2599" spans="1:2" x14ac:dyDescent="0.25">
      <c r="A2599">
        <f ca="1">33465.8487278244*((RANDBETWEEN(1587,2416)))</f>
        <v>76737191.132901251</v>
      </c>
      <c r="B2599">
        <v>241896304.6745618</v>
      </c>
    </row>
    <row r="2600" spans="1:2" x14ac:dyDescent="0.25">
      <c r="A2600">
        <f ca="1">28778.9673567929*((RANDBETWEEN(1587,2416)))</f>
        <v>47197506.465140298</v>
      </c>
      <c r="B2600">
        <v>212823528.53197092</v>
      </c>
    </row>
    <row r="2601" spans="1:2" x14ac:dyDescent="0.25">
      <c r="A2601">
        <f ca="1">28791.1766717369*((RANDBETWEEN(1587,2416)))</f>
        <v>54818400.382987104</v>
      </c>
      <c r="B2601">
        <v>249381789.80735478</v>
      </c>
    </row>
    <row r="2602" spans="1:2" x14ac:dyDescent="0.25">
      <c r="A2602">
        <f ca="1">32017.4946376774*((RANDBETWEEN(1587,2416)))</f>
        <v>70694628.159991816</v>
      </c>
      <c r="B2602">
        <v>224164529.92627406</v>
      </c>
    </row>
    <row r="2603" spans="1:2" x14ac:dyDescent="0.25">
      <c r="A2603">
        <f ca="1">31510.2764273979*((RANDBETWEEN(1587,2416)))</f>
        <v>68377299.847453505</v>
      </c>
      <c r="B2603">
        <v>264944087.73115367</v>
      </c>
    </row>
    <row r="2604" spans="1:2" x14ac:dyDescent="0.25">
      <c r="A2604">
        <f ca="1">30566.3823899072*((RANDBETWEEN(1587,2416)))</f>
        <v>73512149.647726893</v>
      </c>
      <c r="B2604">
        <v>211399976.6517432</v>
      </c>
    </row>
    <row r="2605" spans="1:2" x14ac:dyDescent="0.25">
      <c r="A2605">
        <f ca="1">26453.0356588205*((RANDBETWEEN(1587,2416)))</f>
        <v>63672456.830780864</v>
      </c>
      <c r="B2605">
        <v>237393194.5289655</v>
      </c>
    </row>
    <row r="2606" spans="1:2" x14ac:dyDescent="0.25">
      <c r="A2606">
        <f ca="1">30565.4591992465*((RANDBETWEEN(1587,2416)))</f>
        <v>64951600.79839886</v>
      </c>
      <c r="B2606">
        <v>234895248.23691845</v>
      </c>
    </row>
    <row r="2607" spans="1:2" x14ac:dyDescent="0.25">
      <c r="A2607">
        <f ca="1">31941.2367123632*((RANDBETWEEN(1587,2416)))</f>
        <v>55577751.879512034</v>
      </c>
      <c r="B2607">
        <v>253962886.20008594</v>
      </c>
    </row>
    <row r="2608" spans="1:2" x14ac:dyDescent="0.25">
      <c r="A2608">
        <f ca="1">29621.1899248088*((RANDBETWEEN(1587,2416)))</f>
        <v>58709198.430970989</v>
      </c>
      <c r="B2608">
        <v>206065614.52558464</v>
      </c>
    </row>
    <row r="2609" spans="1:2" x14ac:dyDescent="0.25">
      <c r="A2609">
        <f ca="1">27230.2464119784*((RANDBETWEEN(1587,2416)))</f>
        <v>54868946.520136416</v>
      </c>
      <c r="B2609">
        <v>264743661.56096128</v>
      </c>
    </row>
    <row r="2610" spans="1:2" x14ac:dyDescent="0.25">
      <c r="A2610">
        <f ca="1">31539.3332216933*((RANDBETWEEN(1587,2416)))</f>
        <v>69575769.087055489</v>
      </c>
      <c r="B2610">
        <v>266327439.97523052</v>
      </c>
    </row>
    <row r="2611" spans="1:2" x14ac:dyDescent="0.25">
      <c r="A2611">
        <f ca="1">30493.6098094914*((RANDBETWEEN(1587,2416)))</f>
        <v>62755848.987933338</v>
      </c>
      <c r="B2611">
        <v>254426719.95653301</v>
      </c>
    </row>
    <row r="2612" spans="1:2" x14ac:dyDescent="0.25">
      <c r="A2612">
        <f ca="1">32061.1796242616*((RANDBETWEEN(1587,2416)))</f>
        <v>52420028.685667709</v>
      </c>
      <c r="B2612">
        <v>256723917.17858088</v>
      </c>
    </row>
    <row r="2613" spans="1:2" x14ac:dyDescent="0.25">
      <c r="A2613">
        <f ca="1">30943.8003491561*((RANDBETWEEN(1587,2416)))</f>
        <v>60061916.477712028</v>
      </c>
      <c r="B2613">
        <v>207185999.25459972</v>
      </c>
    </row>
    <row r="2614" spans="1:2" x14ac:dyDescent="0.25">
      <c r="A2614">
        <f ca="1">31458.5731649193*((RANDBETWEEN(1587,2416)))</f>
        <v>61721720.549571641</v>
      </c>
      <c r="B2614">
        <v>220411821.19017017</v>
      </c>
    </row>
    <row r="2615" spans="1:2" x14ac:dyDescent="0.25">
      <c r="A2615">
        <f ca="1">27442.4638729474*((RANDBETWEEN(1587,2416)))</f>
        <v>59659916.459787682</v>
      </c>
      <c r="B2615">
        <v>249450286.51150376</v>
      </c>
    </row>
    <row r="2616" spans="1:2" x14ac:dyDescent="0.25">
      <c r="A2616">
        <f ca="1">31203.3094895798*((RANDBETWEEN(1587,2416)))</f>
        <v>67867198.139836118</v>
      </c>
      <c r="B2616">
        <v>233618188.10749745</v>
      </c>
    </row>
    <row r="2617" spans="1:2" x14ac:dyDescent="0.25">
      <c r="A2617">
        <f ca="1">28160.6829662858*((RANDBETWEEN(1587,2416)))</f>
        <v>50858193.43711219</v>
      </c>
      <c r="B2617">
        <v>263210270.70124358</v>
      </c>
    </row>
    <row r="2618" spans="1:2" x14ac:dyDescent="0.25">
      <c r="A2618">
        <f ca="1">27144.2878242522*((RANDBETWEEN(1587,2416)))</f>
        <v>47746802.282859609</v>
      </c>
      <c r="B2618">
        <v>263652536.59199119</v>
      </c>
    </row>
    <row r="2619" spans="1:2" x14ac:dyDescent="0.25">
      <c r="A2619">
        <f ca="1">29470.7146620463*((RANDBETWEEN(1587,2416)))</f>
        <v>57291069.303017989</v>
      </c>
      <c r="B2619">
        <v>235165650.6498695</v>
      </c>
    </row>
    <row r="2620" spans="1:2" x14ac:dyDescent="0.25">
      <c r="A2620">
        <f ca="1">32250.4328198265*((RANDBETWEEN(1587,2416)))</f>
        <v>73950242.455862135</v>
      </c>
      <c r="B2620">
        <v>250911892.20013937</v>
      </c>
    </row>
    <row r="2621" spans="1:2" x14ac:dyDescent="0.25">
      <c r="A2621">
        <f ca="1">30609.2860231071*((RANDBETWEEN(1587,2416)))</f>
        <v>56137430.566378444</v>
      </c>
      <c r="B2621">
        <v>250536675.74672183</v>
      </c>
    </row>
    <row r="2622" spans="1:2" x14ac:dyDescent="0.25">
      <c r="A2622">
        <f ca="1">27146.9839445791*((RANDBETWEEN(1587,2416)))</f>
        <v>47425780.951179661</v>
      </c>
      <c r="B2622">
        <v>251404385.72795129</v>
      </c>
    </row>
    <row r="2623" spans="1:2" x14ac:dyDescent="0.25">
      <c r="A2623">
        <f ca="1">31497.8334534424*((RANDBETWEEN(1587,2416)))</f>
        <v>62995666.90688476</v>
      </c>
      <c r="B2623">
        <v>255996160.53708234</v>
      </c>
    </row>
    <row r="2624" spans="1:2" x14ac:dyDescent="0.25">
      <c r="A2624">
        <f ca="1">30609.6034835022*((RANDBETWEEN(1587,2416)))</f>
        <v>55036067.063336901</v>
      </c>
      <c r="B2624">
        <v>234311904.68067318</v>
      </c>
    </row>
    <row r="2625" spans="1:2" x14ac:dyDescent="0.25">
      <c r="A2625">
        <f ca="1">32013.7922920281*((RANDBETWEEN(1587,2416)))</f>
        <v>57880936.463986829</v>
      </c>
      <c r="B2625">
        <v>224671890.25343373</v>
      </c>
    </row>
    <row r="2626" spans="1:2" x14ac:dyDescent="0.25">
      <c r="A2626">
        <f ca="1">26823.9886393157*((RANDBETWEEN(1587,2416)))</f>
        <v>46298204.391458839</v>
      </c>
      <c r="B2626">
        <v>255813983.61813354</v>
      </c>
    </row>
    <row r="2627" spans="1:2" x14ac:dyDescent="0.25">
      <c r="A2627">
        <f ca="1">30522.9160103352*((RANDBETWEEN(1587,2416)))</f>
        <v>72736108.852628767</v>
      </c>
      <c r="B2627">
        <v>208709183.0284881</v>
      </c>
    </row>
    <row r="2628" spans="1:2" x14ac:dyDescent="0.25">
      <c r="A2628">
        <f ca="1">25980.6927355022*((RANDBETWEEN(1587,2416)))</f>
        <v>48376049.873505011</v>
      </c>
      <c r="B2628">
        <v>210615945.5361855</v>
      </c>
    </row>
    <row r="2629" spans="1:2" x14ac:dyDescent="0.25">
      <c r="A2629">
        <f ca="1">32716.8468750192*((RANDBETWEEN(1587,2416)))</f>
        <v>67723873.031289816</v>
      </c>
      <c r="B2629">
        <v>212511280.21839592</v>
      </c>
    </row>
    <row r="2630" spans="1:2" x14ac:dyDescent="0.25">
      <c r="A2630">
        <f ca="1">29513.7902711405*((RANDBETWEEN(1587,2416)))</f>
        <v>65402559.240847334</v>
      </c>
      <c r="B2630">
        <v>239124658.47207156</v>
      </c>
    </row>
    <row r="2631" spans="1:2" x14ac:dyDescent="0.25">
      <c r="A2631">
        <f ca="1">27151.7757727353*((RANDBETWEEN(1587,2416)))</f>
        <v>65137110.078791954</v>
      </c>
      <c r="B2631">
        <v>224167915.64141175</v>
      </c>
    </row>
    <row r="2632" spans="1:2" x14ac:dyDescent="0.25">
      <c r="A2632">
        <f ca="1">29520.7117111693*((RANDBETWEEN(1587,2416)))</f>
        <v>51897411.188235611</v>
      </c>
      <c r="B2632">
        <v>230489801.73118019</v>
      </c>
    </row>
    <row r="2633" spans="1:2" x14ac:dyDescent="0.25">
      <c r="A2633">
        <f ca="1">28809.6507227295*((RANDBETWEEN(1587,2416)))</f>
        <v>51137130.032844946</v>
      </c>
      <c r="B2633">
        <v>262355741.62074512</v>
      </c>
    </row>
    <row r="2634" spans="1:2" x14ac:dyDescent="0.25">
      <c r="A2634">
        <f ca="1">33025.7642521199*((RANDBETWEEN(1587,2416)))</f>
        <v>69255027.636695355</v>
      </c>
      <c r="B2634">
        <v>211666925.98256317</v>
      </c>
    </row>
    <row r="2635" spans="1:2" x14ac:dyDescent="0.25">
      <c r="A2635">
        <f ca="1">26986.8528995607*((RANDBETWEEN(1587,2416)))</f>
        <v>44015557.079183526</v>
      </c>
      <c r="B2635">
        <v>229421478.14659303</v>
      </c>
    </row>
    <row r="2636" spans="1:2" x14ac:dyDescent="0.25">
      <c r="A2636">
        <f ca="1">32207.1169908652*((RANDBETWEEN(1587,2416)))</f>
        <v>66829767.756045334</v>
      </c>
      <c r="B2636">
        <v>266640792.05530763</v>
      </c>
    </row>
    <row r="2637" spans="1:2" x14ac:dyDescent="0.25">
      <c r="A2637">
        <f ca="1">26509.4336081155*((RANDBETWEEN(1587,2416)))</f>
        <v>52011508.73912257</v>
      </c>
      <c r="B2637">
        <v>224677198.07963702</v>
      </c>
    </row>
    <row r="2638" spans="1:2" x14ac:dyDescent="0.25">
      <c r="A2638">
        <f ca="1">30769.7189920907*((RANDBETWEEN(1587,2416)))</f>
        <v>52677758.91445931</v>
      </c>
      <c r="B2638">
        <v>205123692.33155286</v>
      </c>
    </row>
    <row r="2639" spans="1:2" x14ac:dyDescent="0.25">
      <c r="A2639">
        <f ca="1">31292.6454745601*((RANDBETWEEN(1587,2416)))</f>
        <v>59017929.365020312</v>
      </c>
      <c r="B2639">
        <v>263908855.72083101</v>
      </c>
    </row>
    <row r="2640" spans="1:2" x14ac:dyDescent="0.25">
      <c r="A2640">
        <f ca="1">26724.6518164188*((RANDBETWEEN(1587,2416)))</f>
        <v>47997474.662288159</v>
      </c>
      <c r="B2640">
        <v>240091877.26835269</v>
      </c>
    </row>
    <row r="2641" spans="1:2" x14ac:dyDescent="0.25">
      <c r="A2641">
        <f ca="1">27292.2916212579*((RANDBETWEEN(1587,2416)))</f>
        <v>43831420.343740232</v>
      </c>
      <c r="B2641">
        <v>222947304.94534647</v>
      </c>
    </row>
    <row r="2642" spans="1:2" x14ac:dyDescent="0.25">
      <c r="A2642">
        <f ca="1">28009.7422406874*((RANDBETWEEN(1587,2416)))</f>
        <v>61201286.795901991</v>
      </c>
      <c r="B2642">
        <v>207251313.04270214</v>
      </c>
    </row>
    <row r="2643" spans="1:2" x14ac:dyDescent="0.25">
      <c r="A2643">
        <f ca="1">28830.316252622*((RANDBETWEEN(1587,2416)))</f>
        <v>65243005.679683477</v>
      </c>
      <c r="B2643">
        <v>256080422.45482314</v>
      </c>
    </row>
    <row r="2644" spans="1:2" x14ac:dyDescent="0.25">
      <c r="A2644">
        <f ca="1">30892.004880107*((RANDBETWEEN(1587,2416)))</f>
        <v>70402879.121763766</v>
      </c>
      <c r="B2644">
        <v>262192434.83214808</v>
      </c>
    </row>
    <row r="2645" spans="1:2" x14ac:dyDescent="0.25">
      <c r="A2645">
        <f ca="1">30223.1616281906*((RANDBETWEEN(1587,2416)))</f>
        <v>68425237.926223561</v>
      </c>
      <c r="B2645">
        <v>267681562.01697019</v>
      </c>
    </row>
    <row r="2646" spans="1:2" x14ac:dyDescent="0.25">
      <c r="A2646">
        <f ca="1">26373.3345930586*((RANDBETWEEN(1587,2416)))</f>
        <v>44148962.108780101</v>
      </c>
      <c r="B2646">
        <v>215450570.68162322</v>
      </c>
    </row>
    <row r="2647" spans="1:2" x14ac:dyDescent="0.25">
      <c r="A2647">
        <f ca="1">28279.8047678683*((RANDBETWEEN(1587,2416)))</f>
        <v>56050573.049914934</v>
      </c>
      <c r="B2647">
        <v>243397050.36976659</v>
      </c>
    </row>
    <row r="2648" spans="1:2" x14ac:dyDescent="0.25">
      <c r="A2648">
        <f ca="1">28977.8044621585*((RANDBETWEEN(1587,2416)))</f>
        <v>54565205.80224438</v>
      </c>
      <c r="B2648">
        <v>248238214.63400206</v>
      </c>
    </row>
    <row r="2649" spans="1:2" x14ac:dyDescent="0.25">
      <c r="A2649">
        <f ca="1">31199.3970133907*((RANDBETWEEN(1587,2416)))</f>
        <v>55909319.447996207</v>
      </c>
      <c r="B2649">
        <v>266434481.56838214</v>
      </c>
    </row>
    <row r="2650" spans="1:2" x14ac:dyDescent="0.25">
      <c r="A2650">
        <f ca="1">27102.9941737561*((RANDBETWEEN(1587,2416)))</f>
        <v>59355557.24052576</v>
      </c>
      <c r="B2650">
        <v>226635039.3453005</v>
      </c>
    </row>
    <row r="2651" spans="1:2" x14ac:dyDescent="0.25">
      <c r="A2651">
        <f ca="1">27239.2809210736*((RANDBETWEEN(1587,2416)))</f>
        <v>45544077.700035095</v>
      </c>
      <c r="B2651">
        <v>235706811.60423887</v>
      </c>
    </row>
    <row r="2652" spans="1:2" x14ac:dyDescent="0.25">
      <c r="A2652">
        <f ca="1">34211.5027242568*((RANDBETWEEN(1587,2416)))</f>
        <v>55456845.916020222</v>
      </c>
      <c r="B2652">
        <v>217775235.1072877</v>
      </c>
    </row>
    <row r="2653" spans="1:2" x14ac:dyDescent="0.25">
      <c r="A2653">
        <f ca="1">31502.8344307265*((RANDBETWEEN(1587,2416)))</f>
        <v>70849874.63470386</v>
      </c>
      <c r="B2653">
        <v>238570025.35636181</v>
      </c>
    </row>
    <row r="2654" spans="1:2" x14ac:dyDescent="0.25">
      <c r="A2654">
        <f ca="1">27064.2671208514*((RANDBETWEEN(1587,2416)))</f>
        <v>60272122.878136061</v>
      </c>
      <c r="B2654">
        <v>234275862.99032322</v>
      </c>
    </row>
    <row r="2655" spans="1:2" x14ac:dyDescent="0.25">
      <c r="A2655">
        <f ca="1">26030.5463229135*((RANDBETWEEN(1587,2416)))</f>
        <v>41987271.218859538</v>
      </c>
      <c r="B2655">
        <v>220619304.7774502</v>
      </c>
    </row>
    <row r="2656" spans="1:2" x14ac:dyDescent="0.25">
      <c r="A2656">
        <f ca="1">32392.5120964811*((RANDBETWEEN(1587,2416)))</f>
        <v>55423588.197079234</v>
      </c>
      <c r="B2656">
        <v>266872725.26104918</v>
      </c>
    </row>
    <row r="2657" spans="1:2" x14ac:dyDescent="0.25">
      <c r="A2657">
        <f ca="1">31532.497651748*((RANDBETWEEN(1587,2416)))</f>
        <v>66533570.045188233</v>
      </c>
      <c r="B2657">
        <v>219074566.21689901</v>
      </c>
    </row>
    <row r="2658" spans="1:2" x14ac:dyDescent="0.25">
      <c r="A2658">
        <f ca="1">30917.6959415009*((RANDBETWEEN(1587,2416)))</f>
        <v>54198720.98545108</v>
      </c>
      <c r="B2658">
        <v>257815706.50952137</v>
      </c>
    </row>
    <row r="2659" spans="1:2" x14ac:dyDescent="0.25">
      <c r="A2659">
        <f ca="1">32924.1792187272*((RANDBETWEEN(1587,2416)))</f>
        <v>70655288.603388637</v>
      </c>
      <c r="B2659">
        <v>218495701.26698095</v>
      </c>
    </row>
    <row r="2660" spans="1:2" x14ac:dyDescent="0.25">
      <c r="A2660">
        <f ca="1">31059.8356428053*((RANDBETWEEN(1587,2416)))</f>
        <v>62306030.29946743</v>
      </c>
      <c r="B2660">
        <v>218756972.35098323</v>
      </c>
    </row>
    <row r="2661" spans="1:2" x14ac:dyDescent="0.25">
      <c r="A2661">
        <f ca="1">30660.60238285*((RANDBETWEEN(1587,2416)))</f>
        <v>50589993.931702562</v>
      </c>
      <c r="B2661">
        <v>210823158.82242262</v>
      </c>
    </row>
    <row r="2662" spans="1:2" x14ac:dyDescent="0.25">
      <c r="A2662">
        <f ca="1">27883.6043376905*((RANDBETWEEN(1587,2416)))</f>
        <v>62710226.155465968</v>
      </c>
      <c r="B2662">
        <v>230646144.62330455</v>
      </c>
    </row>
    <row r="2663" spans="1:2" x14ac:dyDescent="0.25">
      <c r="A2663">
        <f ca="1">32050.2899073071*((RANDBETWEEN(1587,2416)))</f>
        <v>68267117.502564043</v>
      </c>
      <c r="B2663">
        <v>245311893.12987679</v>
      </c>
    </row>
    <row r="2664" spans="1:2" x14ac:dyDescent="0.25">
      <c r="A2664">
        <f ca="1">29041.3083809818*((RANDBETWEEN(1587,2416)))</f>
        <v>60783458.441394895</v>
      </c>
      <c r="B2664">
        <v>217384962.51826516</v>
      </c>
    </row>
    <row r="2665" spans="1:2" x14ac:dyDescent="0.25">
      <c r="A2665">
        <f ca="1">33599.7853030644*((RANDBETWEEN(1587,2416)))</f>
        <v>63805992.290519223</v>
      </c>
      <c r="B2665">
        <v>240056642.05566496</v>
      </c>
    </row>
    <row r="2666" spans="1:2" x14ac:dyDescent="0.25">
      <c r="A2666">
        <f ca="1">31602.0715115044*((RANDBETWEEN(1587,2416)))</f>
        <v>67186004.033458441</v>
      </c>
      <c r="B2666">
        <v>214666296.01732099</v>
      </c>
    </row>
    <row r="2667" spans="1:2" x14ac:dyDescent="0.25">
      <c r="A2667">
        <f ca="1">30815.8291273594*((RANDBETWEEN(1587,2416)))</f>
        <v>59320471.070166789</v>
      </c>
      <c r="B2667">
        <v>243678805.44754511</v>
      </c>
    </row>
    <row r="2668" spans="1:2" x14ac:dyDescent="0.25">
      <c r="A2668">
        <f ca="1">29595.9303178514*((RANDBETWEEN(1587,2416)))</f>
        <v>57386508.886313871</v>
      </c>
      <c r="B2668">
        <v>204145152.32667643</v>
      </c>
    </row>
    <row r="2669" spans="1:2" x14ac:dyDescent="0.25">
      <c r="A2669">
        <f ca="1">28440.7137866852*((RANDBETWEEN(1587,2416)))</f>
        <v>67233847.391723827</v>
      </c>
      <c r="B2669">
        <v>234266683.1194447</v>
      </c>
    </row>
    <row r="2670" spans="1:2" x14ac:dyDescent="0.25">
      <c r="A2670">
        <f ca="1">26910.5066949926*((RANDBETWEEN(1587,2416)))</f>
        <v>50537931.573196054</v>
      </c>
      <c r="B2670">
        <v>230542923.02666596</v>
      </c>
    </row>
    <row r="2671" spans="1:2" x14ac:dyDescent="0.25">
      <c r="A2671">
        <f ca="1">30895.2425198516*((RANDBETWEEN(1587,2416)))</f>
        <v>73437991.469687298</v>
      </c>
      <c r="B2671">
        <v>248792320.91490746</v>
      </c>
    </row>
    <row r="2672" spans="1:2" x14ac:dyDescent="0.25">
      <c r="A2672">
        <f ca="1">33698.787586101*((RANDBETWEEN(1587,2416)))</f>
        <v>74474320.565283433</v>
      </c>
      <c r="B2672">
        <v>249390555.39195102</v>
      </c>
    </row>
    <row r="2673" spans="1:2" x14ac:dyDescent="0.25">
      <c r="A2673">
        <f ca="1">26559.6090949251*((RANDBETWEEN(1587,2416)))</f>
        <v>62229164.109409422</v>
      </c>
      <c r="B2673">
        <v>258836769.19165158</v>
      </c>
    </row>
    <row r="2674" spans="1:2" x14ac:dyDescent="0.25">
      <c r="A2674">
        <f ca="1">29954.1843648071*((RANDBETWEEN(1587,2416)))</f>
        <v>60177956.388897419</v>
      </c>
      <c r="B2674">
        <v>224267157.86297181</v>
      </c>
    </row>
    <row r="2675" spans="1:2" x14ac:dyDescent="0.25">
      <c r="A2675">
        <f ca="1">26076.993563507*((RANDBETWEEN(1587,2416)))</f>
        <v>44070119.122326843</v>
      </c>
      <c r="B2675">
        <v>259390686.37581849</v>
      </c>
    </row>
    <row r="2676" spans="1:2" x14ac:dyDescent="0.25">
      <c r="A2676">
        <f ca="1">30488.6291488551*((RANDBETWEEN(1587,2416)))</f>
        <v>59361360.952820912</v>
      </c>
      <c r="B2676">
        <v>263642770.38422194</v>
      </c>
    </row>
    <row r="2677" spans="1:2" x14ac:dyDescent="0.25">
      <c r="A2677">
        <f ca="1">30751.5401444421*((RANDBETWEEN(1587,2416)))</f>
        <v>63932451.960295118</v>
      </c>
      <c r="B2677">
        <v>261869396.96431157</v>
      </c>
    </row>
    <row r="2678" spans="1:2" x14ac:dyDescent="0.25">
      <c r="A2678">
        <f ca="1">26339.422051396*((RANDBETWEEN(1587,2416)))</f>
        <v>51414551.844325073</v>
      </c>
      <c r="B2678">
        <v>247862571.82491767</v>
      </c>
    </row>
    <row r="2679" spans="1:2" x14ac:dyDescent="0.25">
      <c r="A2679">
        <f ca="1">26836.7117171961*((RANDBETWEEN(1587,2416)))</f>
        <v>57913623.885709152</v>
      </c>
      <c r="B2679">
        <v>231387885.18801355</v>
      </c>
    </row>
    <row r="2680" spans="1:2" x14ac:dyDescent="0.25">
      <c r="A2680">
        <f ca="1">31640.5010578011*((RANDBETWEEN(1587,2416)))</f>
        <v>61952101.071174607</v>
      </c>
      <c r="B2680">
        <v>241766938.5754624</v>
      </c>
    </row>
    <row r="2681" spans="1:2" x14ac:dyDescent="0.25">
      <c r="A2681">
        <f ca="1">26797.9557572693*((RANDBETWEEN(1587,2416)))</f>
        <v>56677676.426624559</v>
      </c>
      <c r="B2681">
        <v>243830421.48055884</v>
      </c>
    </row>
    <row r="2682" spans="1:2" x14ac:dyDescent="0.25">
      <c r="A2682">
        <f ca="1">28396.3690047049*((RANDBETWEEN(1587,2416)))</f>
        <v>47876278.141932443</v>
      </c>
      <c r="B2682">
        <v>214674801.69300017</v>
      </c>
    </row>
    <row r="2683" spans="1:2" x14ac:dyDescent="0.25">
      <c r="A2683">
        <f ca="1">27721.7244199797*((RANDBETWEEN(1587,2416)))</f>
        <v>64009461.685733013</v>
      </c>
      <c r="B2683">
        <v>205966225.49592933</v>
      </c>
    </row>
    <row r="2684" spans="1:2" x14ac:dyDescent="0.25">
      <c r="A2684">
        <f ca="1">32734.9812330732*((RANDBETWEEN(1587,2416)))</f>
        <v>71951488.750294924</v>
      </c>
      <c r="B2684">
        <v>210752686.82824558</v>
      </c>
    </row>
    <row r="2685" spans="1:2" x14ac:dyDescent="0.25">
      <c r="A2685">
        <f ca="1">28437.675039996*((RANDBETWEEN(1587,2416)))</f>
        <v>45215903.313593641</v>
      </c>
      <c r="B2685">
        <v>254744861.9700686</v>
      </c>
    </row>
    <row r="2686" spans="1:2" x14ac:dyDescent="0.25">
      <c r="A2686">
        <f ca="1">26302.7182186928*((RANDBETWEEN(1587,2416)))</f>
        <v>60548857.339430913</v>
      </c>
      <c r="B2686">
        <v>219521165.96940377</v>
      </c>
    </row>
    <row r="2687" spans="1:2" x14ac:dyDescent="0.25">
      <c r="A2687">
        <f ca="1">30815.1785644484*((RANDBETWEEN(1587,2416)))</f>
        <v>52354988.380997896</v>
      </c>
      <c r="B2687">
        <v>261371098.24126109</v>
      </c>
    </row>
    <row r="2688" spans="1:2" x14ac:dyDescent="0.25">
      <c r="A2688">
        <f ca="1">28734.0777236686*((RANDBETWEEN(1587,2416)))</f>
        <v>54278672.820009977</v>
      </c>
      <c r="B2688">
        <v>257496514.87268138</v>
      </c>
    </row>
    <row r="2689" spans="1:2" x14ac:dyDescent="0.25">
      <c r="A2689">
        <f ca="1">31590.1690438467*((RANDBETWEEN(1587,2416)))</f>
        <v>61885141.1568956</v>
      </c>
      <c r="B2689">
        <v>232411134.56803665</v>
      </c>
    </row>
    <row r="2690" spans="1:2" x14ac:dyDescent="0.25">
      <c r="A2690">
        <f ca="1">30712.0144381326*((RANDBETWEEN(1587,2416)))</f>
        <v>49292783.173202761</v>
      </c>
      <c r="B2690">
        <v>244848270.51117614</v>
      </c>
    </row>
    <row r="2691" spans="1:2" x14ac:dyDescent="0.25">
      <c r="A2691">
        <f ca="1">29833.6788553881*((RANDBETWEEN(1587,2416)))</f>
        <v>56534821.430960476</v>
      </c>
      <c r="B2691">
        <v>227951307.21967191</v>
      </c>
    </row>
    <row r="2692" spans="1:2" x14ac:dyDescent="0.25">
      <c r="A2692">
        <f ca="1">26540.7447692384*((RANDBETWEEN(1587,2416)))</f>
        <v>44216880.785551153</v>
      </c>
      <c r="B2692">
        <v>232715866.07762471</v>
      </c>
    </row>
    <row r="2693" spans="1:2" x14ac:dyDescent="0.25">
      <c r="A2693">
        <f ca="1">32466.2347143972*((RANDBETWEEN(1587,2416)))</f>
        <v>53569287.278755404</v>
      </c>
      <c r="B2693">
        <v>232239598.56979668</v>
      </c>
    </row>
    <row r="2694" spans="1:2" x14ac:dyDescent="0.25">
      <c r="A2694">
        <f ca="1">29985.8161219415*((RANDBETWEEN(1587,2416)))</f>
        <v>49686497.314056993</v>
      </c>
      <c r="B2694">
        <v>206840934.23139656</v>
      </c>
    </row>
    <row r="2695" spans="1:2" x14ac:dyDescent="0.25">
      <c r="A2695">
        <f ca="1">29479.0298447374*((RANDBETWEEN(1587,2416)))</f>
        <v>48375087.975214124</v>
      </c>
      <c r="B2695">
        <v>204133961.1744588</v>
      </c>
    </row>
    <row r="2696" spans="1:2" x14ac:dyDescent="0.25">
      <c r="A2696">
        <f ca="1">27541.2811551432*((RANDBETWEEN(1587,2416)))</f>
        <v>45167701.09443485</v>
      </c>
      <c r="B2696">
        <v>222667485.29632047</v>
      </c>
    </row>
    <row r="2697" spans="1:2" x14ac:dyDescent="0.25">
      <c r="A2697">
        <f ca="1">31595.9736194696*((RANDBETWEEN(1587,2416)))</f>
        <v>52006972.577646881</v>
      </c>
      <c r="B2697">
        <v>227991872.66471565</v>
      </c>
    </row>
    <row r="2698" spans="1:2" x14ac:dyDescent="0.25">
      <c r="A2698">
        <f ca="1">30110.3998435181*((RANDBETWEEN(1587,2416)))</f>
        <v>59648702.090009362</v>
      </c>
      <c r="B2698">
        <v>208621503.03251263</v>
      </c>
    </row>
    <row r="2699" spans="1:2" x14ac:dyDescent="0.25">
      <c r="A2699">
        <f ca="1">31695.2072065825*((RANDBETWEEN(1587,2416)))</f>
        <v>50395379.458466254</v>
      </c>
      <c r="B2699">
        <v>262905910.27647358</v>
      </c>
    </row>
    <row r="2700" spans="1:2" x14ac:dyDescent="0.25">
      <c r="A2700">
        <f ca="1">28340.6567436924*((RANDBETWEEN(1587,2416)))</f>
        <v>54329038.977658235</v>
      </c>
      <c r="B2700">
        <v>232440837.96737069</v>
      </c>
    </row>
    <row r="2701" spans="1:2" x14ac:dyDescent="0.25">
      <c r="A2701">
        <f ca="1">30057.4045244733*((RANDBETWEEN(1587,2416)))</f>
        <v>56838551.955778986</v>
      </c>
      <c r="B2701">
        <v>262508975.66391355</v>
      </c>
    </row>
    <row r="2702" spans="1:2" x14ac:dyDescent="0.25">
      <c r="A2702">
        <f ca="1">31398.7759398918*((RANDBETWEEN(1587,2416)))</f>
        <v>55921219.948947355</v>
      </c>
      <c r="B2702">
        <v>217457284.1417585</v>
      </c>
    </row>
    <row r="2703" spans="1:2" x14ac:dyDescent="0.25">
      <c r="A2703">
        <f ca="1">31155.2655077112*((RANDBETWEEN(1587,2416)))</f>
        <v>55238285.745171875</v>
      </c>
      <c r="B2703">
        <v>255732314.99653906</v>
      </c>
    </row>
    <row r="2704" spans="1:2" x14ac:dyDescent="0.25">
      <c r="A2704">
        <f ca="1">29289.6228852234*((RANDBETWEEN(1587,2416)))</f>
        <v>60629519.372412354</v>
      </c>
      <c r="B2704">
        <v>232566852.35192817</v>
      </c>
    </row>
    <row r="2705" spans="1:2" x14ac:dyDescent="0.25">
      <c r="A2705">
        <f ca="1">32139.784244938*((RANDBETWEEN(1587,2416)))</f>
        <v>68843417.852657095</v>
      </c>
      <c r="B2705">
        <v>266804025.010254</v>
      </c>
    </row>
    <row r="2706" spans="1:2" x14ac:dyDescent="0.25">
      <c r="A2706">
        <f ca="1">30355.2137756115*((RANDBETWEEN(1587,2416)))</f>
        <v>56278566.339983769</v>
      </c>
      <c r="B2706">
        <v>214930670.03708923</v>
      </c>
    </row>
    <row r="2707" spans="1:2" x14ac:dyDescent="0.25">
      <c r="A2707">
        <f ca="1">31936.8765606337*((RANDBETWEEN(1587,2416)))</f>
        <v>70229191.55683355</v>
      </c>
      <c r="B2707">
        <v>260233730.54434139</v>
      </c>
    </row>
    <row r="2708" spans="1:2" x14ac:dyDescent="0.25">
      <c r="A2708">
        <f ca="1">30723.3204524366*((RANDBETWEEN(1587,2416)))</f>
        <v>59756858.279989108</v>
      </c>
      <c r="B2708">
        <v>253097913.85748467</v>
      </c>
    </row>
    <row r="2709" spans="1:2" x14ac:dyDescent="0.25">
      <c r="A2709">
        <f ca="1">27784.1085126193*((RANDBETWEEN(1587,2416)))</f>
        <v>55984978.652927943</v>
      </c>
      <c r="B2709">
        <v>210717904.03355452</v>
      </c>
    </row>
    <row r="2710" spans="1:2" x14ac:dyDescent="0.25">
      <c r="A2710">
        <f ca="1">26758.0248811876*((RANDBETWEEN(1587,2416)))</f>
        <v>62640536.246860139</v>
      </c>
      <c r="B2710">
        <v>212042419.71891415</v>
      </c>
    </row>
    <row r="2711" spans="1:2" x14ac:dyDescent="0.25">
      <c r="A2711">
        <f ca="1">27387.5108901515*((RANDBETWEEN(1587,2416)))</f>
        <v>50310857.505208291</v>
      </c>
      <c r="B2711">
        <v>234554210.05128467</v>
      </c>
    </row>
    <row r="2712" spans="1:2" x14ac:dyDescent="0.25">
      <c r="A2712">
        <f ca="1">30661.7725215028*((RANDBETWEEN(1587,2416)))</f>
        <v>61967442.265957072</v>
      </c>
      <c r="B2712">
        <v>249759890.69383478</v>
      </c>
    </row>
    <row r="2713" spans="1:2" x14ac:dyDescent="0.25">
      <c r="A2713">
        <f ca="1">27636.3385643064*((RANDBETWEEN(1587,2416)))</f>
        <v>59611582.283208869</v>
      </c>
      <c r="B2713">
        <v>215431221.9594661</v>
      </c>
    </row>
    <row r="2714" spans="1:2" x14ac:dyDescent="0.25">
      <c r="A2714">
        <f ca="1">26965.0425152999*((RANDBETWEEN(1587,2416)))</f>
        <v>61534227.019914411</v>
      </c>
      <c r="B2714">
        <v>242461379.41370332</v>
      </c>
    </row>
    <row r="2715" spans="1:2" x14ac:dyDescent="0.25">
      <c r="A2715">
        <f ca="1">30260.4024912735*((RANDBETWEEN(1587,2416)))</f>
        <v>63365282.816726811</v>
      </c>
      <c r="B2715">
        <v>260723441.05817685</v>
      </c>
    </row>
    <row r="2716" spans="1:2" x14ac:dyDescent="0.25">
      <c r="A2716">
        <f ca="1">27771.2669676513*((RANDBETWEEN(1587,2416)))</f>
        <v>51543471.491960831</v>
      </c>
      <c r="B2716">
        <v>260039796.14864391</v>
      </c>
    </row>
    <row r="2717" spans="1:2" x14ac:dyDescent="0.25">
      <c r="A2717">
        <f ca="1">29216.2508776076*((RANDBETWEEN(1587,2416)))</f>
        <v>68716622.064133152</v>
      </c>
      <c r="B2717">
        <v>241163250.24441352</v>
      </c>
    </row>
    <row r="2718" spans="1:2" x14ac:dyDescent="0.25">
      <c r="A2718">
        <f ca="1">32304.7254248811*((RANDBETWEEN(1587,2416)))</f>
        <v>51493732.327260397</v>
      </c>
      <c r="B2718">
        <v>240831367.05820355</v>
      </c>
    </row>
    <row r="2719" spans="1:2" x14ac:dyDescent="0.25">
      <c r="A2719">
        <f ca="1">27024.9040785803*((RANDBETWEEN(1587,2416)))</f>
        <v>63292325.352035016</v>
      </c>
      <c r="B2719">
        <v>232245214.26573148</v>
      </c>
    </row>
    <row r="2720" spans="1:2" x14ac:dyDescent="0.25">
      <c r="A2720">
        <f ca="1">27942.3036528431*((RANDBETWEEN(1587,2416)))</f>
        <v>56387568.771437407</v>
      </c>
      <c r="B2720">
        <v>214672655.20810062</v>
      </c>
    </row>
    <row r="2721" spans="1:2" x14ac:dyDescent="0.25">
      <c r="A2721">
        <f ca="1">30966.8272896972*((RANDBETWEEN(1587,2416)))</f>
        <v>64813569.517336182</v>
      </c>
      <c r="B2721">
        <v>248498757.18410212</v>
      </c>
    </row>
    <row r="2722" spans="1:2" x14ac:dyDescent="0.25">
      <c r="A2722">
        <f ca="1">31259.2176569574*((RANDBETWEEN(1587,2416)))</f>
        <v>61643177.219520062</v>
      </c>
      <c r="B2722">
        <v>219460763.45533115</v>
      </c>
    </row>
    <row r="2723" spans="1:2" x14ac:dyDescent="0.25">
      <c r="A2723">
        <f ca="1">27107.6104374012*((RANDBETWEEN(1587,2416)))</f>
        <v>48359977.020323694</v>
      </c>
      <c r="B2723">
        <v>254533660.83299503</v>
      </c>
    </row>
    <row r="2724" spans="1:2" x14ac:dyDescent="0.25">
      <c r="A2724">
        <f ca="1">26931.6191846337*((RANDBETWEEN(1587,2416)))</f>
        <v>51197008.069988623</v>
      </c>
      <c r="B2724">
        <v>245328281.6980181</v>
      </c>
    </row>
    <row r="2725" spans="1:2" x14ac:dyDescent="0.25">
      <c r="A2725">
        <f ca="1">31170.9665092935*((RANDBETWEEN(1587,2416)))</f>
        <v>55079097.821921617</v>
      </c>
      <c r="B2725">
        <v>207972503.88205227</v>
      </c>
    </row>
    <row r="2726" spans="1:2" x14ac:dyDescent="0.25">
      <c r="A2726">
        <f ca="1">27981.8462299995*((RANDBETWEEN(1587,2416)))</f>
        <v>60524733.395488992</v>
      </c>
      <c r="B2726">
        <v>235117928.03654027</v>
      </c>
    </row>
    <row r="2727" spans="1:2" x14ac:dyDescent="0.25">
      <c r="A2727">
        <f ca="1">30667.9979764313*((RANDBETWEEN(1587,2416)))</f>
        <v>60262616.023687556</v>
      </c>
      <c r="B2727">
        <v>266556755.53577727</v>
      </c>
    </row>
    <row r="2728" spans="1:2" x14ac:dyDescent="0.25">
      <c r="A2728">
        <f ca="1">29860.5582413242*((RANDBETWEEN(1587,2416)))</f>
        <v>64498805.801260322</v>
      </c>
      <c r="B2728">
        <v>258720695.45252526</v>
      </c>
    </row>
    <row r="2729" spans="1:2" x14ac:dyDescent="0.25">
      <c r="A2729">
        <f ca="1">27307.1898699273*((RANDBETWEEN(1587,2416)))</f>
        <v>49862928.7024872</v>
      </c>
      <c r="B2729">
        <v>210986289.0120616</v>
      </c>
    </row>
    <row r="2730" spans="1:2" x14ac:dyDescent="0.25">
      <c r="A2730">
        <f ca="1">30280.6425759606*((RANDBETWEEN(1587,2416)))</f>
        <v>54232630.85354545</v>
      </c>
      <c r="B2730">
        <v>267767601.02188921</v>
      </c>
    </row>
    <row r="2731" spans="1:2" x14ac:dyDescent="0.25">
      <c r="A2731">
        <f ca="1">30933.3096627231*((RANDBETWEEN(1587,2416)))</f>
        <v>54442625.006392732</v>
      </c>
      <c r="B2731">
        <v>257404472.0706667</v>
      </c>
    </row>
    <row r="2732" spans="1:2" x14ac:dyDescent="0.25">
      <c r="A2732">
        <f ca="1">28099.2125330708*((RANDBETWEEN(1587,2416)))</f>
        <v>44705847.140115656</v>
      </c>
      <c r="B2732">
        <v>231132304.30785263</v>
      </c>
    </row>
    <row r="2733" spans="1:2" x14ac:dyDescent="0.25">
      <c r="A2733">
        <f ca="1">33531.5507318121*((RANDBETWEEN(1587,2416)))</f>
        <v>78530891.813903838</v>
      </c>
      <c r="B2733">
        <v>242105300.46209586</v>
      </c>
    </row>
    <row r="2734" spans="1:2" x14ac:dyDescent="0.25">
      <c r="A2734">
        <f ca="1">28849.0454640552*((RANDBETWEEN(1587,2416)))</f>
        <v>66064314.112686388</v>
      </c>
      <c r="B2734">
        <v>241232783.47014666</v>
      </c>
    </row>
    <row r="2735" spans="1:2" x14ac:dyDescent="0.25">
      <c r="A2735">
        <f ca="1">27135.6095119671*((RANDBETWEEN(1587,2416)))</f>
        <v>47351638.598382525</v>
      </c>
      <c r="B2735">
        <v>203812610.61597055</v>
      </c>
    </row>
    <row r="2736" spans="1:2" x14ac:dyDescent="0.25">
      <c r="A2736">
        <f ca="1">30816.2397337029*((RANDBETWEEN(1587,2416)))</f>
        <v>59259629.007910706</v>
      </c>
      <c r="B2736">
        <v>220191572.8073194</v>
      </c>
    </row>
    <row r="2737" spans="1:2" x14ac:dyDescent="0.25">
      <c r="A2737">
        <f ca="1">30388.1624783814*((RANDBETWEEN(1587,2416)))</f>
        <v>54364422.673824355</v>
      </c>
      <c r="B2737">
        <v>239743067.44250348</v>
      </c>
    </row>
    <row r="2738" spans="1:2" x14ac:dyDescent="0.25">
      <c r="A2738">
        <f ca="1">30897.8511318753*((RANDBETWEEN(1587,2416)))</f>
        <v>71250444.710104421</v>
      </c>
      <c r="B2738">
        <v>233497738.07851842</v>
      </c>
    </row>
    <row r="2739" spans="1:2" x14ac:dyDescent="0.25">
      <c r="A2739">
        <f ca="1">30857.4119823411*((RANDBETWEEN(1587,2416)))</f>
        <v>49495288.819675051</v>
      </c>
      <c r="B2739">
        <v>256504848.95379174</v>
      </c>
    </row>
    <row r="2740" spans="1:2" x14ac:dyDescent="0.25">
      <c r="A2740">
        <f ca="1">27358.6687214759*((RANDBETWEEN(1587,2416)))</f>
        <v>45442748.746371545</v>
      </c>
      <c r="B2740">
        <v>212045909.10094893</v>
      </c>
    </row>
    <row r="2741" spans="1:2" x14ac:dyDescent="0.25">
      <c r="A2741">
        <f ca="1">30650.7255068217*((RANDBETWEEN(1587,2416)))</f>
        <v>56581239.285592832</v>
      </c>
      <c r="B2741">
        <v>261323431.39476204</v>
      </c>
    </row>
    <row r="2742" spans="1:2" x14ac:dyDescent="0.25">
      <c r="A2742">
        <f ca="1">29873.2583841745*((RANDBETWEEN(1587,2416)))</f>
        <v>57565768.906304345</v>
      </c>
      <c r="B2742">
        <v>225214513.28364334</v>
      </c>
    </row>
    <row r="2743" spans="1:2" x14ac:dyDescent="0.25">
      <c r="A2743">
        <f ca="1">31031.405606857*((RANDBETWEEN(1587,2416)))</f>
        <v>71310170.084557295</v>
      </c>
      <c r="B2743">
        <v>228975844.92715698</v>
      </c>
    </row>
    <row r="2744" spans="1:2" x14ac:dyDescent="0.25">
      <c r="A2744">
        <f ca="1">32100.9598296751*((RANDBETWEEN(1587,2416)))</f>
        <v>62821578.386674143</v>
      </c>
      <c r="B2744">
        <v>207416404.63831958</v>
      </c>
    </row>
    <row r="2745" spans="1:2" x14ac:dyDescent="0.25">
      <c r="A2745">
        <f ca="1">27275.7915736767*((RANDBETWEEN(1587,2416)))</f>
        <v>62843423.785751164</v>
      </c>
      <c r="B2745">
        <v>205519866.22059122</v>
      </c>
    </row>
    <row r="2746" spans="1:2" x14ac:dyDescent="0.25">
      <c r="A2746">
        <f ca="1">31108.4357993507*((RANDBETWEEN(1587,2416)))</f>
        <v>67069787.583400019</v>
      </c>
      <c r="B2746">
        <v>243688654.78224304</v>
      </c>
    </row>
    <row r="2747" spans="1:2" x14ac:dyDescent="0.25">
      <c r="A2747">
        <f ca="1">28425.7829765182*((RANDBETWEEN(1587,2416)))</f>
        <v>53639452.476689883</v>
      </c>
      <c r="B2747">
        <v>210115446.68557331</v>
      </c>
    </row>
    <row r="2748" spans="1:2" x14ac:dyDescent="0.25">
      <c r="A2748">
        <f ca="1">31008.1057009642*((RANDBETWEEN(1587,2416)))</f>
        <v>68869002.761841506</v>
      </c>
      <c r="B2748">
        <v>243489518.62993786</v>
      </c>
    </row>
    <row r="2749" spans="1:2" x14ac:dyDescent="0.25">
      <c r="A2749">
        <f ca="1">28820.0947243292*((RANDBETWEEN(1587,2416)))</f>
        <v>66545598.718476012</v>
      </c>
      <c r="B2749">
        <v>205733545.81273243</v>
      </c>
    </row>
    <row r="2750" spans="1:2" x14ac:dyDescent="0.25">
      <c r="A2750">
        <f ca="1">29191.6180058354*((RANDBETWEEN(1587,2416)))</f>
        <v>62586829.004511029</v>
      </c>
      <c r="B2750">
        <v>224485179.09877995</v>
      </c>
    </row>
    <row r="2751" spans="1:2" x14ac:dyDescent="0.25">
      <c r="A2751">
        <f ca="1">26184.4045588227*((RANDBETWEEN(1587,2416)))</f>
        <v>50719191.630439557</v>
      </c>
      <c r="B2751">
        <v>222417157.4123491</v>
      </c>
    </row>
    <row r="2752" spans="1:2" x14ac:dyDescent="0.25">
      <c r="A2752">
        <f ca="1">29917.8256010133*((RANDBETWEEN(1587,2416)))</f>
        <v>64622503.298188724</v>
      </c>
      <c r="B2752">
        <v>242527560.39622223</v>
      </c>
    </row>
    <row r="2753" spans="1:2" x14ac:dyDescent="0.25">
      <c r="A2753">
        <f ca="1">29743.4996374288*((RANDBETWEEN(1587,2416)))</f>
        <v>61509557.250202738</v>
      </c>
      <c r="B2753">
        <v>225856878.35633007</v>
      </c>
    </row>
    <row r="2754" spans="1:2" x14ac:dyDescent="0.25">
      <c r="A2754">
        <f ca="1">33895.0890951262*((RANDBETWEEN(1587,2416)))</f>
        <v>79450088.838975742</v>
      </c>
      <c r="B2754">
        <v>244384025.98318249</v>
      </c>
    </row>
    <row r="2755" spans="1:2" x14ac:dyDescent="0.25">
      <c r="A2755">
        <f ca="1">32116.0352563021*((RANDBETWEEN(1587,2416)))</f>
        <v>74091693.336289018</v>
      </c>
      <c r="B2755">
        <v>235943103.0226711</v>
      </c>
    </row>
    <row r="2756" spans="1:2" x14ac:dyDescent="0.25">
      <c r="A2756">
        <f ca="1">30980.2780459817*((RANDBETWEEN(1587,2416)))</f>
        <v>70201310.052194625</v>
      </c>
      <c r="B2756">
        <v>256277790.40627223</v>
      </c>
    </row>
    <row r="2757" spans="1:2" x14ac:dyDescent="0.25">
      <c r="A2757">
        <f ca="1">29961.7086295276*((RANDBETWEEN(1587,2416)))</f>
        <v>52972300.857004791</v>
      </c>
      <c r="B2757">
        <v>209742052.44781187</v>
      </c>
    </row>
    <row r="2758" spans="1:2" x14ac:dyDescent="0.25">
      <c r="A2758">
        <f ca="1">27134.5556957034*((RANDBETWEEN(1587,2416)))</f>
        <v>44527805.896649309</v>
      </c>
      <c r="B2758">
        <v>225226202.67266166</v>
      </c>
    </row>
    <row r="2759" spans="1:2" x14ac:dyDescent="0.25">
      <c r="A2759">
        <f ca="1">25734.2898662119*((RANDBETWEEN(1587,2416)))</f>
        <v>41457940.974467389</v>
      </c>
      <c r="B2759">
        <v>222120536.63439739</v>
      </c>
    </row>
    <row r="2760" spans="1:2" x14ac:dyDescent="0.25">
      <c r="A2760">
        <f ca="1">28451.4486774782*((RANDBETWEEN(1587,2416)))</f>
        <v>66092715.277781755</v>
      </c>
      <c r="B2760">
        <v>233038254.97774568</v>
      </c>
    </row>
    <row r="2761" spans="1:2" x14ac:dyDescent="0.25">
      <c r="A2761">
        <f ca="1">28255.9566895242*((RANDBETWEEN(1587,2416)))</f>
        <v>57755175.47338739</v>
      </c>
      <c r="B2761">
        <v>217800883.10895774</v>
      </c>
    </row>
    <row r="2762" spans="1:2" x14ac:dyDescent="0.25">
      <c r="A2762">
        <f ca="1">26689.6914094124*((RANDBETWEEN(1587,2416)))</f>
        <v>58770700.483526036</v>
      </c>
      <c r="B2762">
        <v>221795115.32585675</v>
      </c>
    </row>
    <row r="2763" spans="1:2" x14ac:dyDescent="0.25">
      <c r="A2763">
        <f ca="1">29328.2377755606*((RANDBETWEEN(1587,2416)))</f>
        <v>69390610.576976389</v>
      </c>
      <c r="B2763">
        <v>238411050.07375315</v>
      </c>
    </row>
    <row r="2764" spans="1:2" x14ac:dyDescent="0.25">
      <c r="A2764">
        <f ca="1">31755.4844439269*((RANDBETWEEN(1587,2416)))</f>
        <v>75641563.94543393</v>
      </c>
      <c r="B2764">
        <v>226619784.05919325</v>
      </c>
    </row>
    <row r="2765" spans="1:2" x14ac:dyDescent="0.25">
      <c r="A2765">
        <f ca="1">33583.5405914228*((RANDBETWEEN(1587,2416)))</f>
        <v>66327492.668060124</v>
      </c>
      <c r="B2765">
        <v>261263628.53019395</v>
      </c>
    </row>
    <row r="2766" spans="1:2" x14ac:dyDescent="0.25">
      <c r="A2766">
        <f ca="1">31856.3933979291*((RANDBETWEEN(1587,2416)))</f>
        <v>59794450.407912873</v>
      </c>
      <c r="B2766">
        <v>247520867.66149837</v>
      </c>
    </row>
    <row r="2767" spans="1:2" x14ac:dyDescent="0.25">
      <c r="A2767">
        <f ca="1">29978.5522920194*((RANDBETWEEN(1587,2416)))</f>
        <v>61036332.466551542</v>
      </c>
      <c r="B2767">
        <v>211304628.06605214</v>
      </c>
    </row>
    <row r="2768" spans="1:2" x14ac:dyDescent="0.25">
      <c r="A2768">
        <f ca="1">27824.9782321368*((RANDBETWEEN(1587,2416)))</f>
        <v>46523363.604132794</v>
      </c>
      <c r="B2768">
        <v>253630486.75275004</v>
      </c>
    </row>
    <row r="2769" spans="1:2" x14ac:dyDescent="0.25">
      <c r="A2769">
        <f ca="1">31609.0745755354*((RANDBETWEEN(1587,2416)))</f>
        <v>55948061.998697683</v>
      </c>
      <c r="B2769">
        <v>248905195.52004755</v>
      </c>
    </row>
    <row r="2770" spans="1:2" x14ac:dyDescent="0.25">
      <c r="A2770">
        <f ca="1">26743.8320800482*((RANDBETWEEN(1587,2416)))</f>
        <v>50786537.120011471</v>
      </c>
      <c r="B2770">
        <v>247194176.6231426</v>
      </c>
    </row>
    <row r="2771" spans="1:2" x14ac:dyDescent="0.25">
      <c r="A2771">
        <f ca="1">29803.7638235012*((RANDBETWEEN(1587,2416)))</f>
        <v>66671019.673172079</v>
      </c>
      <c r="B2771">
        <v>244825832.23236892</v>
      </c>
    </row>
    <row r="2772" spans="1:2" x14ac:dyDescent="0.25">
      <c r="A2772">
        <f ca="1">30494.8065349293*((RANDBETWEEN(1587,2416)))</f>
        <v>56201928.443874747</v>
      </c>
      <c r="B2772">
        <v>219345677.39774287</v>
      </c>
    </row>
    <row r="2773" spans="1:2" x14ac:dyDescent="0.25">
      <c r="A2773">
        <f ca="1">29827.7561606041*((RANDBETWEEN(1587,2416)))</f>
        <v>70244365.75822255</v>
      </c>
      <c r="B2773">
        <v>211453205.81876528</v>
      </c>
    </row>
    <row r="2774" spans="1:2" x14ac:dyDescent="0.25">
      <c r="A2774">
        <f ca="1">30034.7152492427*((RANDBETWEEN(1587,2416)))</f>
        <v>48746342.849520922</v>
      </c>
      <c r="B2774">
        <v>253842950.21867317</v>
      </c>
    </row>
    <row r="2775" spans="1:2" x14ac:dyDescent="0.25">
      <c r="A2775">
        <f ca="1">26420.4931549482*((RANDBETWEEN(1587,2416)))</f>
        <v>47847513.103611283</v>
      </c>
      <c r="B2775">
        <v>230829787.57558835</v>
      </c>
    </row>
    <row r="2776" spans="1:2" x14ac:dyDescent="0.25">
      <c r="A2776">
        <f ca="1">26659.993863851*((RANDBETWEEN(1587,2416)))</f>
        <v>44442209.771039724</v>
      </c>
      <c r="B2776">
        <v>245091587.77924213</v>
      </c>
    </row>
    <row r="2777" spans="1:2" x14ac:dyDescent="0.25">
      <c r="A2777">
        <f ca="1">30090.4286677954*((RANDBETWEEN(1587,2416)))</f>
        <v>64874964.207766794</v>
      </c>
      <c r="B2777">
        <v>242591824.38607436</v>
      </c>
    </row>
    <row r="2778" spans="1:2" x14ac:dyDescent="0.25">
      <c r="A2778">
        <f ca="1">32959.4557563506*((RANDBETWEEN(1587,2416)))</f>
        <v>73334789.057880133</v>
      </c>
      <c r="B2778">
        <v>253875184.02679574</v>
      </c>
    </row>
    <row r="2779" spans="1:2" x14ac:dyDescent="0.25">
      <c r="A2779">
        <f ca="1">30644.5274200116*((RANDBETWEEN(1587,2416)))</f>
        <v>71463037.94346714</v>
      </c>
      <c r="B2779">
        <v>223828591.67261103</v>
      </c>
    </row>
    <row r="2780" spans="1:2" x14ac:dyDescent="0.25">
      <c r="A2780">
        <f ca="1">29780.197605885*((RANDBETWEEN(1587,2416)))</f>
        <v>66499181.253941223</v>
      </c>
      <c r="B2780">
        <v>216088492.22696215</v>
      </c>
    </row>
    <row r="2781" spans="1:2" x14ac:dyDescent="0.25">
      <c r="A2781">
        <f ca="1">33053.9694997653*((RANDBETWEEN(1587,2416)))</f>
        <v>78238745.805944458</v>
      </c>
      <c r="B2781">
        <v>217686127.17911065</v>
      </c>
    </row>
    <row r="2782" spans="1:2" x14ac:dyDescent="0.25">
      <c r="A2782">
        <f ca="1">34647.1249281424*((RANDBETWEEN(1587,2416)))</f>
        <v>71650254.351398543</v>
      </c>
      <c r="B2782">
        <v>211541273.4347752</v>
      </c>
    </row>
    <row r="2783" spans="1:2" x14ac:dyDescent="0.25">
      <c r="A2783">
        <f ca="1">32266.5050757739*((RANDBETWEEN(1587,2416)))</f>
        <v>62693819.362228692</v>
      </c>
      <c r="B2783">
        <v>203923811.00773969</v>
      </c>
    </row>
    <row r="2784" spans="1:2" x14ac:dyDescent="0.25">
      <c r="A2784">
        <f ca="1">32481.8476799787*((RANDBETWEEN(1587,2416)))</f>
        <v>55543959.532763541</v>
      </c>
      <c r="B2784">
        <v>211383010.26738614</v>
      </c>
    </row>
    <row r="2785" spans="1:2" x14ac:dyDescent="0.25">
      <c r="A2785">
        <f ca="1">31815.0792342964*((RANDBETWEEN(1587,2416)))</f>
        <v>75210847.309876755</v>
      </c>
      <c r="B2785">
        <v>205192327.81552735</v>
      </c>
    </row>
    <row r="2786" spans="1:2" x14ac:dyDescent="0.25">
      <c r="A2786">
        <f ca="1">30688.7112244843*((RANDBETWEEN(1587,2416)))</f>
        <v>58738193.283662893</v>
      </c>
      <c r="B2786">
        <v>236922020.50920451</v>
      </c>
    </row>
    <row r="2787" spans="1:2" x14ac:dyDescent="0.25">
      <c r="A2787">
        <f ca="1">33783.0350193342*((RANDBETWEEN(1587,2416)))</f>
        <v>74525375.25265114</v>
      </c>
      <c r="B2787">
        <v>244515900.87183964</v>
      </c>
    </row>
    <row r="2788" spans="1:2" x14ac:dyDescent="0.25">
      <c r="A2788">
        <f ca="1">27685.8825597978*((RANDBETWEEN(1587,2416)))</f>
        <v>64674221.659687571</v>
      </c>
      <c r="B2788">
        <v>240232524.35516587</v>
      </c>
    </row>
    <row r="2789" spans="1:2" x14ac:dyDescent="0.25">
      <c r="A2789">
        <f ca="1">28043.77667102*((RANDBETWEEN(1587,2416)))</f>
        <v>64528730.120017096</v>
      </c>
      <c r="B2789">
        <v>206665868.44912079</v>
      </c>
    </row>
    <row r="2790" spans="1:2" x14ac:dyDescent="0.25">
      <c r="A2790">
        <f ca="1">26358.5851757942*((RANDBETWEEN(1587,2416)))</f>
        <v>54140533.951081328</v>
      </c>
      <c r="B2790">
        <v>245152500.09637716</v>
      </c>
    </row>
    <row r="2791" spans="1:2" x14ac:dyDescent="0.25">
      <c r="A2791">
        <f ca="1">29814.8970690037*((RANDBETWEEN(1587,2416)))</f>
        <v>57184972.578349166</v>
      </c>
      <c r="B2791">
        <v>213090115.30204493</v>
      </c>
    </row>
    <row r="2792" spans="1:2" x14ac:dyDescent="0.25">
      <c r="A2792">
        <f ca="1">27307.4080364041*((RANDBETWEEN(1587,2416)))</f>
        <v>44128771.386829026</v>
      </c>
      <c r="B2792">
        <v>209137462.15278327</v>
      </c>
    </row>
    <row r="2793" spans="1:2" x14ac:dyDescent="0.25">
      <c r="A2793">
        <f ca="1">29710.4973686339*((RANDBETWEEN(1587,2416)))</f>
        <v>60698546.124119222</v>
      </c>
      <c r="B2793">
        <v>235479804.93754241</v>
      </c>
    </row>
    <row r="2794" spans="1:2" x14ac:dyDescent="0.25">
      <c r="A2794">
        <f ca="1">27025.3884237555*((RANDBETWEEN(1587,2416)))</f>
        <v>51645517.27779673</v>
      </c>
      <c r="B2794">
        <v>250625845.7294212</v>
      </c>
    </row>
    <row r="2795" spans="1:2" x14ac:dyDescent="0.25">
      <c r="A2795">
        <f ca="1">30753.1880594221*((RANDBETWEEN(1587,2416)))</f>
        <v>49389620.023431949</v>
      </c>
      <c r="B2795">
        <v>259437938.15133223</v>
      </c>
    </row>
    <row r="2796" spans="1:2" x14ac:dyDescent="0.25">
      <c r="A2796">
        <f ca="1">28459.1238613007*((RANDBETWEEN(1587,2416)))</f>
        <v>65541362.252575584</v>
      </c>
      <c r="B2796">
        <v>235862114.30605191</v>
      </c>
    </row>
    <row r="2797" spans="1:2" x14ac:dyDescent="0.25">
      <c r="A2797">
        <f ca="1">30671.0605400569*((RANDBETWEEN(1587,2416)))</f>
        <v>49840473.377592497</v>
      </c>
      <c r="B2797">
        <v>252835679.88447714</v>
      </c>
    </row>
    <row r="2798" spans="1:2" x14ac:dyDescent="0.25">
      <c r="A2798">
        <f ca="1">29410.0181584564*((RANDBETWEEN(1587,2416)))</f>
        <v>68672392.399995744</v>
      </c>
      <c r="B2798">
        <v>230428611.95929366</v>
      </c>
    </row>
    <row r="2799" spans="1:2" x14ac:dyDescent="0.25">
      <c r="A2799">
        <f ca="1">33175.0067697364*((RANDBETWEEN(1587,2416)))</f>
        <v>71790714.649709567</v>
      </c>
      <c r="B2799">
        <v>234659728.98497662</v>
      </c>
    </row>
    <row r="2800" spans="1:2" x14ac:dyDescent="0.25">
      <c r="A2800">
        <f ca="1">29744.5897106852*((RANDBETWEEN(1587,2416)))</f>
        <v>62047214.136489272</v>
      </c>
      <c r="B2800">
        <v>254016532.52737939</v>
      </c>
    </row>
    <row r="2801" spans="1:2" x14ac:dyDescent="0.25">
      <c r="A2801">
        <f ca="1">28145.2696128768*((RANDBETWEEN(1587,2416)))</f>
        <v>61694430.991426036</v>
      </c>
      <c r="B2801">
        <v>215887545.37253168</v>
      </c>
    </row>
    <row r="2802" spans="1:2" x14ac:dyDescent="0.25">
      <c r="A2802">
        <f ca="1">30194.3216997473*((RANDBETWEEN(1587,2416)))</f>
        <v>62411662.953377597</v>
      </c>
      <c r="B2802">
        <v>217471727.39741433</v>
      </c>
    </row>
    <row r="2803" spans="1:2" x14ac:dyDescent="0.25">
      <c r="A2803">
        <f ca="1">28506.5411018533*((RANDBETWEEN(1587,2416)))</f>
        <v>65964136.109688647</v>
      </c>
      <c r="B2803">
        <v>233005314.01753569</v>
      </c>
    </row>
    <row r="2804" spans="1:2" x14ac:dyDescent="0.25">
      <c r="A2804">
        <f ca="1">31018.4063339129*((RANDBETWEEN(1587,2416)))</f>
        <v>70256690.346312746</v>
      </c>
      <c r="B2804">
        <v>256700626.69719693</v>
      </c>
    </row>
    <row r="2805" spans="1:2" x14ac:dyDescent="0.25">
      <c r="A2805">
        <f ca="1">27696.9244076278*((RANDBETWEEN(1587,2416)))</f>
        <v>58717479.744171023</v>
      </c>
      <c r="B2805">
        <v>225530929.0154866</v>
      </c>
    </row>
    <row r="2806" spans="1:2" x14ac:dyDescent="0.25">
      <c r="A2806">
        <f ca="1">31303.7995788264*((RANDBETWEEN(1587,2416)))</f>
        <v>57692902.623777106</v>
      </c>
      <c r="B2806">
        <v>266201224.72250205</v>
      </c>
    </row>
    <row r="2807" spans="1:2" x14ac:dyDescent="0.25">
      <c r="A2807">
        <f ca="1">30071.6626185388*((RANDBETWEEN(1587,2416)))</f>
        <v>53226842.834813759</v>
      </c>
      <c r="B2807">
        <v>241756546.09423453</v>
      </c>
    </row>
    <row r="2808" spans="1:2" x14ac:dyDescent="0.25">
      <c r="A2808">
        <f ca="1">33514.0932859659*((RANDBETWEEN(1587,2416)))</f>
        <v>67463869.784649342</v>
      </c>
      <c r="B2808">
        <v>206008877.37561506</v>
      </c>
    </row>
    <row r="2809" spans="1:2" x14ac:dyDescent="0.25">
      <c r="A2809">
        <f ca="1">30713.5167615265*((RANDBETWEEN(1587,2416)))</f>
        <v>71531780.537595198</v>
      </c>
      <c r="B2809">
        <v>239592005.96447721</v>
      </c>
    </row>
    <row r="2810" spans="1:2" x14ac:dyDescent="0.25">
      <c r="A2810">
        <f ca="1">32081.3350860144*((RANDBETWEEN(1587,2416)))</f>
        <v>76321496.169628307</v>
      </c>
      <c r="B2810">
        <v>206268669.37175563</v>
      </c>
    </row>
    <row r="2811" spans="1:2" x14ac:dyDescent="0.25">
      <c r="A2811">
        <f ca="1">30454.7852715442*((RANDBETWEEN(1587,2416)))</f>
        <v>68005535.511358202</v>
      </c>
      <c r="B2811">
        <v>246800046.53671134</v>
      </c>
    </row>
    <row r="2812" spans="1:2" x14ac:dyDescent="0.25">
      <c r="A2812">
        <f ca="1">29853.7390813467*((RANDBETWEEN(1587,2416)))</f>
        <v>63469049.286943108</v>
      </c>
      <c r="B2812">
        <v>267819499.1523549</v>
      </c>
    </row>
    <row r="2813" spans="1:2" x14ac:dyDescent="0.25">
      <c r="A2813">
        <f ca="1">28506.0037956181*((RANDBETWEEN(1587,2416)))</f>
        <v>51396324.843499504</v>
      </c>
      <c r="B2813">
        <v>266731628.12454653</v>
      </c>
    </row>
    <row r="2814" spans="1:2" x14ac:dyDescent="0.25">
      <c r="A2814">
        <f ca="1">27387.4572293433*((RANDBETWEEN(1587,2416)))</f>
        <v>53569866.340595543</v>
      </c>
      <c r="B2814">
        <v>212199644.7229614</v>
      </c>
    </row>
    <row r="2815" spans="1:2" x14ac:dyDescent="0.25">
      <c r="A2815">
        <f ca="1">31043.5113860919*((RANDBETWEEN(1587,2416)))</f>
        <v>62304327.351886488</v>
      </c>
      <c r="B2815">
        <v>245154961.69790217</v>
      </c>
    </row>
    <row r="2816" spans="1:2" x14ac:dyDescent="0.25">
      <c r="A2816">
        <f ca="1">33093.1487906957*((RANDBETWEEN(1587,2416)))</f>
        <v>59005084.293810405</v>
      </c>
      <c r="B2816">
        <v>265453543.79236051</v>
      </c>
    </row>
    <row r="2817" spans="1:2" x14ac:dyDescent="0.25">
      <c r="A2817">
        <f ca="1">30794.0644843205*((RANDBETWEEN(1587,2416)))</f>
        <v>59186191.938864075</v>
      </c>
      <c r="B2817">
        <v>241513206.71380764</v>
      </c>
    </row>
    <row r="2818" spans="1:2" x14ac:dyDescent="0.25">
      <c r="A2818">
        <f ca="1">26902.5710480707*((RANDBETWEEN(1587,2416)))</f>
        <v>49339315.302161656</v>
      </c>
      <c r="B2818">
        <v>210486834.09786209</v>
      </c>
    </row>
    <row r="2819" spans="1:2" x14ac:dyDescent="0.25">
      <c r="A2819">
        <f ca="1">29345.8649090799*((RANDBETWEEN(1587,2416)))</f>
        <v>57958083.195432842</v>
      </c>
      <c r="B2819">
        <v>234623983.87145701</v>
      </c>
    </row>
    <row r="2820" spans="1:2" x14ac:dyDescent="0.25">
      <c r="A2820">
        <f ca="1">32591.8642813614*((RANDBETWEEN(1587,2416)))</f>
        <v>71148039.726211876</v>
      </c>
      <c r="B2820">
        <v>228702175.04972351</v>
      </c>
    </row>
    <row r="2821" spans="1:2" x14ac:dyDescent="0.25">
      <c r="A2821">
        <f ca="1">26634.9252489387*((RANDBETWEEN(1587,2416)))</f>
        <v>62352360.007765606</v>
      </c>
      <c r="B2821">
        <v>232743803.38895151</v>
      </c>
    </row>
    <row r="2822" spans="1:2" x14ac:dyDescent="0.25">
      <c r="A2822">
        <f ca="1">28118.6866247425*((RANDBETWEEN(1587,2416)))</f>
        <v>58458749.492839657</v>
      </c>
      <c r="B2822">
        <v>207651573.4478893</v>
      </c>
    </row>
    <row r="2823" spans="1:2" x14ac:dyDescent="0.25">
      <c r="A2823">
        <f ca="1">29272.7978310593*((RANDBETWEEN(1587,2416)))</f>
        <v>52456853.713258281</v>
      </c>
      <c r="B2823">
        <v>256078860.79922855</v>
      </c>
    </row>
    <row r="2824" spans="1:2" x14ac:dyDescent="0.25">
      <c r="A2824">
        <f ca="1">30434.879705241*((RANDBETWEEN(1587,2416)))</f>
        <v>53656692.920339964</v>
      </c>
      <c r="B2824">
        <v>262372167.35692763</v>
      </c>
    </row>
    <row r="2825" spans="1:2" x14ac:dyDescent="0.25">
      <c r="A2825">
        <f ca="1">29302.1541767205*((RANDBETWEEN(1587,2416)))</f>
        <v>59922905.291393384</v>
      </c>
      <c r="B2825">
        <v>241766675.07410032</v>
      </c>
    </row>
    <row r="2826" spans="1:2" x14ac:dyDescent="0.25">
      <c r="A2826">
        <f ca="1">32462.5216399207*((RANDBETWEEN(1587,2416)))</f>
        <v>62652666.765047088</v>
      </c>
      <c r="B2826">
        <v>231964596.97718492</v>
      </c>
    </row>
    <row r="2827" spans="1:2" x14ac:dyDescent="0.25">
      <c r="A2827">
        <f ca="1">28927.6884842545*((RANDBETWEEN(1587,2416)))</f>
        <v>51028442.486224964</v>
      </c>
      <c r="B2827">
        <v>265728265.99273077</v>
      </c>
    </row>
    <row r="2828" spans="1:2" x14ac:dyDescent="0.25">
      <c r="A2828">
        <f ca="1">26863.9100124153*((RANDBETWEEN(1587,2416)))</f>
        <v>49026635.772657961</v>
      </c>
      <c r="B2828">
        <v>246071324.56323951</v>
      </c>
    </row>
    <row r="2829" spans="1:2" x14ac:dyDescent="0.25">
      <c r="A2829">
        <f ca="1">31227.709518142*((RANDBETWEEN(1587,2416)))</f>
        <v>50182929.195654146</v>
      </c>
      <c r="B2829">
        <v>265739387.80104446</v>
      </c>
    </row>
    <row r="2830" spans="1:2" x14ac:dyDescent="0.25">
      <c r="A2830">
        <f ca="1">27431.9049524169*((RANDBETWEEN(1587,2416)))</f>
        <v>63916338.539131351</v>
      </c>
      <c r="B2830">
        <v>236169278.88655266</v>
      </c>
    </row>
    <row r="2831" spans="1:2" x14ac:dyDescent="0.25">
      <c r="A2831">
        <f ca="1">33996.4185329699*((RANDBETWEEN(1587,2416)))</f>
        <v>67210919.43968153</v>
      </c>
      <c r="B2831">
        <v>230120495.33655807</v>
      </c>
    </row>
    <row r="2832" spans="1:2" x14ac:dyDescent="0.25">
      <c r="A2832">
        <f ca="1">28119.5242287519*((RANDBETWEEN(1587,2416)))</f>
        <v>53652052.22845865</v>
      </c>
      <c r="B2832">
        <v>256829274.94561815</v>
      </c>
    </row>
    <row r="2833" spans="1:2" x14ac:dyDescent="0.25">
      <c r="A2833">
        <f ca="1">26636.6609247257*((RANDBETWEEN(1587,2416)))</f>
        <v>49810555.92923712</v>
      </c>
      <c r="B2833">
        <v>210163949.33851531</v>
      </c>
    </row>
    <row r="2834" spans="1:2" x14ac:dyDescent="0.25">
      <c r="A2834">
        <f ca="1">28682.5446759892*((RANDBETWEEN(1587,2416)))</f>
        <v>58168200.602906138</v>
      </c>
      <c r="B2834">
        <v>231208982.99870422</v>
      </c>
    </row>
    <row r="2835" spans="1:2" x14ac:dyDescent="0.25">
      <c r="A2835">
        <f ca="1">27966.5225806307*((RANDBETWEEN(1587,2416)))</f>
        <v>53108426.380617686</v>
      </c>
      <c r="B2835">
        <v>209209833.33877411</v>
      </c>
    </row>
    <row r="2836" spans="1:2" x14ac:dyDescent="0.25">
      <c r="A2836">
        <f ca="1">28572.3386873803*((RANDBETWEEN(1587,2416)))</f>
        <v>48715837.461983472</v>
      </c>
      <c r="B2836">
        <v>241983004.08332539</v>
      </c>
    </row>
    <row r="2837" spans="1:2" x14ac:dyDescent="0.25">
      <c r="A2837">
        <f ca="1">32060.4335724076*((RANDBETWEEN(1587,2416)))</f>
        <v>70532953.859296784</v>
      </c>
      <c r="B2837">
        <v>216782914.89782366</v>
      </c>
    </row>
    <row r="2838" spans="1:2" x14ac:dyDescent="0.25">
      <c r="A2838">
        <f ca="1">27755.9566641063*((RANDBETWEEN(1587,2416)))</f>
        <v>52791829.575130254</v>
      </c>
      <c r="B2838">
        <v>226397823.34833804</v>
      </c>
    </row>
    <row r="2839" spans="1:2" x14ac:dyDescent="0.25">
      <c r="A2839">
        <f ca="1">30885.5463384895*((RANDBETWEEN(1587,2416)))</f>
        <v>57755971.652975388</v>
      </c>
      <c r="B2839">
        <v>259888810.5443297</v>
      </c>
    </row>
    <row r="2840" spans="1:2" x14ac:dyDescent="0.25">
      <c r="A2840">
        <f ca="1">28704.5050380873*((RANDBETWEEN(1587,2416)))</f>
        <v>58327554.237393297</v>
      </c>
      <c r="B2840">
        <v>227714991.09939593</v>
      </c>
    </row>
    <row r="2841" spans="1:2" x14ac:dyDescent="0.25">
      <c r="A2841">
        <f ca="1">31810.1952192487*((RANDBETWEEN(1587,2416)))</f>
        <v>70268721.239320278</v>
      </c>
      <c r="B2841">
        <v>227553146.96823695</v>
      </c>
    </row>
    <row r="2842" spans="1:2" x14ac:dyDescent="0.25">
      <c r="A2842">
        <f ca="1">27788.5641457057*((RANDBETWEEN(1587,2416)))</f>
        <v>64719565.895348482</v>
      </c>
      <c r="B2842">
        <v>227041498.76405379</v>
      </c>
    </row>
    <row r="2843" spans="1:2" x14ac:dyDescent="0.25">
      <c r="A2843">
        <f ca="1">30309.2874348678*((RANDBETWEEN(1587,2416)))</f>
        <v>72742289.843682751</v>
      </c>
      <c r="B2843">
        <v>216441109.18444127</v>
      </c>
    </row>
    <row r="2844" spans="1:2" x14ac:dyDescent="0.25">
      <c r="A2844">
        <f ca="1">27596.3775483167*((RANDBETWEEN(1587,2416)))</f>
        <v>44816517.138466336</v>
      </c>
      <c r="B2844">
        <v>240811571.14036077</v>
      </c>
    </row>
    <row r="2845" spans="1:2" x14ac:dyDescent="0.25">
      <c r="A2845">
        <f ca="1">29034.441683741*((RANDBETWEEN(1587,2416)))</f>
        <v>47384208.827865288</v>
      </c>
      <c r="B2845">
        <v>211094331.54269716</v>
      </c>
    </row>
    <row r="2846" spans="1:2" x14ac:dyDescent="0.25">
      <c r="A2846">
        <f ca="1">25630.2927378672*((RANDBETWEEN(1587,2416)))</f>
        <v>53413530.065715179</v>
      </c>
      <c r="B2846">
        <v>213359287.75870332</v>
      </c>
    </row>
    <row r="2847" spans="1:2" x14ac:dyDescent="0.25">
      <c r="A2847">
        <f ca="1">31046.4657577024*((RANDBETWEEN(1587,2416)))</f>
        <v>50233181.595962487</v>
      </c>
      <c r="B2847">
        <v>267325425.40153784</v>
      </c>
    </row>
    <row r="2848" spans="1:2" x14ac:dyDescent="0.25">
      <c r="A2848">
        <f ca="1">31625.400679034*((RANDBETWEEN(1587,2416)))</f>
        <v>51897282.514294773</v>
      </c>
      <c r="B2848">
        <v>259303983.84698436</v>
      </c>
    </row>
    <row r="2849" spans="1:2" x14ac:dyDescent="0.25">
      <c r="A2849">
        <f ca="1">28843.5133039682*((RANDBETWEEN(1587,2416)))</f>
        <v>48976285.590138018</v>
      </c>
      <c r="B2849">
        <v>224080916.57746756</v>
      </c>
    </row>
    <row r="2850" spans="1:2" x14ac:dyDescent="0.25">
      <c r="A2850">
        <f ca="1">32330.3957145795*((RANDBETWEEN(1587,2416)))</f>
        <v>62785628.477713399</v>
      </c>
      <c r="B2850">
        <v>236886220.267129</v>
      </c>
    </row>
    <row r="2851" spans="1:2" x14ac:dyDescent="0.25">
      <c r="A2851">
        <f ca="1">30496.9668990424*((RANDBETWEEN(1587,2416)))</f>
        <v>64257109.256282285</v>
      </c>
      <c r="B2851">
        <v>234252520.50717327</v>
      </c>
    </row>
    <row r="2852" spans="1:2" x14ac:dyDescent="0.25">
      <c r="A2852">
        <f ca="1">31773.8608516333*((RANDBETWEEN(1587,2416)))</f>
        <v>53952015.726073332</v>
      </c>
      <c r="B2852">
        <v>230355656.44664991</v>
      </c>
    </row>
    <row r="2853" spans="1:2" x14ac:dyDescent="0.25">
      <c r="A2853">
        <f ca="1">28018.2051366048*((RANDBETWEEN(1587,2416)))</f>
        <v>56736865.401624776</v>
      </c>
      <c r="B2853">
        <v>207160944.49692172</v>
      </c>
    </row>
    <row r="2854" spans="1:2" x14ac:dyDescent="0.25">
      <c r="A2854">
        <f ca="1">30198.6278082677*((RANDBETWEEN(1587,2416)))</f>
        <v>60216063.849685803</v>
      </c>
      <c r="B2854">
        <v>221937861.78622752</v>
      </c>
    </row>
    <row r="2855" spans="1:2" x14ac:dyDescent="0.25">
      <c r="A2855">
        <f ca="1">30986.2698923528*((RANDBETWEEN(1587,2416)))</f>
        <v>66434562.649204418</v>
      </c>
      <c r="B2855">
        <v>256312908.24516681</v>
      </c>
    </row>
    <row r="2856" spans="1:2" x14ac:dyDescent="0.25">
      <c r="A2856">
        <f ca="1">32844.504437003*((RANDBETWEEN(1587,2416)))</f>
        <v>55310145.471913129</v>
      </c>
      <c r="B2856">
        <v>206691186.48881125</v>
      </c>
    </row>
    <row r="2857" spans="1:2" x14ac:dyDescent="0.25">
      <c r="A2857">
        <f ca="1">28699.4988019745*((RANDBETWEEN(1587,2416)))</f>
        <v>46206193.071178906</v>
      </c>
      <c r="B2857">
        <v>254526143.57089096</v>
      </c>
    </row>
    <row r="2858" spans="1:2" x14ac:dyDescent="0.25">
      <c r="A2858">
        <f ca="1">28460.9439652819*((RANDBETWEEN(1587,2416)))</f>
        <v>50518175.538375318</v>
      </c>
      <c r="B2858">
        <v>209856207.1463089</v>
      </c>
    </row>
    <row r="2859" spans="1:2" x14ac:dyDescent="0.25">
      <c r="A2859">
        <f ca="1">27810.0785079262*((RANDBETWEEN(1587,2416)))</f>
        <v>58011823.7675341</v>
      </c>
      <c r="B2859">
        <v>239771869.04103464</v>
      </c>
    </row>
    <row r="2860" spans="1:2" x14ac:dyDescent="0.25">
      <c r="A2860">
        <f ca="1">28938.6766928717*((RANDBETWEEN(1587,2416)))</f>
        <v>55099240.423227802</v>
      </c>
      <c r="B2860">
        <v>243373524.49254221</v>
      </c>
    </row>
    <row r="2861" spans="1:2" x14ac:dyDescent="0.25">
      <c r="A2861">
        <f ca="1">31243.3178963835*((RANDBETWEEN(1587,2416)))</f>
        <v>53957210.007054374</v>
      </c>
      <c r="B2861">
        <v>253776570.72056559</v>
      </c>
    </row>
    <row r="2862" spans="1:2" x14ac:dyDescent="0.25">
      <c r="A2862">
        <f ca="1">28995.9007362806*((RANDBETWEEN(1587,2416)))</f>
        <v>51380736.104689226</v>
      </c>
      <c r="B2862">
        <v>250868624.03346539</v>
      </c>
    </row>
    <row r="2863" spans="1:2" x14ac:dyDescent="0.25">
      <c r="A2863">
        <f ca="1">25836.969980362*((RANDBETWEEN(1587,2416)))</f>
        <v>50769646.011411354</v>
      </c>
      <c r="B2863">
        <v>235620970.69535956</v>
      </c>
    </row>
    <row r="2864" spans="1:2" x14ac:dyDescent="0.25">
      <c r="A2864">
        <f ca="1">27695.8003005663*((RANDBETWEEN(1587,2416)))</f>
        <v>49630874.138614736</v>
      </c>
      <c r="B2864">
        <v>217687721.68253025</v>
      </c>
    </row>
    <row r="2865" spans="1:2" x14ac:dyDescent="0.25">
      <c r="A2865">
        <f ca="1">29241.685071921*((RANDBETWEEN(1587,2416)))</f>
        <v>66963458.81469918</v>
      </c>
      <c r="B2865">
        <v>264105644.66649216</v>
      </c>
    </row>
    <row r="2866" spans="1:2" x14ac:dyDescent="0.25">
      <c r="A2866">
        <f ca="1">30361.2868368743*((RANDBETWEEN(1587,2416)))</f>
        <v>61269076.836812317</v>
      </c>
      <c r="B2866">
        <v>247711766.77689433</v>
      </c>
    </row>
    <row r="2867" spans="1:2" x14ac:dyDescent="0.25">
      <c r="A2867">
        <f ca="1">33289.6464004813*((RANDBETWEEN(1587,2416)))</f>
        <v>58689646.604048513</v>
      </c>
      <c r="B2867">
        <v>218681202.12870383</v>
      </c>
    </row>
    <row r="2868" spans="1:2" x14ac:dyDescent="0.25">
      <c r="A2868">
        <f ca="1">26645.7740047275*((RANDBETWEEN(1587,2416)))</f>
        <v>45111295.390003629</v>
      </c>
      <c r="B2868">
        <v>207035186.33280924</v>
      </c>
    </row>
    <row r="2869" spans="1:2" x14ac:dyDescent="0.25">
      <c r="A2869">
        <f ca="1">28211.6386143623*((RANDBETWEEN(1587,2416)))</f>
        <v>65648483.055621117</v>
      </c>
      <c r="B2869">
        <v>248613800.9845764</v>
      </c>
    </row>
    <row r="2870" spans="1:2" x14ac:dyDescent="0.25">
      <c r="A2870">
        <f ca="1">30202.2088866474*((RANDBETWEEN(1587,2416)))</f>
        <v>53608920.773799099</v>
      </c>
      <c r="B2870">
        <v>216256137.36446685</v>
      </c>
    </row>
    <row r="2871" spans="1:2" x14ac:dyDescent="0.25">
      <c r="A2871">
        <f ca="1">31566.1987931581*((RANDBETWEEN(1587,2416)))</f>
        <v>74085868.567542151</v>
      </c>
      <c r="B2871">
        <v>208673009.05497795</v>
      </c>
    </row>
    <row r="2872" spans="1:2" x14ac:dyDescent="0.25">
      <c r="A2872">
        <f ca="1">26114.8229440068*((RANDBETWEEN(1587,2416)))</f>
        <v>61735441.439632021</v>
      </c>
      <c r="B2872">
        <v>204022407.41622043</v>
      </c>
    </row>
    <row r="2873" spans="1:2" x14ac:dyDescent="0.25">
      <c r="A2873">
        <f ca="1">26567.1439457892*((RANDBETWEEN(1587,2416)))</f>
        <v>43729518.934768975</v>
      </c>
      <c r="B2873">
        <v>219551749.29333979</v>
      </c>
    </row>
    <row r="2874" spans="1:2" x14ac:dyDescent="0.25">
      <c r="A2874">
        <f ca="1">32100.2519914137*((RANDBETWEEN(1587,2416)))</f>
        <v>56207541.23696541</v>
      </c>
      <c r="B2874">
        <v>267458652.55465353</v>
      </c>
    </row>
    <row r="2875" spans="1:2" x14ac:dyDescent="0.25">
      <c r="A2875">
        <f ca="1">32958.9128632636*((RANDBETWEEN(1587,2416)))</f>
        <v>73003991.992128804</v>
      </c>
      <c r="B2875">
        <v>207399187.3166756</v>
      </c>
    </row>
    <row r="2876" spans="1:2" x14ac:dyDescent="0.25">
      <c r="A2876">
        <f ca="1">30985.0580103258*((RANDBETWEEN(1587,2416)))</f>
        <v>74364139.224781916</v>
      </c>
      <c r="B2876">
        <v>252539073.10962462</v>
      </c>
    </row>
    <row r="2877" spans="1:2" x14ac:dyDescent="0.25">
      <c r="A2877">
        <f ca="1">32699.8508595578*((RANDBETWEEN(1587,2416)))</f>
        <v>75732854.590735748</v>
      </c>
      <c r="B2877">
        <v>219940419.40175021</v>
      </c>
    </row>
    <row r="2878" spans="1:2" x14ac:dyDescent="0.25">
      <c r="A2878">
        <f ca="1">30007.9780384226*((RANDBETWEEN(1587,2416)))</f>
        <v>68268150.037411377</v>
      </c>
      <c r="B2878">
        <v>230818549.43932721</v>
      </c>
    </row>
    <row r="2879" spans="1:2" x14ac:dyDescent="0.25">
      <c r="A2879">
        <f ca="1">28301.0179377655*((RANDBETWEEN(1587,2416)))</f>
        <v>64979137.185109675</v>
      </c>
      <c r="B2879">
        <v>266804271.86046296</v>
      </c>
    </row>
    <row r="2880" spans="1:2" x14ac:dyDescent="0.25">
      <c r="A2880">
        <f ca="1">32245.3032045255*((RANDBETWEEN(1587,2416)))</f>
        <v>56654997.730351321</v>
      </c>
      <c r="B2880">
        <v>217575720.352999</v>
      </c>
    </row>
    <row r="2881" spans="1:2" x14ac:dyDescent="0.25">
      <c r="A2881">
        <f ca="1">31683.0476143057*((RANDBETWEEN(1587,2416)))</f>
        <v>59785910.848194785</v>
      </c>
      <c r="B2881">
        <v>227731345.84447718</v>
      </c>
    </row>
    <row r="2882" spans="1:2" x14ac:dyDescent="0.25">
      <c r="A2882">
        <f ca="1">27686.7307861107*((RANDBETWEEN(1587,2416)))</f>
        <v>66863454.848457351</v>
      </c>
      <c r="B2882">
        <v>226484680.13266322</v>
      </c>
    </row>
    <row r="2883" spans="1:2" x14ac:dyDescent="0.25">
      <c r="A2883">
        <f ca="1">27774.7395079824*((RANDBETWEEN(1587,2416)))</f>
        <v>64604044.095567077</v>
      </c>
      <c r="B2883">
        <v>236930058.41869339</v>
      </c>
    </row>
    <row r="2884" spans="1:2" x14ac:dyDescent="0.25">
      <c r="A2884">
        <f ca="1">30573.7093147755*((RANDBETWEEN(1587,2416)))</f>
        <v>59404717.198608711</v>
      </c>
      <c r="B2884">
        <v>231182971.67315397</v>
      </c>
    </row>
    <row r="2885" spans="1:2" x14ac:dyDescent="0.25">
      <c r="A2885">
        <f ca="1">28318.2224919028*((RANDBETWEEN(1587,2416)))</f>
        <v>57287764.101119332</v>
      </c>
      <c r="B2885">
        <v>207835681.20573461</v>
      </c>
    </row>
    <row r="2886" spans="1:2" x14ac:dyDescent="0.25">
      <c r="A2886">
        <f ca="1">29598.9978118886*((RANDBETWEEN(1587,2416)))</f>
        <v>63016266.341510803</v>
      </c>
      <c r="B2886">
        <v>211382091.45515642</v>
      </c>
    </row>
    <row r="2887" spans="1:2" x14ac:dyDescent="0.25">
      <c r="A2887">
        <f ca="1">29463.2117229395*((RANDBETWEEN(1587,2416)))</f>
        <v>63051273.087090626</v>
      </c>
      <c r="B2887">
        <v>207924040.39313906</v>
      </c>
    </row>
    <row r="2888" spans="1:2" x14ac:dyDescent="0.25">
      <c r="A2888">
        <f ca="1">31021.5845816038*((RANDBETWEEN(1587,2416)))</f>
        <v>49572492.161402948</v>
      </c>
      <c r="B2888">
        <v>227957437.15892032</v>
      </c>
    </row>
    <row r="2889" spans="1:2" x14ac:dyDescent="0.25">
      <c r="A2889">
        <f ca="1">28797.7524937198*((RANDBETWEEN(1587,2416)))</f>
        <v>51807156.736201882</v>
      </c>
      <c r="B2889">
        <v>221228573.11673698</v>
      </c>
    </row>
    <row r="2890" spans="1:2" x14ac:dyDescent="0.25">
      <c r="A2890">
        <f ca="1">29152.4453542294*((RANDBETWEEN(1587,2416)))</f>
        <v>57226250.230352305</v>
      </c>
      <c r="B2890">
        <v>208001771.8150135</v>
      </c>
    </row>
    <row r="2891" spans="1:2" x14ac:dyDescent="0.25">
      <c r="A2891">
        <f ca="1">28522.9843383263*((RANDBETWEEN(1587,2416)))</f>
        <v>67941748.693893313</v>
      </c>
      <c r="B2891">
        <v>261901865.71669823</v>
      </c>
    </row>
    <row r="2892" spans="1:2" x14ac:dyDescent="0.25">
      <c r="A2892">
        <f ca="1">34820.8499531182*((RANDBETWEEN(1587,2416)))</f>
        <v>71278279.854033008</v>
      </c>
      <c r="B2892">
        <v>256743019.61356023</v>
      </c>
    </row>
    <row r="2893" spans="1:2" x14ac:dyDescent="0.25">
      <c r="A2893">
        <f ca="1">30213.3627822331*((RANDBETWEEN(1587,2416)))</f>
        <v>64233609.275027521</v>
      </c>
      <c r="B2893">
        <v>249172049.75471187</v>
      </c>
    </row>
    <row r="2894" spans="1:2" x14ac:dyDescent="0.25">
      <c r="A2894">
        <f ca="1">32322.3384484539*((RANDBETWEEN(1587,2416)))</f>
        <v>67004207.603645012</v>
      </c>
      <c r="B2894">
        <v>251174606.5259766</v>
      </c>
    </row>
    <row r="2895" spans="1:2" x14ac:dyDescent="0.25">
      <c r="A2895">
        <f ca="1">30034.2821727439*((RANDBETWEEN(1587,2416)))</f>
        <v>51929273.876674242</v>
      </c>
      <c r="B2895">
        <v>211683477.00390542</v>
      </c>
    </row>
    <row r="2896" spans="1:2" x14ac:dyDescent="0.25">
      <c r="A2896">
        <f ca="1">30455.178831316*((RANDBETWEEN(1587,2416)))</f>
        <v>64899986.089534387</v>
      </c>
      <c r="B2896">
        <v>257775570.90983471</v>
      </c>
    </row>
    <row r="2897" spans="1:2" x14ac:dyDescent="0.25">
      <c r="A2897">
        <f ca="1">27253.8763339968*((RANDBETWEEN(1587,2416)))</f>
        <v>45950035.499118604</v>
      </c>
      <c r="B2897">
        <v>224466376.99822119</v>
      </c>
    </row>
    <row r="2898" spans="1:2" x14ac:dyDescent="0.25">
      <c r="A2898">
        <f ca="1">26082.379030761*((RANDBETWEEN(1587,2416)))</f>
        <v>48852295.924615294</v>
      </c>
      <c r="B2898">
        <v>217220499.34538725</v>
      </c>
    </row>
    <row r="2899" spans="1:2" x14ac:dyDescent="0.25">
      <c r="A2899">
        <f ca="1">26811.6207658831*((RANDBETWEEN(1587,2416)))</f>
        <v>51371065.387431972</v>
      </c>
      <c r="B2899">
        <v>219222689.33168501</v>
      </c>
    </row>
    <row r="2900" spans="1:2" x14ac:dyDescent="0.25">
      <c r="A2900">
        <f ca="1">31972.927876341*((RANDBETWEEN(1587,2416)))</f>
        <v>51444440.95303259</v>
      </c>
      <c r="B2900">
        <v>265328946.40499794</v>
      </c>
    </row>
    <row r="2901" spans="1:2" x14ac:dyDescent="0.25">
      <c r="A2901">
        <f ca="1">34299.3183317641*((RANDBETWEEN(1587,2416)))</f>
        <v>56765371.839069635</v>
      </c>
      <c r="B2901">
        <v>227102113.47552291</v>
      </c>
    </row>
    <row r="2902" spans="1:2" x14ac:dyDescent="0.25">
      <c r="A2902">
        <f ca="1">31632.4258011758*((RANDBETWEEN(1587,2416)))</f>
        <v>60101609.022234112</v>
      </c>
      <c r="B2902">
        <v>240118640.96656173</v>
      </c>
    </row>
    <row r="2903" spans="1:2" x14ac:dyDescent="0.25">
      <c r="A2903">
        <f ca="1">27755.3633190847*((RANDBETWEEN(1587,2416)))</f>
        <v>60340159.855690211</v>
      </c>
      <c r="B2903">
        <v>229702213.31078583</v>
      </c>
    </row>
    <row r="2904" spans="1:2" x14ac:dyDescent="0.25">
      <c r="A2904">
        <f ca="1">26940.0792499934*((RANDBETWEEN(1587,2416)))</f>
        <v>55119402.145486511</v>
      </c>
      <c r="B2904">
        <v>259689491.28195423</v>
      </c>
    </row>
    <row r="2905" spans="1:2" x14ac:dyDescent="0.25">
      <c r="A2905">
        <f ca="1">27010.8191997952*((RANDBETWEEN(1587,2416)))</f>
        <v>60180105.177143663</v>
      </c>
      <c r="B2905">
        <v>217040605.57121801</v>
      </c>
    </row>
    <row r="2906" spans="1:2" x14ac:dyDescent="0.25">
      <c r="A2906">
        <f ca="1">33940.296122966*((RANDBETWEEN(1587,2416)))</f>
        <v>74159547.028680682</v>
      </c>
      <c r="B2906">
        <v>254646238.64462918</v>
      </c>
    </row>
    <row r="2907" spans="1:2" x14ac:dyDescent="0.25">
      <c r="A2907">
        <f ca="1">28060.1320647768*((RANDBETWEEN(1587,2416)))</f>
        <v>53258130.658946425</v>
      </c>
      <c r="B2907">
        <v>206852472.13382727</v>
      </c>
    </row>
    <row r="2908" spans="1:2" x14ac:dyDescent="0.25">
      <c r="A2908">
        <f ca="1">27534.861671644*((RANDBETWEEN(1587,2416)))</f>
        <v>55152327.928302996</v>
      </c>
      <c r="B2908">
        <v>246745158.16867003</v>
      </c>
    </row>
    <row r="2909" spans="1:2" x14ac:dyDescent="0.25">
      <c r="A2909">
        <f ca="1">28066.0704836686*((RANDBETWEEN(1587,2416)))</f>
        <v>55935678.473951556</v>
      </c>
      <c r="B2909">
        <v>235784472.41729438</v>
      </c>
    </row>
    <row r="2910" spans="1:2" x14ac:dyDescent="0.25">
      <c r="A2910">
        <f ca="1">29865.7642601536*((RANDBETWEEN(1587,2416)))</f>
        <v>57700656.550616659</v>
      </c>
      <c r="B2910">
        <v>215744192.13776428</v>
      </c>
    </row>
    <row r="2911" spans="1:2" x14ac:dyDescent="0.25">
      <c r="A2911">
        <f ca="1">29614.2074530337*((RANDBETWEEN(1587,2416)))</f>
        <v>51054893.649030179</v>
      </c>
      <c r="B2911">
        <v>260641129.61946851</v>
      </c>
    </row>
    <row r="2912" spans="1:2" x14ac:dyDescent="0.25">
      <c r="A2912">
        <f ca="1">29731.0363514666*((RANDBETWEEN(1587,2416)))</f>
        <v>70492287.189327314</v>
      </c>
      <c r="B2912">
        <v>221407864.98196474</v>
      </c>
    </row>
    <row r="2913" spans="1:2" x14ac:dyDescent="0.25">
      <c r="A2913">
        <f ca="1">32847.73266536*((RANDBETWEEN(1587,2416)))</f>
        <v>54592931.689828299</v>
      </c>
      <c r="B2913">
        <v>220519230.78871346</v>
      </c>
    </row>
    <row r="2914" spans="1:2" x14ac:dyDescent="0.25">
      <c r="A2914">
        <f ca="1">32539.6688253203*((RANDBETWEEN(1587,2416)))</f>
        <v>66543622.747779958</v>
      </c>
      <c r="B2914">
        <v>244867855.24404731</v>
      </c>
    </row>
    <row r="2915" spans="1:2" x14ac:dyDescent="0.25">
      <c r="A2915">
        <f ca="1">32522.7473442895*((RANDBETWEEN(1587,2416)))</f>
        <v>56264352.905620813</v>
      </c>
      <c r="B2915">
        <v>233859222.66392782</v>
      </c>
    </row>
    <row r="2916" spans="1:2" x14ac:dyDescent="0.25">
      <c r="A2916">
        <f ca="1">33082.62076444*((RANDBETWEEN(1587,2416)))</f>
        <v>70035908.158319488</v>
      </c>
      <c r="B2916">
        <v>225860106.94786066</v>
      </c>
    </row>
    <row r="2917" spans="1:2" x14ac:dyDescent="0.25">
      <c r="A2917">
        <f ca="1">31356.2395625439*((RANDBETWEEN(1587,2416)))</f>
        <v>70676963.97397393</v>
      </c>
      <c r="B2917">
        <v>248493936.72940382</v>
      </c>
    </row>
    <row r="2918" spans="1:2" x14ac:dyDescent="0.25">
      <c r="A2918">
        <f ca="1">30096.2915381443*((RANDBETWEEN(1587,2416)))</f>
        <v>56550931.800173104</v>
      </c>
      <c r="B2918">
        <v>213736121.26269409</v>
      </c>
    </row>
    <row r="2919" spans="1:2" x14ac:dyDescent="0.25">
      <c r="A2919">
        <f ca="1">29236.5096378053*((RANDBETWEEN(1587,2416)))</f>
        <v>58619201.823799618</v>
      </c>
      <c r="B2919">
        <v>247988126.70125026</v>
      </c>
    </row>
    <row r="2920" spans="1:2" x14ac:dyDescent="0.25">
      <c r="A2920">
        <f ca="1">33203.5162899964*((RANDBETWEEN(1587,2416)))</f>
        <v>79754846.128571466</v>
      </c>
      <c r="B2920">
        <v>216506155.33010036</v>
      </c>
    </row>
    <row r="2921" spans="1:2" x14ac:dyDescent="0.25">
      <c r="A2921">
        <f ca="1">28652.5459474845*((RANDBETWEEN(1587,2416)))</f>
        <v>46703649.89439968</v>
      </c>
      <c r="B2921">
        <v>250036398.11120087</v>
      </c>
    </row>
    <row r="2922" spans="1:2" x14ac:dyDescent="0.25">
      <c r="A2922">
        <f ca="1">32736.0098387468*((RANDBETWEEN(1587,2416)))</f>
        <v>73034037.950244099</v>
      </c>
      <c r="B2922">
        <v>267353396.13944608</v>
      </c>
    </row>
    <row r="2923" spans="1:2" x14ac:dyDescent="0.25">
      <c r="A2923">
        <f ca="1">29723.9446907177*((RANDBETWEEN(1587,2416)))</f>
        <v>50144294.693240792</v>
      </c>
      <c r="B2923">
        <v>214525665.54126841</v>
      </c>
    </row>
    <row r="2924" spans="1:2" x14ac:dyDescent="0.25">
      <c r="A2924">
        <f ca="1">29100.6600785951*((RANDBETWEEN(1587,2416)))</f>
        <v>66465907.619511284</v>
      </c>
      <c r="B2924">
        <v>244131650.11602354</v>
      </c>
    </row>
    <row r="2925" spans="1:2" x14ac:dyDescent="0.25">
      <c r="A2925">
        <f ca="1">27282.7884550488*((RANDBETWEEN(1587,2416)))</f>
        <v>57402986.909422584</v>
      </c>
      <c r="B2925">
        <v>220385536.75583419</v>
      </c>
    </row>
    <row r="2926" spans="1:2" x14ac:dyDescent="0.25">
      <c r="A2926">
        <f ca="1">30121.7852033934*((RANDBETWEEN(1587,2416)))</f>
        <v>60002596.125159577</v>
      </c>
      <c r="B2926">
        <v>242929625.24448377</v>
      </c>
    </row>
    <row r="2927" spans="1:2" x14ac:dyDescent="0.25">
      <c r="A2927">
        <f ca="1">29766.1413273437*((RANDBETWEEN(1587,2416)))</f>
        <v>58311870.860266276</v>
      </c>
      <c r="B2927">
        <v>247626723.76938707</v>
      </c>
    </row>
    <row r="2928" spans="1:2" x14ac:dyDescent="0.25">
      <c r="A2928">
        <f ca="1">29042.3616552252*((RANDBETWEEN(1587,2416)))</f>
        <v>65258186.639290951</v>
      </c>
      <c r="B2928">
        <v>250678971.75291681</v>
      </c>
    </row>
    <row r="2929" spans="1:2" x14ac:dyDescent="0.25">
      <c r="A2929">
        <f ca="1">31896.9889315161*((RANDBETWEEN(1587,2416)))</f>
        <v>59838751.235524222</v>
      </c>
      <c r="B2929">
        <v>238302605.19391611</v>
      </c>
    </row>
    <row r="2930" spans="1:2" x14ac:dyDescent="0.25">
      <c r="A2930">
        <f ca="1">27615.5146375043*((RANDBETWEEN(1587,2416)))</f>
        <v>56308034.345871277</v>
      </c>
      <c r="B2930">
        <v>220975864.31543207</v>
      </c>
    </row>
    <row r="2931" spans="1:2" x14ac:dyDescent="0.25">
      <c r="A2931">
        <f ca="1">29069.2360556536*((RANDBETWEEN(1587,2416)))</f>
        <v>48225862.616329387</v>
      </c>
      <c r="B2931">
        <v>234877102.50169069</v>
      </c>
    </row>
    <row r="2932" spans="1:2" x14ac:dyDescent="0.25">
      <c r="A2932">
        <f ca="1">32375.6930156796*((RANDBETWEEN(1587,2416)))</f>
        <v>65819783.900876582</v>
      </c>
      <c r="B2932">
        <v>257023924.07364666</v>
      </c>
    </row>
    <row r="2933" spans="1:2" x14ac:dyDescent="0.25">
      <c r="A2933">
        <f ca="1">31053.5605343906*((RANDBETWEEN(1587,2416)))</f>
        <v>50337821.626247235</v>
      </c>
      <c r="B2933">
        <v>207726631.64693093</v>
      </c>
    </row>
    <row r="2934" spans="1:2" x14ac:dyDescent="0.25">
      <c r="A2934">
        <f ca="1">31513.7098218086*((RANDBETWEEN(1587,2416)))</f>
        <v>51745511.527409658</v>
      </c>
      <c r="B2934">
        <v>225825655.12768364</v>
      </c>
    </row>
    <row r="2935" spans="1:2" x14ac:dyDescent="0.25">
      <c r="A2935">
        <f ca="1">28783.6842462439*((RANDBETWEEN(1587,2416)))</f>
        <v>58459662.704121351</v>
      </c>
      <c r="B2935">
        <v>214562473.19990382</v>
      </c>
    </row>
    <row r="2936" spans="1:2" x14ac:dyDescent="0.25">
      <c r="A2936">
        <f ca="1">26623.098633511*((RANDBETWEEN(1587,2416)))</f>
        <v>51702057.546278387</v>
      </c>
      <c r="B2936">
        <v>237800761.68359348</v>
      </c>
    </row>
    <row r="2937" spans="1:2" x14ac:dyDescent="0.25">
      <c r="A2937">
        <f ca="1">32137.7113011866*((RANDBETWEEN(1587,2416)))</f>
        <v>70445863.172201023</v>
      </c>
      <c r="B2937">
        <v>249397518.13724801</v>
      </c>
    </row>
    <row r="2938" spans="1:2" x14ac:dyDescent="0.25">
      <c r="A2938">
        <f ca="1">28996.1054341744*((RANDBETWEEN(1587,2416)))</f>
        <v>59876957.721570142</v>
      </c>
      <c r="B2938">
        <v>213211180.32473212</v>
      </c>
    </row>
    <row r="2939" spans="1:2" x14ac:dyDescent="0.25">
      <c r="A2939">
        <f ca="1">33657.2088728331*((RANDBETWEEN(1587,2416)))</f>
        <v>57755770.425781541</v>
      </c>
      <c r="B2939">
        <v>254400141.99263838</v>
      </c>
    </row>
    <row r="2940" spans="1:2" x14ac:dyDescent="0.25">
      <c r="A2940">
        <f ca="1">28267.9437029249*((RANDBETWEEN(1587,2416)))</f>
        <v>62387351.752355292</v>
      </c>
      <c r="B2940">
        <v>210733485.69801515</v>
      </c>
    </row>
    <row r="2941" spans="1:2" x14ac:dyDescent="0.25">
      <c r="A2941">
        <f ca="1">25715.9054201771*((RANDBETWEEN(1587,2416)))</f>
        <v>56574991.924389556</v>
      </c>
      <c r="B2941">
        <v>261588831.439421</v>
      </c>
    </row>
    <row r="2942" spans="1:2" x14ac:dyDescent="0.25">
      <c r="A2942">
        <f ca="1">27620.3457754371*((RANDBETWEEN(1587,2416)))</f>
        <v>46429801.24850969</v>
      </c>
      <c r="B2942">
        <v>255721483.11581019</v>
      </c>
    </row>
    <row r="2943" spans="1:2" x14ac:dyDescent="0.25">
      <c r="A2943">
        <f ca="1">31726.2991235541*((RANDBETWEEN(1587,2416)))</f>
        <v>53427087.72406517</v>
      </c>
      <c r="B2943">
        <v>210779695.7806142</v>
      </c>
    </row>
    <row r="2944" spans="1:2" x14ac:dyDescent="0.25">
      <c r="A2944">
        <f ca="1">28126.9790442718*((RANDBETWEEN(1587,2416)))</f>
        <v>64382655.032338142</v>
      </c>
      <c r="B2944">
        <v>226053723.83319438</v>
      </c>
    </row>
    <row r="2945" spans="1:2" x14ac:dyDescent="0.25">
      <c r="A2945">
        <f ca="1">29819.4348957638*((RANDBETWEEN(1587,2416)))</f>
        <v>59847605.835797928</v>
      </c>
      <c r="B2945">
        <v>239247505.13769221</v>
      </c>
    </row>
    <row r="2946" spans="1:2" x14ac:dyDescent="0.25">
      <c r="A2946">
        <f ca="1">32259.1318952482*((RANDBETWEEN(1587,2416)))</f>
        <v>59292284.423466213</v>
      </c>
      <c r="B2946">
        <v>226464421.9159871</v>
      </c>
    </row>
    <row r="2947" spans="1:2" x14ac:dyDescent="0.25">
      <c r="A2947">
        <f ca="1">31945.3174379024*((RANDBETWEEN(1587,2416)))</f>
        <v>73122831.615358487</v>
      </c>
      <c r="B2947">
        <v>258637266.4155595</v>
      </c>
    </row>
    <row r="2948" spans="1:2" x14ac:dyDescent="0.25">
      <c r="A2948">
        <f ca="1">28852.2187501543*((RANDBETWEEN(1587,2416)))</f>
        <v>65321423.250349417</v>
      </c>
      <c r="B2948">
        <v>204521015.75278956</v>
      </c>
    </row>
    <row r="2949" spans="1:2" x14ac:dyDescent="0.25">
      <c r="A2949">
        <f ca="1">31949.893810068*((RANDBETWEEN(1587,2416)))</f>
        <v>52365875.954701401</v>
      </c>
      <c r="B2949">
        <v>240797371.82537636</v>
      </c>
    </row>
    <row r="2950" spans="1:2" x14ac:dyDescent="0.25">
      <c r="A2950">
        <f ca="1">31663.9869266325*((RANDBETWEEN(1587,2416)))</f>
        <v>59338311.50050927</v>
      </c>
      <c r="B2950">
        <v>234453574.10648286</v>
      </c>
    </row>
    <row r="2951" spans="1:2" x14ac:dyDescent="0.25">
      <c r="A2951">
        <f ca="1">26749.8047215044*((RANDBETWEEN(1587,2416)))</f>
        <v>49995385.02449169</v>
      </c>
      <c r="B2951">
        <v>226925798.63968155</v>
      </c>
    </row>
    <row r="2952" spans="1:2" x14ac:dyDescent="0.25">
      <c r="A2952">
        <f ca="1">32786.3773915869*((RANDBETWEEN(1587,2416)))</f>
        <v>78523373.852850646</v>
      </c>
      <c r="B2952">
        <v>208373404.41818005</v>
      </c>
    </row>
    <row r="2953" spans="1:2" x14ac:dyDescent="0.25">
      <c r="A2953">
        <f ca="1">28400.122864472*((RANDBETWEEN(1587,2416)))</f>
        <v>55039438.111346766</v>
      </c>
      <c r="B2953">
        <v>221760899.99544549</v>
      </c>
    </row>
    <row r="2954" spans="1:2" x14ac:dyDescent="0.25">
      <c r="A2954">
        <f ca="1">30471.454454027*((RANDBETWEEN(1587,2416)))</f>
        <v>70785188.696704805</v>
      </c>
      <c r="B2954">
        <v>230098075.52013195</v>
      </c>
    </row>
    <row r="2955" spans="1:2" x14ac:dyDescent="0.25">
      <c r="A2955">
        <f ca="1">28060.1117860387*((RANDBETWEEN(1587,2416)))</f>
        <v>57158447.708160833</v>
      </c>
      <c r="B2955">
        <v>226646965.32205194</v>
      </c>
    </row>
    <row r="2956" spans="1:2" x14ac:dyDescent="0.25">
      <c r="A2956">
        <f ca="1">26835.5727273132*((RANDBETWEEN(1587,2416)))</f>
        <v>57669645.79099597</v>
      </c>
      <c r="B2956">
        <v>231139461.0840162</v>
      </c>
    </row>
    <row r="2957" spans="1:2" x14ac:dyDescent="0.25">
      <c r="A2957">
        <f ca="1">27984.0911869078*((RANDBETWEEN(1587,2416)))</f>
        <v>50483300.50118161</v>
      </c>
      <c r="B2957">
        <v>221410514.6139859</v>
      </c>
    </row>
    <row r="2958" spans="1:2" x14ac:dyDescent="0.25">
      <c r="A2958">
        <f ca="1">28339.9505594446*((RANDBETWEEN(1587,2416)))</f>
        <v>62858010.340848185</v>
      </c>
      <c r="B2958">
        <v>249083659.16326103</v>
      </c>
    </row>
    <row r="2959" spans="1:2" x14ac:dyDescent="0.25">
      <c r="A2959">
        <f ca="1">28614.7951066737*((RANDBETWEEN(1587,2416)))</f>
        <v>52365075.045212902</v>
      </c>
      <c r="B2959">
        <v>242590846.61747786</v>
      </c>
    </row>
    <row r="2960" spans="1:2" x14ac:dyDescent="0.25">
      <c r="A2960">
        <f ca="1">27393.1499678242*((RANDBETWEEN(1587,2416)))</f>
        <v>43938612.54839009</v>
      </c>
      <c r="B2960">
        <v>214791220.52769935</v>
      </c>
    </row>
    <row r="2961" spans="1:2" x14ac:dyDescent="0.25">
      <c r="A2961">
        <f ca="1">27811.535946732*((RANDBETWEEN(1587,2416)))</f>
        <v>62742825.095827281</v>
      </c>
      <c r="B2961">
        <v>256749834.87839603</v>
      </c>
    </row>
    <row r="2962" spans="1:2" x14ac:dyDescent="0.25">
      <c r="A2962">
        <f ca="1">29504.0607017293*((RANDBETWEEN(1587,2416)))</f>
        <v>51868138.713640049</v>
      </c>
      <c r="B2962">
        <v>208799741.33497906</v>
      </c>
    </row>
    <row r="2963" spans="1:2" x14ac:dyDescent="0.25">
      <c r="A2963">
        <f ca="1">27865.1847737171*((RANDBETWEEN(1587,2416)))</f>
        <v>45002273.409553103</v>
      </c>
      <c r="B2963">
        <v>236260811.10705367</v>
      </c>
    </row>
    <row r="2964" spans="1:2" x14ac:dyDescent="0.25">
      <c r="A2964">
        <f ca="1">26286.8594857499*((RANDBETWEEN(1587,2416)))</f>
        <v>46895757.322577879</v>
      </c>
      <c r="B2964">
        <v>225495233.56177765</v>
      </c>
    </row>
    <row r="2965" spans="1:2" x14ac:dyDescent="0.25">
      <c r="A2965">
        <f ca="1">28394.5416404052*((RANDBETWEEN(1587,2416)))</f>
        <v>65648180.272616878</v>
      </c>
      <c r="B2965">
        <v>218512087.05313611</v>
      </c>
    </row>
    <row r="2966" spans="1:2" x14ac:dyDescent="0.25">
      <c r="A2966">
        <f ca="1">28500.5774687416*((RANDBETWEEN(1587,2416)))</f>
        <v>59024695.937763765</v>
      </c>
      <c r="B2966">
        <v>211458165.16527709</v>
      </c>
    </row>
    <row r="2967" spans="1:2" x14ac:dyDescent="0.25">
      <c r="A2967">
        <f ca="1">28181.865573456*((RANDBETWEEN(1587,2416)))</f>
        <v>61549194.412427798</v>
      </c>
      <c r="B2967">
        <v>232699998.35065579</v>
      </c>
    </row>
    <row r="2968" spans="1:2" x14ac:dyDescent="0.25">
      <c r="A2968">
        <f ca="1">25679.0215574998*((RANDBETWEEN(1587,2416)))</f>
        <v>56673600.577402048</v>
      </c>
      <c r="B2968">
        <v>220486878.87844622</v>
      </c>
    </row>
    <row r="2969" spans="1:2" x14ac:dyDescent="0.25">
      <c r="A2969">
        <f ca="1">30064.4818285897*((RANDBETWEEN(1587,2416)))</f>
        <v>56581354.801405735</v>
      </c>
      <c r="B2969">
        <v>228358064.50666189</v>
      </c>
    </row>
    <row r="2970" spans="1:2" x14ac:dyDescent="0.25">
      <c r="A2970">
        <f ca="1">26889.8809392861*((RANDBETWEEN(1587,2416)))</f>
        <v>45470788.66833286</v>
      </c>
      <c r="B2970">
        <v>218266389.41254148</v>
      </c>
    </row>
    <row r="2971" spans="1:2" x14ac:dyDescent="0.25">
      <c r="A2971">
        <f ca="1">29020.3525426792*((RANDBETWEEN(1587,2416)))</f>
        <v>46200401.247945353</v>
      </c>
      <c r="B2971">
        <v>214230854.13164961</v>
      </c>
    </row>
    <row r="2972" spans="1:2" x14ac:dyDescent="0.25">
      <c r="A2972">
        <f ca="1">29228.5162365765*((RANDBETWEEN(1587,2416)))</f>
        <v>70119210.451547042</v>
      </c>
      <c r="B2972">
        <v>249881346.44752601</v>
      </c>
    </row>
    <row r="2973" spans="1:2" x14ac:dyDescent="0.25">
      <c r="A2973">
        <f ca="1">28872.9717471144*((RANDBETWEEN(1587,2416)))</f>
        <v>66898675.538064159</v>
      </c>
      <c r="B2973">
        <v>212912084.00982603</v>
      </c>
    </row>
    <row r="2974" spans="1:2" x14ac:dyDescent="0.25">
      <c r="A2974">
        <f ca="1">29559.639159235*((RANDBETWEEN(1587,2416)))</f>
        <v>47295422.654775992</v>
      </c>
      <c r="B2974">
        <v>260000305.33588621</v>
      </c>
    </row>
    <row r="2975" spans="1:2" x14ac:dyDescent="0.25">
      <c r="A2975">
        <f ca="1">29530.3739741939*((RANDBETWEEN(1587,2416)))</f>
        <v>53036551.657652184</v>
      </c>
      <c r="B2975">
        <v>219607922.38830176</v>
      </c>
    </row>
    <row r="2976" spans="1:2" x14ac:dyDescent="0.25">
      <c r="A2976">
        <f ca="1">31466.4767883792*((RANDBETWEEN(1587,2416)))</f>
        <v>57772451.383464247</v>
      </c>
      <c r="B2976">
        <v>256813712.18834299</v>
      </c>
    </row>
    <row r="2977" spans="1:2" x14ac:dyDescent="0.25">
      <c r="A2977">
        <f ca="1">33614.1796998818*((RANDBETWEEN(1587,2416)))</f>
        <v>58791200.29509332</v>
      </c>
      <c r="B2977">
        <v>225753528.11996081</v>
      </c>
    </row>
    <row r="2978" spans="1:2" x14ac:dyDescent="0.25">
      <c r="A2978">
        <f ca="1">29969.6853196804*((RANDBETWEEN(1587,2416)))</f>
        <v>57721613.925704457</v>
      </c>
      <c r="B2978">
        <v>260110138.68432379</v>
      </c>
    </row>
    <row r="2979" spans="1:2" x14ac:dyDescent="0.25">
      <c r="A2979">
        <f ca="1">27352.8556825254*((RANDBETWEEN(1587,2416)))</f>
        <v>53037187.168416716</v>
      </c>
      <c r="B2979">
        <v>216132724.02830207</v>
      </c>
    </row>
    <row r="2980" spans="1:2" x14ac:dyDescent="0.25">
      <c r="A2980">
        <f ca="1">30549.509388431*((RANDBETWEEN(1587,2416)))</f>
        <v>54255928.673853405</v>
      </c>
      <c r="B2980">
        <v>227057777.01102045</v>
      </c>
    </row>
    <row r="2981" spans="1:2" x14ac:dyDescent="0.25">
      <c r="A2981">
        <f ca="1">33596.5275566025*((RANDBETWEEN(1587,2416)))</f>
        <v>65748404.428271122</v>
      </c>
      <c r="B2981">
        <v>228639652.96771353</v>
      </c>
    </row>
    <row r="2982" spans="1:2" x14ac:dyDescent="0.25">
      <c r="A2982">
        <f ca="1">27103.2334407119*((RANDBETWEEN(1587,2416)))</f>
        <v>51062491.802301206</v>
      </c>
      <c r="B2982">
        <v>226750723.23710868</v>
      </c>
    </row>
    <row r="2983" spans="1:2" x14ac:dyDescent="0.25">
      <c r="A2983">
        <f ca="1">27296.8535113075*((RANDBETWEEN(1587,2416)))</f>
        <v>46923291.185937636</v>
      </c>
      <c r="B2983">
        <v>243647883.24243271</v>
      </c>
    </row>
    <row r="2984" spans="1:2" x14ac:dyDescent="0.25">
      <c r="A2984">
        <f ca="1">27633.2472538558*((RANDBETWEEN(1587,2416)))</f>
        <v>65159197.024591871</v>
      </c>
      <c r="B2984">
        <v>208307634.59461802</v>
      </c>
    </row>
    <row r="2985" spans="1:2" x14ac:dyDescent="0.25">
      <c r="A2985">
        <f ca="1">29714.2369065736*((RANDBETWEEN(1587,2416)))</f>
        <v>59220474.154801197</v>
      </c>
      <c r="B2985">
        <v>266013847.50535244</v>
      </c>
    </row>
    <row r="2986" spans="1:2" x14ac:dyDescent="0.25">
      <c r="A2986">
        <f ca="1">29550.4013218749*((RANDBETWEEN(1587,2416)))</f>
        <v>48492208.569196783</v>
      </c>
      <c r="B2986">
        <v>257113675.07841265</v>
      </c>
    </row>
    <row r="2987" spans="1:2" x14ac:dyDescent="0.25">
      <c r="A2987">
        <f ca="1">30310.4268159324*((RANDBETWEEN(1587,2416)))</f>
        <v>48921028.880914815</v>
      </c>
      <c r="B2987">
        <v>225827464.66340232</v>
      </c>
    </row>
    <row r="2988" spans="1:2" x14ac:dyDescent="0.25">
      <c r="A2988">
        <f ca="1">27790.4202511253*((RANDBETWEEN(1587,2416)))</f>
        <v>57220475.297066905</v>
      </c>
      <c r="B2988">
        <v>204255323.08023328</v>
      </c>
    </row>
    <row r="2989" spans="1:2" x14ac:dyDescent="0.25">
      <c r="A2989">
        <f ca="1">26510.1873720552*((RANDBETWEEN(1587,2416)))</f>
        <v>59727452.149240457</v>
      </c>
      <c r="B2989">
        <v>223631824.34670314</v>
      </c>
    </row>
    <row r="2990" spans="1:2" x14ac:dyDescent="0.25">
      <c r="A2990">
        <f ca="1">26301.5671215461*((RANDBETWEEN(1587,2416)))</f>
        <v>44528553.13677749</v>
      </c>
      <c r="B2990">
        <v>212902290.99888942</v>
      </c>
    </row>
    <row r="2991" spans="1:2" x14ac:dyDescent="0.25">
      <c r="A2991">
        <f ca="1">32665.124246869*((RANDBETWEEN(1587,2416)))</f>
        <v>60267154.235473394</v>
      </c>
      <c r="B2991">
        <v>250884221.56623831</v>
      </c>
    </row>
    <row r="2992" spans="1:2" x14ac:dyDescent="0.25">
      <c r="A2992">
        <f ca="1">31592.4529117149*((RANDBETWEEN(1587,2416)))</f>
        <v>54654943.537266858</v>
      </c>
      <c r="B2992">
        <v>223822340.76083976</v>
      </c>
    </row>
    <row r="2993" spans="1:2" x14ac:dyDescent="0.25">
      <c r="A2993">
        <f ca="1">27218.1807162041*((RANDBETWEEN(1587,2416)))</f>
        <v>61758052.045067132</v>
      </c>
      <c r="B2993">
        <v>239641325.16275817</v>
      </c>
    </row>
    <row r="2994" spans="1:2" x14ac:dyDescent="0.25">
      <c r="A2994">
        <f ca="1">26514.7803779026*((RANDBETWEEN(1587,2416)))</f>
        <v>44412257.132986806</v>
      </c>
      <c r="B2994">
        <v>245068166.97054866</v>
      </c>
    </row>
    <row r="2995" spans="1:2" x14ac:dyDescent="0.25">
      <c r="A2995">
        <f ca="1">31711.2714645723*((RANDBETWEEN(1587,2416)))</f>
        <v>62154092.070561707</v>
      </c>
      <c r="B2995">
        <v>224537849.13197434</v>
      </c>
    </row>
    <row r="2996" spans="1:2" x14ac:dyDescent="0.25">
      <c r="A2996">
        <f ca="1">28365.0490659035*((RANDBETWEEN(1587,2416)))</f>
        <v>63566074.956689857</v>
      </c>
      <c r="B2996">
        <v>214982523.85985845</v>
      </c>
    </row>
    <row r="2997" spans="1:2" x14ac:dyDescent="0.25">
      <c r="A2997">
        <f ca="1">31715.3423974509*((RANDBETWEEN(1587,2416)))</f>
        <v>52584037.694973648</v>
      </c>
      <c r="B2997">
        <v>253234151.05778015</v>
      </c>
    </row>
    <row r="2998" spans="1:2" x14ac:dyDescent="0.25">
      <c r="A2998">
        <f ca="1">28792.9014221083*((RANDBETWEEN(1587,2416)))</f>
        <v>62135081.268909819</v>
      </c>
      <c r="B2998">
        <v>265890196.62000623</v>
      </c>
    </row>
    <row r="2999" spans="1:2" x14ac:dyDescent="0.25">
      <c r="A2999">
        <f ca="1">32636.7844332143*((RANDBETWEEN(1587,2416)))</f>
        <v>74313958.154428899</v>
      </c>
      <c r="B2999">
        <v>248788214.14706871</v>
      </c>
    </row>
    <row r="3000" spans="1:2" x14ac:dyDescent="0.25">
      <c r="A3000">
        <f ca="1">29515.4654927374*((RANDBETWEEN(1587,2416)))</f>
        <v>52950745.093970865</v>
      </c>
      <c r="B3000">
        <v>264761076.61180896</v>
      </c>
    </row>
    <row r="3001" spans="1:2" x14ac:dyDescent="0.25">
      <c r="A3001">
        <f ca="1">31494.4409241813*((RANDBETWEEN(1587,2416)))</f>
        <v>59524493.346702702</v>
      </c>
      <c r="B3001">
        <v>225354711.05778503</v>
      </c>
    </row>
    <row r="3002" spans="1:2" x14ac:dyDescent="0.25">
      <c r="A3002">
        <f ca="1">31657.1336260175*((RANDBETWEEN(1587,2416)))</f>
        <v>66131752.14475061</v>
      </c>
      <c r="B3002">
        <v>222851370.98137069</v>
      </c>
    </row>
    <row r="3003" spans="1:2" x14ac:dyDescent="0.25">
      <c r="A3003">
        <f ca="1">26440.4466968987*((RANDBETWEEN(1587,2416)))</f>
        <v>47196197.353964135</v>
      </c>
      <c r="B3003">
        <v>243433575.95195067</v>
      </c>
    </row>
    <row r="3004" spans="1:2" x14ac:dyDescent="0.25">
      <c r="A3004">
        <f ca="1">26983.9045699423*((RANDBETWEEN(1587,2416)))</f>
        <v>48193253.56191691</v>
      </c>
      <c r="B3004">
        <v>267345885.0738456</v>
      </c>
    </row>
    <row r="3005" spans="1:2" x14ac:dyDescent="0.25">
      <c r="A3005">
        <f ca="1">32054.373870401*((RANDBETWEEN(1587,2416)))</f>
        <v>56575969.881257787</v>
      </c>
      <c r="B3005">
        <v>228143900.76733232</v>
      </c>
    </row>
    <row r="3006" spans="1:2" x14ac:dyDescent="0.25">
      <c r="A3006">
        <f ca="1">28963.65032661*((RANDBETWEEN(1587,2416)))</f>
        <v>58187973.506159522</v>
      </c>
      <c r="B3006">
        <v>238223959.04579133</v>
      </c>
    </row>
    <row r="3007" spans="1:2" x14ac:dyDescent="0.25">
      <c r="A3007">
        <f ca="1">27518.5639913445*((RANDBETWEEN(1587,2416)))</f>
        <v>54404201.010888174</v>
      </c>
      <c r="B3007">
        <v>218215568.04193056</v>
      </c>
    </row>
    <row r="3008" spans="1:2" x14ac:dyDescent="0.25">
      <c r="A3008">
        <f ca="1">25729.8729458006*((RANDBETWEEN(1587,2416)))</f>
        <v>53029268.14129515</v>
      </c>
      <c r="B3008">
        <v>206988800.69958654</v>
      </c>
    </row>
    <row r="3009" spans="1:2" x14ac:dyDescent="0.25">
      <c r="A3009">
        <f ca="1">28576.2291643517*((RANDBETWEEN(1587,2416)))</f>
        <v>52866023.954050578</v>
      </c>
      <c r="B3009">
        <v>237063097.26343244</v>
      </c>
    </row>
    <row r="3010" spans="1:2" x14ac:dyDescent="0.25">
      <c r="A3010">
        <f ca="1">32224.9573036841*((RANDBETWEEN(1587,2416)))</f>
        <v>54266828.099404044</v>
      </c>
      <c r="B3010">
        <v>246779666.62319255</v>
      </c>
    </row>
    <row r="3011" spans="1:2" x14ac:dyDescent="0.25">
      <c r="A3011">
        <f ca="1">30142.2328192154*((RANDBETWEEN(1587,2416)))</f>
        <v>65046938.423866883</v>
      </c>
      <c r="B3011">
        <v>235661348.28218085</v>
      </c>
    </row>
    <row r="3012" spans="1:2" x14ac:dyDescent="0.25">
      <c r="A3012">
        <f ca="1">31729.9835451317*((RANDBETWEEN(1587,2416)))</f>
        <v>58002409.920500733</v>
      </c>
      <c r="B3012">
        <v>257188238.32907838</v>
      </c>
    </row>
    <row r="3013" spans="1:2" x14ac:dyDescent="0.25">
      <c r="A3013">
        <f ca="1">33480.8266331415*((RANDBETWEEN(1587,2416)))</f>
        <v>70108850.969798207</v>
      </c>
      <c r="B3013">
        <v>246435375.95598572</v>
      </c>
    </row>
    <row r="3014" spans="1:2" x14ac:dyDescent="0.25">
      <c r="A3014">
        <f ca="1">27436.4878635142*((RANDBETWEEN(1587,2416)))</f>
        <v>55888125.777978405</v>
      </c>
      <c r="B3014">
        <v>224130876.28913394</v>
      </c>
    </row>
    <row r="3015" spans="1:2" x14ac:dyDescent="0.25">
      <c r="A3015">
        <f ca="1">29246.5945835893*((RANDBETWEEN(1587,2416)))</f>
        <v>58522435.761762209</v>
      </c>
      <c r="B3015">
        <v>264502790.11457521</v>
      </c>
    </row>
    <row r="3016" spans="1:2" x14ac:dyDescent="0.25">
      <c r="A3016">
        <f ca="1">28287.5165038635*((RANDBETWEEN(1587,2416)))</f>
        <v>65089575.475389935</v>
      </c>
      <c r="B3016">
        <v>214440989.89802513</v>
      </c>
    </row>
    <row r="3017" spans="1:2" x14ac:dyDescent="0.25">
      <c r="A3017">
        <f ca="1">27222.8820321723*((RANDBETWEEN(1587,2416)))</f>
        <v>52757945.378349863</v>
      </c>
      <c r="B3017">
        <v>218052896.69567737</v>
      </c>
    </row>
    <row r="3018" spans="1:2" x14ac:dyDescent="0.25">
      <c r="A3018">
        <f ca="1">32603.6344082627*((RANDBETWEEN(1587,2416)))</f>
        <v>57969261.977891155</v>
      </c>
      <c r="B3018">
        <v>267697518.85631675</v>
      </c>
    </row>
    <row r="3019" spans="1:2" x14ac:dyDescent="0.25">
      <c r="A3019">
        <f ca="1">28606.6025692209*((RANDBETWEEN(1587,2416)))</f>
        <v>64736741.614146911</v>
      </c>
      <c r="B3019">
        <v>203981768.62589699</v>
      </c>
    </row>
    <row r="3020" spans="1:2" x14ac:dyDescent="0.25">
      <c r="A3020">
        <f ca="1">31259.3020635085*((RANDBETWEEN(1587,2416)))</f>
        <v>52296812.352249652</v>
      </c>
      <c r="B3020">
        <v>261561231.97230008</v>
      </c>
    </row>
    <row r="3021" spans="1:2" x14ac:dyDescent="0.25">
      <c r="A3021">
        <f ca="1">31427.9492711324*((RANDBETWEEN(1587,2416)))</f>
        <v>53898932.999992058</v>
      </c>
      <c r="B3021">
        <v>211101572.47877324</v>
      </c>
    </row>
    <row r="3022" spans="1:2" x14ac:dyDescent="0.25">
      <c r="A3022">
        <f ca="1">27799.9059367213*((RANDBETWEEN(1587,2416)))</f>
        <v>46203443.666830778</v>
      </c>
      <c r="B3022">
        <v>244154232.62713701</v>
      </c>
    </row>
    <row r="3023" spans="1:2" x14ac:dyDescent="0.25">
      <c r="A3023">
        <f ca="1">28754.4638760668*((RANDBETWEEN(1587,2416)))</f>
        <v>51240454.627150998</v>
      </c>
      <c r="B3023">
        <v>247714305.66595829</v>
      </c>
    </row>
    <row r="3024" spans="1:2" x14ac:dyDescent="0.25">
      <c r="A3024">
        <f ca="1">28333.8244290706*((RANDBETWEEN(1587,2416)))</f>
        <v>48025832.407274671</v>
      </c>
      <c r="B3024">
        <v>264601128.68238789</v>
      </c>
    </row>
    <row r="3025" spans="1:2" x14ac:dyDescent="0.25">
      <c r="A3025">
        <f ca="1">30057.2900087935*((RANDBETWEEN(1587,2416)))</f>
        <v>62729564.248352103</v>
      </c>
      <c r="B3025">
        <v>204321323.62084785</v>
      </c>
    </row>
    <row r="3026" spans="1:2" x14ac:dyDescent="0.25">
      <c r="A3026">
        <f ca="1">31991.2466251698*((RANDBETWEEN(1587,2416)))</f>
        <v>76427088.187530652</v>
      </c>
      <c r="B3026">
        <v>205863993.3991912</v>
      </c>
    </row>
    <row r="3027" spans="1:2" x14ac:dyDescent="0.25">
      <c r="A3027">
        <f ca="1">28382.4490212631*((RANDBETWEEN(1587,2416)))</f>
        <v>59347700.903461188</v>
      </c>
      <c r="B3027">
        <v>227256552.14135504</v>
      </c>
    </row>
    <row r="3028" spans="1:2" x14ac:dyDescent="0.25">
      <c r="A3028">
        <f ca="1">27384.5297356976*((RANDBETWEEN(1587,2416)))</f>
        <v>57096744.498929486</v>
      </c>
      <c r="B3028">
        <v>215452337.72664842</v>
      </c>
    </row>
    <row r="3029" spans="1:2" x14ac:dyDescent="0.25">
      <c r="A3029">
        <f ca="1">30060.2807440185*((RANDBETWEEN(1587,2416)))</f>
        <v>68567500.377106175</v>
      </c>
      <c r="B3029">
        <v>226126239.40227941</v>
      </c>
    </row>
    <row r="3030" spans="1:2" x14ac:dyDescent="0.25">
      <c r="A3030">
        <f ca="1">27969.5926000594*((RANDBETWEEN(1587,2416)))</f>
        <v>54484766.38491565</v>
      </c>
      <c r="B3030">
        <v>214895524.12363029</v>
      </c>
    </row>
    <row r="3031" spans="1:2" x14ac:dyDescent="0.25">
      <c r="A3031">
        <f ca="1">28065.2330550397*((RANDBETWEEN(1587,2416)))</f>
        <v>48244135.621613219</v>
      </c>
      <c r="B3031">
        <v>210826048.08610603</v>
      </c>
    </row>
    <row r="3032" spans="1:2" x14ac:dyDescent="0.25">
      <c r="A3032">
        <f ca="1">30830.7875729889*((RANDBETWEEN(1587,2416)))</f>
        <v>61754067.50869669</v>
      </c>
      <c r="B3032">
        <v>244140421.62661561</v>
      </c>
    </row>
    <row r="3033" spans="1:2" x14ac:dyDescent="0.25">
      <c r="A3033">
        <f ca="1">33949.6213696155*((RANDBETWEEN(1587,2416)))</f>
        <v>72686139.352346852</v>
      </c>
      <c r="B3033">
        <v>219482326.28531989</v>
      </c>
    </row>
    <row r="3034" spans="1:2" x14ac:dyDescent="0.25">
      <c r="A3034">
        <f ca="1">31916.1341227709*((RANDBETWEEN(1587,2416)))</f>
        <v>75162495.85912548</v>
      </c>
      <c r="B3034">
        <v>206932602.92817089</v>
      </c>
    </row>
    <row r="3035" spans="1:2" x14ac:dyDescent="0.25">
      <c r="A3035">
        <f ca="1">31124.0276018544*((RANDBETWEEN(1587,2416)))</f>
        <v>53190963.171569183</v>
      </c>
      <c r="B3035">
        <v>233413834.33767945</v>
      </c>
    </row>
    <row r="3036" spans="1:2" x14ac:dyDescent="0.25">
      <c r="A3036">
        <f ca="1">31547.434435551*((RANDBETWEEN(1587,2416)))</f>
        <v>69246618.586034566</v>
      </c>
      <c r="B3036">
        <v>235905675.63874245</v>
      </c>
    </row>
    <row r="3037" spans="1:2" x14ac:dyDescent="0.25">
      <c r="A3037">
        <f ca="1">28081.7638519413*((RANDBETWEEN(1587,2416)))</f>
        <v>63605195.124646939</v>
      </c>
      <c r="B3037">
        <v>232117351.0647451</v>
      </c>
    </row>
    <row r="3038" spans="1:2" x14ac:dyDescent="0.25">
      <c r="A3038">
        <f ca="1">28350.7836692417*((RANDBETWEEN(1587,2416)))</f>
        <v>54660310.91429805</v>
      </c>
      <c r="B3038">
        <v>244361970.26381752</v>
      </c>
    </row>
    <row r="3039" spans="1:2" x14ac:dyDescent="0.25">
      <c r="A3039">
        <f ca="1">31095.0700239378*((RANDBETWEEN(1587,2416)))</f>
        <v>63713798.47904861</v>
      </c>
      <c r="B3039">
        <v>263626655.54804453</v>
      </c>
    </row>
    <row r="3040" spans="1:2" x14ac:dyDescent="0.25">
      <c r="A3040">
        <f ca="1">31254.9648074449*((RANDBETWEEN(1587,2416)))</f>
        <v>75074425.467482582</v>
      </c>
      <c r="B3040">
        <v>244461329.54170421</v>
      </c>
    </row>
    <row r="3041" spans="1:2" x14ac:dyDescent="0.25">
      <c r="A3041">
        <f ca="1">32225.9025297941*((RANDBETWEEN(1587,2416)))</f>
        <v>68190009.753044307</v>
      </c>
      <c r="B3041">
        <v>212197745.71783981</v>
      </c>
    </row>
    <row r="3042" spans="1:2" x14ac:dyDescent="0.25">
      <c r="A3042">
        <f ca="1">28254.1874409322*((RANDBETWEEN(1587,2416)))</f>
        <v>66538611.423395231</v>
      </c>
      <c r="B3042">
        <v>225162324.21576044</v>
      </c>
    </row>
    <row r="3043" spans="1:2" x14ac:dyDescent="0.25">
      <c r="A3043">
        <f ca="1">33510.589447575*((RANDBETWEEN(1587,2416)))</f>
        <v>57437150.313143529</v>
      </c>
      <c r="B3043">
        <v>256424918.59126332</v>
      </c>
    </row>
    <row r="3044" spans="1:2" x14ac:dyDescent="0.25">
      <c r="A3044">
        <f ca="1">27843.2427960077*((RANDBETWEEN(1587,2416)))</f>
        <v>44215069.560060225</v>
      </c>
      <c r="B3044">
        <v>245735637.01429364</v>
      </c>
    </row>
    <row r="3045" spans="1:2" x14ac:dyDescent="0.25">
      <c r="A3045">
        <f ca="1">30744.1113815249*((RANDBETWEEN(1587,2416)))</f>
        <v>66837698.143435024</v>
      </c>
      <c r="B3045">
        <v>212969713.27703041</v>
      </c>
    </row>
    <row r="3046" spans="1:2" x14ac:dyDescent="0.25">
      <c r="A3046">
        <f ca="1">30238.9522143048*((RANDBETWEEN(1587,2416)))</f>
        <v>50680483.911174759</v>
      </c>
      <c r="B3046">
        <v>214393374.02097815</v>
      </c>
    </row>
    <row r="3047" spans="1:2" x14ac:dyDescent="0.25">
      <c r="A3047">
        <f ca="1">31058.7550497043*((RANDBETWEEN(1587,2416)))</f>
        <v>74603129.629389822</v>
      </c>
      <c r="B3047">
        <v>230742450.60241801</v>
      </c>
    </row>
    <row r="3048" spans="1:2" x14ac:dyDescent="0.25">
      <c r="A3048">
        <f ca="1">32858.1959666268*((RANDBETWEEN(1587,2416)))</f>
        <v>60097640.42296043</v>
      </c>
      <c r="B3048">
        <v>230824833.84222829</v>
      </c>
    </row>
    <row r="3049" spans="1:2" x14ac:dyDescent="0.25">
      <c r="A3049">
        <f ca="1">34055.2604440336*((RANDBETWEEN(1587,2416)))</f>
        <v>63376839.686346568</v>
      </c>
      <c r="B3049">
        <v>251389203.37103561</v>
      </c>
    </row>
    <row r="3050" spans="1:2" x14ac:dyDescent="0.25">
      <c r="A3050">
        <f ca="1">28411.0882458072*((RANDBETWEEN(1587,2416)))</f>
        <v>55657321.873536348</v>
      </c>
      <c r="B3050">
        <v>219688143.13815504</v>
      </c>
    </row>
    <row r="3051" spans="1:2" x14ac:dyDescent="0.25">
      <c r="A3051">
        <f ca="1">31189.2828501151*((RANDBETWEEN(1587,2416)))</f>
        <v>52990591.562345587</v>
      </c>
      <c r="B3051">
        <v>250207555.49872521</v>
      </c>
    </row>
    <row r="3052" spans="1:2" x14ac:dyDescent="0.25">
      <c r="A3052">
        <f ca="1">29358.3798401954*((RANDBETWEEN(1587,2416)))</f>
        <v>51024864.162259594</v>
      </c>
      <c r="B3052">
        <v>251738042.60422933</v>
      </c>
    </row>
    <row r="3053" spans="1:2" x14ac:dyDescent="0.25">
      <c r="A3053">
        <f ca="1">29240.6424597118*((RANDBETWEEN(1587,2416)))</f>
        <v>70440707.685445786</v>
      </c>
      <c r="B3053">
        <v>240239114.96203494</v>
      </c>
    </row>
    <row r="3054" spans="1:2" x14ac:dyDescent="0.25">
      <c r="A3054">
        <f ca="1">26763.5810389781*((RANDBETWEEN(1587,2416)))</f>
        <v>52483382.417436011</v>
      </c>
      <c r="B3054">
        <v>207647359.40762722</v>
      </c>
    </row>
    <row r="3055" spans="1:2" x14ac:dyDescent="0.25">
      <c r="A3055">
        <f ca="1">33591.0935404123*((RANDBETWEEN(1587,2416)))</f>
        <v>57507952.141185887</v>
      </c>
      <c r="B3055">
        <v>224416387.96262753</v>
      </c>
    </row>
    <row r="3056" spans="1:2" x14ac:dyDescent="0.25">
      <c r="A3056">
        <f ca="1">25949.1070139263*((RANDBETWEEN(1587,2416)))</f>
        <v>48265339.045902833</v>
      </c>
      <c r="B3056">
        <v>204129126.19716275</v>
      </c>
    </row>
    <row r="3057" spans="1:2" x14ac:dyDescent="0.25">
      <c r="A3057">
        <f ca="1">31613.5780240712*((RANDBETWEEN(1587,2416)))</f>
        <v>75777746.523698777</v>
      </c>
      <c r="B3057">
        <v>253404086.68815076</v>
      </c>
    </row>
    <row r="3058" spans="1:2" x14ac:dyDescent="0.25">
      <c r="A3058">
        <f ca="1">31469.8884312429*((RANDBETWEEN(1587,2416)))</f>
        <v>74489225.916751951</v>
      </c>
      <c r="B3058">
        <v>253933701.9696739</v>
      </c>
    </row>
    <row r="3059" spans="1:2" x14ac:dyDescent="0.25">
      <c r="A3059">
        <f ca="1">33053.1322085334*((RANDBETWEEN(1587,2416)))</f>
        <v>78104551.408764452</v>
      </c>
      <c r="B3059">
        <v>211517938.68236324</v>
      </c>
    </row>
    <row r="3060" spans="1:2" x14ac:dyDescent="0.25">
      <c r="A3060">
        <f ca="1">27402.4728719107*((RANDBETWEEN(1587,2416)))</f>
        <v>55490007.565619081</v>
      </c>
      <c r="B3060">
        <v>214470736.81775275</v>
      </c>
    </row>
    <row r="3061" spans="1:2" x14ac:dyDescent="0.25">
      <c r="A3061">
        <f ca="1">32007.2053674667*((RANDBETWEEN(1587,2416)))</f>
        <v>65358713.360366918</v>
      </c>
      <c r="B3061">
        <v>258986423.73700768</v>
      </c>
    </row>
    <row r="3062" spans="1:2" x14ac:dyDescent="0.25">
      <c r="A3062">
        <f ca="1">31650.2872988703*((RANDBETWEEN(1587,2416)))</f>
        <v>62952421.437453128</v>
      </c>
      <c r="B3062">
        <v>232859459.15977019</v>
      </c>
    </row>
    <row r="3063" spans="1:2" x14ac:dyDescent="0.25">
      <c r="A3063">
        <f ca="1">29325.5255645745*((RANDBETWEEN(1587,2416)))</f>
        <v>55953102.777208105</v>
      </c>
      <c r="B3063">
        <v>223323029.05746207</v>
      </c>
    </row>
    <row r="3064" spans="1:2" x14ac:dyDescent="0.25">
      <c r="A3064">
        <f ca="1">26661.9861816824*((RANDBETWEEN(1587,2416)))</f>
        <v>43325727.545233913</v>
      </c>
      <c r="B3064">
        <v>243300301.08035856</v>
      </c>
    </row>
    <row r="3065" spans="1:2" x14ac:dyDescent="0.25">
      <c r="A3065">
        <f ca="1">27610.3432985631*((RANDBETWEEN(1587,2416)))</f>
        <v>52321600.550776988</v>
      </c>
      <c r="B3065">
        <v>266637931.21167025</v>
      </c>
    </row>
    <row r="3066" spans="1:2" x14ac:dyDescent="0.25">
      <c r="A3066">
        <f ca="1">31338.3608035086*((RANDBETWEEN(1587,2416)))</f>
        <v>51645618.604182191</v>
      </c>
      <c r="B3066">
        <v>243310002.26019359</v>
      </c>
    </row>
    <row r="3067" spans="1:2" x14ac:dyDescent="0.25">
      <c r="A3067">
        <f ca="1">31214.3887033508*((RANDBETWEEN(1587,2416)))</f>
        <v>60649557.250610664</v>
      </c>
      <c r="B3067">
        <v>213107924.55087355</v>
      </c>
    </row>
    <row r="3068" spans="1:2" x14ac:dyDescent="0.25">
      <c r="A3068">
        <f ca="1">32113.2820264307*((RANDBETWEEN(1587,2416)))</f>
        <v>69525255.587222368</v>
      </c>
      <c r="B3068">
        <v>264852634.93324625</v>
      </c>
    </row>
    <row r="3069" spans="1:2" x14ac:dyDescent="0.25">
      <c r="A3069">
        <f ca="1">29304.4050731916*((RANDBETWEEN(1587,2416)))</f>
        <v>48938356.472229935</v>
      </c>
      <c r="B3069">
        <v>257887850.37000915</v>
      </c>
    </row>
    <row r="3070" spans="1:2" x14ac:dyDescent="0.25">
      <c r="A3070">
        <f ca="1">32196.1956440012*((RANDBETWEEN(1587,2416)))</f>
        <v>58725860.854658246</v>
      </c>
      <c r="B3070">
        <v>243210996.52424163</v>
      </c>
    </row>
    <row r="3071" spans="1:2" x14ac:dyDescent="0.25">
      <c r="A3071">
        <f ca="1">30553.5227715257*((RANDBETWEEN(1587,2416)))</f>
        <v>65995609.186495498</v>
      </c>
      <c r="B3071">
        <v>210003289.96297717</v>
      </c>
    </row>
    <row r="3072" spans="1:2" x14ac:dyDescent="0.25">
      <c r="A3072">
        <f ca="1">27750.0736811838*((RANDBETWEEN(1587,2416)))</f>
        <v>59468407.898776837</v>
      </c>
      <c r="B3072">
        <v>236027399.86514151</v>
      </c>
    </row>
    <row r="3073" spans="1:2" x14ac:dyDescent="0.25">
      <c r="A3073">
        <f ca="1">28777.3908085201*((RANDBETWEEN(1587,2416)))</f>
        <v>50964759.121889129</v>
      </c>
      <c r="B3073">
        <v>218284305.31013107</v>
      </c>
    </row>
    <row r="3074" spans="1:2" x14ac:dyDescent="0.25">
      <c r="A3074">
        <f ca="1">32655.0901032933*((RANDBETWEEN(1587,2416)))</f>
        <v>53064521.417851672</v>
      </c>
      <c r="B3074">
        <v>245669031.9191494</v>
      </c>
    </row>
    <row r="3075" spans="1:2" x14ac:dyDescent="0.25">
      <c r="A3075">
        <f ca="1">26696.6214837159*((RANDBETWEEN(1587,2416)))</f>
        <v>62283217.921509288</v>
      </c>
      <c r="B3075">
        <v>210672968.21908453</v>
      </c>
    </row>
    <row r="3076" spans="1:2" x14ac:dyDescent="0.25">
      <c r="A3076">
        <f ca="1">32640.2017030573*((RANDBETWEEN(1587,2416)))</f>
        <v>77651039.851573393</v>
      </c>
      <c r="B3076">
        <v>258663648.72422743</v>
      </c>
    </row>
    <row r="3077" spans="1:2" x14ac:dyDescent="0.25">
      <c r="A3077">
        <f ca="1">33159.6267060927*((RANDBETWEEN(1587,2416)))</f>
        <v>60980553.512504511</v>
      </c>
      <c r="B3077">
        <v>230462619.14924741</v>
      </c>
    </row>
    <row r="3078" spans="1:2" x14ac:dyDescent="0.25">
      <c r="A3078">
        <f ca="1">27594.0096572419*((RANDBETWEEN(1587,2416)))</f>
        <v>62721183.950910859</v>
      </c>
      <c r="B3078">
        <v>238641406.02927196</v>
      </c>
    </row>
    <row r="3079" spans="1:2" x14ac:dyDescent="0.25">
      <c r="A3079">
        <f ca="1">29158.7032182434*((RANDBETWEEN(1587,2416)))</f>
        <v>60300198.255327441</v>
      </c>
      <c r="B3079">
        <v>212961832.67336616</v>
      </c>
    </row>
    <row r="3080" spans="1:2" x14ac:dyDescent="0.25">
      <c r="A3080">
        <f ca="1">31173.7897338618*((RANDBETWEEN(1587,2416)))</f>
        <v>55645214.674943291</v>
      </c>
      <c r="B3080">
        <v>227518255.42851907</v>
      </c>
    </row>
    <row r="3081" spans="1:2" x14ac:dyDescent="0.25">
      <c r="A3081">
        <f ca="1">30036.5327988959*((RANDBETWEEN(1587,2416)))</f>
        <v>69864975.290231749</v>
      </c>
      <c r="B3081">
        <v>207689575.81718254</v>
      </c>
    </row>
    <row r="3082" spans="1:2" x14ac:dyDescent="0.25">
      <c r="A3082">
        <f ca="1">32422.1737025174*((RANDBETWEEN(1587,2416)))</f>
        <v>69675251.28670983</v>
      </c>
      <c r="B3082">
        <v>253106814.68191451</v>
      </c>
    </row>
    <row r="3083" spans="1:2" x14ac:dyDescent="0.25">
      <c r="A3083">
        <f ca="1">30632.2300285492*((RANDBETWEEN(1587,2416)))</f>
        <v>68554930.803893119</v>
      </c>
      <c r="B3083">
        <v>244107294.56756467</v>
      </c>
    </row>
    <row r="3084" spans="1:2" x14ac:dyDescent="0.25">
      <c r="A3084">
        <f ca="1">29033.6042692899*((RANDBETWEEN(1587,2416)))</f>
        <v>63467458.932667762</v>
      </c>
      <c r="B3084">
        <v>263597649.47626376</v>
      </c>
    </row>
    <row r="3085" spans="1:2" x14ac:dyDescent="0.25">
      <c r="A3085">
        <f ca="1">29200.999005344*((RANDBETWEEN(1587,2416)))</f>
        <v>60475268.940067492</v>
      </c>
      <c r="B3085">
        <v>259413684.5351983</v>
      </c>
    </row>
    <row r="3086" spans="1:2" x14ac:dyDescent="0.25">
      <c r="A3086">
        <f ca="1">27249.8899192363*((RANDBETWEEN(1587,2416)))</f>
        <v>54472529.948553316</v>
      </c>
      <c r="B3086">
        <v>216362247.56407094</v>
      </c>
    </row>
    <row r="3087" spans="1:2" x14ac:dyDescent="0.25">
      <c r="A3087">
        <f ca="1">28833.5160945127*((RANDBETWEEN(1587,2416)))</f>
        <v>56196522.868205391</v>
      </c>
      <c r="B3087">
        <v>231505877.34288251</v>
      </c>
    </row>
    <row r="3088" spans="1:2" x14ac:dyDescent="0.25">
      <c r="A3088">
        <f ca="1">32543.290432441*((RANDBETWEEN(1587,2416)))</f>
        <v>67592414.228179917</v>
      </c>
      <c r="B3088">
        <v>224271391.32473415</v>
      </c>
    </row>
    <row r="3089" spans="1:2" x14ac:dyDescent="0.25">
      <c r="A3089">
        <f ca="1">30905.9695436612*((RANDBETWEEN(1587,2416)))</f>
        <v>50871225.868866332</v>
      </c>
      <c r="B3089">
        <v>209651769.36330056</v>
      </c>
    </row>
    <row r="3090" spans="1:2" x14ac:dyDescent="0.25">
      <c r="A3090">
        <f ca="1">28020.6798623476*((RANDBETWEEN(1587,2416)))</f>
        <v>63298715.809043199</v>
      </c>
      <c r="B3090">
        <v>240542230.1135366</v>
      </c>
    </row>
    <row r="3091" spans="1:2" x14ac:dyDescent="0.25">
      <c r="A3091">
        <f ca="1">29039.9037363428*((RANDBETWEEN(1587,2416)))</f>
        <v>50848871.442336291</v>
      </c>
      <c r="B3091">
        <v>215211619.05219626</v>
      </c>
    </row>
    <row r="3092" spans="1:2" x14ac:dyDescent="0.25">
      <c r="A3092">
        <f ca="1">31225.6904548573*((RANDBETWEEN(1587,2416)))</f>
        <v>73036889.97391133</v>
      </c>
      <c r="B3092">
        <v>253171088.6547603</v>
      </c>
    </row>
    <row r="3093" spans="1:2" x14ac:dyDescent="0.25">
      <c r="A3093">
        <f ca="1">26476.4189787445*((RANDBETWEEN(1587,2416)))</f>
        <v>53085220.05238267</v>
      </c>
      <c r="B3093">
        <v>228654782.39238578</v>
      </c>
    </row>
    <row r="3094" spans="1:2" x14ac:dyDescent="0.25">
      <c r="A3094">
        <f ca="1">30270.6336752073*((RANDBETWEEN(1587,2416)))</f>
        <v>65142403.669046119</v>
      </c>
      <c r="B3094">
        <v>255417019.93465513</v>
      </c>
    </row>
    <row r="3095" spans="1:2" x14ac:dyDescent="0.25">
      <c r="A3095">
        <f ca="1">32066.1659927938*((RANDBETWEEN(1587,2416)))</f>
        <v>51530328.750419699</v>
      </c>
      <c r="B3095">
        <v>249505456.39486638</v>
      </c>
    </row>
    <row r="3096" spans="1:2" x14ac:dyDescent="0.25">
      <c r="A3096">
        <f ca="1">29072.8349937654*((RANDBETWEEN(1587,2416)))</f>
        <v>46313026.145068303</v>
      </c>
      <c r="B3096">
        <v>259559530.86566058</v>
      </c>
    </row>
    <row r="3097" spans="1:2" x14ac:dyDescent="0.25">
      <c r="A3097">
        <f ca="1">29339.0961256657*((RANDBETWEEN(1587,2416)))</f>
        <v>57152559.25279671</v>
      </c>
      <c r="B3097">
        <v>235804959.72876516</v>
      </c>
    </row>
    <row r="3098" spans="1:2" x14ac:dyDescent="0.25">
      <c r="A3098">
        <f ca="1">26830.9586248097*((RANDBETWEEN(1587,2416)))</f>
        <v>63616202.899423905</v>
      </c>
      <c r="B3098">
        <v>237134095.40962496</v>
      </c>
    </row>
    <row r="3099" spans="1:2" x14ac:dyDescent="0.25">
      <c r="A3099">
        <f ca="1">29487.5361781749*((RANDBETWEEN(1587,2416)))</f>
        <v>62719989.450977959</v>
      </c>
      <c r="B3099">
        <v>223300947.07700196</v>
      </c>
    </row>
    <row r="3100" spans="1:2" x14ac:dyDescent="0.25">
      <c r="A3100">
        <f ca="1">28655.6726109152*((RANDBETWEEN(1587,2416)))</f>
        <v>54846957.377291605</v>
      </c>
      <c r="B3100">
        <v>225402372.93551707</v>
      </c>
    </row>
    <row r="3101" spans="1:2" x14ac:dyDescent="0.25">
      <c r="A3101">
        <f ca="1">29475.9105603955*((RANDBETWEEN(1587,2416)))</f>
        <v>57713832.877254292</v>
      </c>
      <c r="B3101">
        <v>208004549.50103885</v>
      </c>
    </row>
    <row r="3102" spans="1:2" x14ac:dyDescent="0.25">
      <c r="A3102">
        <f ca="1">31433.5539018675*((RANDBETWEEN(1587,2416)))</f>
        <v>59252249.105020322</v>
      </c>
      <c r="B3102">
        <v>263029158.59740019</v>
      </c>
    </row>
    <row r="3103" spans="1:2" x14ac:dyDescent="0.25">
      <c r="A3103">
        <f ca="1">27248.5745378573*((RANDBETWEEN(1587,2416)))</f>
        <v>55941323.526221015</v>
      </c>
      <c r="B3103">
        <v>210935089.49878573</v>
      </c>
    </row>
    <row r="3104" spans="1:2" x14ac:dyDescent="0.25">
      <c r="A3104">
        <f ca="1">28986.9651380335*((RANDBETWEEN(1587,2416)))</f>
        <v>66843941.608305164</v>
      </c>
      <c r="B3104">
        <v>224010105.54044613</v>
      </c>
    </row>
    <row r="3105" spans="1:2" x14ac:dyDescent="0.25">
      <c r="A3105">
        <f ca="1">32236.473407224*((RANDBETWEEN(1587,2416)))</f>
        <v>75787948.980383664</v>
      </c>
      <c r="B3105">
        <v>258915443.14364153</v>
      </c>
    </row>
    <row r="3106" spans="1:2" x14ac:dyDescent="0.25">
      <c r="A3106">
        <f ca="1">31582.8525986298*((RANDBETWEEN(1587,2416)))</f>
        <v>50722061.273399457</v>
      </c>
      <c r="B3106">
        <v>252914114.41597784</v>
      </c>
    </row>
    <row r="3107" spans="1:2" x14ac:dyDescent="0.25">
      <c r="A3107">
        <f ca="1">27040.1041789147*((RANDBETWEEN(1587,2416)))</f>
        <v>44697292.207745939</v>
      </c>
      <c r="B3107">
        <v>260622969.00545534</v>
      </c>
    </row>
    <row r="3108" spans="1:2" x14ac:dyDescent="0.25">
      <c r="A3108">
        <f ca="1">27709.9171587943*((RANDBETWEEN(1587,2416)))</f>
        <v>50210369.891735226</v>
      </c>
      <c r="B3108">
        <v>252761442.86636999</v>
      </c>
    </row>
    <row r="3109" spans="1:2" x14ac:dyDescent="0.25">
      <c r="A3109">
        <f ca="1">27801.5153786352*((RANDBETWEEN(1587,2416)))</f>
        <v>60301486.856259741</v>
      </c>
      <c r="B3109">
        <v>245831164.80822259</v>
      </c>
    </row>
    <row r="3110" spans="1:2" x14ac:dyDescent="0.25">
      <c r="A3110">
        <f ca="1">31972.6955492293*((RANDBETWEEN(1587,2416)))</f>
        <v>54097800.869295985</v>
      </c>
      <c r="B3110">
        <v>230736793.68272939</v>
      </c>
    </row>
    <row r="3111" spans="1:2" x14ac:dyDescent="0.25">
      <c r="A3111">
        <f ca="1">27678.6421540372*((RANDBETWEEN(1587,2416)))</f>
        <v>57045681.479470767</v>
      </c>
      <c r="B3111">
        <v>267174684.52432173</v>
      </c>
    </row>
    <row r="3112" spans="1:2" x14ac:dyDescent="0.25">
      <c r="A3112">
        <f ca="1">27885.3659611883*((RANDBETWEEN(1587,2416)))</f>
        <v>45676229.444426462</v>
      </c>
      <c r="B3112">
        <v>218280855.89761993</v>
      </c>
    </row>
    <row r="3113" spans="1:2" x14ac:dyDescent="0.25">
      <c r="A3113">
        <f ca="1">32086.7384600027*((RANDBETWEEN(1587,2416)))</f>
        <v>66002421.012225524</v>
      </c>
      <c r="B3113">
        <v>244951199.9086248</v>
      </c>
    </row>
    <row r="3114" spans="1:2" x14ac:dyDescent="0.25">
      <c r="A3114">
        <f ca="1">28483.0784996008*((RANDBETWEEN(1587,2416)))</f>
        <v>54488129.169736274</v>
      </c>
      <c r="B3114">
        <v>242738822.66867298</v>
      </c>
    </row>
    <row r="3115" spans="1:2" x14ac:dyDescent="0.25">
      <c r="A3115">
        <f ca="1">34175.4595024757*((RANDBETWEEN(1587,2416)))</f>
        <v>70298920.196592495</v>
      </c>
      <c r="B3115">
        <v>236271285.72708035</v>
      </c>
    </row>
    <row r="3116" spans="1:2" x14ac:dyDescent="0.25">
      <c r="A3116">
        <f ca="1">27594.0201475164*((RANDBETWEEN(1587,2416)))</f>
        <v>44536748.518091463</v>
      </c>
      <c r="B3116">
        <v>212701094.28276017</v>
      </c>
    </row>
    <row r="3117" spans="1:2" x14ac:dyDescent="0.25">
      <c r="A3117">
        <f ca="1">26188.4101774666*((RANDBETWEEN(1587,2416)))</f>
        <v>43106123.152109981</v>
      </c>
      <c r="B3117">
        <v>231239157.2158497</v>
      </c>
    </row>
    <row r="3118" spans="1:2" x14ac:dyDescent="0.25">
      <c r="A3118">
        <f ca="1">32045.6954950459*((RANDBETWEEN(1587,2416)))</f>
        <v>59220445.274844795</v>
      </c>
      <c r="B3118">
        <v>224372141.88747543</v>
      </c>
    </row>
    <row r="3119" spans="1:2" x14ac:dyDescent="0.25">
      <c r="A3119">
        <f ca="1">30066.3813474297*((RANDBETWEEN(1587,2416)))</f>
        <v>68010154.607886001</v>
      </c>
      <c r="B3119">
        <v>205045673.98546174</v>
      </c>
    </row>
    <row r="3120" spans="1:2" x14ac:dyDescent="0.25">
      <c r="A3120">
        <f ca="1">26894.0998234332*((RANDBETWEEN(1587,2416)))</f>
        <v>53895776.046160176</v>
      </c>
      <c r="B3120">
        <v>233963743.00352177</v>
      </c>
    </row>
    <row r="3121" spans="1:2" x14ac:dyDescent="0.25">
      <c r="A3121">
        <f ca="1">31455.5897913167*((RANDBETWEEN(1587,2416)))</f>
        <v>52625201.720872834</v>
      </c>
      <c r="B3121">
        <v>218467739.02696091</v>
      </c>
    </row>
    <row r="3122" spans="1:2" x14ac:dyDescent="0.25">
      <c r="A3122">
        <f ca="1">31108.3966403582*((RANDBETWEEN(1587,2416)))</f>
        <v>50986662.093547143</v>
      </c>
      <c r="B3122">
        <v>210453303.05440986</v>
      </c>
    </row>
    <row r="3123" spans="1:2" x14ac:dyDescent="0.25">
      <c r="A3123">
        <f ca="1">28333.2100196409*((RANDBETWEEN(1587,2416)))</f>
        <v>57799748.440067403</v>
      </c>
      <c r="B3123">
        <v>221209300.94087458</v>
      </c>
    </row>
    <row r="3124" spans="1:2" x14ac:dyDescent="0.25">
      <c r="A3124">
        <f ca="1">26214.6944269736*((RANDBETWEEN(1587,2416)))</f>
        <v>58196621.627881408</v>
      </c>
      <c r="B3124">
        <v>240877915.12807262</v>
      </c>
    </row>
    <row r="3125" spans="1:2" x14ac:dyDescent="0.25">
      <c r="A3125">
        <f ca="1">30216.7798358057*((RANDBETWEEN(1587,2416)))</f>
        <v>52486546.574794576</v>
      </c>
      <c r="B3125">
        <v>225789458.94341964</v>
      </c>
    </row>
    <row r="3126" spans="1:2" x14ac:dyDescent="0.25">
      <c r="A3126">
        <f ca="1">32359.2251694522*((RANDBETWEEN(1587,2416)))</f>
        <v>59605692.762130894</v>
      </c>
      <c r="B3126">
        <v>244854921.42059705</v>
      </c>
    </row>
    <row r="3127" spans="1:2" x14ac:dyDescent="0.25">
      <c r="A3127">
        <f ca="1">34453.8197048064*((RANDBETWEEN(1587,2416)))</f>
        <v>78003447.811681584</v>
      </c>
      <c r="B3127">
        <v>211666555.31696224</v>
      </c>
    </row>
    <row r="3128" spans="1:2" x14ac:dyDescent="0.25">
      <c r="A3128">
        <f ca="1">31064.4204025995*((RANDBETWEEN(1587,2416)))</f>
        <v>73405225.411342591</v>
      </c>
      <c r="B3128">
        <v>247300833.5251894</v>
      </c>
    </row>
    <row r="3129" spans="1:2" x14ac:dyDescent="0.25">
      <c r="A3129">
        <f ca="1">28839.7287320742*((RANDBETWEEN(1587,2416)))</f>
        <v>65725741.78039708</v>
      </c>
      <c r="B3129">
        <v>237817245.42624134</v>
      </c>
    </row>
    <row r="3130" spans="1:2" x14ac:dyDescent="0.25">
      <c r="A3130">
        <f ca="1">33026.343459819*((RANDBETWEEN(1587,2416)))</f>
        <v>73945983.00653477</v>
      </c>
      <c r="B3130">
        <v>264224282.17705241</v>
      </c>
    </row>
    <row r="3131" spans="1:2" x14ac:dyDescent="0.25">
      <c r="A3131">
        <f ca="1">26760.0488862747*((RANDBETWEEN(1587,2416)))</f>
        <v>51406053.910533771</v>
      </c>
      <c r="B3131">
        <v>246391461.75599948</v>
      </c>
    </row>
    <row r="3132" spans="1:2" x14ac:dyDescent="0.25">
      <c r="A3132">
        <f ca="1">30252.2150017191*((RANDBETWEEN(1587,2416)))</f>
        <v>49795145.892829612</v>
      </c>
      <c r="B3132">
        <v>243111911.02060902</v>
      </c>
    </row>
    <row r="3133" spans="1:2" x14ac:dyDescent="0.25">
      <c r="A3133">
        <f ca="1">28550.1615510024*((RANDBETWEEN(1587,2416)))</f>
        <v>64038012.358898424</v>
      </c>
      <c r="B3133">
        <v>249483703.6963641</v>
      </c>
    </row>
    <row r="3134" spans="1:2" x14ac:dyDescent="0.25">
      <c r="A3134">
        <f ca="1">27662.8228928679*((RANDBETWEEN(1587,2416)))</f>
        <v>49461127.332447864</v>
      </c>
      <c r="B3134">
        <v>204046724.32323727</v>
      </c>
    </row>
    <row r="3135" spans="1:2" x14ac:dyDescent="0.25">
      <c r="A3135">
        <f ca="1">29746.6990217318*((RANDBETWEEN(1587,2416)))</f>
        <v>61932627.363245673</v>
      </c>
      <c r="B3135">
        <v>249866425.89185825</v>
      </c>
    </row>
    <row r="3136" spans="1:2" x14ac:dyDescent="0.25">
      <c r="A3136">
        <f ca="1">26897.6322243378*((RANDBETWEEN(1587,2416)))</f>
        <v>54709783.944303073</v>
      </c>
      <c r="B3136">
        <v>207371118.56088305</v>
      </c>
    </row>
    <row r="3137" spans="1:2" x14ac:dyDescent="0.25">
      <c r="A3137">
        <f ca="1">32822.1785241859*((RANDBETWEEN(1587,2416)))</f>
        <v>52515485.638697505</v>
      </c>
      <c r="B3137">
        <v>254261496.64007318</v>
      </c>
    </row>
    <row r="3138" spans="1:2" x14ac:dyDescent="0.25">
      <c r="A3138">
        <f ca="1">27833.9277156986*((RANDBETWEEN(1587,2416)))</f>
        <v>46649662.851510935</v>
      </c>
      <c r="B3138">
        <v>258049029.8815335</v>
      </c>
    </row>
    <row r="3139" spans="1:2" x14ac:dyDescent="0.25">
      <c r="A3139">
        <f ca="1">28770.2601081551*((RANDBETWEEN(1587,2416)))</f>
        <v>68329367.756868601</v>
      </c>
      <c r="B3139">
        <v>236105691.82727677</v>
      </c>
    </row>
    <row r="3140" spans="1:2" x14ac:dyDescent="0.25">
      <c r="A3140">
        <f ca="1">29351.8295842133*((RANDBETWEEN(1587,2416)))</f>
        <v>68918095.8637328</v>
      </c>
      <c r="B3140">
        <v>226437413.45094031</v>
      </c>
    </row>
    <row r="3141" spans="1:2" x14ac:dyDescent="0.25">
      <c r="A3141">
        <f ca="1">29667.2880773482*((RANDBETWEEN(1587,2416)))</f>
        <v>57880879.038906269</v>
      </c>
      <c r="B3141">
        <v>229392330.326864</v>
      </c>
    </row>
    <row r="3142" spans="1:2" x14ac:dyDescent="0.25">
      <c r="A3142">
        <f ca="1">30180.9457945014*((RANDBETWEEN(1587,2416)))</f>
        <v>64375957.379671574</v>
      </c>
      <c r="B3142">
        <v>221250639.92860293</v>
      </c>
    </row>
    <row r="3143" spans="1:2" x14ac:dyDescent="0.25">
      <c r="A3143">
        <f ca="1">31054.7422993051*((RANDBETWEEN(1587,2416)))</f>
        <v>51116105.824656211</v>
      </c>
      <c r="B3143">
        <v>218707609.65219262</v>
      </c>
    </row>
    <row r="3144" spans="1:2" x14ac:dyDescent="0.25">
      <c r="A3144">
        <f ca="1">27525.7629536848*((RANDBETWEEN(1587,2416)))</f>
        <v>51308022.145668469</v>
      </c>
      <c r="B3144">
        <v>256745112.37464765</v>
      </c>
    </row>
    <row r="3145" spans="1:2" x14ac:dyDescent="0.25">
      <c r="A3145">
        <f ca="1">30681.8139540444*((RANDBETWEEN(1587,2416)))</f>
        <v>53785219.861439914</v>
      </c>
      <c r="B3145">
        <v>236066393.61045635</v>
      </c>
    </row>
    <row r="3146" spans="1:2" x14ac:dyDescent="0.25">
      <c r="A3146">
        <f ca="1">29367.4852385109*((RANDBETWEEN(1587,2416)))</f>
        <v>67515848.563336626</v>
      </c>
      <c r="B3146">
        <v>208420634.06518161</v>
      </c>
    </row>
    <row r="3147" spans="1:2" x14ac:dyDescent="0.25">
      <c r="A3147">
        <f ca="1">30783.8652808447*((RANDBETWEEN(1587,2416)))</f>
        <v>62983788.364608295</v>
      </c>
      <c r="B3147">
        <v>215413333.24723423</v>
      </c>
    </row>
    <row r="3148" spans="1:2" x14ac:dyDescent="0.25">
      <c r="A3148">
        <f ca="1">33236.115585036*((RANDBETWEEN(1587,2416)))</f>
        <v>79135191.207970679</v>
      </c>
      <c r="B3148">
        <v>260184714.5128226</v>
      </c>
    </row>
    <row r="3149" spans="1:2" x14ac:dyDescent="0.25">
      <c r="A3149">
        <f ca="1">26958.6698515346*((RANDBETWEEN(1587,2416)))</f>
        <v>59093404.314563833</v>
      </c>
      <c r="B3149">
        <v>250606694.39941174</v>
      </c>
    </row>
    <row r="3150" spans="1:2" x14ac:dyDescent="0.25">
      <c r="A3150">
        <f ca="1">26309.2837305767*((RANDBETWEEN(1587,2416)))</f>
        <v>59064341.975144699</v>
      </c>
      <c r="B3150">
        <v>255345297.28914523</v>
      </c>
    </row>
    <row r="3151" spans="1:2" x14ac:dyDescent="0.25">
      <c r="A3151">
        <f ca="1">29140.8572646575*((RANDBETWEEN(1587,2416)))</f>
        <v>56096150.234465674</v>
      </c>
      <c r="B3151">
        <v>245067772.22839171</v>
      </c>
    </row>
    <row r="3152" spans="1:2" x14ac:dyDescent="0.25">
      <c r="A3152">
        <f ca="1">32322.3110198296*((RANDBETWEEN(1587,2416)))</f>
        <v>72789844.416656196</v>
      </c>
      <c r="B3152">
        <v>214008787.79291075</v>
      </c>
    </row>
    <row r="3153" spans="1:2" x14ac:dyDescent="0.25">
      <c r="A3153">
        <f ca="1">27626.6197885729*((RANDBETWEEN(1587,2416)))</f>
        <v>48539970.968522638</v>
      </c>
      <c r="B3153">
        <v>212571621.49754709</v>
      </c>
    </row>
    <row r="3154" spans="1:2" x14ac:dyDescent="0.25">
      <c r="A3154">
        <f ca="1">27751.5341809265*((RANDBETWEEN(1587,2416)))</f>
        <v>54226497.789530315</v>
      </c>
      <c r="B3154">
        <v>216858456.40261787</v>
      </c>
    </row>
    <row r="3155" spans="1:2" x14ac:dyDescent="0.25">
      <c r="A3155">
        <f ca="1">26655.9584268883*((RANDBETWEEN(1587,2416)))</f>
        <v>57177030.825675331</v>
      </c>
      <c r="B3155">
        <v>254024204.79213148</v>
      </c>
    </row>
    <row r="3156" spans="1:2" x14ac:dyDescent="0.25">
      <c r="A3156">
        <f ca="1">27956.1317761058*((RANDBETWEEN(1587,2416)))</f>
        <v>58344447.016732857</v>
      </c>
      <c r="B3156">
        <v>205263287.82480186</v>
      </c>
    </row>
    <row r="3157" spans="1:2" x14ac:dyDescent="0.25">
      <c r="A3157">
        <f ca="1">27834.8216515626*((RANDBETWEEN(1587,2416)))</f>
        <v>56504687.952672161</v>
      </c>
      <c r="B3157">
        <v>208748578.26804131</v>
      </c>
    </row>
    <row r="3158" spans="1:2" x14ac:dyDescent="0.25">
      <c r="A3158">
        <f ca="1">28838.9754187599*((RANDBETWEEN(1587,2416)))</f>
        <v>60158102.723533086</v>
      </c>
      <c r="B3158">
        <v>221665043.59407455</v>
      </c>
    </row>
    <row r="3159" spans="1:2" x14ac:dyDescent="0.25">
      <c r="A3159">
        <f ca="1">32417.2280012768*((RANDBETWEEN(1587,2416)))</f>
        <v>67006410.278639115</v>
      </c>
      <c r="B3159">
        <v>243411065.98175144</v>
      </c>
    </row>
    <row r="3160" spans="1:2" x14ac:dyDescent="0.25">
      <c r="A3160">
        <f ca="1">30560.7260992796*((RANDBETWEEN(1587,2416)))</f>
        <v>68089297.749194905</v>
      </c>
      <c r="B3160">
        <v>215796363.677163</v>
      </c>
    </row>
    <row r="3161" spans="1:2" x14ac:dyDescent="0.25">
      <c r="A3161">
        <f ca="1">29013.4027003811*((RANDBETWEEN(1587,2416)))</f>
        <v>57185416.722451054</v>
      </c>
      <c r="B3161">
        <v>224586345.74342889</v>
      </c>
    </row>
    <row r="3162" spans="1:2" x14ac:dyDescent="0.25">
      <c r="A3162">
        <f ca="1">31399.7573158507*((RANDBETWEEN(1587,2416)))</f>
        <v>68671269.249765441</v>
      </c>
      <c r="B3162">
        <v>248612098.09047031</v>
      </c>
    </row>
    <row r="3163" spans="1:2" x14ac:dyDescent="0.25">
      <c r="A3163">
        <f ca="1">28856.2784457929*((RANDBETWEEN(1587,2416)))</f>
        <v>45939195.285702348</v>
      </c>
      <c r="B3163">
        <v>229391671.99744058</v>
      </c>
    </row>
    <row r="3164" spans="1:2" x14ac:dyDescent="0.25">
      <c r="A3164">
        <f ca="1">29036.156892805*((RANDBETWEEN(1587,2416)))</f>
        <v>59262796.218215019</v>
      </c>
      <c r="B3164">
        <v>235997656.13291869</v>
      </c>
    </row>
    <row r="3165" spans="1:2" x14ac:dyDescent="0.25">
      <c r="A3165">
        <f ca="1">27096.0099108869*((RANDBETWEEN(1587,2416)))</f>
        <v>63540143.241029859</v>
      </c>
      <c r="B3165">
        <v>233622205.80483931</v>
      </c>
    </row>
    <row r="3166" spans="1:2" x14ac:dyDescent="0.25">
      <c r="A3166">
        <f ca="1">30775.1994453741*((RANDBETWEEN(1587,2416)))</f>
        <v>63273810.059689097</v>
      </c>
      <c r="B3166">
        <v>231120717.43934488</v>
      </c>
    </row>
    <row r="3167" spans="1:2" x14ac:dyDescent="0.25">
      <c r="A3167">
        <f ca="1">31509.4229299703*((RANDBETWEEN(1587,2416)))</f>
        <v>57126583.772036158</v>
      </c>
      <c r="B3167">
        <v>260551073.04379311</v>
      </c>
    </row>
    <row r="3168" spans="1:2" x14ac:dyDescent="0.25">
      <c r="A3168">
        <f ca="1">26860.3222740174*((RANDBETWEEN(1587,2416)))</f>
        <v>61429557.040677689</v>
      </c>
      <c r="B3168">
        <v>221004862.89161062</v>
      </c>
    </row>
    <row r="3169" spans="1:2" x14ac:dyDescent="0.25">
      <c r="A3169">
        <f ca="1">33845.6998688881*((RANDBETWEEN(1587,2416)))</f>
        <v>57436152.677503027</v>
      </c>
      <c r="B3169">
        <v>246393622.66503826</v>
      </c>
    </row>
    <row r="3170" spans="1:2" x14ac:dyDescent="0.25">
      <c r="A3170">
        <f ca="1">29780.3176926451*((RANDBETWEEN(1587,2416)))</f>
        <v>70549572.613876149</v>
      </c>
      <c r="B3170">
        <v>229859733.84925014</v>
      </c>
    </row>
    <row r="3171" spans="1:2" x14ac:dyDescent="0.25">
      <c r="A3171">
        <f ca="1">30399.0741518888*((RANDBETWEEN(1587,2416)))</f>
        <v>50097674.202312745</v>
      </c>
      <c r="B3171">
        <v>244999287.55951095</v>
      </c>
    </row>
    <row r="3172" spans="1:2" x14ac:dyDescent="0.25">
      <c r="A3172">
        <f ca="1">31039.4916518933*((RANDBETWEEN(1587,2416)))</f>
        <v>68255842.142513439</v>
      </c>
      <c r="B3172">
        <v>206452779.59694019</v>
      </c>
    </row>
    <row r="3173" spans="1:2" x14ac:dyDescent="0.25">
      <c r="A3173">
        <f ca="1">30324.7700429981*((RANDBETWEEN(1587,2416)))</f>
        <v>53826466.826321594</v>
      </c>
      <c r="B3173">
        <v>255430693.6916737</v>
      </c>
    </row>
    <row r="3174" spans="1:2" x14ac:dyDescent="0.25">
      <c r="A3174">
        <f ca="1">33541.2022210896*((RANDBETWEEN(1587,2416)))</f>
        <v>67585522.475495443</v>
      </c>
      <c r="B3174">
        <v>249105040.98956478</v>
      </c>
    </row>
    <row r="3175" spans="1:2" x14ac:dyDescent="0.25">
      <c r="A3175">
        <f ca="1">31896.1795491651*((RANDBETWEEN(1587,2416)))</f>
        <v>51448537.612803377</v>
      </c>
      <c r="B3175">
        <v>251491195.11534107</v>
      </c>
    </row>
    <row r="3176" spans="1:2" x14ac:dyDescent="0.25">
      <c r="A3176">
        <f ca="1">31826.1057018134*((RANDBETWEEN(1587,2416)))</f>
        <v>76509958.107159361</v>
      </c>
      <c r="B3176">
        <v>229066619.48573846</v>
      </c>
    </row>
    <row r="3177" spans="1:2" x14ac:dyDescent="0.25">
      <c r="A3177">
        <f ca="1">29811.6207313816*((RANDBETWEEN(1587,2416)))</f>
        <v>58848139.323747337</v>
      </c>
      <c r="B3177">
        <v>251282431.17702943</v>
      </c>
    </row>
    <row r="3178" spans="1:2" x14ac:dyDescent="0.25">
      <c r="A3178">
        <f ca="1">28372.9631190028*((RANDBETWEEN(1587,2416)))</f>
        <v>67187176.665798619</v>
      </c>
      <c r="B3178">
        <v>208434298.93945092</v>
      </c>
    </row>
    <row r="3179" spans="1:2" x14ac:dyDescent="0.25">
      <c r="A3179">
        <f ca="1">26036.0696054607*((RANDBETWEEN(1587,2416)))</f>
        <v>62642783.470738366</v>
      </c>
      <c r="B3179">
        <v>219037003.98286617</v>
      </c>
    </row>
    <row r="3180" spans="1:2" x14ac:dyDescent="0.25">
      <c r="A3180">
        <f ca="1">27702.717316076*((RANDBETWEEN(1587,2416)))</f>
        <v>63356114.50186573</v>
      </c>
      <c r="B3180">
        <v>207759872.13044679</v>
      </c>
    </row>
    <row r="3181" spans="1:2" x14ac:dyDescent="0.25">
      <c r="A3181">
        <f ca="1">28523.5482323256*((RANDBETWEEN(1587,2416)))</f>
        <v>67458191.569449961</v>
      </c>
      <c r="B3181">
        <v>208439385.73680124</v>
      </c>
    </row>
    <row r="3182" spans="1:2" x14ac:dyDescent="0.25">
      <c r="A3182">
        <f ca="1">31330.6084855522*((RANDBETWEEN(1587,2416)))</f>
        <v>68112742.847590506</v>
      </c>
      <c r="B3182">
        <v>252929914.95639282</v>
      </c>
    </row>
    <row r="3183" spans="1:2" x14ac:dyDescent="0.25">
      <c r="A3183">
        <f ca="1">28706.2071020603*((RANDBETWEEN(1587,2416)))</f>
        <v>57125352.133099951</v>
      </c>
      <c r="B3183">
        <v>260604876.77114245</v>
      </c>
    </row>
    <row r="3184" spans="1:2" x14ac:dyDescent="0.25">
      <c r="A3184">
        <f ca="1">30320.5390063*((RANDBETWEEN(1587,2416)))</f>
        <v>55092419.374447055</v>
      </c>
      <c r="B3184">
        <v>216149693.56277055</v>
      </c>
    </row>
    <row r="3185" spans="1:2" x14ac:dyDescent="0.25">
      <c r="A3185">
        <f ca="1">29791.2014387172*((RANDBETWEEN(1587,2416)))</f>
        <v>63782962.280293569</v>
      </c>
      <c r="B3185">
        <v>252404602.06959236</v>
      </c>
    </row>
    <row r="3186" spans="1:2" x14ac:dyDescent="0.25">
      <c r="A3186">
        <f ca="1">31272.6251851521*((RANDBETWEEN(1587,2416)))</f>
        <v>72271036.802886605</v>
      </c>
      <c r="B3186">
        <v>260125701.62338543</v>
      </c>
    </row>
    <row r="3187" spans="1:2" x14ac:dyDescent="0.25">
      <c r="A3187">
        <f ca="1">32872.2794758231*((RANDBETWEEN(1587,2416)))</f>
        <v>55817130.549947679</v>
      </c>
      <c r="B3187">
        <v>252399066.15229893</v>
      </c>
    </row>
    <row r="3188" spans="1:2" x14ac:dyDescent="0.25">
      <c r="A3188">
        <f ca="1">30314.5896354158*((RANDBETWEEN(1587,2416)))</f>
        <v>72542812.997549936</v>
      </c>
      <c r="B3188">
        <v>257751623.84794465</v>
      </c>
    </row>
    <row r="3189" spans="1:2" x14ac:dyDescent="0.25">
      <c r="A3189">
        <f ca="1">27325.6268869837*((RANDBETWEEN(1587,2416)))</f>
        <v>53011716.160748437</v>
      </c>
      <c r="B3189">
        <v>220923404.35459977</v>
      </c>
    </row>
    <row r="3190" spans="1:2" x14ac:dyDescent="0.25">
      <c r="A3190">
        <f ca="1">28639.3307709062*((RANDBETWEEN(1587,2416)))</f>
        <v>54472007.126263499</v>
      </c>
      <c r="B3190">
        <v>205685442.28686661</v>
      </c>
    </row>
    <row r="3191" spans="1:2" x14ac:dyDescent="0.25">
      <c r="A3191">
        <f ca="1">31145.4913380099*((RANDBETWEEN(1587,2416)))</f>
        <v>60889435.565809406</v>
      </c>
      <c r="B3191">
        <v>221052866.36380661</v>
      </c>
    </row>
    <row r="3192" spans="1:2" x14ac:dyDescent="0.25">
      <c r="A3192">
        <f ca="1">26933.0859454996*((RANDBETWEEN(1587,2416)))</f>
        <v>47725428.295425355</v>
      </c>
      <c r="B3192">
        <v>267063020.65578371</v>
      </c>
    </row>
    <row r="3193" spans="1:2" x14ac:dyDescent="0.25">
      <c r="A3193">
        <f ca="1">27542.8159639992*((RANDBETWEEN(1587,2416)))</f>
        <v>63871790.220514119</v>
      </c>
      <c r="B3193">
        <v>250898107.23732615</v>
      </c>
    </row>
    <row r="3194" spans="1:2" x14ac:dyDescent="0.25">
      <c r="A3194">
        <f ca="1">28308.2269198698*((RANDBETWEEN(1587,2416)))</f>
        <v>55965364.62058267</v>
      </c>
      <c r="B3194">
        <v>262349700.46559733</v>
      </c>
    </row>
    <row r="3195" spans="1:2" x14ac:dyDescent="0.25">
      <c r="A3195">
        <f ca="1">32515.9587901852*((RANDBETWEEN(1587,2416)))</f>
        <v>69714215.646156967</v>
      </c>
      <c r="B3195">
        <v>267447752.72363567</v>
      </c>
    </row>
    <row r="3196" spans="1:2" x14ac:dyDescent="0.25">
      <c r="A3196">
        <f ca="1">35013.5157625185*((RANDBETWEEN(1587,2416)))</f>
        <v>58297503.744593285</v>
      </c>
      <c r="B3196">
        <v>208760412.82476318</v>
      </c>
    </row>
    <row r="3197" spans="1:2" x14ac:dyDescent="0.25">
      <c r="A3197">
        <f ca="1">30983.594528153*((RANDBETWEEN(1587,2416)))</f>
        <v>60479976.518954679</v>
      </c>
      <c r="B3197">
        <v>254708807.89168057</v>
      </c>
    </row>
    <row r="3198" spans="1:2" x14ac:dyDescent="0.25">
      <c r="A3198">
        <f ca="1">30466.8527185868*((RANDBETWEEN(1587,2416)))</f>
        <v>70987766.834307209</v>
      </c>
      <c r="B3198">
        <v>250775017.6882329</v>
      </c>
    </row>
    <row r="3199" spans="1:2" x14ac:dyDescent="0.25">
      <c r="A3199">
        <f ca="1">27815.0542695992*((RANDBETWEEN(1587,2416)))</f>
        <v>59774551.625368759</v>
      </c>
      <c r="B3199">
        <v>234754751.72732407</v>
      </c>
    </row>
    <row r="3200" spans="1:2" x14ac:dyDescent="0.25">
      <c r="A3200">
        <f ca="1">25946.9526723915*((RANDBETWEEN(1587,2416)))</f>
        <v>58588219.134260006</v>
      </c>
      <c r="B3200">
        <v>209468455.88495886</v>
      </c>
    </row>
    <row r="3201" spans="1:2" x14ac:dyDescent="0.25">
      <c r="A3201">
        <f ca="1">29515.8912355356*((RANDBETWEEN(1587,2416)))</f>
        <v>50914912.381298907</v>
      </c>
      <c r="B3201">
        <v>259558798.25563625</v>
      </c>
    </row>
    <row r="3202" spans="1:2" x14ac:dyDescent="0.25">
      <c r="A3202">
        <f ca="1">28243.6616405761*((RANDBETWEEN(1587,2416)))</f>
        <v>61938349.977783337</v>
      </c>
      <c r="B3202">
        <v>232918739.92662221</v>
      </c>
    </row>
    <row r="3203" spans="1:2" x14ac:dyDescent="0.25">
      <c r="A3203">
        <f ca="1">27047.9206219629*((RANDBETWEEN(1587,2416)))</f>
        <v>56313770.73492685</v>
      </c>
      <c r="B3203">
        <v>247999495.35473192</v>
      </c>
    </row>
    <row r="3204" spans="1:2" x14ac:dyDescent="0.25">
      <c r="A3204">
        <f ca="1">29506.1599831752*((RANDBETWEEN(1587,2416)))</f>
        <v>70932808.599553093</v>
      </c>
      <c r="B3204">
        <v>229470271.40389216</v>
      </c>
    </row>
    <row r="3205" spans="1:2" x14ac:dyDescent="0.25">
      <c r="A3205">
        <f ca="1">32782.7182183537*((RANDBETWEEN(1587,2416)))</f>
        <v>74646249.383191332</v>
      </c>
      <c r="B3205">
        <v>226627461.69900596</v>
      </c>
    </row>
    <row r="3206" spans="1:2" x14ac:dyDescent="0.25">
      <c r="A3206">
        <f ca="1">28678.6239886459*((RANDBETWEEN(1587,2416)))</f>
        <v>51277379.691698857</v>
      </c>
      <c r="B3206">
        <v>214787508.64699218</v>
      </c>
    </row>
    <row r="3207" spans="1:2" x14ac:dyDescent="0.25">
      <c r="A3207">
        <f ca="1">32025.884803611*((RANDBETWEEN(1587,2416)))</f>
        <v>51689778.073028117</v>
      </c>
      <c r="B3207">
        <v>210509257.89757639</v>
      </c>
    </row>
    <row r="3208" spans="1:2" x14ac:dyDescent="0.25">
      <c r="A3208">
        <f ca="1">28762.9722923817*((RANDBETWEEN(1587,2416)))</f>
        <v>63709983.627625577</v>
      </c>
      <c r="B3208">
        <v>222665360.3092511</v>
      </c>
    </row>
    <row r="3209" spans="1:2" x14ac:dyDescent="0.25">
      <c r="A3209">
        <f ca="1">27034.7372711693*((RANDBETWEEN(1587,2416)))</f>
        <v>57016260.904896095</v>
      </c>
      <c r="B3209">
        <v>234488821.60136998</v>
      </c>
    </row>
    <row r="3210" spans="1:2" x14ac:dyDescent="0.25">
      <c r="A3210">
        <f ca="1">29057.7466267762*((RANDBETWEEN(1587,2416)))</f>
        <v>50298959.410949655</v>
      </c>
      <c r="B3210">
        <v>262449164.26619467</v>
      </c>
    </row>
    <row r="3211" spans="1:2" x14ac:dyDescent="0.25">
      <c r="A3211">
        <f ca="1">27822.3994248321*((RANDBETWEEN(1587,2416)))</f>
        <v>61904838.720251411</v>
      </c>
      <c r="B3211">
        <v>255185428.23334274</v>
      </c>
    </row>
    <row r="3212" spans="1:2" x14ac:dyDescent="0.25">
      <c r="A3212">
        <f ca="1">32501.9453296988*((RANDBETWEEN(1587,2416)))</f>
        <v>55448318.732466087</v>
      </c>
      <c r="B3212">
        <v>229497533.84500572</v>
      </c>
    </row>
    <row r="3213" spans="1:2" x14ac:dyDescent="0.25">
      <c r="A3213">
        <f ca="1">32422.441806102*((RANDBETWEEN(1587,2416)))</f>
        <v>67698058.491141021</v>
      </c>
      <c r="B3213">
        <v>247329083.29040843</v>
      </c>
    </row>
    <row r="3214" spans="1:2" x14ac:dyDescent="0.25">
      <c r="A3214">
        <f ca="1">30397.7322647459*((RANDBETWEEN(1587,2416)))</f>
        <v>48241201.104151748</v>
      </c>
      <c r="B3214">
        <v>248474544.45261744</v>
      </c>
    </row>
    <row r="3215" spans="1:2" x14ac:dyDescent="0.25">
      <c r="A3215">
        <f ca="1">29183.5815567693*((RANDBETWEEN(1587,2416)))</f>
        <v>59388588.468025453</v>
      </c>
      <c r="B3215">
        <v>252843859.91333839</v>
      </c>
    </row>
    <row r="3216" spans="1:2" x14ac:dyDescent="0.25">
      <c r="A3216">
        <f ca="1">27061.4727405424*((RANDBETWEEN(1587,2416)))</f>
        <v>53581716.026273988</v>
      </c>
      <c r="B3216">
        <v>210010467.42051485</v>
      </c>
    </row>
    <row r="3217" spans="1:2" x14ac:dyDescent="0.25">
      <c r="A3217">
        <f ca="1">33428.507833415*((RANDBETWEEN(1587,2416)))</f>
        <v>59870457.52964627</v>
      </c>
      <c r="B3217">
        <v>210300418.21491864</v>
      </c>
    </row>
    <row r="3218" spans="1:2" x14ac:dyDescent="0.25">
      <c r="A3218">
        <f ca="1">29267.1752432839*((RANDBETWEEN(1587,2416)))</f>
        <v>60524518.403111041</v>
      </c>
      <c r="B3218">
        <v>238142803.17793581</v>
      </c>
    </row>
    <row r="3219" spans="1:2" x14ac:dyDescent="0.25">
      <c r="A3219">
        <f ca="1">31608.440761418*((RANDBETWEEN(1587,2416)))</f>
        <v>57211277.778166547</v>
      </c>
      <c r="B3219">
        <v>227219173.87925035</v>
      </c>
    </row>
    <row r="3220" spans="1:2" x14ac:dyDescent="0.25">
      <c r="A3220">
        <f ca="1">25890.274560764*((RANDBETWEEN(1587,2416)))</f>
        <v>45230309.657654718</v>
      </c>
      <c r="B3220">
        <v>211113484.87481993</v>
      </c>
    </row>
    <row r="3221" spans="1:2" x14ac:dyDescent="0.25">
      <c r="A3221">
        <f ca="1">28127.0627930332*((RANDBETWEEN(1587,2416)))</f>
        <v>53075767.490453601</v>
      </c>
      <c r="B3221">
        <v>214896952.62928754</v>
      </c>
    </row>
    <row r="3222" spans="1:2" x14ac:dyDescent="0.25">
      <c r="A3222">
        <f ca="1">26624.6463593745*((RANDBETWEEN(1587,2416)))</f>
        <v>52530427.267045908</v>
      </c>
      <c r="B3222">
        <v>210795693.79069504</v>
      </c>
    </row>
    <row r="3223" spans="1:2" x14ac:dyDescent="0.25">
      <c r="A3223">
        <f ca="1">31894.5916771241*((RANDBETWEEN(1587,2416)))</f>
        <v>75941022.78323245</v>
      </c>
      <c r="B3223">
        <v>205797842.23546618</v>
      </c>
    </row>
    <row r="3224" spans="1:2" x14ac:dyDescent="0.25">
      <c r="A3224">
        <f ca="1">34034.8164556425*((RANDBETWEEN(1587,2416)))</f>
        <v>59594963.61383009</v>
      </c>
      <c r="B3224">
        <v>261326460.62675023</v>
      </c>
    </row>
    <row r="3225" spans="1:2" x14ac:dyDescent="0.25">
      <c r="A3225">
        <f ca="1">28140.5806018025*((RANDBETWEEN(1587,2416)))</f>
        <v>51806808.887918331</v>
      </c>
      <c r="B3225">
        <v>233622808.94443053</v>
      </c>
    </row>
    <row r="3226" spans="1:2" x14ac:dyDescent="0.25">
      <c r="A3226">
        <f ca="1">30942.2946159784*((RANDBETWEEN(1587,2416)))</f>
        <v>57336071.923408039</v>
      </c>
      <c r="B3226">
        <v>266838932.65342432</v>
      </c>
    </row>
    <row r="3227" spans="1:2" x14ac:dyDescent="0.25">
      <c r="A3227">
        <f ca="1">28759.9030501577*((RANDBETWEEN(1587,2416)))</f>
        <v>67183133.525168419</v>
      </c>
      <c r="B3227">
        <v>255156045.84314466</v>
      </c>
    </row>
    <row r="3228" spans="1:2" x14ac:dyDescent="0.25">
      <c r="A3228">
        <f ca="1">30207.8166745986*((RANDBETWEEN(1587,2416)))</f>
        <v>60476048.982546486</v>
      </c>
      <c r="B3228">
        <v>233249099.06542885</v>
      </c>
    </row>
    <row r="3229" spans="1:2" x14ac:dyDescent="0.25">
      <c r="A3229">
        <f ca="1">28334.3777301791*((RANDBETWEEN(1587,2416)))</f>
        <v>65509081.312174074</v>
      </c>
      <c r="B3229">
        <v>249764351.00980246</v>
      </c>
    </row>
    <row r="3230" spans="1:2" x14ac:dyDescent="0.25">
      <c r="A3230">
        <f ca="1">31870.3160506094*((RANDBETWEEN(1587,2416)))</f>
        <v>61573450.609777428</v>
      </c>
      <c r="B3230">
        <v>246240887.85999388</v>
      </c>
    </row>
    <row r="3231" spans="1:2" x14ac:dyDescent="0.25">
      <c r="A3231">
        <f ca="1">32280.6020571085*((RANDBETWEEN(1587,2416)))</f>
        <v>59751394.407707766</v>
      </c>
      <c r="B3231">
        <v>216602419.38288537</v>
      </c>
    </row>
    <row r="3232" spans="1:2" x14ac:dyDescent="0.25">
      <c r="A3232">
        <f ca="1">27951.7034651003*((RANDBETWEEN(1587,2416)))</f>
        <v>45142001.096136913</v>
      </c>
      <c r="B3232">
        <v>222819971.76563254</v>
      </c>
    </row>
    <row r="3233" spans="1:2" x14ac:dyDescent="0.25">
      <c r="A3233">
        <f ca="1">26655.0045476032*((RANDBETWEEN(1587,2416)))</f>
        <v>48272213.235709444</v>
      </c>
      <c r="B3233">
        <v>203971998.5560047</v>
      </c>
    </row>
    <row r="3234" spans="1:2" x14ac:dyDescent="0.25">
      <c r="A3234">
        <f ca="1">32220.4391267583*((RANDBETWEEN(1587,2416)))</f>
        <v>55161391.785010234</v>
      </c>
      <c r="B3234">
        <v>228382287.45235458</v>
      </c>
    </row>
    <row r="3235" spans="1:2" x14ac:dyDescent="0.25">
      <c r="A3235">
        <f ca="1">27095.4540468927*((RANDBETWEEN(1587,2416)))</f>
        <v>44111399.188341238</v>
      </c>
      <c r="B3235">
        <v>210845845.93027672</v>
      </c>
    </row>
    <row r="3236" spans="1:2" x14ac:dyDescent="0.25">
      <c r="A3236">
        <f ca="1">27606.1585994569*((RANDBETWEEN(1587,2416)))</f>
        <v>63549377.095949776</v>
      </c>
      <c r="B3236">
        <v>238589596.36433375</v>
      </c>
    </row>
    <row r="3237" spans="1:2" x14ac:dyDescent="0.25">
      <c r="A3237">
        <f ca="1">30743.5445439701*((RANDBETWEEN(1587,2416)))</f>
        <v>48974466.458544426</v>
      </c>
      <c r="B3237">
        <v>254562886.56682932</v>
      </c>
    </row>
    <row r="3238" spans="1:2" x14ac:dyDescent="0.25">
      <c r="A3238">
        <f ca="1">26473.043209747*((RANDBETWEEN(1587,2416)))</f>
        <v>43865832.598550834</v>
      </c>
      <c r="B3238">
        <v>239062636.23446575</v>
      </c>
    </row>
    <row r="3239" spans="1:2" x14ac:dyDescent="0.25">
      <c r="A3239">
        <f ca="1">30424.6047723111*((RANDBETWEEN(1587,2416)))</f>
        <v>52117347.974968858</v>
      </c>
      <c r="B3239">
        <v>252491727.43560478</v>
      </c>
    </row>
    <row r="3240" spans="1:2" x14ac:dyDescent="0.25">
      <c r="A3240">
        <f ca="1">34008.2238565026*((RANDBETWEEN(1587,2416)))</f>
        <v>55841503.572377302</v>
      </c>
      <c r="B3240">
        <v>259196199.13412374</v>
      </c>
    </row>
    <row r="3241" spans="1:2" x14ac:dyDescent="0.25">
      <c r="A3241">
        <f ca="1">27911.1543945789*((RANDBETWEEN(1587,2416)))</f>
        <v>53114926.812883608</v>
      </c>
      <c r="B3241">
        <v>262000543.20727444</v>
      </c>
    </row>
    <row r="3242" spans="1:2" x14ac:dyDescent="0.25">
      <c r="A3242">
        <f ca="1">30731.2485467277*((RANDBETWEEN(1587,2416)))</f>
        <v>51966541.29251647</v>
      </c>
      <c r="B3242">
        <v>205956501.559569</v>
      </c>
    </row>
    <row r="3243" spans="1:2" x14ac:dyDescent="0.25">
      <c r="A3243">
        <f ca="1">30153.6254383487*((RANDBETWEEN(1587,2416)))</f>
        <v>67725042.734531075</v>
      </c>
      <c r="B3243">
        <v>213557169.71307302</v>
      </c>
    </row>
    <row r="3244" spans="1:2" x14ac:dyDescent="0.25">
      <c r="A3244">
        <f ca="1">27668.6299202295*((RANDBETWEEN(1587,2416)))</f>
        <v>55724620.659342192</v>
      </c>
      <c r="B3244">
        <v>228198993.02506217</v>
      </c>
    </row>
    <row r="3245" spans="1:2" x14ac:dyDescent="0.25">
      <c r="A3245">
        <f ca="1">28468.576459526*((RANDBETWEEN(1587,2416)))</f>
        <v>60211039.211897507</v>
      </c>
      <c r="B3245">
        <v>225270675.27414554</v>
      </c>
    </row>
    <row r="3246" spans="1:2" x14ac:dyDescent="0.25">
      <c r="A3246">
        <f ca="1">30574.771639946*((RANDBETWEEN(1587,2416)))</f>
        <v>68181740.757079691</v>
      </c>
      <c r="B3246">
        <v>251005700.78844166</v>
      </c>
    </row>
    <row r="3247" spans="1:2" x14ac:dyDescent="0.25">
      <c r="A3247">
        <f ca="1">33288.4529101772*((RANDBETWEEN(1587,2416)))</f>
        <v>57722177.346247248</v>
      </c>
      <c r="B3247">
        <v>254430281.0074915</v>
      </c>
    </row>
    <row r="3248" spans="1:2" x14ac:dyDescent="0.25">
      <c r="A3248">
        <f ca="1">31808.4085445306*((RANDBETWEEN(1587,2416)))</f>
        <v>64730111.388119765</v>
      </c>
      <c r="B3248">
        <v>216589475.04651609</v>
      </c>
    </row>
    <row r="3249" spans="1:2" x14ac:dyDescent="0.25">
      <c r="A3249">
        <f ca="1">29645.2006002766*((RANDBETWEEN(1587,2416)))</f>
        <v>58549271.185546286</v>
      </c>
      <c r="B3249">
        <v>258618961.16748548</v>
      </c>
    </row>
    <row r="3250" spans="1:2" x14ac:dyDescent="0.25">
      <c r="A3250">
        <f ca="1">29296.0622046613*((RANDBETWEEN(1587,2416)))</f>
        <v>64070488.041594163</v>
      </c>
      <c r="B3250">
        <v>258711238.2590031</v>
      </c>
    </row>
    <row r="3251" spans="1:2" x14ac:dyDescent="0.25">
      <c r="A3251">
        <f ca="1">35806.4150603842*((RANDBETWEEN(1587,2416)))</f>
        <v>71577023.705707982</v>
      </c>
      <c r="B3251">
        <v>242441598.12145931</v>
      </c>
    </row>
    <row r="3252" spans="1:2" x14ac:dyDescent="0.25">
      <c r="A3252">
        <f ca="1">30758.5747925448*((RANDBETWEEN(1587,2416)))</f>
        <v>49459788.266412012</v>
      </c>
      <c r="B3252">
        <v>205119728.17330316</v>
      </c>
    </row>
    <row r="3253" spans="1:2" x14ac:dyDescent="0.25">
      <c r="A3253">
        <f ca="1">31331.6579143335*((RANDBETWEEN(1587,2416)))</f>
        <v>56835627.456601046</v>
      </c>
      <c r="B3253">
        <v>262484491.54088196</v>
      </c>
    </row>
    <row r="3254" spans="1:2" x14ac:dyDescent="0.25">
      <c r="A3254">
        <f ca="1">31846.6279903475*((RANDBETWEEN(1587,2416)))</f>
        <v>59043648.2941043</v>
      </c>
      <c r="B3254">
        <v>262862068.83183497</v>
      </c>
    </row>
    <row r="3255" spans="1:2" x14ac:dyDescent="0.25">
      <c r="A3255">
        <f ca="1">26539.6166237063*((RANDBETWEEN(1587,2416)))</f>
        <v>49814860.402696706</v>
      </c>
      <c r="B3255">
        <v>251222558.23047033</v>
      </c>
    </row>
    <row r="3256" spans="1:2" x14ac:dyDescent="0.25">
      <c r="A3256">
        <f ca="1">30638.8026362176*((RANDBETWEEN(1587,2416)))</f>
        <v>51197439.205119595</v>
      </c>
      <c r="B3256">
        <v>238394708.23638624</v>
      </c>
    </row>
    <row r="3257" spans="1:2" x14ac:dyDescent="0.25">
      <c r="A3257">
        <f ca="1">34095.4893149556*((RANDBETWEEN(1587,2416)))</f>
        <v>64986002.634305462</v>
      </c>
      <c r="B3257">
        <v>250868051.02242225</v>
      </c>
    </row>
    <row r="3258" spans="1:2" x14ac:dyDescent="0.25">
      <c r="A3258">
        <f ca="1">27737.6145573018*((RANDBETWEEN(1587,2416)))</f>
        <v>47070731.903741159</v>
      </c>
      <c r="B3258">
        <v>210628581.7910758</v>
      </c>
    </row>
    <row r="3259" spans="1:2" x14ac:dyDescent="0.25">
      <c r="A3259">
        <f ca="1">28355.0960324322*((RANDBETWEEN(1587,2416)))</f>
        <v>62182725.599123806</v>
      </c>
      <c r="B3259">
        <v>209322812.13022643</v>
      </c>
    </row>
    <row r="3260" spans="1:2" x14ac:dyDescent="0.25">
      <c r="A3260">
        <f ca="1">26837.9604373332*((RANDBETWEEN(1587,2416)))</f>
        <v>52978133.903295793</v>
      </c>
      <c r="B3260">
        <v>262065615.67574155</v>
      </c>
    </row>
    <row r="3261" spans="1:2" x14ac:dyDescent="0.25">
      <c r="A3261">
        <f ca="1">26759.9063005834*((RANDBETWEEN(1587,2416)))</f>
        <v>48622749.748160072</v>
      </c>
      <c r="B3261">
        <v>245898981.10035726</v>
      </c>
    </row>
    <row r="3262" spans="1:2" x14ac:dyDescent="0.25">
      <c r="A3262">
        <f ca="1">27524.3785485633*((RANDBETWEEN(1587,2416)))</f>
        <v>47809845.538854487</v>
      </c>
      <c r="B3262">
        <v>265779929.88371509</v>
      </c>
    </row>
    <row r="3263" spans="1:2" x14ac:dyDescent="0.25">
      <c r="A3263">
        <f ca="1">31689.6051598173*((RANDBETWEEN(1587,2416)))</f>
        <v>74248744.889451995</v>
      </c>
      <c r="B3263">
        <v>241777424.09302652</v>
      </c>
    </row>
    <row r="3264" spans="1:2" x14ac:dyDescent="0.25">
      <c r="A3264">
        <f ca="1">30536.4360737946*((RANDBETWEEN(1587,2416)))</f>
        <v>70875068.127277255</v>
      </c>
      <c r="B3264">
        <v>247207633.05318707</v>
      </c>
    </row>
    <row r="3265" spans="1:2" x14ac:dyDescent="0.25">
      <c r="A3265">
        <f ca="1">30369.5286992636*((RANDBETWEEN(1587,2416)))</f>
        <v>73038716.521729067</v>
      </c>
      <c r="B3265">
        <v>264786270.20743054</v>
      </c>
    </row>
    <row r="3266" spans="1:2" x14ac:dyDescent="0.25">
      <c r="A3266">
        <f ca="1">27612.1024466735*((RANDBETWEEN(1587,2416)))</f>
        <v>59586917.079921365</v>
      </c>
      <c r="B3266">
        <v>242821354.59441471</v>
      </c>
    </row>
    <row r="3267" spans="1:2" x14ac:dyDescent="0.25">
      <c r="A3267">
        <f ca="1">26854.5075536867*((RANDBETWEEN(1587,2416)))</f>
        <v>46646279.620753825</v>
      </c>
      <c r="B3267">
        <v>205951684.19970411</v>
      </c>
    </row>
    <row r="3268" spans="1:2" x14ac:dyDescent="0.25">
      <c r="A3268">
        <f ca="1">27959.7254382554*((RANDBETWEEN(1587,2416)))</f>
        <v>45126996.857344151</v>
      </c>
      <c r="B3268">
        <v>218922427.02227393</v>
      </c>
    </row>
    <row r="3269" spans="1:2" x14ac:dyDescent="0.25">
      <c r="A3269">
        <f ca="1">28552.3408563715*((RANDBETWEEN(1587,2416)))</f>
        <v>57732833.211583093</v>
      </c>
      <c r="B3269">
        <v>249570368.19330966</v>
      </c>
    </row>
    <row r="3270" spans="1:2" x14ac:dyDescent="0.25">
      <c r="A3270">
        <f ca="1">28942.9995363419*((RANDBETWEEN(1587,2416)))</f>
        <v>50794964.186280102</v>
      </c>
      <c r="B3270">
        <v>258575512.0262374</v>
      </c>
    </row>
    <row r="3271" spans="1:2" x14ac:dyDescent="0.25">
      <c r="A3271">
        <f ca="1">32029.5073789437*((RANDBETWEEN(1587,2416)))</f>
        <v>55282929.73605682</v>
      </c>
      <c r="B3271">
        <v>214024198.41556013</v>
      </c>
    </row>
    <row r="3272" spans="1:2" x14ac:dyDescent="0.25">
      <c r="A3272">
        <f ca="1">28410.5424416605*((RANDBETWEEN(1587,2416)))</f>
        <v>64832857.851869226</v>
      </c>
      <c r="B3272">
        <v>210523154.29432911</v>
      </c>
    </row>
    <row r="3273" spans="1:2" x14ac:dyDescent="0.25">
      <c r="A3273">
        <f ca="1">31345.1665280663*((RANDBETWEEN(1587,2416)))</f>
        <v>72814821.844697952</v>
      </c>
      <c r="B3273">
        <v>259242856.91870445</v>
      </c>
    </row>
    <row r="3274" spans="1:2" x14ac:dyDescent="0.25">
      <c r="A3274">
        <f ca="1">31691.6977939092*((RANDBETWEEN(1587,2416)))</f>
        <v>62939711.818703607</v>
      </c>
      <c r="B3274">
        <v>236209501.86149555</v>
      </c>
    </row>
    <row r="3275" spans="1:2" x14ac:dyDescent="0.25">
      <c r="A3275">
        <f ca="1">32380.7320124939*((RANDBETWEEN(1587,2416)))</f>
        <v>60033877.151163608</v>
      </c>
      <c r="B3275">
        <v>227294075.48997498</v>
      </c>
    </row>
    <row r="3276" spans="1:2" x14ac:dyDescent="0.25">
      <c r="A3276">
        <f ca="1">30947.8163571925*((RANDBETWEEN(1587,2416)))</f>
        <v>61214780.754526749</v>
      </c>
      <c r="B3276">
        <v>247882288.48368376</v>
      </c>
    </row>
    <row r="3277" spans="1:2" x14ac:dyDescent="0.25">
      <c r="A3277">
        <f ca="1">33199.8643081726*((RANDBETWEEN(1587,2416)))</f>
        <v>64009338.386156738</v>
      </c>
      <c r="B3277">
        <v>250298765.17805654</v>
      </c>
    </row>
    <row r="3278" spans="1:2" x14ac:dyDescent="0.25">
      <c r="A3278">
        <f ca="1">30336.7549960505*((RANDBETWEEN(1587,2416)))</f>
        <v>63191460.656773187</v>
      </c>
      <c r="B3278">
        <v>227306361.00069857</v>
      </c>
    </row>
    <row r="3279" spans="1:2" x14ac:dyDescent="0.25">
      <c r="A3279">
        <f ca="1">26357.0866547946*((RANDBETWEEN(1587,2416)))</f>
        <v>53794813.862435788</v>
      </c>
      <c r="B3279">
        <v>243427305.80665383</v>
      </c>
    </row>
    <row r="3280" spans="1:2" x14ac:dyDescent="0.25">
      <c r="A3280">
        <f ca="1">28389.1200400135*((RANDBETWEEN(1587,2416)))</f>
        <v>47211106.626542509</v>
      </c>
      <c r="B3280">
        <v>263495095.58143222</v>
      </c>
    </row>
    <row r="3281" spans="1:2" x14ac:dyDescent="0.25">
      <c r="A3281">
        <f ca="1">30420.1403305443*((RANDBETWEEN(1587,2416)))</f>
        <v>55973058.208201602</v>
      </c>
      <c r="B3281">
        <v>217419241.41854429</v>
      </c>
    </row>
    <row r="3282" spans="1:2" x14ac:dyDescent="0.25">
      <c r="A3282">
        <f ca="1">33815.9603097298*((RANDBETWEEN(1587,2416)))</f>
        <v>61545047.763708144</v>
      </c>
      <c r="B3282">
        <v>259496428.8695541</v>
      </c>
    </row>
    <row r="3283" spans="1:2" x14ac:dyDescent="0.25">
      <c r="A3283">
        <f ca="1">29863.0439658792*((RANDBETWEEN(1587,2416)))</f>
        <v>60711568.382632419</v>
      </c>
      <c r="B3283">
        <v>219391991.9121252</v>
      </c>
    </row>
    <row r="3284" spans="1:2" x14ac:dyDescent="0.25">
      <c r="A3284">
        <f ca="1">28563.6514185511*((RANDBETWEEN(1587,2416)))</f>
        <v>60869141.172932446</v>
      </c>
      <c r="B3284">
        <v>205985732.75736606</v>
      </c>
    </row>
    <row r="3285" spans="1:2" x14ac:dyDescent="0.25">
      <c r="A3285">
        <f ca="1">31163.215600433*((RANDBETWEEN(1587,2416)))</f>
        <v>60207332.540036604</v>
      </c>
      <c r="B3285">
        <v>224655110.44132465</v>
      </c>
    </row>
    <row r="3286" spans="1:2" x14ac:dyDescent="0.25">
      <c r="A3286">
        <f ca="1">28288.2878007749*((RANDBETWEEN(1587,2416)))</f>
        <v>54596395.455495656</v>
      </c>
      <c r="B3286">
        <v>236780638.53983763</v>
      </c>
    </row>
    <row r="3287" spans="1:2" x14ac:dyDescent="0.25">
      <c r="A3287">
        <f ca="1">30810.2714823829*((RANDBETWEEN(1587,2416)))</f>
        <v>50251552.787766442</v>
      </c>
      <c r="B3287">
        <v>238163301.49543303</v>
      </c>
    </row>
    <row r="3288" spans="1:2" x14ac:dyDescent="0.25">
      <c r="A3288">
        <f ca="1">26540.5120551708*((RANDBETWEEN(1587,2416)))</f>
        <v>58574910.105761997</v>
      </c>
      <c r="B3288">
        <v>215552149.19355974</v>
      </c>
    </row>
    <row r="3289" spans="1:2" x14ac:dyDescent="0.25">
      <c r="A3289">
        <f ca="1">35681.280106996*((RANDBETWEEN(1587,2416)))</f>
        <v>78177684.714428276</v>
      </c>
      <c r="B3289">
        <v>259221543.19069904</v>
      </c>
    </row>
    <row r="3290" spans="1:2" x14ac:dyDescent="0.25">
      <c r="A3290">
        <f ca="1">32639.7997179082*((RANDBETWEEN(1587,2416)))</f>
        <v>75234738.349778384</v>
      </c>
      <c r="B3290">
        <v>253788610.55547664</v>
      </c>
    </row>
    <row r="3291" spans="1:2" x14ac:dyDescent="0.25">
      <c r="A3291">
        <f ca="1">26195.8909189231*((RANDBETWEEN(1587,2416)))</f>
        <v>53020483.219900332</v>
      </c>
      <c r="B3291">
        <v>206356046.78623861</v>
      </c>
    </row>
    <row r="3292" spans="1:2" x14ac:dyDescent="0.25">
      <c r="A3292">
        <f ca="1">31053.477464754*((RANDBETWEEN(1587,2416)))</f>
        <v>55616778.13937442</v>
      </c>
      <c r="B3292">
        <v>262432686.47861695</v>
      </c>
    </row>
    <row r="3293" spans="1:2" x14ac:dyDescent="0.25">
      <c r="A3293">
        <f ca="1">32062.18765667*((RANDBETWEEN(1587,2416)))</f>
        <v>53094982.759445526</v>
      </c>
      <c r="B3293">
        <v>233824415.50550652</v>
      </c>
    </row>
    <row r="3294" spans="1:2" x14ac:dyDescent="0.25">
      <c r="A3294">
        <f ca="1">30326.1532507345*((RANDBETWEEN(1587,2416)))</f>
        <v>59226977.298684455</v>
      </c>
      <c r="B3294">
        <v>211693936.86898172</v>
      </c>
    </row>
    <row r="3295" spans="1:2" x14ac:dyDescent="0.25">
      <c r="A3295">
        <f ca="1">28090.0740672162*((RANDBETWEEN(1587,2416)))</f>
        <v>56236328.282566912</v>
      </c>
      <c r="B3295">
        <v>250059323.23308408</v>
      </c>
    </row>
    <row r="3296" spans="1:2" x14ac:dyDescent="0.25">
      <c r="A3296">
        <f ca="1">29474.3689913042*((RANDBETWEEN(1587,2416)))</f>
        <v>50902235.24798239</v>
      </c>
      <c r="B3296">
        <v>254604051.07512313</v>
      </c>
    </row>
    <row r="3297" spans="1:2" x14ac:dyDescent="0.25">
      <c r="A3297">
        <f ca="1">28723.9673771154*((RANDBETWEEN(1587,2416)))</f>
        <v>51961656.985201798</v>
      </c>
      <c r="B3297">
        <v>207665133.81123069</v>
      </c>
    </row>
    <row r="3298" spans="1:2" x14ac:dyDescent="0.25">
      <c r="A3298">
        <f ca="1">33798.5623425386*((RANDBETWEEN(1587,2416)))</f>
        <v>74154045.77952975</v>
      </c>
      <c r="B3298">
        <v>254177616.25658569</v>
      </c>
    </row>
    <row r="3299" spans="1:2" x14ac:dyDescent="0.25">
      <c r="A3299">
        <f ca="1">28988.1366837592*((RANDBETWEEN(1587,2416)))</f>
        <v>68469978.847039267</v>
      </c>
      <c r="B3299">
        <v>245941900.89303508</v>
      </c>
    </row>
    <row r="3300" spans="1:2" x14ac:dyDescent="0.25">
      <c r="A3300">
        <f ca="1">29947.3754338571*((RANDBETWEEN(1587,2416)))</f>
        <v>71604174.662352398</v>
      </c>
      <c r="B3300">
        <v>241037214.3450453</v>
      </c>
    </row>
    <row r="3301" spans="1:2" x14ac:dyDescent="0.25">
      <c r="A3301">
        <f ca="1">31674.4637739103*((RANDBETWEEN(1587,2416)))</f>
        <v>50774165.429578274</v>
      </c>
      <c r="B3301">
        <v>251317668.51085973</v>
      </c>
    </row>
    <row r="3302" spans="1:2" x14ac:dyDescent="0.25">
      <c r="A3302">
        <f ca="1">32071.9964829327*((RANDBETWEEN(1587,2416)))</f>
        <v>72129920.090115756</v>
      </c>
      <c r="B3302">
        <v>242900777.48493457</v>
      </c>
    </row>
    <row r="3303" spans="1:2" x14ac:dyDescent="0.25">
      <c r="A3303">
        <f ca="1">28884.8450500218*((RANDBETWEEN(1587,2416)))</f>
        <v>69496937.190352514</v>
      </c>
      <c r="B3303">
        <v>260059943.09863409</v>
      </c>
    </row>
    <row r="3304" spans="1:2" x14ac:dyDescent="0.25">
      <c r="A3304">
        <f ca="1">28947.4743133352*((RANDBETWEEN(1587,2416)))</f>
        <v>55608098.155916974</v>
      </c>
      <c r="B3304">
        <v>243980689.05190864</v>
      </c>
    </row>
    <row r="3305" spans="1:2" x14ac:dyDescent="0.25">
      <c r="A3305">
        <f ca="1">29148.6026502884*((RANDBETWEEN(1587,2416)))</f>
        <v>52933862.412923783</v>
      </c>
      <c r="B3305">
        <v>245552979.16409102</v>
      </c>
    </row>
    <row r="3306" spans="1:2" x14ac:dyDescent="0.25">
      <c r="A3306">
        <f ca="1">26073.5014352306*((RANDBETWEEN(1587,2416)))</f>
        <v>48939962.193927906</v>
      </c>
      <c r="B3306">
        <v>254705913.45025194</v>
      </c>
    </row>
    <row r="3307" spans="1:2" x14ac:dyDescent="0.25">
      <c r="A3307">
        <f ca="1">32734.7838804814*((RANDBETWEEN(1587,2416)))</f>
        <v>66189733.006333351</v>
      </c>
      <c r="B3307">
        <v>237034352.91223755</v>
      </c>
    </row>
    <row r="3308" spans="1:2" x14ac:dyDescent="0.25">
      <c r="A3308">
        <f ca="1">28406.8851921509*((RANDBETWEEN(1587,2416)))</f>
        <v>48831435.645307317</v>
      </c>
      <c r="B3308">
        <v>248576826.93248644</v>
      </c>
    </row>
    <row r="3309" spans="1:2" x14ac:dyDescent="0.25">
      <c r="A3309">
        <f ca="1">28905.9893643788*((RANDBETWEEN(1587,2416)))</f>
        <v>60037739.909814671</v>
      </c>
      <c r="B3309">
        <v>227264415.89131045</v>
      </c>
    </row>
    <row r="3310" spans="1:2" x14ac:dyDescent="0.25">
      <c r="A3310">
        <f ca="1">28904.0863850467*((RANDBETWEEN(1587,2416)))</f>
        <v>65988029.217061654</v>
      </c>
      <c r="B3310">
        <v>225605536.74828649</v>
      </c>
    </row>
    <row r="3311" spans="1:2" x14ac:dyDescent="0.25">
      <c r="A3311">
        <f ca="1">27297.0287404297*((RANDBETWEEN(1587,2416)))</f>
        <v>55167295.08440841</v>
      </c>
      <c r="B3311">
        <v>249541670.6572946</v>
      </c>
    </row>
    <row r="3312" spans="1:2" x14ac:dyDescent="0.25">
      <c r="A3312">
        <f ca="1">31177.2658258998*((RANDBETWEEN(1587,2416)))</f>
        <v>69774720.918363839</v>
      </c>
      <c r="B3312">
        <v>207396101.4468258</v>
      </c>
    </row>
    <row r="3313" spans="1:2" x14ac:dyDescent="0.25">
      <c r="A3313">
        <f ca="1">26157.972679567*((RANDBETWEEN(1587,2416)))</f>
        <v>63066872.130435929</v>
      </c>
      <c r="B3313">
        <v>241880178.88983643</v>
      </c>
    </row>
    <row r="3314" spans="1:2" x14ac:dyDescent="0.25">
      <c r="A3314">
        <f ca="1">29122.5608128381*((RANDBETWEEN(1587,2416)))</f>
        <v>50498520.449461259</v>
      </c>
      <c r="B3314">
        <v>222571112.3270317</v>
      </c>
    </row>
    <row r="3315" spans="1:2" x14ac:dyDescent="0.25">
      <c r="A3315">
        <f ca="1">27581.021617155*((RANDBETWEEN(1587,2416)))</f>
        <v>53286533.764343567</v>
      </c>
      <c r="B3315">
        <v>218600104.82127184</v>
      </c>
    </row>
    <row r="3316" spans="1:2" x14ac:dyDescent="0.25">
      <c r="A3316">
        <f ca="1">31215.5646653516*((RANDBETWEEN(1587,2416)))</f>
        <v>65802410.314561225</v>
      </c>
      <c r="B3316">
        <v>265254409.45155734</v>
      </c>
    </row>
    <row r="3317" spans="1:2" x14ac:dyDescent="0.25">
      <c r="A3317">
        <f ca="1">30485.8515374436*((RANDBETWEEN(1587,2416)))</f>
        <v>66703043.163926594</v>
      </c>
      <c r="B3317">
        <v>205410165.99766722</v>
      </c>
    </row>
    <row r="3318" spans="1:2" x14ac:dyDescent="0.25">
      <c r="A3318">
        <f ca="1">31878.4723017037*((RANDBETWEEN(1587,2416)))</f>
        <v>70260152.952954888</v>
      </c>
      <c r="B3318">
        <v>217485794.30228141</v>
      </c>
    </row>
    <row r="3319" spans="1:2" x14ac:dyDescent="0.25">
      <c r="A3319">
        <f ca="1">31084.6704676647*((RANDBETWEEN(1587,2416)))</f>
        <v>61827409.560185082</v>
      </c>
      <c r="B3319">
        <v>220852728.825423</v>
      </c>
    </row>
    <row r="3320" spans="1:2" x14ac:dyDescent="0.25">
      <c r="A3320">
        <f ca="1">29620.4400103792*((RANDBETWEEN(1587,2416)))</f>
        <v>57108208.34001115</v>
      </c>
      <c r="B3320">
        <v>245990743.1338872</v>
      </c>
    </row>
    <row r="3321" spans="1:2" x14ac:dyDescent="0.25">
      <c r="A3321">
        <f ca="1">30972.9879526922*((RANDBETWEEN(1587,2416)))</f>
        <v>67397221.785058126</v>
      </c>
      <c r="B3321">
        <v>226952504.1446608</v>
      </c>
    </row>
    <row r="3322" spans="1:2" x14ac:dyDescent="0.25">
      <c r="A3322">
        <f ca="1">32007.0982978253*((RANDBETWEEN(1587,2416)))</f>
        <v>59213131.85097684</v>
      </c>
      <c r="B3322">
        <v>261875805.07192126</v>
      </c>
    </row>
    <row r="3323" spans="1:2" x14ac:dyDescent="0.25">
      <c r="A3323">
        <f ca="1">29392.8667918761*((RANDBETWEEN(1587,2416)))</f>
        <v>66839379.084726259</v>
      </c>
      <c r="B3323">
        <v>210971872.27765691</v>
      </c>
    </row>
    <row r="3324" spans="1:2" x14ac:dyDescent="0.25">
      <c r="A3324">
        <f ca="1">29553.0910310779*((RANDBETWEEN(1587,2416)))</f>
        <v>65519202.815899715</v>
      </c>
      <c r="B3324">
        <v>251723973.852359</v>
      </c>
    </row>
    <row r="3325" spans="1:2" x14ac:dyDescent="0.25">
      <c r="A3325">
        <f ca="1">24608.3124196935*((RANDBETWEEN(1587,2416)))</f>
        <v>55344094.631890744</v>
      </c>
      <c r="B3325">
        <v>230219250.27324563</v>
      </c>
    </row>
    <row r="3326" spans="1:2" x14ac:dyDescent="0.25">
      <c r="A3326">
        <f ca="1">30402.0744097906*((RANDBETWEEN(1587,2416)))</f>
        <v>54784538.086442657</v>
      </c>
      <c r="B3326">
        <v>205728822.03106979</v>
      </c>
    </row>
    <row r="3327" spans="1:2" x14ac:dyDescent="0.25">
      <c r="A3327">
        <f ca="1">28829.0669780766*((RANDBETWEEN(1587,2416)))</f>
        <v>46933721.040308751</v>
      </c>
      <c r="B3327">
        <v>207010912.12306857</v>
      </c>
    </row>
    <row r="3328" spans="1:2" x14ac:dyDescent="0.25">
      <c r="A3328">
        <f ca="1">26565.1548628369*((RANDBETWEEN(1587,2416)))</f>
        <v>49544013.81919086</v>
      </c>
      <c r="B3328">
        <v>232875304.76425755</v>
      </c>
    </row>
    <row r="3329" spans="1:2" x14ac:dyDescent="0.25">
      <c r="A3329">
        <f ca="1">32306.9311669674*((RANDBETWEEN(1587,2416)))</f>
        <v>74693624.858028561</v>
      </c>
      <c r="B3329">
        <v>251277802.5075559</v>
      </c>
    </row>
    <row r="3330" spans="1:2" x14ac:dyDescent="0.25">
      <c r="A3330">
        <f ca="1">30526.143618869*((RANDBETWEEN(1587,2416)))</f>
        <v>62700698.993156925</v>
      </c>
      <c r="B3330">
        <v>265533189.6757333</v>
      </c>
    </row>
    <row r="3331" spans="1:2" x14ac:dyDescent="0.25">
      <c r="A3331">
        <f ca="1">30324.4472861231*((RANDBETWEEN(1587,2416)))</f>
        <v>65227886.112450764</v>
      </c>
      <c r="B3331">
        <v>255816053.37039939</v>
      </c>
    </row>
    <row r="3332" spans="1:2" x14ac:dyDescent="0.25">
      <c r="A3332">
        <f ca="1">32090.6790597187*((RANDBETWEEN(1587,2416)))</f>
        <v>70503221.89420189</v>
      </c>
      <c r="B3332">
        <v>245862531.5229044</v>
      </c>
    </row>
    <row r="3333" spans="1:2" x14ac:dyDescent="0.25">
      <c r="A3333">
        <f ca="1">28066.1650354553*((RANDBETWEEN(1587,2416)))</f>
        <v>62699812.689207248</v>
      </c>
      <c r="B3333">
        <v>208794471.72523972</v>
      </c>
    </row>
    <row r="3334" spans="1:2" x14ac:dyDescent="0.25">
      <c r="A3334">
        <f ca="1">31237.8600053873*((RANDBETWEEN(1587,2416)))</f>
        <v>58727176.810128115</v>
      </c>
      <c r="B3334">
        <v>204393836.88341355</v>
      </c>
    </row>
    <row r="3335" spans="1:2" x14ac:dyDescent="0.25">
      <c r="A3335">
        <f ca="1">27153.0630373844*((RANDBETWEEN(1587,2416)))</f>
        <v>59791044.808320425</v>
      </c>
      <c r="B3335">
        <v>265651511.10162663</v>
      </c>
    </row>
    <row r="3336" spans="1:2" x14ac:dyDescent="0.25">
      <c r="A3336">
        <f ca="1">26880.1128371277*((RANDBETWEEN(1587,2416)))</f>
        <v>56528877.296479531</v>
      </c>
      <c r="B3336">
        <v>218043470.99635446</v>
      </c>
    </row>
    <row r="3337" spans="1:2" x14ac:dyDescent="0.25">
      <c r="A3337">
        <f ca="1">25696.8925741182*((RANDBETWEEN(1587,2416)))</f>
        <v>47179494.766080983</v>
      </c>
      <c r="B3337">
        <v>230390896.09299228</v>
      </c>
    </row>
    <row r="3338" spans="1:2" x14ac:dyDescent="0.25">
      <c r="A3338">
        <f ca="1">26080.6971533172*((RANDBETWEEN(1587,2416)))</f>
        <v>56934161.885691486</v>
      </c>
      <c r="B3338">
        <v>248016975.41497195</v>
      </c>
    </row>
    <row r="3339" spans="1:2" x14ac:dyDescent="0.25">
      <c r="A3339">
        <f ca="1">27675.1196507118*((RANDBETWEEN(1587,2416)))</f>
        <v>58449852.702303268</v>
      </c>
      <c r="B3339">
        <v>224980497.87991276</v>
      </c>
    </row>
    <row r="3340" spans="1:2" x14ac:dyDescent="0.25">
      <c r="A3340">
        <f ca="1">27898.348540759*((RANDBETWEEN(1587,2416)))</f>
        <v>48013057.838646188</v>
      </c>
      <c r="B3340">
        <v>212955121.5469774</v>
      </c>
    </row>
    <row r="3341" spans="1:2" x14ac:dyDescent="0.25">
      <c r="A3341">
        <f ca="1">27888.0921806504*((RANDBETWEEN(1587,2416)))</f>
        <v>54158675.01482299</v>
      </c>
      <c r="B3341">
        <v>257536231.53855646</v>
      </c>
    </row>
    <row r="3342" spans="1:2" x14ac:dyDescent="0.25">
      <c r="A3342">
        <f ca="1">32319.5688811185*((RANDBETWEEN(1587,2416)))</f>
        <v>76047945.57727176</v>
      </c>
      <c r="B3342">
        <v>225015622.05195656</v>
      </c>
    </row>
    <row r="3343" spans="1:2" x14ac:dyDescent="0.25">
      <c r="A3343">
        <f ca="1">31555.9550984074*((RANDBETWEEN(1587,2416)))</f>
        <v>53329564.116308473</v>
      </c>
      <c r="B3343">
        <v>255579113.74843779</v>
      </c>
    </row>
    <row r="3344" spans="1:2" x14ac:dyDescent="0.25">
      <c r="A3344">
        <f ca="1">30078.2048654719*((RANDBETWEEN(1587,2416)))</f>
        <v>55253662.337871812</v>
      </c>
      <c r="B3344">
        <v>228208218.0333952</v>
      </c>
    </row>
    <row r="3345" spans="1:2" x14ac:dyDescent="0.25">
      <c r="A3345">
        <f ca="1">28155.3727322357*((RANDBETWEEN(1587,2416)))</f>
        <v>48511707.217642084</v>
      </c>
      <c r="B3345">
        <v>213290506.37887707</v>
      </c>
    </row>
    <row r="3346" spans="1:2" x14ac:dyDescent="0.25">
      <c r="A3346">
        <f ca="1">33924.1595217513*((RANDBETWEEN(1587,2416)))</f>
        <v>60554624.746325985</v>
      </c>
      <c r="B3346">
        <v>239195197.23632002</v>
      </c>
    </row>
    <row r="3347" spans="1:2" x14ac:dyDescent="0.25">
      <c r="A3347">
        <f ca="1">29475.3172322816*((RANDBETWEEN(1587,2416)))</f>
        <v>61662363.649933212</v>
      </c>
      <c r="B3347">
        <v>231679650.07704589</v>
      </c>
    </row>
    <row r="3348" spans="1:2" x14ac:dyDescent="0.25">
      <c r="A3348">
        <f ca="1">32046.4780436288*((RANDBETWEEN(1587,2416)))</f>
        <v>57619567.522444628</v>
      </c>
      <c r="B3348">
        <v>216880685.25395787</v>
      </c>
    </row>
    <row r="3349" spans="1:2" x14ac:dyDescent="0.25">
      <c r="A3349">
        <f ca="1">31728.6984994725*((RANDBETWEEN(1587,2416)))</f>
        <v>64377529.255429737</v>
      </c>
      <c r="B3349">
        <v>224305102.4792642</v>
      </c>
    </row>
    <row r="3350" spans="1:2" x14ac:dyDescent="0.25">
      <c r="A3350">
        <f ca="1">30807.389930654*((RANDBETWEEN(1587,2416)))</f>
        <v>59396647.786300905</v>
      </c>
      <c r="B3350">
        <v>259461110.71346372</v>
      </c>
    </row>
    <row r="3351" spans="1:2" x14ac:dyDescent="0.25">
      <c r="A3351">
        <f ca="1">28126.3793103833*((RANDBETWEEN(1587,2416)))</f>
        <v>46071009.310407788</v>
      </c>
      <c r="B3351">
        <v>254524205.67969221</v>
      </c>
    </row>
    <row r="3352" spans="1:2" x14ac:dyDescent="0.25">
      <c r="A3352">
        <f ca="1">30488.766873946*((RANDBETWEEN(1587,2416)))</f>
        <v>62654415.925959073</v>
      </c>
      <c r="B3352">
        <v>264013471.65519398</v>
      </c>
    </row>
    <row r="3353" spans="1:2" x14ac:dyDescent="0.25">
      <c r="A3353">
        <f ca="1">30719.9176364755*((RANDBETWEEN(1587,2416)))</f>
        <v>65279824.977510504</v>
      </c>
      <c r="B3353">
        <v>233870419.5213747</v>
      </c>
    </row>
    <row r="3354" spans="1:2" x14ac:dyDescent="0.25">
      <c r="A3354">
        <f ca="1">31638.9073609807*((RANDBETWEEN(1587,2416)))</f>
        <v>55716115.862687051</v>
      </c>
      <c r="B3354">
        <v>255651083.73845544</v>
      </c>
    </row>
    <row r="3355" spans="1:2" x14ac:dyDescent="0.25">
      <c r="A3355">
        <f ca="1">27778.5569578383*((RANDBETWEEN(1587,2416)))</f>
        <v>51529223.156790033</v>
      </c>
      <c r="B3355">
        <v>234813142.92377257</v>
      </c>
    </row>
    <row r="3356" spans="1:2" x14ac:dyDescent="0.25">
      <c r="A3356">
        <f ca="1">28636.6291624665*((RANDBETWEEN(1587,2416)))</f>
        <v>55182784.396072932</v>
      </c>
      <c r="B3356">
        <v>207971117.53333947</v>
      </c>
    </row>
    <row r="3357" spans="1:2" x14ac:dyDescent="0.25">
      <c r="A3357">
        <f ca="1">28792.4393881047*((RANDBETWEEN(1587,2416)))</f>
        <v>60089821.002974562</v>
      </c>
      <c r="B3357">
        <v>233224138.63587761</v>
      </c>
    </row>
    <row r="3358" spans="1:2" x14ac:dyDescent="0.25">
      <c r="A3358">
        <f ca="1">28266.0436205562*((RANDBETWEEN(1587,2416)))</f>
        <v>54723060.449396878</v>
      </c>
      <c r="B3358">
        <v>221795516.72160494</v>
      </c>
    </row>
    <row r="3359" spans="1:2" x14ac:dyDescent="0.25">
      <c r="A3359">
        <f ca="1">27037.9011209785*((RANDBETWEEN(1587,2416)))</f>
        <v>51453125.833222181</v>
      </c>
      <c r="B3359">
        <v>215068774.84886846</v>
      </c>
    </row>
    <row r="3360" spans="1:2" x14ac:dyDescent="0.25">
      <c r="A3360">
        <f ca="1">27413.56662808*((RANDBETWEEN(1587,2416)))</f>
        <v>56170398.020935915</v>
      </c>
      <c r="B3360">
        <v>261707527.51886478</v>
      </c>
    </row>
    <row r="3361" spans="1:2" x14ac:dyDescent="0.25">
      <c r="A3361">
        <f ca="1">31807.5288367012*((RANDBETWEEN(1587,2416)))</f>
        <v>71757785.055597812</v>
      </c>
      <c r="B3361">
        <v>245094122.24329591</v>
      </c>
    </row>
    <row r="3362" spans="1:2" x14ac:dyDescent="0.25">
      <c r="A3362">
        <f ca="1">30304.0462751662*((RANDBETWEEN(1587,2416)))</f>
        <v>51183534.158755727</v>
      </c>
      <c r="B3362">
        <v>204567341.61797681</v>
      </c>
    </row>
    <row r="3363" spans="1:2" x14ac:dyDescent="0.25">
      <c r="A3363">
        <f ca="1">27874.4944953871*((RANDBETWEEN(1587,2416)))</f>
        <v>66118300.943058245</v>
      </c>
      <c r="B3363">
        <v>230460493.59806794</v>
      </c>
    </row>
    <row r="3364" spans="1:2" x14ac:dyDescent="0.25">
      <c r="A3364">
        <f ca="1">30935.9974967832*((RANDBETWEEN(1587,2416)))</f>
        <v>61005787.063656546</v>
      </c>
      <c r="B3364">
        <v>240646509.73483446</v>
      </c>
    </row>
    <row r="3365" spans="1:2" x14ac:dyDescent="0.25">
      <c r="A3365">
        <f ca="1">27370.3645786902*((RANDBETWEEN(1587,2416)))</f>
        <v>57860950.719351135</v>
      </c>
      <c r="B3365">
        <v>254929886.83391523</v>
      </c>
    </row>
    <row r="3366" spans="1:2" x14ac:dyDescent="0.25">
      <c r="A3366">
        <f ca="1">28084.6432029794*((RANDBETWEEN(1587,2416)))</f>
        <v>64735102.582867451</v>
      </c>
      <c r="B3366">
        <v>264098315.47318622</v>
      </c>
    </row>
    <row r="3367" spans="1:2" x14ac:dyDescent="0.25">
      <c r="A3367">
        <f ca="1">26572.6253217025*((RANDBETWEEN(1587,2416)))</f>
        <v>61728208.6223149</v>
      </c>
      <c r="B3367">
        <v>213719111.0737575</v>
      </c>
    </row>
    <row r="3368" spans="1:2" x14ac:dyDescent="0.25">
      <c r="A3368">
        <f ca="1">27880.7787078437*((RANDBETWEEN(1587,2416)))</f>
        <v>66161087.873713128</v>
      </c>
      <c r="B3368">
        <v>204523307.81505129</v>
      </c>
    </row>
    <row r="3369" spans="1:2" x14ac:dyDescent="0.25">
      <c r="A3369">
        <f ca="1">27708.0375824605*((RANDBETWEEN(1587,2416)))</f>
        <v>44443692.282266691</v>
      </c>
      <c r="B3369">
        <v>266259779.86280304</v>
      </c>
    </row>
    <row r="3370" spans="1:2" x14ac:dyDescent="0.25">
      <c r="A3370">
        <f ca="1">28361.7803323897*((RANDBETWEEN(1587,2416)))</f>
        <v>64154347.111865446</v>
      </c>
      <c r="B3370">
        <v>219490523.69580469</v>
      </c>
    </row>
    <row r="3371" spans="1:2" x14ac:dyDescent="0.25">
      <c r="A3371">
        <f ca="1">28552.4665272697*((RANDBETWEEN(1587,2416)))</f>
        <v>48967480.094267555</v>
      </c>
      <c r="B3371">
        <v>244007391.65000635</v>
      </c>
    </row>
    <row r="3372" spans="1:2" x14ac:dyDescent="0.25">
      <c r="A3372">
        <f ca="1">32600.0724597158*((RANDBETWEEN(1587,2416)))</f>
        <v>62722539.412493251</v>
      </c>
      <c r="B3372">
        <v>257293278.51494324</v>
      </c>
    </row>
    <row r="3373" spans="1:2" x14ac:dyDescent="0.25">
      <c r="A3373">
        <f ca="1">27578.6026381284*((RANDBETWEEN(1587,2416)))</f>
        <v>60369561.17486313</v>
      </c>
      <c r="B3373">
        <v>243298780.0573827</v>
      </c>
    </row>
    <row r="3374" spans="1:2" x14ac:dyDescent="0.25">
      <c r="A3374">
        <f ca="1">24727.1493393213*((RANDBETWEEN(1587,2416)))</f>
        <v>50616474.697590701</v>
      </c>
      <c r="B3374">
        <v>203734751.54165834</v>
      </c>
    </row>
    <row r="3375" spans="1:2" x14ac:dyDescent="0.25">
      <c r="A3375">
        <f ca="1">33720.8842883016*((RANDBETWEEN(1587,2416)))</f>
        <v>76040594.070120081</v>
      </c>
      <c r="B3375">
        <v>235934421.04926747</v>
      </c>
    </row>
    <row r="3376" spans="1:2" x14ac:dyDescent="0.25">
      <c r="A3376">
        <f ca="1">26271.2293521015*((RANDBETWEEN(1587,2416)))</f>
        <v>61947558.81225545</v>
      </c>
      <c r="B3376">
        <v>230299770.08610684</v>
      </c>
    </row>
    <row r="3377" spans="1:2" x14ac:dyDescent="0.25">
      <c r="A3377">
        <f ca="1">29126.0140988694*((RANDBETWEEN(1587,2416)))</f>
        <v>47271520.88246496</v>
      </c>
      <c r="B3377">
        <v>213007235.24960428</v>
      </c>
    </row>
    <row r="3378" spans="1:2" x14ac:dyDescent="0.25">
      <c r="A3378">
        <f ca="1">33305.1263507189*((RANDBETWEEN(1587,2416)))</f>
        <v>71206360.137837097</v>
      </c>
      <c r="B3378">
        <v>234197681.88500565</v>
      </c>
    </row>
    <row r="3379" spans="1:2" x14ac:dyDescent="0.25">
      <c r="A3379">
        <f ca="1">30555.8496812904*((RANDBETWEEN(1587,2416)))</f>
        <v>61845039.754931696</v>
      </c>
      <c r="B3379">
        <v>236438343.39735681</v>
      </c>
    </row>
    <row r="3380" spans="1:2" x14ac:dyDescent="0.25">
      <c r="A3380">
        <f ca="1">28168.6452969545*((RANDBETWEEN(1587,2416)))</f>
        <v>63154102.755772054</v>
      </c>
      <c r="B3380">
        <v>221867129.43220139</v>
      </c>
    </row>
    <row r="3381" spans="1:2" x14ac:dyDescent="0.25">
      <c r="A3381">
        <f ca="1">27175.6295966139*((RANDBETWEEN(1587,2416)))</f>
        <v>57476456.5968384</v>
      </c>
      <c r="B3381">
        <v>246692302.90124297</v>
      </c>
    </row>
    <row r="3382" spans="1:2" x14ac:dyDescent="0.25">
      <c r="A3382">
        <f ca="1">33461.870676013*((RANDBETWEEN(1587,2416)))</f>
        <v>68429525.532446533</v>
      </c>
      <c r="B3382">
        <v>249697180.11628634</v>
      </c>
    </row>
    <row r="3383" spans="1:2" x14ac:dyDescent="0.25">
      <c r="A3383">
        <f ca="1">31056.8556876534*((RANDBETWEEN(1587,2416)))</f>
        <v>70219550.709784254</v>
      </c>
      <c r="B3383">
        <v>207417497.52675751</v>
      </c>
    </row>
    <row r="3384" spans="1:2" x14ac:dyDescent="0.25">
      <c r="A3384">
        <f ca="1">28606.5691041578*((RANDBETWEEN(1587,2416)))</f>
        <v>65451830.11031314</v>
      </c>
      <c r="B3384">
        <v>258244644.07082298</v>
      </c>
    </row>
    <row r="3385" spans="1:2" x14ac:dyDescent="0.25">
      <c r="A3385">
        <f ca="1">32142.1840852378*((RANDBETWEEN(1587,2416)))</f>
        <v>70937800.276119933</v>
      </c>
      <c r="B3385">
        <v>204206837.78234446</v>
      </c>
    </row>
    <row r="3386" spans="1:2" x14ac:dyDescent="0.25">
      <c r="A3386">
        <f ca="1">28447.4001612704*((RANDBETWEEN(1587,2416)))</f>
        <v>47677842.670289166</v>
      </c>
      <c r="B3386">
        <v>239415832.16853705</v>
      </c>
    </row>
    <row r="3387" spans="1:2" x14ac:dyDescent="0.25">
      <c r="A3387">
        <f ca="1">27042.6925437814*((RANDBETWEEN(1587,2416)))</f>
        <v>57573892.425710611</v>
      </c>
      <c r="B3387">
        <v>206532252.55484915</v>
      </c>
    </row>
    <row r="3388" spans="1:2" x14ac:dyDescent="0.25">
      <c r="A3388">
        <f ca="1">30206.1776546986*((RANDBETWEEN(1587,2416)))</f>
        <v>66393178.485027499</v>
      </c>
      <c r="B3388">
        <v>230419729.18965971</v>
      </c>
    </row>
    <row r="3389" spans="1:2" x14ac:dyDescent="0.25">
      <c r="A3389">
        <f ca="1">27634.2131918261*((RANDBETWEEN(1587,2416)))</f>
        <v>59855705.773495428</v>
      </c>
      <c r="B3389">
        <v>243044741.45698255</v>
      </c>
    </row>
    <row r="3390" spans="1:2" x14ac:dyDescent="0.25">
      <c r="A3390">
        <f ca="1">27457.3604836539*((RANDBETWEEN(1587,2416)))</f>
        <v>54091000.152798228</v>
      </c>
      <c r="B3390">
        <v>229331533.08303237</v>
      </c>
    </row>
    <row r="3391" spans="1:2" x14ac:dyDescent="0.25">
      <c r="A3391">
        <f ca="1">33834.6702639828*((RANDBETWEEN(1587,2416)))</f>
        <v>60699398.453585222</v>
      </c>
      <c r="B3391">
        <v>236791067.094221</v>
      </c>
    </row>
    <row r="3392" spans="1:2" x14ac:dyDescent="0.25">
      <c r="A3392">
        <f ca="1">30944.988360964*((RANDBETWEEN(1587,2416)))</f>
        <v>65727155.278687634</v>
      </c>
      <c r="B3392">
        <v>250758111.27158046</v>
      </c>
    </row>
    <row r="3393" spans="1:2" x14ac:dyDescent="0.25">
      <c r="A3393">
        <f ca="1">32783.8215575365*((RANDBETWEEN(1587,2416)))</f>
        <v>59207581.732910924</v>
      </c>
      <c r="B3393">
        <v>264986073.36939156</v>
      </c>
    </row>
    <row r="3394" spans="1:2" x14ac:dyDescent="0.25">
      <c r="A3394">
        <f ca="1">29696.0730124303*((RANDBETWEEN(1587,2416)))</f>
        <v>60698773.23740752</v>
      </c>
      <c r="B3394">
        <v>247839720.95276389</v>
      </c>
    </row>
    <row r="3395" spans="1:2" x14ac:dyDescent="0.25">
      <c r="A3395">
        <f ca="1">25934.5437768275*((RANDBETWEEN(1587,2416)))</f>
        <v>61853886.907733642</v>
      </c>
      <c r="B3395">
        <v>236378936.35482484</v>
      </c>
    </row>
    <row r="3396" spans="1:2" x14ac:dyDescent="0.25">
      <c r="A3396">
        <f ca="1">30249.2599946296*((RANDBETWEEN(1587,2416)))</f>
        <v>64733416.388507396</v>
      </c>
      <c r="B3396">
        <v>239130621.08143768</v>
      </c>
    </row>
    <row r="3397" spans="1:2" x14ac:dyDescent="0.25">
      <c r="A3397">
        <f ca="1">30358.4783052812*((RANDBETWEEN(1587,2416)))</f>
        <v>63904596.832616962</v>
      </c>
      <c r="B3397">
        <v>259422841.31141773</v>
      </c>
    </row>
    <row r="3398" spans="1:2" x14ac:dyDescent="0.25">
      <c r="A3398">
        <f ca="1">28462.242757828*((RANDBETWEEN(1587,2416)))</f>
        <v>58888380.265946113</v>
      </c>
      <c r="B3398">
        <v>264827720.90812263</v>
      </c>
    </row>
    <row r="3399" spans="1:2" x14ac:dyDescent="0.25">
      <c r="A3399">
        <f ca="1">28479.1134300708*((RANDBETWEEN(1587,2416)))</f>
        <v>61315531.21494247</v>
      </c>
      <c r="B3399">
        <v>205221973.39554495</v>
      </c>
    </row>
    <row r="3400" spans="1:2" x14ac:dyDescent="0.25">
      <c r="A3400">
        <f ca="1">32254.6545635523*((RANDBETWEEN(1587,2416)))</f>
        <v>72185916.913229972</v>
      </c>
      <c r="B3400">
        <v>261516667.22132415</v>
      </c>
    </row>
    <row r="3401" spans="1:2" x14ac:dyDescent="0.25">
      <c r="A3401">
        <f ca="1">31829.5941215427*((RANDBETWEEN(1587,2416)))</f>
        <v>68751923.302532256</v>
      </c>
      <c r="B3401">
        <v>263735694.62094396</v>
      </c>
    </row>
    <row r="3402" spans="1:2" x14ac:dyDescent="0.25">
      <c r="A3402">
        <f ca="1">30389.7340607235*((RANDBETWEEN(1587,2416)))</f>
        <v>64091949.134065844</v>
      </c>
      <c r="B3402">
        <v>207641309.13102639</v>
      </c>
    </row>
    <row r="3403" spans="1:2" x14ac:dyDescent="0.25">
      <c r="A3403">
        <f ca="1">30483.6208594814*((RANDBETWEEN(1587,2416)))</f>
        <v>71057320.223451108</v>
      </c>
      <c r="B3403">
        <v>245908479.61047685</v>
      </c>
    </row>
    <row r="3404" spans="1:2" x14ac:dyDescent="0.25">
      <c r="A3404">
        <f ca="1">26535.9346666763*((RANDBETWEEN(1587,2416)))</f>
        <v>52859581.856019266</v>
      </c>
      <c r="B3404">
        <v>216836512.95227051</v>
      </c>
    </row>
    <row r="3405" spans="1:2" x14ac:dyDescent="0.25">
      <c r="A3405">
        <f ca="1">29542.5505381776*((RANDBETWEEN(1587,2416)))</f>
        <v>48715665.83745487</v>
      </c>
      <c r="B3405">
        <v>260852082.99672741</v>
      </c>
    </row>
    <row r="3406" spans="1:2" x14ac:dyDescent="0.25">
      <c r="A3406">
        <f ca="1">31388.7954759212*((RANDBETWEEN(1587,2416)))</f>
        <v>60925652.01876314</v>
      </c>
      <c r="B3406">
        <v>260129095.44033077</v>
      </c>
    </row>
    <row r="3407" spans="1:2" x14ac:dyDescent="0.25">
      <c r="A3407">
        <f ca="1">28609.1971752021*((RANDBETWEEN(1587,2416)))</f>
        <v>66888302.995622508</v>
      </c>
      <c r="B3407">
        <v>203693193.16809285</v>
      </c>
    </row>
    <row r="3408" spans="1:2" x14ac:dyDescent="0.25">
      <c r="A3408">
        <f ca="1">34232.6544555885*((RANDBETWEEN(1587,2416)))</f>
        <v>69355357.927022353</v>
      </c>
      <c r="B3408">
        <v>263570061.81589967</v>
      </c>
    </row>
    <row r="3409" spans="1:2" x14ac:dyDescent="0.25">
      <c r="A3409">
        <f ca="1">31305.795136049*((RANDBETWEEN(1587,2416)))</f>
        <v>75102602.531381577</v>
      </c>
      <c r="B3409">
        <v>234405429.59456229</v>
      </c>
    </row>
    <row r="3410" spans="1:2" x14ac:dyDescent="0.25">
      <c r="A3410">
        <f ca="1">33213.2942011397*((RANDBETWEEN(1587,2416)))</f>
        <v>77619468.548063532</v>
      </c>
      <c r="B3410">
        <v>215764426.25549865</v>
      </c>
    </row>
    <row r="3411" spans="1:2" x14ac:dyDescent="0.25">
      <c r="A3411">
        <f ca="1">29901.9699586076*((RANDBETWEEN(1587,2416)))</f>
        <v>67339236.346784279</v>
      </c>
      <c r="B3411">
        <v>255377663.11714062</v>
      </c>
    </row>
    <row r="3412" spans="1:2" x14ac:dyDescent="0.25">
      <c r="A3412">
        <f ca="1">27335.8878242817*((RANDBETWEEN(1587,2416)))</f>
        <v>60193624.989068262</v>
      </c>
      <c r="B3412">
        <v>214707912.80553314</v>
      </c>
    </row>
    <row r="3413" spans="1:2" x14ac:dyDescent="0.25">
      <c r="A3413">
        <f ca="1">29716.3909490567*((RANDBETWEEN(1587,2416)))</f>
        <v>47457076.345643617</v>
      </c>
      <c r="B3413">
        <v>260778922.40400732</v>
      </c>
    </row>
    <row r="3414" spans="1:2" x14ac:dyDescent="0.25">
      <c r="A3414">
        <f ca="1">30543.7748637558*((RANDBETWEEN(1587,2416)))</f>
        <v>53115624.488071404</v>
      </c>
      <c r="B3414">
        <v>245328787.08015725</v>
      </c>
    </row>
    <row r="3415" spans="1:2" x14ac:dyDescent="0.25">
      <c r="A3415">
        <f ca="1">30513.6112521886*((RANDBETWEEN(1587,2416)))</f>
        <v>68777679.762433112</v>
      </c>
      <c r="B3415">
        <v>242547548.90586692</v>
      </c>
    </row>
    <row r="3416" spans="1:2" x14ac:dyDescent="0.25">
      <c r="A3416">
        <f ca="1">31744.5923221247*((RANDBETWEEN(1587,2416)))</f>
        <v>63870119.752114847</v>
      </c>
      <c r="B3416">
        <v>262363930.83350843</v>
      </c>
    </row>
    <row r="3417" spans="1:2" x14ac:dyDescent="0.25">
      <c r="A3417">
        <f ca="1">28952.9470679458*((RANDBETWEEN(1587,2416)))</f>
        <v>48785715.809488662</v>
      </c>
      <c r="B3417">
        <v>250737784.70741197</v>
      </c>
    </row>
    <row r="3418" spans="1:2" x14ac:dyDescent="0.25">
      <c r="A3418">
        <f ca="1">31159.5550443659*((RANDBETWEEN(1587,2416)))</f>
        <v>63814768.730861269</v>
      </c>
      <c r="B3418">
        <v>225249369.2477324</v>
      </c>
    </row>
    <row r="3419" spans="1:2" x14ac:dyDescent="0.25">
      <c r="A3419">
        <f ca="1">32732.9734716596*((RANDBETWEEN(1587,2416)))</f>
        <v>56824441.946801133</v>
      </c>
      <c r="B3419">
        <v>262484718.35053864</v>
      </c>
    </row>
    <row r="3420" spans="1:2" x14ac:dyDescent="0.25">
      <c r="A3420">
        <f ca="1">31446.4153604262*((RANDBETWEEN(1587,2416)))</f>
        <v>57924297.093905002</v>
      </c>
      <c r="B3420">
        <v>245998024.33699203</v>
      </c>
    </row>
    <row r="3421" spans="1:2" x14ac:dyDescent="0.25">
      <c r="A3421">
        <f ca="1">27157.1233504446*((RANDBETWEEN(1587,2416)))</f>
        <v>47633594.356679872</v>
      </c>
      <c r="B3421">
        <v>226819199.39016134</v>
      </c>
    </row>
    <row r="3422" spans="1:2" x14ac:dyDescent="0.25">
      <c r="A3422">
        <f ca="1">31538.9428156809*((RANDBETWEEN(1587,2416)))</f>
        <v>66610247.226718009</v>
      </c>
      <c r="B3422">
        <v>242779073.36598623</v>
      </c>
    </row>
    <row r="3423" spans="1:2" x14ac:dyDescent="0.25">
      <c r="A3423">
        <f ca="1">29749.6444406804*((RANDBETWEEN(1587,2416)))</f>
        <v>70298409.813327745</v>
      </c>
      <c r="B3423">
        <v>210683614.6070022</v>
      </c>
    </row>
    <row r="3424" spans="1:2" x14ac:dyDescent="0.25">
      <c r="A3424">
        <f ca="1">31504.4612249565*((RANDBETWEEN(1587,2416)))</f>
        <v>66820962.258132644</v>
      </c>
      <c r="B3424">
        <v>238112143.13777924</v>
      </c>
    </row>
    <row r="3425" spans="1:2" x14ac:dyDescent="0.25">
      <c r="A3425">
        <f ca="1">29499.859186799*((RANDBETWEEN(1587,2416)))</f>
        <v>55282736.116061389</v>
      </c>
      <c r="B3425">
        <v>221743207.12620991</v>
      </c>
    </row>
    <row r="3426" spans="1:2" x14ac:dyDescent="0.25">
      <c r="A3426">
        <f ca="1">29040.0889808015*((RANDBETWEEN(1587,2416)))</f>
        <v>52852961.945058644</v>
      </c>
      <c r="B3426">
        <v>249573463.59632534</v>
      </c>
    </row>
    <row r="3427" spans="1:2" x14ac:dyDescent="0.25">
      <c r="A3427">
        <f ca="1">28049.885707741*((RANDBETWEEN(1587,2416)))</f>
        <v>58371812.15780893</v>
      </c>
      <c r="B3427">
        <v>232496271.50926721</v>
      </c>
    </row>
    <row r="3428" spans="1:2" x14ac:dyDescent="0.25">
      <c r="A3428">
        <f ca="1">26695.9291064447*((RANDBETWEEN(1587,2416)))</f>
        <v>58464084.743113853</v>
      </c>
      <c r="B3428">
        <v>205404747.73260728</v>
      </c>
    </row>
    <row r="3429" spans="1:2" x14ac:dyDescent="0.25">
      <c r="A3429">
        <f ca="1">28163.6626113058*((RANDBETWEEN(1587,2416)))</f>
        <v>54693832.7911558</v>
      </c>
      <c r="B3429">
        <v>205589130.58286229</v>
      </c>
    </row>
    <row r="3430" spans="1:2" x14ac:dyDescent="0.25">
      <c r="A3430">
        <f ca="1">30911.2783818173*((RANDBETWEEN(1587,2416)))</f>
        <v>72857883.145943373</v>
      </c>
      <c r="B3430">
        <v>234953073.17881322</v>
      </c>
    </row>
    <row r="3431" spans="1:2" x14ac:dyDescent="0.25">
      <c r="A3431">
        <f ca="1">29324.4929169344*((RANDBETWEEN(1587,2416)))</f>
        <v>47153784.610430479</v>
      </c>
      <c r="B3431">
        <v>252935166.56485662</v>
      </c>
    </row>
    <row r="3432" spans="1:2" x14ac:dyDescent="0.25">
      <c r="A3432">
        <f ca="1">34101.5392513156*((RANDBETWEEN(1587,2416)))</f>
        <v>72124755.516532436</v>
      </c>
      <c r="B3432">
        <v>209674724.35868967</v>
      </c>
    </row>
    <row r="3433" spans="1:2" x14ac:dyDescent="0.25">
      <c r="A3433">
        <f ca="1">30355.4301209345*((RANDBETWEEN(1587,2416)))</f>
        <v>64748132.447953373</v>
      </c>
      <c r="B3433">
        <v>240879043.21221438</v>
      </c>
    </row>
    <row r="3434" spans="1:2" x14ac:dyDescent="0.25">
      <c r="A3434">
        <f ca="1">33329.1321523436*((RANDBETWEEN(1587,2416)))</f>
        <v>61992185.803359091</v>
      </c>
      <c r="B3434">
        <v>257968177.64315099</v>
      </c>
    </row>
    <row r="3435" spans="1:2" x14ac:dyDescent="0.25">
      <c r="A3435">
        <f ca="1">28198.031064813*((RANDBETWEEN(1587,2416)))</f>
        <v>56988220.781987078</v>
      </c>
      <c r="B3435">
        <v>238783399.36546788</v>
      </c>
    </row>
    <row r="3436" spans="1:2" x14ac:dyDescent="0.25">
      <c r="A3436">
        <f ca="1">29073.5878992552*((RANDBETWEEN(1587,2416)))</f>
        <v>47651610.566879317</v>
      </c>
      <c r="B3436">
        <v>204269506.48881653</v>
      </c>
    </row>
    <row r="3437" spans="1:2" x14ac:dyDescent="0.25">
      <c r="A3437">
        <f ca="1">27161.0338724811*((RANDBETWEEN(1587,2416)))</f>
        <v>61492580.687297314</v>
      </c>
      <c r="B3437">
        <v>229247004.95454592</v>
      </c>
    </row>
    <row r="3438" spans="1:2" x14ac:dyDescent="0.25">
      <c r="A3438">
        <f ca="1">26644.9713888532*((RANDBETWEEN(1587,2416)))</f>
        <v>62615682.763804995</v>
      </c>
      <c r="B3438">
        <v>210032688.17185086</v>
      </c>
    </row>
    <row r="3439" spans="1:2" x14ac:dyDescent="0.25">
      <c r="A3439">
        <f ca="1">31791.1111863814*((RANDBETWEEN(1587,2416)))</f>
        <v>75790009.068333372</v>
      </c>
      <c r="B3439">
        <v>217064257.46754315</v>
      </c>
    </row>
    <row r="3440" spans="1:2" x14ac:dyDescent="0.25">
      <c r="A3440">
        <f ca="1">33242.8141334729*((RANDBETWEEN(1587,2416)))</f>
        <v>53088774.171156339</v>
      </c>
      <c r="B3440">
        <v>225047099.43927804</v>
      </c>
    </row>
    <row r="3441" spans="1:2" x14ac:dyDescent="0.25">
      <c r="A3441">
        <f ca="1">27365.8409854428*((RANDBETWEEN(1587,2416)))</f>
        <v>47780758.360583112</v>
      </c>
      <c r="B3441">
        <v>255267935.55415091</v>
      </c>
    </row>
    <row r="3442" spans="1:2" x14ac:dyDescent="0.25">
      <c r="A3442">
        <f ca="1">31387.2347673542*((RANDBETWEEN(1587,2416)))</f>
        <v>62586146.126104236</v>
      </c>
      <c r="B3442">
        <v>210428591.40949932</v>
      </c>
    </row>
    <row r="3443" spans="1:2" x14ac:dyDescent="0.25">
      <c r="A3443">
        <f ca="1">28705.179169853*((RANDBETWEEN(1587,2416)))</f>
        <v>60797569.481748633</v>
      </c>
      <c r="B3443">
        <v>225665222.1514957</v>
      </c>
    </row>
    <row r="3444" spans="1:2" x14ac:dyDescent="0.25">
      <c r="A3444">
        <f ca="1">30949.1269307348*((RANDBETWEEN(1587,2416)))</f>
        <v>59081883.310772784</v>
      </c>
      <c r="B3444">
        <v>242049360.24076807</v>
      </c>
    </row>
    <row r="3445" spans="1:2" x14ac:dyDescent="0.25">
      <c r="A3445">
        <f ca="1">26985.6050339719*((RANDBETWEEN(1587,2416)))</f>
        <v>64981336.921804391</v>
      </c>
      <c r="B3445">
        <v>221234161.09631324</v>
      </c>
    </row>
    <row r="3446" spans="1:2" x14ac:dyDescent="0.25">
      <c r="A3446">
        <f ca="1">31863.9677326645*((RANDBETWEEN(1587,2416)))</f>
        <v>56685998.596410215</v>
      </c>
      <c r="B3446">
        <v>224504600.82347992</v>
      </c>
    </row>
    <row r="3447" spans="1:2" x14ac:dyDescent="0.25">
      <c r="A3447">
        <f ca="1">27648.9859300058*((RANDBETWEEN(1587,2416)))</f>
        <v>59887703.524392597</v>
      </c>
      <c r="B3447">
        <v>209280261.57778373</v>
      </c>
    </row>
    <row r="3448" spans="1:2" x14ac:dyDescent="0.25">
      <c r="A3448">
        <f ca="1">30389.1109414386*((RANDBETWEEN(1587,2416)))</f>
        <v>50749815.272202402</v>
      </c>
      <c r="B3448">
        <v>232773732.51486194</v>
      </c>
    </row>
    <row r="3449" spans="1:2" x14ac:dyDescent="0.25">
      <c r="A3449">
        <f ca="1">32905.4339416323*((RANDBETWEEN(1587,2416)))</f>
        <v>70187290.597501755</v>
      </c>
      <c r="B3449">
        <v>248031686.06509703</v>
      </c>
    </row>
    <row r="3450" spans="1:2" x14ac:dyDescent="0.25">
      <c r="A3450">
        <f ca="1">32182.3821639322*((RANDBETWEEN(1587,2416)))</f>
        <v>75467686.174421072</v>
      </c>
      <c r="B3450">
        <v>262933269.19015038</v>
      </c>
    </row>
    <row r="3451" spans="1:2" x14ac:dyDescent="0.25">
      <c r="A3451">
        <f ca="1">29699.2769414325*((RANDBETWEEN(1587,2416)))</f>
        <v>71278264.659438074</v>
      </c>
      <c r="B3451">
        <v>229552071.76561221</v>
      </c>
    </row>
    <row r="3452" spans="1:2" x14ac:dyDescent="0.25">
      <c r="A3452">
        <f ca="1">29768.506605786*((RANDBETWEEN(1587,2416)))</f>
        <v>55280116.766944587</v>
      </c>
      <c r="B3452">
        <v>247515724.54145208</v>
      </c>
    </row>
    <row r="3453" spans="1:2" x14ac:dyDescent="0.25">
      <c r="A3453">
        <f ca="1">28218.8612149557*((RANDBETWEEN(1587,2416)))</f>
        <v>51499421.717294097</v>
      </c>
      <c r="B3453">
        <v>235508544.15258834</v>
      </c>
    </row>
    <row r="3454" spans="1:2" x14ac:dyDescent="0.25">
      <c r="A3454">
        <f ca="1">34968.7094699962*((RANDBETWEEN(1587,2416)))</f>
        <v>72315291.183952212</v>
      </c>
      <c r="B3454">
        <v>212578880.48696402</v>
      </c>
    </row>
    <row r="3455" spans="1:2" x14ac:dyDescent="0.25">
      <c r="A3455">
        <f ca="1">29234.1785479378*((RANDBETWEEN(1587,2416)))</f>
        <v>50867470.673411809</v>
      </c>
      <c r="B3455">
        <v>237896860.09009731</v>
      </c>
    </row>
    <row r="3456" spans="1:2" x14ac:dyDescent="0.25">
      <c r="A3456">
        <f ca="1">29278.0692423901*((RANDBETWEEN(1587,2416)))</f>
        <v>67544505.742193997</v>
      </c>
      <c r="B3456">
        <v>254106299.65758494</v>
      </c>
    </row>
    <row r="3457" spans="1:2" x14ac:dyDescent="0.25">
      <c r="A3457">
        <f ca="1">29308.3893752451*((RANDBETWEEN(1587,2416)))</f>
        <v>69871200.270584226</v>
      </c>
      <c r="B3457">
        <v>220227760.00241724</v>
      </c>
    </row>
    <row r="3458" spans="1:2" x14ac:dyDescent="0.25">
      <c r="A3458">
        <f ca="1">25787.5460973998*((RANDBETWEEN(1587,2416)))</f>
        <v>53689670.974786475</v>
      </c>
      <c r="B3458">
        <v>258091190.47756097</v>
      </c>
    </row>
    <row r="3459" spans="1:2" x14ac:dyDescent="0.25">
      <c r="A3459">
        <f ca="1">27485.5208880066*((RANDBETWEEN(1587,2416)))</f>
        <v>46917784.155827291</v>
      </c>
      <c r="B3459">
        <v>217311689.82091713</v>
      </c>
    </row>
    <row r="3460" spans="1:2" x14ac:dyDescent="0.25">
      <c r="A3460">
        <f ca="1">31767.1920131198*((RANDBETWEEN(1587,2416)))</f>
        <v>56958575.279523797</v>
      </c>
      <c r="B3460">
        <v>237382740.54273343</v>
      </c>
    </row>
    <row r="3461" spans="1:2" x14ac:dyDescent="0.25">
      <c r="A3461">
        <f ca="1">32062.4115983011*((RANDBETWEEN(1587,2416)))</f>
        <v>67844062.942005113</v>
      </c>
      <c r="B3461">
        <v>232429009.21934271</v>
      </c>
    </row>
    <row r="3462" spans="1:2" x14ac:dyDescent="0.25">
      <c r="A3462">
        <f ca="1">33101.7007937528*((RANDBETWEEN(1587,2416)))</f>
        <v>62264299.193048939</v>
      </c>
      <c r="B3462">
        <v>250485850.80132064</v>
      </c>
    </row>
    <row r="3463" spans="1:2" x14ac:dyDescent="0.25">
      <c r="A3463">
        <f ca="1">28175.5440530246*((RANDBETWEEN(1587,2416)))</f>
        <v>49448079.813058205</v>
      </c>
      <c r="B3463">
        <v>215789098.16426817</v>
      </c>
    </row>
    <row r="3464" spans="1:2" x14ac:dyDescent="0.25">
      <c r="A3464">
        <f ca="1">32890.1294234787*((RANDBETWEEN(1587,2416)))</f>
        <v>67918117.259483576</v>
      </c>
      <c r="B3464">
        <v>266223633.30594009</v>
      </c>
    </row>
    <row r="3465" spans="1:2" x14ac:dyDescent="0.25">
      <c r="A3465">
        <f ca="1">30456.6616893532*((RANDBETWEEN(1587,2416)))</f>
        <v>72578224.805728719</v>
      </c>
      <c r="B3465">
        <v>228694587.87136751</v>
      </c>
    </row>
    <row r="3466" spans="1:2" x14ac:dyDescent="0.25">
      <c r="A3466">
        <f ca="1">30955.0180271096*((RANDBETWEEN(1587,2416)))</f>
        <v>62250541.252517469</v>
      </c>
      <c r="B3466">
        <v>217441257.55692449</v>
      </c>
    </row>
    <row r="3467" spans="1:2" x14ac:dyDescent="0.25">
      <c r="A3467">
        <f ca="1">34620.7367105951*((RANDBETWEEN(1587,2416)))</f>
        <v>68168230.583161741</v>
      </c>
      <c r="B3467">
        <v>255192633.26396331</v>
      </c>
    </row>
    <row r="3468" spans="1:2" x14ac:dyDescent="0.25">
      <c r="A3468">
        <f ca="1">26055.8012345468*((RANDBETWEEN(1587,2416)))</f>
        <v>51173593.624649979</v>
      </c>
      <c r="B3468">
        <v>256688110.89613783</v>
      </c>
    </row>
    <row r="3469" spans="1:2" x14ac:dyDescent="0.25">
      <c r="A3469">
        <f ca="1">28872.1659618713*((RANDBETWEEN(1587,2416)))</f>
        <v>58148542.247208901</v>
      </c>
      <c r="B3469">
        <v>229758729.23988822</v>
      </c>
    </row>
    <row r="3470" spans="1:2" x14ac:dyDescent="0.25">
      <c r="A3470">
        <f ca="1">29971.7778325748*((RANDBETWEEN(1587,2416)))</f>
        <v>70163931.906057522</v>
      </c>
      <c r="B3470">
        <v>223248967.49325123</v>
      </c>
    </row>
    <row r="3471" spans="1:2" x14ac:dyDescent="0.25">
      <c r="A3471">
        <f ca="1">32139.9922092851*((RANDBETWEEN(1587,2416)))</f>
        <v>69775923.086357981</v>
      </c>
      <c r="B3471">
        <v>251388955.53494316</v>
      </c>
    </row>
    <row r="3472" spans="1:2" x14ac:dyDescent="0.25">
      <c r="A3472">
        <f ca="1">27018.9903675076*((RANDBETWEEN(1587,2416)))</f>
        <v>58388038.18418397</v>
      </c>
      <c r="B3472">
        <v>208851531.03080338</v>
      </c>
    </row>
    <row r="3473" spans="1:2" x14ac:dyDescent="0.25">
      <c r="A3473">
        <f ca="1">30780.0028529932*((RANDBETWEEN(1587,2416)))</f>
        <v>57804845.357921205</v>
      </c>
      <c r="B3473">
        <v>237670687.19601995</v>
      </c>
    </row>
    <row r="3474" spans="1:2" x14ac:dyDescent="0.25">
      <c r="A3474">
        <f ca="1">26739.6211027729*((RANDBETWEEN(1587,2416)))</f>
        <v>54415128.944142804</v>
      </c>
      <c r="B3474">
        <v>220338614.02599949</v>
      </c>
    </row>
    <row r="3475" spans="1:2" x14ac:dyDescent="0.25">
      <c r="A3475">
        <f ca="1">29850.1280270847*((RANDBETWEEN(1587,2416)))</f>
        <v>65670281.659586295</v>
      </c>
      <c r="B3475">
        <v>244225922.4191573</v>
      </c>
    </row>
    <row r="3476" spans="1:2" x14ac:dyDescent="0.25">
      <c r="A3476">
        <f ca="1">27047.9514308577*((RANDBETWEEN(1587,2416)))</f>
        <v>52905792.998757601</v>
      </c>
      <c r="B3476">
        <v>246027329.97861779</v>
      </c>
    </row>
    <row r="3477" spans="1:2" x14ac:dyDescent="0.25">
      <c r="A3477">
        <f ca="1">31445.2756664737*((RANDBETWEEN(1587,2416)))</f>
        <v>68990934.812243342</v>
      </c>
      <c r="B3477">
        <v>242165969.16714099</v>
      </c>
    </row>
    <row r="3478" spans="1:2" x14ac:dyDescent="0.25">
      <c r="A3478">
        <f ca="1">27402.3064419883*((RANDBETWEEN(1587,2416)))</f>
        <v>60942729.526981935</v>
      </c>
      <c r="B3478">
        <v>254567455.11149418</v>
      </c>
    </row>
    <row r="3479" spans="1:2" x14ac:dyDescent="0.25">
      <c r="A3479">
        <f ca="1">30690.0879486974*((RANDBETWEEN(1587,2416)))</f>
        <v>51129686.522529788</v>
      </c>
      <c r="B3479">
        <v>216404310.62259045</v>
      </c>
    </row>
    <row r="3480" spans="1:2" x14ac:dyDescent="0.25">
      <c r="A3480">
        <f ca="1">33604.9084759649*((RANDBETWEEN(1587,2416)))</f>
        <v>78333041.657474071</v>
      </c>
      <c r="B3480">
        <v>215948840.09034443</v>
      </c>
    </row>
    <row r="3481" spans="1:2" x14ac:dyDescent="0.25">
      <c r="A3481">
        <f ca="1">33364.3127968272*((RANDBETWEEN(1587,2416)))</f>
        <v>71666543.887584865</v>
      </c>
      <c r="B3481">
        <v>210680966.13591909</v>
      </c>
    </row>
    <row r="3482" spans="1:2" x14ac:dyDescent="0.25">
      <c r="A3482">
        <f ca="1">27427.7212470203*((RANDBETWEEN(1587,2416)))</f>
        <v>47367674.593604028</v>
      </c>
      <c r="B3482">
        <v>253632948.2545757</v>
      </c>
    </row>
    <row r="3483" spans="1:2" x14ac:dyDescent="0.25">
      <c r="A3483">
        <f ca="1">30463.5432822035*((RANDBETWEEN(1587,2416)))</f>
        <v>60195961.52563414</v>
      </c>
      <c r="B3483">
        <v>264153984.11852497</v>
      </c>
    </row>
    <row r="3484" spans="1:2" x14ac:dyDescent="0.25">
      <c r="A3484">
        <f ca="1">31252.3478159632*((RANDBETWEEN(1587,2416)))</f>
        <v>67223800.152136937</v>
      </c>
      <c r="B3484">
        <v>210604215.85101941</v>
      </c>
    </row>
    <row r="3485" spans="1:2" x14ac:dyDescent="0.25">
      <c r="A3485">
        <f ca="1">33145.6625898716*((RANDBETWEEN(1587,2416)))</f>
        <v>74246284.201312304</v>
      </c>
      <c r="B3485">
        <v>208051532.9067575</v>
      </c>
    </row>
    <row r="3486" spans="1:2" x14ac:dyDescent="0.25">
      <c r="A3486">
        <f ca="1">28423.5436821846*((RANDBETWEEN(1587,2416)))</f>
        <v>56875510.908051483</v>
      </c>
      <c r="B3486">
        <v>228059887.06319231</v>
      </c>
    </row>
    <row r="3487" spans="1:2" x14ac:dyDescent="0.25">
      <c r="A3487">
        <f ca="1">31163.21107402*((RANDBETWEEN(1587,2416)))</f>
        <v>69805592.805804908</v>
      </c>
      <c r="B3487">
        <v>244228881.72730988</v>
      </c>
    </row>
    <row r="3488" spans="1:2" x14ac:dyDescent="0.25">
      <c r="A3488">
        <f ca="1">32210.4256225676*((RANDBETWEEN(1587,2416)))</f>
        <v>66707791.464337409</v>
      </c>
      <c r="B3488">
        <v>261268961.90839419</v>
      </c>
    </row>
    <row r="3489" spans="1:2" x14ac:dyDescent="0.25">
      <c r="A3489">
        <f ca="1">26924.2008499563*((RANDBETWEEN(1587,2416)))</f>
        <v>43374887.569279671</v>
      </c>
      <c r="B3489">
        <v>209406786.53356907</v>
      </c>
    </row>
    <row r="3490" spans="1:2" x14ac:dyDescent="0.25">
      <c r="A3490">
        <f ca="1">31349.0060491428*((RANDBETWEEN(1587,2416)))</f>
        <v>57274634.051783815</v>
      </c>
      <c r="B3490">
        <v>248241861.02440712</v>
      </c>
    </row>
    <row r="3491" spans="1:2" x14ac:dyDescent="0.25">
      <c r="A3491">
        <f ca="1">27152.6976064375*((RANDBETWEEN(1587,2416)))</f>
        <v>47951663.972968563</v>
      </c>
      <c r="B3491">
        <v>215304256.62183705</v>
      </c>
    </row>
    <row r="3492" spans="1:2" x14ac:dyDescent="0.25">
      <c r="A3492">
        <f ca="1">28152.0117394407*((RANDBETWEEN(1587,2416)))</f>
        <v>62638226.120255552</v>
      </c>
      <c r="B3492">
        <v>242436784.33215457</v>
      </c>
    </row>
    <row r="3493" spans="1:2" x14ac:dyDescent="0.25">
      <c r="A3493">
        <f ca="1">31414.2173645596*((RANDBETWEEN(1587,2416)))</f>
        <v>55728821.604728781</v>
      </c>
      <c r="B3493">
        <v>250913822.87057146</v>
      </c>
    </row>
    <row r="3494" spans="1:2" x14ac:dyDescent="0.25">
      <c r="A3494">
        <f ca="1">27297.2278275204*((RANDBETWEEN(1587,2416)))</f>
        <v>47005826.318990134</v>
      </c>
      <c r="B3494">
        <v>258481749.0853855</v>
      </c>
    </row>
    <row r="3495" spans="1:2" x14ac:dyDescent="0.25">
      <c r="A3495">
        <f ca="1">30171.1789109268*((RANDBETWEEN(1587,2416)))</f>
        <v>53734869.640360616</v>
      </c>
      <c r="B3495">
        <v>262575434.87069136</v>
      </c>
    </row>
    <row r="3496" spans="1:2" x14ac:dyDescent="0.25">
      <c r="A3496">
        <f ca="1">27163.2953221461*((RANDBETWEEN(1587,2416)))</f>
        <v>59297473.688244931</v>
      </c>
      <c r="B3496">
        <v>246796359.00280446</v>
      </c>
    </row>
    <row r="3497" spans="1:2" x14ac:dyDescent="0.25">
      <c r="A3497">
        <f ca="1">27380.6011307294*((RANDBETWEEN(1587,2416)))</f>
        <v>61332546.532833904</v>
      </c>
      <c r="B3497">
        <v>238911065.18839473</v>
      </c>
    </row>
    <row r="3498" spans="1:2" x14ac:dyDescent="0.25">
      <c r="A3498">
        <f ca="1">29831.8865247619*((RANDBETWEEN(1587,2416)))</f>
        <v>51549499.914788581</v>
      </c>
      <c r="B3498">
        <v>237123451.25920022</v>
      </c>
    </row>
    <row r="3499" spans="1:2" x14ac:dyDescent="0.25">
      <c r="A3499">
        <f ca="1">31974.2177732583*((RANDBETWEEN(1587,2416)))</f>
        <v>59472045.058260381</v>
      </c>
      <c r="B3499">
        <v>261081239.61810523</v>
      </c>
    </row>
    <row r="3500" spans="1:2" x14ac:dyDescent="0.25">
      <c r="A3500">
        <f ca="1">28859.1701296109*((RANDBETWEEN(1587,2416)))</f>
        <v>65164006.152661443</v>
      </c>
      <c r="B3500">
        <v>220829754.34273303</v>
      </c>
    </row>
    <row r="3501" spans="1:2" x14ac:dyDescent="0.25">
      <c r="A3501">
        <f ca="1">30132.8779170266*((RANDBETWEEN(1587,2416)))</f>
        <v>60054825.688634023</v>
      </c>
      <c r="B3501">
        <v>220386995.01340801</v>
      </c>
    </row>
    <row r="3502" spans="1:2" x14ac:dyDescent="0.25">
      <c r="A3502">
        <f ca="1">29761.1522527198*((RANDBETWEEN(1587,2416)))</f>
        <v>68242322.115486562</v>
      </c>
      <c r="B3502">
        <v>267387529.20418105</v>
      </c>
    </row>
    <row r="3503" spans="1:2" x14ac:dyDescent="0.25">
      <c r="A3503">
        <f ca="1">30596.5941345131*((RANDBETWEEN(1587,2416)))</f>
        <v>63518529.42324926</v>
      </c>
      <c r="B3503">
        <v>262955784.93745998</v>
      </c>
    </row>
    <row r="3504" spans="1:2" x14ac:dyDescent="0.25">
      <c r="A3504">
        <f ca="1">27559.7504773512*((RANDBETWEEN(1587,2416)))</f>
        <v>52391085.657444626</v>
      </c>
      <c r="B3504">
        <v>207807326.4548012</v>
      </c>
    </row>
    <row r="3505" spans="1:2" x14ac:dyDescent="0.25">
      <c r="A3505">
        <f ca="1">26498.4026463874*((RANDBETWEEN(1587,2416)))</f>
        <v>50240971.417550452</v>
      </c>
      <c r="B3505">
        <v>246602561.82730639</v>
      </c>
    </row>
    <row r="3506" spans="1:2" x14ac:dyDescent="0.25">
      <c r="A3506">
        <f ca="1">26683.6703156639*((RANDBETWEEN(1587,2416)))</f>
        <v>60972186.671291918</v>
      </c>
      <c r="B3506">
        <v>250654360.53397882</v>
      </c>
    </row>
    <row r="3507" spans="1:2" x14ac:dyDescent="0.25">
      <c r="A3507">
        <f ca="1">33238.1965961942*((RANDBETWEEN(1587,2416)))</f>
        <v>69168687.116680056</v>
      </c>
      <c r="B3507">
        <v>234069344.94992638</v>
      </c>
    </row>
    <row r="3508" spans="1:2" x14ac:dyDescent="0.25">
      <c r="A3508">
        <f ca="1">27475.9931024057*((RANDBETWEEN(1587,2416)))</f>
        <v>65695099.507851928</v>
      </c>
      <c r="B3508">
        <v>206550889.01642692</v>
      </c>
    </row>
    <row r="3509" spans="1:2" x14ac:dyDescent="0.25">
      <c r="A3509">
        <f ca="1">27215.0223515498*((RANDBETWEEN(1587,2416)))</f>
        <v>50293361.305663958</v>
      </c>
      <c r="B3509">
        <v>235296774.19377369</v>
      </c>
    </row>
    <row r="3510" spans="1:2" x14ac:dyDescent="0.25">
      <c r="A3510">
        <f ca="1">29153.5229329339*((RANDBETWEEN(1587,2416)))</f>
        <v>65099816.709241331</v>
      </c>
      <c r="B3510">
        <v>220983779.32348001</v>
      </c>
    </row>
    <row r="3511" spans="1:2" x14ac:dyDescent="0.25">
      <c r="A3511">
        <f ca="1">31500.0262201883*((RANDBETWEEN(1587,2416)))</f>
        <v>55566046.252412245</v>
      </c>
      <c r="B3511">
        <v>245307198.83046657</v>
      </c>
    </row>
    <row r="3512" spans="1:2" x14ac:dyDescent="0.25">
      <c r="A3512">
        <f ca="1">32511.4788395329*((RANDBETWEEN(1587,2416)))</f>
        <v>53156267.902636267</v>
      </c>
      <c r="B3512">
        <v>261051953.27743518</v>
      </c>
    </row>
    <row r="3513" spans="1:2" x14ac:dyDescent="0.25">
      <c r="A3513">
        <f ca="1">25595.8248395322*((RANDBETWEEN(1587,2416)))</f>
        <v>48120150.698320545</v>
      </c>
      <c r="B3513">
        <v>206989988.37956262</v>
      </c>
    </row>
    <row r="3514" spans="1:2" x14ac:dyDescent="0.25">
      <c r="A3514">
        <f ca="1">29012.2410301764*((RANDBETWEEN(1587,2416)))</f>
        <v>68352839.86709553</v>
      </c>
      <c r="B3514">
        <v>203925316.46154904</v>
      </c>
    </row>
    <row r="3515" spans="1:2" x14ac:dyDescent="0.25">
      <c r="A3515">
        <f ca="1">28748.4008262228*((RANDBETWEEN(1587,2416)))</f>
        <v>62844004.206123024</v>
      </c>
      <c r="B3515">
        <v>217643767.10033497</v>
      </c>
    </row>
    <row r="3516" spans="1:2" x14ac:dyDescent="0.25">
      <c r="A3516">
        <f ca="1">27045.2662627782*((RANDBETWEEN(1587,2416)))</f>
        <v>53414400.868987039</v>
      </c>
      <c r="B3516">
        <v>243048063.31943774</v>
      </c>
    </row>
    <row r="3517" spans="1:2" x14ac:dyDescent="0.25">
      <c r="A3517">
        <f ca="1">31663.4318077776*((RANDBETWEEN(1587,2416)))</f>
        <v>58925646.594274029</v>
      </c>
      <c r="B3517">
        <v>254677112.48727831</v>
      </c>
    </row>
    <row r="3518" spans="1:2" x14ac:dyDescent="0.25">
      <c r="A3518">
        <f ca="1">27737.9012144317*((RANDBETWEEN(1587,2416)))</f>
        <v>62854084.151902311</v>
      </c>
      <c r="B3518">
        <v>224654284.10682142</v>
      </c>
    </row>
    <row r="3519" spans="1:2" x14ac:dyDescent="0.25">
      <c r="A3519">
        <f ca="1">31764.0265333361*((RANDBETWEEN(1587,2416)))</f>
        <v>59176381.431605078</v>
      </c>
      <c r="B3519">
        <v>250916885.66217092</v>
      </c>
    </row>
    <row r="3520" spans="1:2" x14ac:dyDescent="0.25">
      <c r="A3520">
        <f ca="1">28555.9796735126*((RANDBETWEEN(1587,2416)))</f>
        <v>64622182.001159109</v>
      </c>
      <c r="B3520">
        <v>230229226.94667053</v>
      </c>
    </row>
    <row r="3521" spans="1:2" x14ac:dyDescent="0.25">
      <c r="A3521">
        <f ca="1">28753.7372832531*((RANDBETWEEN(1587,2416)))</f>
        <v>46034733.39048817</v>
      </c>
      <c r="B3521">
        <v>206394526.1293824</v>
      </c>
    </row>
    <row r="3522" spans="1:2" x14ac:dyDescent="0.25">
      <c r="A3522">
        <f ca="1">31525.6883405486*((RANDBETWEEN(1587,2416)))</f>
        <v>61979503.277518593</v>
      </c>
      <c r="B3522">
        <v>221432642.25567999</v>
      </c>
    </row>
    <row r="3523" spans="1:2" x14ac:dyDescent="0.25">
      <c r="A3523">
        <f ca="1">27227.4629668239*((RANDBETWEEN(1587,2416)))</f>
        <v>48709931.247648023</v>
      </c>
      <c r="B3523">
        <v>207110250.71076804</v>
      </c>
    </row>
    <row r="3524" spans="1:2" x14ac:dyDescent="0.25">
      <c r="A3524">
        <f ca="1">30833.3880014255*((RANDBETWEEN(1587,2416)))</f>
        <v>54235929.49450738</v>
      </c>
      <c r="B3524">
        <v>244942914.47987059</v>
      </c>
    </row>
    <row r="3525" spans="1:2" x14ac:dyDescent="0.25">
      <c r="A3525">
        <f ca="1">32240.9947288556*((RANDBETWEEN(1587,2416)))</f>
        <v>56228294.807124145</v>
      </c>
      <c r="B3525">
        <v>203875712.43472567</v>
      </c>
    </row>
    <row r="3526" spans="1:2" x14ac:dyDescent="0.25">
      <c r="A3526">
        <f ca="1">29678.4383759404*((RANDBETWEEN(1587,2416)))</f>
        <v>70130149.882347256</v>
      </c>
      <c r="B3526">
        <v>255073902.8162995</v>
      </c>
    </row>
    <row r="3527" spans="1:2" x14ac:dyDescent="0.25">
      <c r="A3527">
        <f ca="1">28884.2498151229*((RANDBETWEEN(1587,2416)))</f>
        <v>59097175.121741481</v>
      </c>
      <c r="B3527">
        <v>236693109.82097554</v>
      </c>
    </row>
    <row r="3528" spans="1:2" x14ac:dyDescent="0.25">
      <c r="A3528">
        <f ca="1">28606.1627355441*((RANDBETWEEN(1587,2416)))</f>
        <v>65279263.362511694</v>
      </c>
      <c r="B3528">
        <v>229341433.40261334</v>
      </c>
    </row>
    <row r="3529" spans="1:2" x14ac:dyDescent="0.25">
      <c r="A3529">
        <f ca="1">28426.1025075084*((RANDBETWEEN(1587,2416)))</f>
        <v>64726235.409596652</v>
      </c>
      <c r="B3529">
        <v>248125851.092897</v>
      </c>
    </row>
    <row r="3530" spans="1:2" x14ac:dyDescent="0.25">
      <c r="A3530">
        <f ca="1">27953.4338399439*((RANDBETWEEN(1587,2416)))</f>
        <v>65774429.825388134</v>
      </c>
      <c r="B3530">
        <v>221902155.94331318</v>
      </c>
    </row>
    <row r="3531" spans="1:2" x14ac:dyDescent="0.25">
      <c r="A3531">
        <f ca="1">31054.8138180335*((RANDBETWEEN(1587,2416)))</f>
        <v>60805325.455709666</v>
      </c>
      <c r="B3531">
        <v>250800370.07352304</v>
      </c>
    </row>
    <row r="3532" spans="1:2" x14ac:dyDescent="0.25">
      <c r="A3532">
        <f ca="1">29342.062349784*((RANDBETWEEN(1587,2416)))</f>
        <v>63877669.735479802</v>
      </c>
      <c r="B3532">
        <v>262364937.48526445</v>
      </c>
    </row>
    <row r="3533" spans="1:2" x14ac:dyDescent="0.25">
      <c r="A3533">
        <f ca="1">30769.8229184475*((RANDBETWEEN(1587,2416)))</f>
        <v>55016443.378184073</v>
      </c>
      <c r="B3533">
        <v>253507067.72857267</v>
      </c>
    </row>
    <row r="3534" spans="1:2" x14ac:dyDescent="0.25">
      <c r="A3534">
        <f ca="1">27853.3712577863*((RANDBETWEEN(1587,2416)))</f>
        <v>52197217.737091549</v>
      </c>
      <c r="B3534">
        <v>243795312.16462743</v>
      </c>
    </row>
    <row r="3535" spans="1:2" x14ac:dyDescent="0.25">
      <c r="A3535">
        <f ca="1">28103.4637701587*((RANDBETWEEN(1587,2416)))</f>
        <v>58876756.598482542</v>
      </c>
      <c r="B3535">
        <v>231360631.46333605</v>
      </c>
    </row>
    <row r="3536" spans="1:2" x14ac:dyDescent="0.25">
      <c r="A3536">
        <f ca="1">29388.8490183735*((RANDBETWEEN(1587,2416)))</f>
        <v>60188362.789628953</v>
      </c>
      <c r="B3536">
        <v>243496530.55860126</v>
      </c>
    </row>
    <row r="3537" spans="1:2" x14ac:dyDescent="0.25">
      <c r="A3537">
        <f ca="1">32146.7444360777*((RANDBETWEEN(1587,2416)))</f>
        <v>63714847.472306035</v>
      </c>
      <c r="B3537">
        <v>222038920.60130975</v>
      </c>
    </row>
    <row r="3538" spans="1:2" x14ac:dyDescent="0.25">
      <c r="A3538">
        <f ca="1">27847.7417007485*((RANDBETWEEN(1587,2416)))</f>
        <v>51379083.437880911</v>
      </c>
      <c r="B3538">
        <v>213135032.41339475</v>
      </c>
    </row>
    <row r="3539" spans="1:2" x14ac:dyDescent="0.25">
      <c r="A3539">
        <f ca="1">29818.2162621276*((RANDBETWEEN(1587,2416)))</f>
        <v>69983353.567213371</v>
      </c>
      <c r="B3539">
        <v>212448104.74276367</v>
      </c>
    </row>
    <row r="3540" spans="1:2" x14ac:dyDescent="0.25">
      <c r="A3540">
        <f ca="1">31422.1383959531*((RANDBETWEEN(1587,2416)))</f>
        <v>66049334.908293426</v>
      </c>
      <c r="B3540">
        <v>258415822.22196183</v>
      </c>
    </row>
    <row r="3541" spans="1:2" x14ac:dyDescent="0.25">
      <c r="A3541">
        <f ca="1">30854.126873341*((RANDBETWEEN(1587,2416)))</f>
        <v>56185365.036353976</v>
      </c>
      <c r="B3541">
        <v>256261474.55688971</v>
      </c>
    </row>
    <row r="3542" spans="1:2" x14ac:dyDescent="0.25">
      <c r="A3542">
        <f ca="1">30466.308449965*((RANDBETWEEN(1587,2416)))</f>
        <v>52493449.459289722</v>
      </c>
      <c r="B3542">
        <v>236476454.86521485</v>
      </c>
    </row>
    <row r="3543" spans="1:2" x14ac:dyDescent="0.25">
      <c r="A3543">
        <f ca="1">29215.9064285892*((RANDBETWEEN(1587,2416)))</f>
        <v>57380040.225749269</v>
      </c>
      <c r="B3543">
        <v>215061227.26137978</v>
      </c>
    </row>
    <row r="3544" spans="1:2" x14ac:dyDescent="0.25">
      <c r="A3544">
        <f ca="1">30400.1356227645*((RANDBETWEEN(1587,2416)))</f>
        <v>49825822.285710938</v>
      </c>
      <c r="B3544">
        <v>239926854.46419027</v>
      </c>
    </row>
    <row r="3545" spans="1:2" x14ac:dyDescent="0.25">
      <c r="A3545">
        <f ca="1">26441.3874066126*((RANDBETWEEN(1587,2416)))</f>
        <v>54733671.931688122</v>
      </c>
      <c r="B3545">
        <v>236501313.08698696</v>
      </c>
    </row>
    <row r="3546" spans="1:2" x14ac:dyDescent="0.25">
      <c r="A3546">
        <f ca="1">28325.2399475906*((RANDBETWEEN(1587,2416)))</f>
        <v>65402979.038986757</v>
      </c>
      <c r="B3546">
        <v>217642943.54411936</v>
      </c>
    </row>
    <row r="3547" spans="1:2" x14ac:dyDescent="0.25">
      <c r="A3547">
        <f ca="1">27332.0798307604*((RANDBETWEEN(1587,2416)))</f>
        <v>46245879.07364665</v>
      </c>
      <c r="B3547">
        <v>213532911.83539936</v>
      </c>
    </row>
    <row r="3548" spans="1:2" x14ac:dyDescent="0.25">
      <c r="A3548">
        <f ca="1">30670.8592617318*((RANDBETWEEN(1587,2416)))</f>
        <v>66586435.457219712</v>
      </c>
      <c r="B3548">
        <v>246426957.88228455</v>
      </c>
    </row>
    <row r="3549" spans="1:2" x14ac:dyDescent="0.25">
      <c r="A3549">
        <f ca="1">28597.9789690957*((RANDBETWEEN(1587,2416)))</f>
        <v>56709792.295716725</v>
      </c>
      <c r="B3549">
        <v>264507547.36827159</v>
      </c>
    </row>
    <row r="3550" spans="1:2" x14ac:dyDescent="0.25">
      <c r="A3550">
        <f ca="1">28847.12879026*((RANDBETWEEN(1587,2416)))</f>
        <v>50742099.542067327</v>
      </c>
      <c r="B3550">
        <v>214007189.78937164</v>
      </c>
    </row>
    <row r="3551" spans="1:2" x14ac:dyDescent="0.25">
      <c r="A3551">
        <f ca="1">28704.9511777014*((RANDBETWEEN(1587,2416)))</f>
        <v>52702290.36225979</v>
      </c>
      <c r="B3551">
        <v>243131785.87455055</v>
      </c>
    </row>
    <row r="3552" spans="1:2" x14ac:dyDescent="0.25">
      <c r="A3552">
        <f ca="1">29200.3565477476*((RANDBETWEEN(1587,2416)))</f>
        <v>65145995.458024964</v>
      </c>
      <c r="B3552">
        <v>237101510.85447055</v>
      </c>
    </row>
    <row r="3553" spans="1:2" x14ac:dyDescent="0.25">
      <c r="A3553">
        <f ca="1">26266.8019764238*((RANDBETWEEN(1587,2416)))</f>
        <v>47884380.003020547</v>
      </c>
      <c r="B3553">
        <v>219707704.76783943</v>
      </c>
    </row>
    <row r="3554" spans="1:2" x14ac:dyDescent="0.25">
      <c r="A3554">
        <f ca="1">31331.2490177862*((RANDBETWEEN(1587,2416)))</f>
        <v>74537041.413313389</v>
      </c>
      <c r="B3554">
        <v>258030170.34895906</v>
      </c>
    </row>
    <row r="3555" spans="1:2" x14ac:dyDescent="0.25">
      <c r="A3555">
        <f ca="1">28008.5199818263*((RANDBETWEEN(1587,2416)))</f>
        <v>54028435.044942893</v>
      </c>
      <c r="B3555">
        <v>213828467.62232161</v>
      </c>
    </row>
    <row r="3556" spans="1:2" x14ac:dyDescent="0.25">
      <c r="A3556">
        <f ca="1">29855.0086404673*((RANDBETWEEN(1587,2416)))</f>
        <v>63232908.300509773</v>
      </c>
      <c r="B3556">
        <v>208040138.77586859</v>
      </c>
    </row>
    <row r="3557" spans="1:2" x14ac:dyDescent="0.25">
      <c r="A3557">
        <f ca="1">32219.411190957*((RANDBETWEEN(1587,2416)))</f>
        <v>66500864.698135227</v>
      </c>
      <c r="B3557">
        <v>252401533.34946996</v>
      </c>
    </row>
    <row r="3558" spans="1:2" x14ac:dyDescent="0.25">
      <c r="A3558">
        <f ca="1">30426.4540965588*((RANDBETWEEN(1587,2416)))</f>
        <v>62830627.709394015</v>
      </c>
      <c r="B3558">
        <v>246349951.21677652</v>
      </c>
    </row>
    <row r="3559" spans="1:2" x14ac:dyDescent="0.25">
      <c r="A3559">
        <f ca="1">32354.0244412724*((RANDBETWEEN(1587,2416)))</f>
        <v>63349179.856011458</v>
      </c>
      <c r="B3559">
        <v>264646180.7675932</v>
      </c>
    </row>
    <row r="3560" spans="1:2" x14ac:dyDescent="0.25">
      <c r="A3560">
        <f ca="1">30893.7015370977*((RANDBETWEEN(1587,2416)))</f>
        <v>58080158.88974373</v>
      </c>
      <c r="B3560">
        <v>233812851.10515648</v>
      </c>
    </row>
    <row r="3561" spans="1:2" x14ac:dyDescent="0.25">
      <c r="A3561">
        <f ca="1">26641.0997944763*((RANDBETWEEN(1587,2416)))</f>
        <v>52482966.595118381</v>
      </c>
      <c r="B3561">
        <v>216734215.54058376</v>
      </c>
    </row>
    <row r="3562" spans="1:2" x14ac:dyDescent="0.25">
      <c r="A3562">
        <f ca="1">33425.6684008672*((RANDBETWEEN(1587,2416)))</f>
        <v>58962879.059129693</v>
      </c>
      <c r="B3562">
        <v>252372019.28370726</v>
      </c>
    </row>
    <row r="3563" spans="1:2" x14ac:dyDescent="0.25">
      <c r="A3563">
        <f ca="1">30522.6707157047*((RANDBETWEEN(1587,2416)))</f>
        <v>50057179.973755695</v>
      </c>
      <c r="B3563">
        <v>211887691.69242501</v>
      </c>
    </row>
    <row r="3564" spans="1:2" x14ac:dyDescent="0.25">
      <c r="A3564">
        <f ca="1">27972.4451444207*((RANDBETWEEN(1587,2416)))</f>
        <v>53735067.12243218</v>
      </c>
      <c r="B3564">
        <v>262774876.99249443</v>
      </c>
    </row>
    <row r="3565" spans="1:2" x14ac:dyDescent="0.25">
      <c r="A3565">
        <f ca="1">33522.5032495552*((RANDBETWEEN(1587,2416)))</f>
        <v>73950642.168518722</v>
      </c>
      <c r="B3565">
        <v>219780080.52936184</v>
      </c>
    </row>
    <row r="3566" spans="1:2" x14ac:dyDescent="0.25">
      <c r="A3566">
        <f ca="1">29813.5857850004*((RANDBETWEEN(1587,2416)))</f>
        <v>64665667.567665771</v>
      </c>
      <c r="B3566">
        <v>227299880.33643439</v>
      </c>
    </row>
    <row r="3567" spans="1:2" x14ac:dyDescent="0.25">
      <c r="A3567">
        <f ca="1">30065.9920196311*((RANDBETWEEN(1587,2416)))</f>
        <v>51352714.369529903</v>
      </c>
      <c r="B3567">
        <v>234211345.10067657</v>
      </c>
    </row>
    <row r="3568" spans="1:2" x14ac:dyDescent="0.25">
      <c r="A3568">
        <f ca="1">26215.3416664633*((RANDBETWEEN(1587,2416)))</f>
        <v>47816783.199629113</v>
      </c>
      <c r="B3568">
        <v>216051504.02430996</v>
      </c>
    </row>
    <row r="3569" spans="1:2" x14ac:dyDescent="0.25">
      <c r="A3569">
        <f ca="1">33596.6589155667*((RANDBETWEEN(1587,2416)))</f>
        <v>80396804.78495121</v>
      </c>
      <c r="B3569">
        <v>211575302.42062467</v>
      </c>
    </row>
    <row r="3570" spans="1:2" x14ac:dyDescent="0.25">
      <c r="A3570">
        <f ca="1">30612.4563451173*((RANDBETWEEN(1587,2416)))</f>
        <v>67990265.542505488</v>
      </c>
      <c r="B3570">
        <v>260254008.6592586</v>
      </c>
    </row>
    <row r="3571" spans="1:2" x14ac:dyDescent="0.25">
      <c r="A3571">
        <f ca="1">28485.1483933934*((RANDBETWEEN(1587,2416)))</f>
        <v>45747148.319789812</v>
      </c>
      <c r="B3571">
        <v>253686371.42594355</v>
      </c>
    </row>
    <row r="3572" spans="1:2" x14ac:dyDescent="0.25">
      <c r="A3572">
        <f ca="1">28401.3284579676*((RANDBETWEEN(1587,2416)))</f>
        <v>54502149.310839877</v>
      </c>
      <c r="B3572">
        <v>266985516.08939922</v>
      </c>
    </row>
    <row r="3573" spans="1:2" x14ac:dyDescent="0.25">
      <c r="A3573">
        <f ca="1">32180.1462027546*((RANDBETWEEN(1587,2416)))</f>
        <v>76427847.23154217</v>
      </c>
      <c r="B3573">
        <v>233848635.38955447</v>
      </c>
    </row>
    <row r="3574" spans="1:2" x14ac:dyDescent="0.25">
      <c r="A3574">
        <f ca="1">32183.3240335166*((RANDBETWEEN(1587,2416)))</f>
        <v>59925349.350407928</v>
      </c>
      <c r="B3574">
        <v>256674062.46818331</v>
      </c>
    </row>
    <row r="3575" spans="1:2" x14ac:dyDescent="0.25">
      <c r="A3575">
        <f ca="1">33250.9982172046*((RANDBETWEEN(1587,2416)))</f>
        <v>61547597.70004566</v>
      </c>
      <c r="B3575">
        <v>219070645.7109288</v>
      </c>
    </row>
    <row r="3576" spans="1:2" x14ac:dyDescent="0.25">
      <c r="A3576">
        <f ca="1">28519.2626346287*((RANDBETWEEN(1587,2416)))</f>
        <v>53530655.965198025</v>
      </c>
      <c r="B3576">
        <v>230110984.38398051</v>
      </c>
    </row>
    <row r="3577" spans="1:2" x14ac:dyDescent="0.25">
      <c r="A3577">
        <f ca="1">25054.5539499118*((RANDBETWEEN(1587,2416)))</f>
        <v>47052452.317934424</v>
      </c>
      <c r="B3577">
        <v>207583025.48198292</v>
      </c>
    </row>
    <row r="3578" spans="1:2" x14ac:dyDescent="0.25">
      <c r="A3578">
        <f ca="1">27591.4914499742*((RANDBETWEEN(1587,2416)))</f>
        <v>49305995.221103907</v>
      </c>
      <c r="B3578">
        <v>231828720.50575069</v>
      </c>
    </row>
    <row r="3579" spans="1:2" x14ac:dyDescent="0.25">
      <c r="A3579">
        <f ca="1">26630.7001747661*((RANDBETWEEN(1587,2416)))</f>
        <v>47402646.311083674</v>
      </c>
      <c r="B3579">
        <v>233134434.04589182</v>
      </c>
    </row>
    <row r="3580" spans="1:2" x14ac:dyDescent="0.25">
      <c r="A3580">
        <f ca="1">26811.4272204797*((RANDBETWEEN(1587,2416)))</f>
        <v>57215585.688503601</v>
      </c>
      <c r="B3580">
        <v>265795828.58328757</v>
      </c>
    </row>
    <row r="3581" spans="1:2" x14ac:dyDescent="0.25">
      <c r="A3581">
        <f ca="1">32565.9073076538*((RANDBETWEEN(1587,2416)))</f>
        <v>70309793.877224609</v>
      </c>
      <c r="B3581">
        <v>230688700.82462543</v>
      </c>
    </row>
    <row r="3582" spans="1:2" x14ac:dyDescent="0.25">
      <c r="A3582">
        <f ca="1">30367.48854842*((RANDBETWEEN(1587,2416)))</f>
        <v>65107895.44781258</v>
      </c>
      <c r="B3582">
        <v>264691767.33017609</v>
      </c>
    </row>
    <row r="3583" spans="1:2" x14ac:dyDescent="0.25">
      <c r="A3583">
        <f ca="1">30844.1622331313*((RANDBETWEEN(1587,2416)))</f>
        <v>59313323.974311575</v>
      </c>
      <c r="B3583">
        <v>219746567.34979379</v>
      </c>
    </row>
    <row r="3584" spans="1:2" x14ac:dyDescent="0.25">
      <c r="A3584">
        <f ca="1">29342.5357479878*((RANDBETWEEN(1587,2416)))</f>
        <v>50821271.915514909</v>
      </c>
      <c r="B3584">
        <v>264456539.43774897</v>
      </c>
    </row>
    <row r="3585" spans="1:2" x14ac:dyDescent="0.25">
      <c r="A3585">
        <f ca="1">29736.8684892113*((RANDBETWEEN(1587,2416)))</f>
        <v>50285044.615256369</v>
      </c>
      <c r="B3585">
        <v>237283994.33743265</v>
      </c>
    </row>
    <row r="3586" spans="1:2" x14ac:dyDescent="0.25">
      <c r="A3586">
        <f ca="1">27871.773384245*((RANDBETWEEN(1587,2416)))</f>
        <v>45653964.80339326</v>
      </c>
      <c r="B3586">
        <v>228255631.68328452</v>
      </c>
    </row>
    <row r="3587" spans="1:2" x14ac:dyDescent="0.25">
      <c r="A3587">
        <f ca="1">29002.6401537553*((RANDBETWEEN(1587,2416)))</f>
        <v>55134018.932288803</v>
      </c>
      <c r="B3587">
        <v>207000023.15062284</v>
      </c>
    </row>
    <row r="3588" spans="1:2" x14ac:dyDescent="0.25">
      <c r="A3588">
        <f ca="1">30369.6754394102*((RANDBETWEEN(1587,2416)))</f>
        <v>57520165.282242946</v>
      </c>
      <c r="B3588">
        <v>204881089.02295512</v>
      </c>
    </row>
    <row r="3589" spans="1:2" x14ac:dyDescent="0.25">
      <c r="A3589">
        <f ca="1">35088.5050459854*((RANDBETWEEN(1587,2416)))</f>
        <v>65966389.486452609</v>
      </c>
      <c r="B3589">
        <v>224032689.51329893</v>
      </c>
    </row>
    <row r="3590" spans="1:2" x14ac:dyDescent="0.25">
      <c r="A3590">
        <f ca="1">27745.1151467784*((RANDBETWEEN(1587,2416)))</f>
        <v>64757098.752580673</v>
      </c>
      <c r="B3590">
        <v>204750937.02153853</v>
      </c>
    </row>
    <row r="3591" spans="1:2" x14ac:dyDescent="0.25">
      <c r="A3591">
        <f ca="1">30655.3028067271*((RANDBETWEEN(1587,2416)))</f>
        <v>65357105.583942145</v>
      </c>
      <c r="B3591">
        <v>235487793.42302126</v>
      </c>
    </row>
    <row r="3592" spans="1:2" x14ac:dyDescent="0.25">
      <c r="A3592">
        <f ca="1">30873.6866482338*((RANDBETWEEN(1587,2416)))</f>
        <v>60111067.904111259</v>
      </c>
      <c r="B3592">
        <v>266502227.23174554</v>
      </c>
    </row>
    <row r="3593" spans="1:2" x14ac:dyDescent="0.25">
      <c r="A3593">
        <f ca="1">28351.6721921184*((RANDBETWEEN(1587,2416)))</f>
        <v>64471702.564877182</v>
      </c>
      <c r="B3593">
        <v>206788607.24281073</v>
      </c>
    </row>
    <row r="3594" spans="1:2" x14ac:dyDescent="0.25">
      <c r="A3594">
        <f ca="1">28160.7131122247*((RANDBETWEEN(1587,2416)))</f>
        <v>67022497.207094699</v>
      </c>
      <c r="B3594">
        <v>219357190.51188153</v>
      </c>
    </row>
    <row r="3595" spans="1:2" x14ac:dyDescent="0.25">
      <c r="A3595">
        <f ca="1">26852.8960937166*((RANDBETWEEN(1587,2416)))</f>
        <v>50134357.006968893</v>
      </c>
      <c r="B3595">
        <v>206907421.06443939</v>
      </c>
    </row>
    <row r="3596" spans="1:2" x14ac:dyDescent="0.25">
      <c r="A3596">
        <f ca="1">26924.1848159818*((RANDBETWEEN(1587,2416)))</f>
        <v>44478753.316002004</v>
      </c>
      <c r="B3596">
        <v>261702475.88300794</v>
      </c>
    </row>
    <row r="3597" spans="1:2" x14ac:dyDescent="0.25">
      <c r="A3597">
        <f ca="1">30687.6095855526*((RANDBETWEEN(1587,2416)))</f>
        <v>58153020.164622143</v>
      </c>
      <c r="B3597">
        <v>232376101.90076098</v>
      </c>
    </row>
    <row r="3598" spans="1:2" x14ac:dyDescent="0.25">
      <c r="A3598">
        <f ca="1">30124.0585576051*((RANDBETWEEN(1587,2416)))</f>
        <v>60278241.173767813</v>
      </c>
      <c r="B3598">
        <v>221469221.89591441</v>
      </c>
    </row>
    <row r="3599" spans="1:2" x14ac:dyDescent="0.25">
      <c r="A3599">
        <f ca="1">29816.3070938465*((RANDBETWEEN(1587,2416)))</f>
        <v>54384944.139175944</v>
      </c>
      <c r="B3599">
        <v>240974434.2051841</v>
      </c>
    </row>
    <row r="3600" spans="1:2" x14ac:dyDescent="0.25">
      <c r="A3600">
        <f ca="1">29298.1730393897*((RANDBETWEEN(1587,2416)))</f>
        <v>69729651.833747432</v>
      </c>
      <c r="B3600">
        <v>232628430.11034292</v>
      </c>
    </row>
    <row r="3601" spans="1:2" x14ac:dyDescent="0.25">
      <c r="A3601">
        <f ca="1">29629.0965230028*((RANDBETWEEN(1587,2416)))</f>
        <v>66961758.141986258</v>
      </c>
      <c r="B3601">
        <v>227384657.78848058</v>
      </c>
    </row>
    <row r="3602" spans="1:2" x14ac:dyDescent="0.25">
      <c r="A3602">
        <f ca="1">28549.7600247627*((RANDBETWEEN(1587,2416)))</f>
        <v>46164961.960041337</v>
      </c>
      <c r="B3602">
        <v>233747294.32970947</v>
      </c>
    </row>
    <row r="3603" spans="1:2" x14ac:dyDescent="0.25">
      <c r="A3603">
        <f ca="1">34068.9472847301*((RANDBETWEEN(1587,2416)))</f>
        <v>77506855.072760999</v>
      </c>
      <c r="B3603">
        <v>232557429.77087414</v>
      </c>
    </row>
    <row r="3604" spans="1:2" x14ac:dyDescent="0.25">
      <c r="A3604">
        <f ca="1">28153.1335305971*((RANDBETWEEN(1587,2416)))</f>
        <v>44932401.114832982</v>
      </c>
      <c r="B3604">
        <v>232253792.87454301</v>
      </c>
    </row>
    <row r="3605" spans="1:2" x14ac:dyDescent="0.25">
      <c r="A3605">
        <f ca="1">29419.6254815923*((RANDBETWEEN(1587,2416)))</f>
        <v>56515100.550138719</v>
      </c>
      <c r="B3605">
        <v>251103782.87713376</v>
      </c>
    </row>
    <row r="3606" spans="1:2" x14ac:dyDescent="0.25">
      <c r="A3606">
        <f ca="1">33227.6863641164*((RANDBETWEEN(1587,2416)))</f>
        <v>72137307.096496746</v>
      </c>
      <c r="B3606">
        <v>267305883.26375818</v>
      </c>
    </row>
    <row r="3607" spans="1:2" x14ac:dyDescent="0.25">
      <c r="A3607">
        <f ca="1">31492.2941177521*((RANDBETWEEN(1587,2416)))</f>
        <v>67487986.294342816</v>
      </c>
      <c r="B3607">
        <v>259555529.65169901</v>
      </c>
    </row>
    <row r="3608" spans="1:2" x14ac:dyDescent="0.25">
      <c r="A3608">
        <f ca="1">30143.6686639526*((RANDBETWEEN(1587,2416)))</f>
        <v>69059144.9091153</v>
      </c>
      <c r="B3608">
        <v>210573772.48026764</v>
      </c>
    </row>
    <row r="3609" spans="1:2" x14ac:dyDescent="0.25">
      <c r="A3609">
        <f ca="1">29723.9346102857*((RANDBETWEEN(1587,2416)))</f>
        <v>64768453.515812442</v>
      </c>
      <c r="B3609">
        <v>260913545.90414333</v>
      </c>
    </row>
    <row r="3610" spans="1:2" x14ac:dyDescent="0.25">
      <c r="A3610">
        <f ca="1">27909.4760052733*((RANDBETWEEN(1587,2416)))</f>
        <v>61931127.255701467</v>
      </c>
      <c r="B3610">
        <v>216645049.63947341</v>
      </c>
    </row>
    <row r="3611" spans="1:2" x14ac:dyDescent="0.25">
      <c r="A3611">
        <f ca="1">30198.254942117*((RANDBETWEEN(1587,2416)))</f>
        <v>69818365.426174492</v>
      </c>
      <c r="B3611">
        <v>237468177.49920556</v>
      </c>
    </row>
    <row r="3612" spans="1:2" x14ac:dyDescent="0.25">
      <c r="A3612">
        <f ca="1">33147.2085605863*((RANDBETWEEN(1587,2416)))</f>
        <v>60692538.874433599</v>
      </c>
      <c r="B3612">
        <v>266729769.34543172</v>
      </c>
    </row>
    <row r="3613" spans="1:2" x14ac:dyDescent="0.25">
      <c r="A3613">
        <f ca="1">29438.1502349844*((RANDBETWEEN(1587,2416)))</f>
        <v>47866432.282084629</v>
      </c>
      <c r="B3613">
        <v>220045293.08698991</v>
      </c>
    </row>
    <row r="3614" spans="1:2" x14ac:dyDescent="0.25">
      <c r="A3614">
        <f ca="1">29573.8508139036*((RANDBETWEEN(1587,2416)))</f>
        <v>51813386.625959076</v>
      </c>
      <c r="B3614">
        <v>256330539.9986746</v>
      </c>
    </row>
    <row r="3615" spans="1:2" x14ac:dyDescent="0.25">
      <c r="A3615">
        <f ca="1">26783.475547467*((RANDBETWEEN(1587,2416)))</f>
        <v>64682093.447132781</v>
      </c>
      <c r="B3615">
        <v>252143348.71289778</v>
      </c>
    </row>
    <row r="3616" spans="1:2" x14ac:dyDescent="0.25">
      <c r="A3616">
        <f ca="1">30745.6906604382*((RANDBETWEEN(1587,2416)))</f>
        <v>60599756.291723691</v>
      </c>
      <c r="B3616">
        <v>248549384.65626919</v>
      </c>
    </row>
    <row r="3617" spans="1:2" x14ac:dyDescent="0.25">
      <c r="A3617">
        <f ca="1">30264.1805520828*((RANDBETWEEN(1587,2416)))</f>
        <v>51085936.771915771</v>
      </c>
      <c r="B3617">
        <v>260624295.1793617</v>
      </c>
    </row>
    <row r="3618" spans="1:2" x14ac:dyDescent="0.25">
      <c r="A3618">
        <f ca="1">29256.8629086949*((RANDBETWEEN(1587,2416)))</f>
        <v>51316537.54185085</v>
      </c>
      <c r="B3618">
        <v>206309686.83521354</v>
      </c>
    </row>
    <row r="3619" spans="1:2" x14ac:dyDescent="0.25">
      <c r="A3619">
        <f ca="1">34784.5314407226*((RANDBETWEEN(1587,2416)))</f>
        <v>58507581.883295447</v>
      </c>
      <c r="B3619">
        <v>229078961.44475311</v>
      </c>
    </row>
    <row r="3620" spans="1:2" x14ac:dyDescent="0.25">
      <c r="A3620">
        <f ca="1">29795.0322034123*((RANDBETWEEN(1587,2416)))</f>
        <v>64595629.81699793</v>
      </c>
      <c r="B3620">
        <v>254174578.99344832</v>
      </c>
    </row>
    <row r="3621" spans="1:2" x14ac:dyDescent="0.25">
      <c r="A3621">
        <f ca="1">29661.8654991346*((RANDBETWEEN(1587,2416)))</f>
        <v>50632804.407022759</v>
      </c>
      <c r="B3621">
        <v>206797996.43562537</v>
      </c>
    </row>
    <row r="3622" spans="1:2" x14ac:dyDescent="0.25">
      <c r="A3622">
        <f ca="1">32102.6928978119*((RANDBETWEEN(1587,2416)))</f>
        <v>69919665.131434292</v>
      </c>
      <c r="B3622">
        <v>262385943.31091511</v>
      </c>
    </row>
    <row r="3623" spans="1:2" x14ac:dyDescent="0.25">
      <c r="A3623">
        <f ca="1">28503.0603084827*((RANDBETWEEN(1587,2416)))</f>
        <v>56065519.626785539</v>
      </c>
      <c r="B3623">
        <v>260116794.89325958</v>
      </c>
    </row>
    <row r="3624" spans="1:2" x14ac:dyDescent="0.25">
      <c r="A3624">
        <f ca="1">31507.3451907966*((RANDBETWEEN(1587,2416)))</f>
        <v>69662740.21685122</v>
      </c>
      <c r="B3624">
        <v>264012966.41991013</v>
      </c>
    </row>
    <row r="3625" spans="1:2" x14ac:dyDescent="0.25">
      <c r="A3625">
        <f ca="1">30416.0800273638*((RANDBETWEEN(1587,2416)))</f>
        <v>50886101.885779656</v>
      </c>
      <c r="B3625">
        <v>238842191.74710613</v>
      </c>
    </row>
    <row r="3626" spans="1:2" x14ac:dyDescent="0.25">
      <c r="A3626">
        <f ca="1">27350.5700946659*((RANDBETWEEN(1587,2416)))</f>
        <v>48875468.759168021</v>
      </c>
      <c r="B3626">
        <v>216218307.54822686</v>
      </c>
    </row>
    <row r="3627" spans="1:2" x14ac:dyDescent="0.25">
      <c r="A3627">
        <f ca="1">32966.4289544182*((RANDBETWEEN(1587,2416)))</f>
        <v>77207376.61124742</v>
      </c>
      <c r="B3627">
        <v>211508548.45658472</v>
      </c>
    </row>
    <row r="3628" spans="1:2" x14ac:dyDescent="0.25">
      <c r="A3628">
        <f ca="1">26996.1422936895*((RANDBETWEEN(1587,2416)))</f>
        <v>43544777.519721195</v>
      </c>
      <c r="B3628">
        <v>245518599.05871922</v>
      </c>
    </row>
    <row r="3629" spans="1:2" x14ac:dyDescent="0.25">
      <c r="A3629">
        <f ca="1">32229.0058197383*((RANDBETWEEN(1587,2416)))</f>
        <v>75254728.589088827</v>
      </c>
      <c r="B3629">
        <v>242776598.19604093</v>
      </c>
    </row>
    <row r="3630" spans="1:2" x14ac:dyDescent="0.25">
      <c r="A3630">
        <f ca="1">31288.1219217239*((RANDBETWEEN(1587,2416)))</f>
        <v>70930172.396548122</v>
      </c>
      <c r="B3630">
        <v>263728657.86094773</v>
      </c>
    </row>
    <row r="3631" spans="1:2" x14ac:dyDescent="0.25">
      <c r="A3631">
        <f ca="1">27333.6455392426*((RANDBETWEEN(1587,2416)))</f>
        <v>59642014.566627301</v>
      </c>
      <c r="B3631">
        <v>267164141.84513968</v>
      </c>
    </row>
    <row r="3632" spans="1:2" x14ac:dyDescent="0.25">
      <c r="A3632">
        <f ca="1">28175.7939737488*((RANDBETWEEN(1587,2416)))</f>
        <v>47814322.373451695</v>
      </c>
      <c r="B3632">
        <v>203763048.58827397</v>
      </c>
    </row>
    <row r="3633" spans="1:2" x14ac:dyDescent="0.25">
      <c r="A3633">
        <f ca="1">27713.0535479955*((RANDBETWEEN(1587,2416)))</f>
        <v>58751673.521750443</v>
      </c>
      <c r="B3633">
        <v>209449895.09936261</v>
      </c>
    </row>
    <row r="3634" spans="1:2" x14ac:dyDescent="0.25">
      <c r="A3634">
        <f ca="1">33726.5932831642*((RANDBETWEEN(1587,2416)))</f>
        <v>65193504.816356324</v>
      </c>
      <c r="B3634">
        <v>252943407.22881711</v>
      </c>
    </row>
    <row r="3635" spans="1:2" x14ac:dyDescent="0.25">
      <c r="A3635">
        <f ca="1">30518.5993821458*((RANDBETWEEN(1587,2416)))</f>
        <v>54750367.291569531</v>
      </c>
      <c r="B3635">
        <v>229413183.63549045</v>
      </c>
    </row>
    <row r="3636" spans="1:2" x14ac:dyDescent="0.25">
      <c r="A3636">
        <f ca="1">25923.8973390138*((RANDBETWEEN(1587,2416)))</f>
        <v>48555459.715972826</v>
      </c>
      <c r="B3636">
        <v>204393841.49148449</v>
      </c>
    </row>
    <row r="3637" spans="1:2" x14ac:dyDescent="0.25">
      <c r="A3637">
        <f ca="1">28219.5723676233*((RANDBETWEEN(1587,2416)))</f>
        <v>67980949.83360441</v>
      </c>
      <c r="B3637">
        <v>231277759.72830713</v>
      </c>
    </row>
    <row r="3638" spans="1:2" x14ac:dyDescent="0.25">
      <c r="A3638">
        <f ca="1">29427.4680591913*((RANDBETWEEN(1587,2416)))</f>
        <v>47849063.06424506</v>
      </c>
      <c r="B3638">
        <v>258808763.85052186</v>
      </c>
    </row>
    <row r="3639" spans="1:2" x14ac:dyDescent="0.25">
      <c r="A3639">
        <f ca="1">32928.9647982286*((RANDBETWEEN(1587,2416)))</f>
        <v>68097099.202736646</v>
      </c>
      <c r="B3639">
        <v>213262291.07853407</v>
      </c>
    </row>
    <row r="3640" spans="1:2" x14ac:dyDescent="0.25">
      <c r="A3640">
        <f ca="1">30282.9349471552*((RANDBETWEEN(1587,2416)))</f>
        <v>59384835.431371301</v>
      </c>
      <c r="B3640">
        <v>218004687.21235934</v>
      </c>
    </row>
    <row r="3641" spans="1:2" x14ac:dyDescent="0.25">
      <c r="A3641">
        <f ca="1">30842.7558873182*((RANDBETWEEN(1587,2416)))</f>
        <v>56596457.053228892</v>
      </c>
      <c r="B3641">
        <v>246308061.56531662</v>
      </c>
    </row>
    <row r="3642" spans="1:2" x14ac:dyDescent="0.25">
      <c r="A3642">
        <f ca="1">27344.5304401958*((RANDBETWEEN(1587,2416)))</f>
        <v>62154117.690565124</v>
      </c>
      <c r="B3642">
        <v>204010482.71833611</v>
      </c>
    </row>
    <row r="3643" spans="1:2" x14ac:dyDescent="0.25">
      <c r="A3643">
        <f ca="1">28240.4444313717*((RANDBETWEEN(1587,2416)))</f>
        <v>47895793.755606405</v>
      </c>
      <c r="B3643">
        <v>249120373.05247271</v>
      </c>
    </row>
    <row r="3644" spans="1:2" x14ac:dyDescent="0.25">
      <c r="A3644">
        <f ca="1">31519.3553668144*((RANDBETWEEN(1587,2416)))</f>
        <v>67861172.104751408</v>
      </c>
      <c r="B3644">
        <v>247507238.8432495</v>
      </c>
    </row>
    <row r="3645" spans="1:2" x14ac:dyDescent="0.25">
      <c r="A3645">
        <f ca="1">30157.3231454582*((RANDBETWEEN(1587,2416)))</f>
        <v>64506514.208135001</v>
      </c>
      <c r="B3645">
        <v>244980385.31068754</v>
      </c>
    </row>
    <row r="3646" spans="1:2" x14ac:dyDescent="0.25">
      <c r="A3646">
        <f ca="1">27365.6365136621*((RANDBETWEEN(1587,2416)))</f>
        <v>50599061.913761161</v>
      </c>
      <c r="B3646">
        <v>230173017.64566022</v>
      </c>
    </row>
    <row r="3647" spans="1:2" x14ac:dyDescent="0.25">
      <c r="A3647">
        <f ca="1">30886.7503576676*((RANDBETWEEN(1587,2416)))</f>
        <v>52445702.107319526</v>
      </c>
      <c r="B3647">
        <v>259860347.76292574</v>
      </c>
    </row>
    <row r="3648" spans="1:2" x14ac:dyDescent="0.25">
      <c r="A3648">
        <f ca="1">29716.1794781515*((RANDBETWEEN(1587,2416)))</f>
        <v>55509823.265187085</v>
      </c>
      <c r="B3648">
        <v>248583391.70837939</v>
      </c>
    </row>
    <row r="3649" spans="1:2" x14ac:dyDescent="0.25">
      <c r="A3649">
        <f ca="1">27144.368715779*((RANDBETWEEN(1587,2416)))</f>
        <v>45032507.699477389</v>
      </c>
      <c r="B3649">
        <v>216459127.70254716</v>
      </c>
    </row>
    <row r="3650" spans="1:2" x14ac:dyDescent="0.25">
      <c r="A3650">
        <f ca="1">28675.4046432398*((RANDBETWEEN(1587,2416)))</f>
        <v>49981230.293167032</v>
      </c>
      <c r="B3650">
        <v>241670003.69281435</v>
      </c>
    </row>
    <row r="3651" spans="1:2" x14ac:dyDescent="0.25">
      <c r="A3651">
        <f ca="1">34057.3582570801*((RANDBETWEEN(1587,2416)))</f>
        <v>54900461.510413066</v>
      </c>
      <c r="B3651">
        <v>253312811.25361425</v>
      </c>
    </row>
    <row r="3652" spans="1:2" x14ac:dyDescent="0.25">
      <c r="A3652">
        <f ca="1">27984.4353039824*((RANDBETWEEN(1587,2416)))</f>
        <v>61705679.845281251</v>
      </c>
      <c r="B3652">
        <v>219104566.95018938</v>
      </c>
    </row>
    <row r="3653" spans="1:2" x14ac:dyDescent="0.25">
      <c r="A3653">
        <f ca="1">27206.6696140193*((RANDBETWEEN(1587,2416)))</f>
        <v>59881879.820456572</v>
      </c>
      <c r="B3653">
        <v>251834839.28087661</v>
      </c>
    </row>
    <row r="3654" spans="1:2" x14ac:dyDescent="0.25">
      <c r="A3654">
        <f ca="1">31956.7902063886*((RANDBETWEEN(1587,2416)))</f>
        <v>63530098.930300571</v>
      </c>
      <c r="B3654">
        <v>240655448.73971802</v>
      </c>
    </row>
    <row r="3655" spans="1:2" x14ac:dyDescent="0.25">
      <c r="A3655">
        <f ca="1">29992.6983957833*((RANDBETWEEN(1587,2416)))</f>
        <v>64214367.265372016</v>
      </c>
      <c r="B3655">
        <v>258835299.83058116</v>
      </c>
    </row>
    <row r="3656" spans="1:2" x14ac:dyDescent="0.25">
      <c r="A3656">
        <f ca="1">29874.6630876571*((RANDBETWEEN(1587,2416)))</f>
        <v>70623703.539221451</v>
      </c>
      <c r="B3656">
        <v>247569628.44947922</v>
      </c>
    </row>
    <row r="3657" spans="1:2" x14ac:dyDescent="0.25">
      <c r="A3657">
        <f ca="1">30808.0363634217*((RANDBETWEEN(1587,2416)))</f>
        <v>54745880.617800333</v>
      </c>
      <c r="B3657">
        <v>263322040.10056171</v>
      </c>
    </row>
    <row r="3658" spans="1:2" x14ac:dyDescent="0.25">
      <c r="A3658">
        <f ca="1">27188.579066436*((RANDBETWEEN(1587,2416)))</f>
        <v>44861155.45961947</v>
      </c>
      <c r="B3658">
        <v>218141340.18810821</v>
      </c>
    </row>
    <row r="3659" spans="1:2" x14ac:dyDescent="0.25">
      <c r="A3659">
        <f ca="1">26083.8349917802*((RANDBETWEEN(1587,2416)))</f>
        <v>47498663.520031832</v>
      </c>
      <c r="B3659">
        <v>247424063.23404172</v>
      </c>
    </row>
    <row r="3660" spans="1:2" x14ac:dyDescent="0.25">
      <c r="A3660">
        <f ca="1">27338.37878138*((RANDBETWEEN(1587,2416)))</f>
        <v>65530093.938967764</v>
      </c>
      <c r="B3660">
        <v>231284173.12188751</v>
      </c>
    </row>
    <row r="3661" spans="1:2" x14ac:dyDescent="0.25">
      <c r="A3661">
        <f ca="1">30170.2455244824*((RANDBETWEEN(1587,2416)))</f>
        <v>67400328.501693755</v>
      </c>
      <c r="B3661">
        <v>239841009.9385277</v>
      </c>
    </row>
    <row r="3662" spans="1:2" x14ac:dyDescent="0.25">
      <c r="A3662">
        <f ca="1">26701.4554760976*((RANDBETWEEN(1587,2416)))</f>
        <v>57968859.838607863</v>
      </c>
      <c r="B3662">
        <v>238394072.20369822</v>
      </c>
    </row>
    <row r="3663" spans="1:2" x14ac:dyDescent="0.25">
      <c r="A3663">
        <f ca="1">32468.9326371538*((RANDBETWEEN(1587,2416)))</f>
        <v>76204584.899399951</v>
      </c>
      <c r="B3663">
        <v>265120809.73525232</v>
      </c>
    </row>
    <row r="3664" spans="1:2" x14ac:dyDescent="0.25">
      <c r="A3664">
        <f ca="1">32992.2106450291*((RANDBETWEEN(1587,2416)))</f>
        <v>68524821.509725392</v>
      </c>
      <c r="B3664">
        <v>252255350.85674223</v>
      </c>
    </row>
    <row r="3665" spans="1:2" x14ac:dyDescent="0.25">
      <c r="A3665">
        <f ca="1">31194.1447664667*((RANDBETWEEN(1587,2416)))</f>
        <v>62045153.940502331</v>
      </c>
      <c r="B3665">
        <v>227555678.89087671</v>
      </c>
    </row>
    <row r="3666" spans="1:2" x14ac:dyDescent="0.25">
      <c r="A3666">
        <f ca="1">27166.6585144213*((RANDBETWEEN(1587,2416)))</f>
        <v>52947817.444607064</v>
      </c>
      <c r="B3666">
        <v>265229645.49329925</v>
      </c>
    </row>
    <row r="3667" spans="1:2" x14ac:dyDescent="0.25">
      <c r="A3667">
        <f ca="1">27225.834155972*((RANDBETWEEN(1587,2416)))</f>
        <v>47481854.768015221</v>
      </c>
      <c r="B3667">
        <v>214438215.64230996</v>
      </c>
    </row>
    <row r="3668" spans="1:2" x14ac:dyDescent="0.25">
      <c r="A3668">
        <f ca="1">26770.0216616363*((RANDBETWEEN(1587,2416)))</f>
        <v>56457975.684391044</v>
      </c>
      <c r="B3668">
        <v>249542626.73942059</v>
      </c>
    </row>
    <row r="3669" spans="1:2" x14ac:dyDescent="0.25">
      <c r="A3669">
        <f ca="1">26363.0157172733*((RANDBETWEEN(1587,2416)))</f>
        <v>46319818.615249172</v>
      </c>
      <c r="B3669">
        <v>205323069.8744458</v>
      </c>
    </row>
    <row r="3670" spans="1:2" x14ac:dyDescent="0.25">
      <c r="A3670">
        <f ca="1">29424.9321691856*((RANDBETWEEN(1587,2416)))</f>
        <v>61086159.183229245</v>
      </c>
      <c r="B3670">
        <v>233303258.42643031</v>
      </c>
    </row>
    <row r="3671" spans="1:2" x14ac:dyDescent="0.25">
      <c r="A3671">
        <f ca="1">28571.2195277021*((RANDBETWEEN(1587,2416)))</f>
        <v>58285287.836512387</v>
      </c>
      <c r="B3671">
        <v>252168547.16881305</v>
      </c>
    </row>
    <row r="3672" spans="1:2" x14ac:dyDescent="0.25">
      <c r="A3672">
        <f ca="1">32730.1562241048*((RANDBETWEEN(1587,2416)))</f>
        <v>54823011.675375588</v>
      </c>
      <c r="B3672">
        <v>230974006.89518964</v>
      </c>
    </row>
    <row r="3673" spans="1:2" x14ac:dyDescent="0.25">
      <c r="A3673">
        <f ca="1">28020.7401871205*((RANDBETWEEN(1587,2416)))</f>
        <v>59544072.897630975</v>
      </c>
      <c r="B3673">
        <v>233915874.82634613</v>
      </c>
    </row>
    <row r="3674" spans="1:2" x14ac:dyDescent="0.25">
      <c r="A3674">
        <f ca="1">31245.8309630302*((RANDBETWEEN(1587,2416)))</f>
        <v>58679670.548570633</v>
      </c>
      <c r="B3674">
        <v>267184060.96988112</v>
      </c>
    </row>
    <row r="3675" spans="1:2" x14ac:dyDescent="0.25">
      <c r="A3675">
        <f ca="1">30352.37663977*((RANDBETWEEN(1587,2416)))</f>
        <v>61615324.578733005</v>
      </c>
      <c r="B3675">
        <v>250859757.29686484</v>
      </c>
    </row>
    <row r="3676" spans="1:2" x14ac:dyDescent="0.25">
      <c r="A3676">
        <f ca="1">26140.1551746072*((RANDBETWEEN(1587,2416)))</f>
        <v>44124581.934736922</v>
      </c>
      <c r="B3676">
        <v>222924243.71122667</v>
      </c>
    </row>
    <row r="3677" spans="1:2" x14ac:dyDescent="0.25">
      <c r="A3677">
        <f ca="1">28595.2634433655*((RANDBETWEEN(1587,2416)))</f>
        <v>65397367.494976848</v>
      </c>
      <c r="B3677">
        <v>267786825.07309052</v>
      </c>
    </row>
    <row r="3678" spans="1:2" x14ac:dyDescent="0.25">
      <c r="A3678">
        <f ca="1">28099.0637990405*((RANDBETWEEN(1587,2416)))</f>
        <v>55074165.046119362</v>
      </c>
      <c r="B3678">
        <v>252568429.50703439</v>
      </c>
    </row>
    <row r="3679" spans="1:2" x14ac:dyDescent="0.25">
      <c r="A3679">
        <f ca="1">30500.2887804401*((RANDBETWEEN(1587,2416)))</f>
        <v>60848076.116978012</v>
      </c>
      <c r="B3679">
        <v>204026264.23410812</v>
      </c>
    </row>
    <row r="3680" spans="1:2" x14ac:dyDescent="0.25">
      <c r="A3680">
        <f ca="1">31790.5817019455*((RANDBETWEEN(1587,2416)))</f>
        <v>52867737.370335422</v>
      </c>
      <c r="B3680">
        <v>209110470.66592494</v>
      </c>
    </row>
    <row r="3681" spans="1:2" x14ac:dyDescent="0.25">
      <c r="A3681">
        <f ca="1">25793.4648658249*((RANDBETWEEN(1587,2416)))</f>
        <v>44055237.990828887</v>
      </c>
      <c r="B3681">
        <v>259196229.81076008</v>
      </c>
    </row>
    <row r="3682" spans="1:2" x14ac:dyDescent="0.25">
      <c r="A3682">
        <f ca="1">29895.1425506925*((RANDBETWEEN(1587,2416)))</f>
        <v>68429981.298535123</v>
      </c>
      <c r="B3682">
        <v>245883257.55670422</v>
      </c>
    </row>
    <row r="3683" spans="1:2" x14ac:dyDescent="0.25">
      <c r="A3683">
        <f ca="1">28907.0546114666*((RANDBETWEEN(1587,2416)))</f>
        <v>48997457.566435911</v>
      </c>
      <c r="B3683">
        <v>251919994.68101692</v>
      </c>
    </row>
    <row r="3684" spans="1:2" x14ac:dyDescent="0.25">
      <c r="A3684">
        <f ca="1">32352.3467352407*((RANDBETWEEN(1587,2416)))</f>
        <v>72922189.541232601</v>
      </c>
      <c r="B3684">
        <v>267758282.03695691</v>
      </c>
    </row>
    <row r="3685" spans="1:2" x14ac:dyDescent="0.25">
      <c r="A3685">
        <f ca="1">27602.0982469764*((RANDBETWEEN(1587,2416)))</f>
        <v>56611903.504548565</v>
      </c>
      <c r="B3685">
        <v>230776103.14895916</v>
      </c>
    </row>
    <row r="3686" spans="1:2" x14ac:dyDescent="0.25">
      <c r="A3686">
        <f ca="1">27192.698836006*((RANDBETWEEN(1587,2416)))</f>
        <v>55010829.745240197</v>
      </c>
      <c r="B3686">
        <v>245805585.6019755</v>
      </c>
    </row>
    <row r="3687" spans="1:2" x14ac:dyDescent="0.25">
      <c r="A3687">
        <f ca="1">26257.0591538827*((RANDBETWEEN(1587,2416)))</f>
        <v>62255487.253855765</v>
      </c>
      <c r="B3687">
        <v>209289383.27032959</v>
      </c>
    </row>
    <row r="3688" spans="1:2" x14ac:dyDescent="0.25">
      <c r="A3688">
        <f ca="1">28528.1238467135*((RANDBETWEEN(1587,2416)))</f>
        <v>49296598.007120945</v>
      </c>
      <c r="B3688">
        <v>261462144.33151102</v>
      </c>
    </row>
    <row r="3689" spans="1:2" x14ac:dyDescent="0.25">
      <c r="A3689">
        <f ca="1">29336.5072550311*((RANDBETWEEN(1587,2416)))</f>
        <v>49754716.304532796</v>
      </c>
      <c r="B3689">
        <v>242979345.14597803</v>
      </c>
    </row>
    <row r="3690" spans="1:2" x14ac:dyDescent="0.25">
      <c r="A3690">
        <f ca="1">28724.2239204383*((RANDBETWEEN(1587,2416)))</f>
        <v>65031642.95587226</v>
      </c>
      <c r="B3690">
        <v>225429483.44577891</v>
      </c>
    </row>
    <row r="3691" spans="1:2" x14ac:dyDescent="0.25">
      <c r="A3691">
        <f ca="1">28568.4500667052*((RANDBETWEEN(1587,2416)))</f>
        <v>50737567.318468377</v>
      </c>
      <c r="B3691">
        <v>246635203.19777483</v>
      </c>
    </row>
    <row r="3692" spans="1:2" x14ac:dyDescent="0.25">
      <c r="A3692">
        <f ca="1">28961.925681202*((RANDBETWEEN(1587,2416)))</f>
        <v>52507971.260019243</v>
      </c>
      <c r="B3692">
        <v>247430581.20279247</v>
      </c>
    </row>
    <row r="3693" spans="1:2" x14ac:dyDescent="0.25">
      <c r="A3693">
        <f ca="1">32546.2394797888*((RANDBETWEEN(1587,2416)))</f>
        <v>75019082.000913173</v>
      </c>
      <c r="B3693">
        <v>228890640.55692104</v>
      </c>
    </row>
    <row r="3694" spans="1:2" x14ac:dyDescent="0.25">
      <c r="A3694">
        <f ca="1">31104.7297328241*((RANDBETWEEN(1587,2416)))</f>
        <v>71229831.08816722</v>
      </c>
      <c r="B3694">
        <v>233485318.09008071</v>
      </c>
    </row>
    <row r="3695" spans="1:2" x14ac:dyDescent="0.25">
      <c r="A3695">
        <f ca="1">28665.5874382637*((RANDBETWEEN(1587,2416)))</f>
        <v>54693940.832207158</v>
      </c>
      <c r="B3695">
        <v>224125332.85660198</v>
      </c>
    </row>
    <row r="3696" spans="1:2" x14ac:dyDescent="0.25">
      <c r="A3696">
        <f ca="1">28920.2384170916*((RANDBETWEEN(1587,2416)))</f>
        <v>65562180.491546758</v>
      </c>
      <c r="B3696">
        <v>221319167.41052908</v>
      </c>
    </row>
    <row r="3697" spans="1:2" x14ac:dyDescent="0.25">
      <c r="A3697">
        <f ca="1">30151.5922094655*((RANDBETWEEN(1587,2416)))</f>
        <v>58463937.294153698</v>
      </c>
      <c r="B3697">
        <v>233108017.22433028</v>
      </c>
    </row>
    <row r="3698" spans="1:2" x14ac:dyDescent="0.25">
      <c r="A3698">
        <f ca="1">30368.6470099632*((RANDBETWEEN(1587,2416)))</f>
        <v>69999731.357965186</v>
      </c>
      <c r="B3698">
        <v>204439440.38225976</v>
      </c>
    </row>
    <row r="3699" spans="1:2" x14ac:dyDescent="0.25">
      <c r="A3699">
        <f ca="1">28354.7071577257*((RANDBETWEEN(1587,2416)))</f>
        <v>63372770.497516938</v>
      </c>
      <c r="B3699">
        <v>206630705.40744293</v>
      </c>
    </row>
    <row r="3700" spans="1:2" x14ac:dyDescent="0.25">
      <c r="A3700">
        <f ca="1">28427.4537074958*((RANDBETWEEN(1587,2416)))</f>
        <v>66719233.851492591</v>
      </c>
      <c r="B3700">
        <v>214044975.95085832</v>
      </c>
    </row>
    <row r="3701" spans="1:2" x14ac:dyDescent="0.25">
      <c r="A3701">
        <f ca="1">27728.3819617083*((RANDBETWEEN(1587,2416)))</f>
        <v>48469211.669066161</v>
      </c>
      <c r="B3701">
        <v>207683052.2781499</v>
      </c>
    </row>
    <row r="3702" spans="1:2" x14ac:dyDescent="0.25">
      <c r="A3702">
        <f ca="1">28886.7687552346*((RANDBETWEEN(1587,2416)))</f>
        <v>52082844.065687895</v>
      </c>
      <c r="B3702">
        <v>264583072.81250483</v>
      </c>
    </row>
    <row r="3703" spans="1:2" x14ac:dyDescent="0.25">
      <c r="A3703">
        <f ca="1">30349.6641567438*((RANDBETWEEN(1587,2416)))</f>
        <v>64371637.676453553</v>
      </c>
      <c r="B3703">
        <v>240729289.54154563</v>
      </c>
    </row>
    <row r="3704" spans="1:2" x14ac:dyDescent="0.25">
      <c r="A3704">
        <f ca="1">32166.7182068996*((RANDBETWEEN(1587,2416)))</f>
        <v>69094110.708420247</v>
      </c>
      <c r="B3704">
        <v>244020829.08081871</v>
      </c>
    </row>
    <row r="3705" spans="1:2" x14ac:dyDescent="0.25">
      <c r="A3705">
        <f ca="1">30831.7007797237*((RANDBETWEEN(1587,2416)))</f>
        <v>57007814.741709039</v>
      </c>
      <c r="B3705">
        <v>260238860.01760858</v>
      </c>
    </row>
    <row r="3706" spans="1:2" x14ac:dyDescent="0.25">
      <c r="A3706">
        <f ca="1">27096.7861897245*((RANDBETWEEN(1587,2416)))</f>
        <v>56280024.916057751</v>
      </c>
      <c r="B3706">
        <v>208644985.64565325</v>
      </c>
    </row>
    <row r="3707" spans="1:2" x14ac:dyDescent="0.25">
      <c r="A3707">
        <f ca="1">32595.6208142246*((RANDBETWEEN(1587,2416)))</f>
        <v>68776759.918013811</v>
      </c>
      <c r="B3707">
        <v>246235419.02101052</v>
      </c>
    </row>
    <row r="3708" spans="1:2" x14ac:dyDescent="0.25">
      <c r="A3708">
        <f ca="1">31226.5343317016*((RANDBETWEEN(1587,2416)))</f>
        <v>60891741.946818121</v>
      </c>
      <c r="B3708">
        <v>228890498.33519375</v>
      </c>
    </row>
    <row r="3709" spans="1:2" x14ac:dyDescent="0.25">
      <c r="A3709">
        <f ca="1">27341.0275515518*((RANDBETWEEN(1587,2416)))</f>
        <v>48229572.600937314</v>
      </c>
      <c r="B3709">
        <v>267013365.35003793</v>
      </c>
    </row>
    <row r="3710" spans="1:2" x14ac:dyDescent="0.25">
      <c r="A3710">
        <f ca="1">27427.7608721063*((RANDBETWEEN(1587,2416)))</f>
        <v>52112745.657001972</v>
      </c>
      <c r="B3710">
        <v>218925962.42797613</v>
      </c>
    </row>
    <row r="3711" spans="1:2" x14ac:dyDescent="0.25">
      <c r="A3711">
        <f ca="1">27489.7238324244*((RANDBETWEEN(1587,2416)))</f>
        <v>58773029.553723395</v>
      </c>
      <c r="B3711">
        <v>259186231.55066514</v>
      </c>
    </row>
    <row r="3712" spans="1:2" x14ac:dyDescent="0.25">
      <c r="A3712">
        <f ca="1">28135.9601843033*((RANDBETWEEN(1587,2416)))</f>
        <v>58663476.984272338</v>
      </c>
      <c r="B3712">
        <v>213163788.8295303</v>
      </c>
    </row>
    <row r="3713" spans="1:2" x14ac:dyDescent="0.25">
      <c r="A3713">
        <f ca="1">25806.01576281*((RANDBETWEEN(1587,2416)))</f>
        <v>47405650.956281945</v>
      </c>
      <c r="B3713">
        <v>211054851.48481539</v>
      </c>
    </row>
    <row r="3714" spans="1:2" x14ac:dyDescent="0.25">
      <c r="A3714">
        <f ca="1">31139.1401057039*((RANDBETWEEN(1587,2416)))</f>
        <v>53715016.682339281</v>
      </c>
      <c r="B3714">
        <v>258702155.56008807</v>
      </c>
    </row>
    <row r="3715" spans="1:2" x14ac:dyDescent="0.25">
      <c r="A3715">
        <f ca="1">32576.4311615703*((RANDBETWEEN(1587,2416)))</f>
        <v>53653382.123106234</v>
      </c>
      <c r="B3715">
        <v>249815711.80547726</v>
      </c>
    </row>
    <row r="3716" spans="1:2" x14ac:dyDescent="0.25">
      <c r="A3716">
        <f ca="1">29151.6186769094*((RANDBETWEEN(1587,2416)))</f>
        <v>63579680.334339365</v>
      </c>
      <c r="B3716">
        <v>246696437.64194298</v>
      </c>
    </row>
    <row r="3717" spans="1:2" x14ac:dyDescent="0.25">
      <c r="A3717">
        <f ca="1">27054.8462063679*((RANDBETWEEN(1587,2416)))</f>
        <v>56896341.571991712</v>
      </c>
      <c r="B3717">
        <v>257537374.08491331</v>
      </c>
    </row>
    <row r="3718" spans="1:2" x14ac:dyDescent="0.25">
      <c r="A3718">
        <f ca="1">31948.0801707381*((RANDBETWEEN(1587,2416)))</f>
        <v>63800316.100964025</v>
      </c>
      <c r="B3718">
        <v>258183090.8863796</v>
      </c>
    </row>
    <row r="3719" spans="1:2" x14ac:dyDescent="0.25">
      <c r="A3719">
        <f ca="1">32592.5425095491*((RANDBETWEEN(1587,2416)))</f>
        <v>63066569.755977601</v>
      </c>
      <c r="B3719">
        <v>257686044.48232147</v>
      </c>
    </row>
    <row r="3720" spans="1:2" x14ac:dyDescent="0.25">
      <c r="A3720">
        <f ca="1">29367.9447484135*((RANDBETWEEN(1587,2416)))</f>
        <v>55769727.077237211</v>
      </c>
      <c r="B3720">
        <v>212203828.72845519</v>
      </c>
    </row>
    <row r="3721" spans="1:2" x14ac:dyDescent="0.25">
      <c r="A3721">
        <f ca="1">28868.5165860812*((RANDBETWEEN(1587,2416)))</f>
        <v>54301679.698418699</v>
      </c>
      <c r="B3721">
        <v>262106596.63512838</v>
      </c>
    </row>
    <row r="3722" spans="1:2" x14ac:dyDescent="0.25">
      <c r="A3722">
        <f ca="1">33466.6519825433*((RANDBETWEEN(1587,2416)))</f>
        <v>64657571.630273625</v>
      </c>
      <c r="B3722">
        <v>233355304.32939008</v>
      </c>
    </row>
    <row r="3723" spans="1:2" x14ac:dyDescent="0.25">
      <c r="A3723">
        <f ca="1">32226.1865624019*((RANDBETWEEN(1587,2416)))</f>
        <v>60714135.483565137</v>
      </c>
      <c r="B3723">
        <v>219035641.57094136</v>
      </c>
    </row>
    <row r="3724" spans="1:2" x14ac:dyDescent="0.25">
      <c r="A3724">
        <f ca="1">33629.4479842262*((RANDBETWEEN(1587,2416)))</f>
        <v>64265875.097856238</v>
      </c>
      <c r="B3724">
        <v>259086480.7352125</v>
      </c>
    </row>
    <row r="3725" spans="1:2" x14ac:dyDescent="0.25">
      <c r="A3725">
        <f ca="1">28770.9308504636*((RANDBETWEEN(1587,2416)))</f>
        <v>46119802.153293215</v>
      </c>
      <c r="B3725">
        <v>230761887.43300247</v>
      </c>
    </row>
    <row r="3726" spans="1:2" x14ac:dyDescent="0.25">
      <c r="A3726">
        <f ca="1">31708.2906483075*((RANDBETWEEN(1587,2416)))</f>
        <v>52350387.860355765</v>
      </c>
      <c r="B3726">
        <v>250335291.81691334</v>
      </c>
    </row>
    <row r="3727" spans="1:2" x14ac:dyDescent="0.25">
      <c r="A3727">
        <f ca="1">30803.1432372322*((RANDBETWEEN(1587,2416)))</f>
        <v>59234444.445197485</v>
      </c>
      <c r="B3727">
        <v>234280012.07650876</v>
      </c>
    </row>
    <row r="3728" spans="1:2" x14ac:dyDescent="0.25">
      <c r="A3728">
        <f ca="1">27432.9121244133*((RANDBETWEEN(1587,2416)))</f>
        <v>47623535.447981477</v>
      </c>
      <c r="B3728">
        <v>228293228.26307446</v>
      </c>
    </row>
    <row r="3729" spans="1:2" x14ac:dyDescent="0.25">
      <c r="A3729">
        <f ca="1">30284.6419258191*((RANDBETWEEN(1587,2416)))</f>
        <v>65233118.708214439</v>
      </c>
      <c r="B3729">
        <v>264576032.60624802</v>
      </c>
    </row>
    <row r="3730" spans="1:2" x14ac:dyDescent="0.25">
      <c r="A3730">
        <f ca="1">29558.2312873044*((RANDBETWEEN(1587,2416)))</f>
        <v>60653490.60154862</v>
      </c>
      <c r="B3730">
        <v>254382263.96283326</v>
      </c>
    </row>
    <row r="3731" spans="1:2" x14ac:dyDescent="0.25">
      <c r="A3731">
        <f ca="1">30597.0398449396*((RANDBETWEEN(1587,2416)))</f>
        <v>64131395.514993392</v>
      </c>
      <c r="B3731">
        <v>263340942.95366886</v>
      </c>
    </row>
    <row r="3732" spans="1:2" x14ac:dyDescent="0.25">
      <c r="A3732">
        <f ca="1">30257.0093524216*((RANDBETWEEN(1587,2416)))</f>
        <v>50196378.515667424</v>
      </c>
      <c r="B3732">
        <v>240634215.74664557</v>
      </c>
    </row>
    <row r="3733" spans="1:2" x14ac:dyDescent="0.25">
      <c r="A3733">
        <f ca="1">26418.6336087381*((RANDBETWEEN(1587,2416)))</f>
        <v>44673909.432376184</v>
      </c>
      <c r="B3733">
        <v>258693185.0232566</v>
      </c>
    </row>
    <row r="3734" spans="1:2" x14ac:dyDescent="0.25">
      <c r="A3734">
        <f ca="1">27295.584018318*((RANDBETWEEN(1587,2416)))</f>
        <v>43618343.261272088</v>
      </c>
      <c r="B3734">
        <v>254282059.08934033</v>
      </c>
    </row>
    <row r="3735" spans="1:2" x14ac:dyDescent="0.25">
      <c r="A3735">
        <f ca="1">31859.3191672863*((RANDBETWEEN(1587,2416)))</f>
        <v>61138033.482022502</v>
      </c>
      <c r="B3735">
        <v>207160911.95019656</v>
      </c>
    </row>
    <row r="3736" spans="1:2" x14ac:dyDescent="0.25">
      <c r="A3736">
        <f ca="1">29146.0918274882*((RANDBETWEEN(1587,2416)))</f>
        <v>51326267.708206765</v>
      </c>
      <c r="B3736">
        <v>231369414.94137445</v>
      </c>
    </row>
    <row r="3737" spans="1:2" x14ac:dyDescent="0.25">
      <c r="A3737">
        <f ca="1">27835.0005252681*((RANDBETWEEN(1587,2416)))</f>
        <v>62461741.178701565</v>
      </c>
      <c r="B3737">
        <v>230526764.97571012</v>
      </c>
    </row>
    <row r="3738" spans="1:2" x14ac:dyDescent="0.25">
      <c r="A3738">
        <f ca="1">30516.2416611317*((RANDBETWEEN(1587,2416)))</f>
        <v>59079443.855950914</v>
      </c>
      <c r="B3738">
        <v>258213167.91740593</v>
      </c>
    </row>
    <row r="3739" spans="1:2" x14ac:dyDescent="0.25">
      <c r="A3739">
        <f ca="1">31995.1232152686*((RANDBETWEEN(1587,2416)))</f>
        <v>66325890.425251737</v>
      </c>
      <c r="B3739">
        <v>229712274.12179419</v>
      </c>
    </row>
    <row r="3740" spans="1:2" x14ac:dyDescent="0.25">
      <c r="A3740">
        <f ca="1">32691.5717899878*((RANDBETWEEN(1587,2416)))</f>
        <v>70711869.78174372</v>
      </c>
      <c r="B3740">
        <v>215530558.25539535</v>
      </c>
    </row>
    <row r="3741" spans="1:2" x14ac:dyDescent="0.25">
      <c r="A3741">
        <f ca="1">35240.4198812449*((RANDBETWEEN(1587,2416)))</f>
        <v>60507800.936097547</v>
      </c>
      <c r="B3741">
        <v>224150538.00698099</v>
      </c>
    </row>
    <row r="3742" spans="1:2" x14ac:dyDescent="0.25">
      <c r="A3742">
        <f ca="1">31457.4841439091*((RANDBETWEEN(1587,2416)))</f>
        <v>66941526.258238606</v>
      </c>
      <c r="B3742">
        <v>260322787.37280887</v>
      </c>
    </row>
    <row r="3743" spans="1:2" x14ac:dyDescent="0.25">
      <c r="A3743">
        <f ca="1">29894.8483984979*((RANDBETWEEN(1587,2416)))</f>
        <v>66934565.564236805</v>
      </c>
      <c r="B3743">
        <v>267866801.90177163</v>
      </c>
    </row>
    <row r="3744" spans="1:2" x14ac:dyDescent="0.25">
      <c r="A3744">
        <f ca="1">28620.9080470271*((RANDBETWEEN(1587,2416)))</f>
        <v>54866280.72615093</v>
      </c>
      <c r="B3744">
        <v>239944645.56567764</v>
      </c>
    </row>
    <row r="3745" spans="1:2" x14ac:dyDescent="0.25">
      <c r="A3745">
        <f ca="1">26821.9486866137*((RANDBETWEEN(1587,2416)))</f>
        <v>47206629.688440181</v>
      </c>
      <c r="B3745">
        <v>210215734.97479028</v>
      </c>
    </row>
    <row r="3746" spans="1:2" x14ac:dyDescent="0.25">
      <c r="A3746">
        <f ca="1">34527.8766465586*((RANDBETWEEN(1587,2416)))</f>
        <v>61701315.567400247</v>
      </c>
      <c r="B3746">
        <v>219913199.44376755</v>
      </c>
    </row>
    <row r="3747" spans="1:2" x14ac:dyDescent="0.25">
      <c r="A3747">
        <f ca="1">30754.4726492724*((RANDBETWEEN(1587,2416)))</f>
        <v>62493088.423321612</v>
      </c>
      <c r="B3747">
        <v>265182931.77485153</v>
      </c>
    </row>
    <row r="3748" spans="1:2" x14ac:dyDescent="0.25">
      <c r="A3748">
        <f ca="1">33233.3159605829*((RANDBETWEEN(1587,2416)))</f>
        <v>74143527.908060551</v>
      </c>
      <c r="B3748">
        <v>244046652.59572297</v>
      </c>
    </row>
    <row r="3749" spans="1:2" x14ac:dyDescent="0.25">
      <c r="A3749">
        <f ca="1">31332.4769343605*((RANDBETWEEN(1587,2416)))</f>
        <v>71720039.70275113</v>
      </c>
      <c r="B3749">
        <v>251352160.94984978</v>
      </c>
    </row>
    <row r="3750" spans="1:2" x14ac:dyDescent="0.25">
      <c r="A3750">
        <f ca="1">27902.032891502*((RANDBETWEEN(1587,2416)))</f>
        <v>65123344.768765606</v>
      </c>
      <c r="B3750">
        <v>231834347.21594867</v>
      </c>
    </row>
    <row r="3751" spans="1:2" x14ac:dyDescent="0.25">
      <c r="A3751">
        <f ca="1">29914.379710907*((RANDBETWEEN(1587,2416)))</f>
        <v>49328812.143285707</v>
      </c>
      <c r="B3751">
        <v>247255977.6271061</v>
      </c>
    </row>
    <row r="3752" spans="1:2" x14ac:dyDescent="0.25">
      <c r="A3752">
        <f ca="1">31044.0382275944*((RANDBETWEEN(1587,2416)))</f>
        <v>51439971.343123853</v>
      </c>
      <c r="B3752">
        <v>254841454.96498695</v>
      </c>
    </row>
    <row r="3753" spans="1:2" x14ac:dyDescent="0.25">
      <c r="A3753">
        <f ca="1">33186.3518152898*((RANDBETWEEN(1587,2416)))</f>
        <v>64182404.410770468</v>
      </c>
      <c r="B3753">
        <v>235061835.7309587</v>
      </c>
    </row>
    <row r="3754" spans="1:2" x14ac:dyDescent="0.25">
      <c r="A3754">
        <f ca="1">33175.1236219072*((RANDBETWEEN(1587,2416)))</f>
        <v>58819494.181641467</v>
      </c>
      <c r="B3754">
        <v>216374743.56196672</v>
      </c>
    </row>
    <row r="3755" spans="1:2" x14ac:dyDescent="0.25">
      <c r="A3755">
        <f ca="1">32505.2551512538*((RANDBETWEEN(1587,2416)))</f>
        <v>77915096.597555339</v>
      </c>
      <c r="B3755">
        <v>223845387.21238616</v>
      </c>
    </row>
    <row r="3756" spans="1:2" x14ac:dyDescent="0.25">
      <c r="A3756">
        <f ca="1">30509.6437441297*((RANDBETWEEN(1587,2416)))</f>
        <v>60683681.407074049</v>
      </c>
      <c r="B3756">
        <v>236031407.01276743</v>
      </c>
    </row>
    <row r="3757" spans="1:2" x14ac:dyDescent="0.25">
      <c r="A3757">
        <f ca="1">26173.3044262513*((RANDBETWEEN(1587,2416)))</f>
        <v>61219359.053001799</v>
      </c>
      <c r="B3757">
        <v>216226610.11682653</v>
      </c>
    </row>
    <row r="3758" spans="1:2" x14ac:dyDescent="0.25">
      <c r="A3758">
        <f ca="1">31308.6538195607*((RANDBETWEEN(1587,2416)))</f>
        <v>50813945.149146959</v>
      </c>
      <c r="B3758">
        <v>237487089.31230351</v>
      </c>
    </row>
    <row r="3759" spans="1:2" x14ac:dyDescent="0.25">
      <c r="A3759">
        <f ca="1">29618.6605944152*((RANDBETWEEN(1587,2416)))</f>
        <v>54439098.172535069</v>
      </c>
      <c r="B3759">
        <v>212077514.52385554</v>
      </c>
    </row>
    <row r="3760" spans="1:2" x14ac:dyDescent="0.25">
      <c r="A3760">
        <f ca="1">31664.0104103938*((RANDBETWEEN(1587,2416)))</f>
        <v>68900886.65301697</v>
      </c>
      <c r="B3760">
        <v>246332501.57116574</v>
      </c>
    </row>
    <row r="3761" spans="1:2" x14ac:dyDescent="0.25">
      <c r="A3761">
        <f ca="1">30438.9487421267*((RANDBETWEEN(1587,2416)))</f>
        <v>58442781.584883332</v>
      </c>
      <c r="B3761">
        <v>267682042.82411283</v>
      </c>
    </row>
    <row r="3762" spans="1:2" x14ac:dyDescent="0.25">
      <c r="A3762">
        <f ca="1">31199.8130042926*((RANDBETWEEN(1587,2416)))</f>
        <v>65488407.49601008</v>
      </c>
      <c r="B3762">
        <v>215103862.16170111</v>
      </c>
    </row>
    <row r="3763" spans="1:2" x14ac:dyDescent="0.25">
      <c r="A3763">
        <f ca="1">33250.5702843043*((RANDBETWEEN(1587,2416)))</f>
        <v>71322473.25983268</v>
      </c>
      <c r="B3763">
        <v>261553944.32299596</v>
      </c>
    </row>
    <row r="3764" spans="1:2" x14ac:dyDescent="0.25">
      <c r="A3764">
        <f ca="1">27019.2940363512*((RANDBETWEEN(1587,2416)))</f>
        <v>49067037.9700137</v>
      </c>
      <c r="B3764">
        <v>267333670.36958534</v>
      </c>
    </row>
    <row r="3765" spans="1:2" x14ac:dyDescent="0.25">
      <c r="A3765">
        <f ca="1">32941.3128872547*((RANDBETWEEN(1587,2416)))</f>
        <v>74183836.622097641</v>
      </c>
      <c r="B3765">
        <v>243277080.77070749</v>
      </c>
    </row>
    <row r="3766" spans="1:2" x14ac:dyDescent="0.25">
      <c r="A3766">
        <f ca="1">31447.1207975466*((RANDBETWEEN(1587,2416)))</f>
        <v>57170865.609939784</v>
      </c>
      <c r="B3766">
        <v>205714864.99211666</v>
      </c>
    </row>
    <row r="3767" spans="1:2" x14ac:dyDescent="0.25">
      <c r="A3767">
        <f ca="1">29246.2547531969*((RANDBETWEEN(1587,2416)))</f>
        <v>69664578.822114974</v>
      </c>
      <c r="B3767">
        <v>250159153.28087205</v>
      </c>
    </row>
    <row r="3768" spans="1:2" x14ac:dyDescent="0.25">
      <c r="A3768">
        <f ca="1">30521.6529447058*((RANDBETWEEN(1587,2416)))</f>
        <v>62630431.84253633</v>
      </c>
      <c r="B3768">
        <v>236855861.79624113</v>
      </c>
    </row>
    <row r="3769" spans="1:2" x14ac:dyDescent="0.25">
      <c r="A3769">
        <f ca="1">28467.9684901421*((RANDBETWEEN(1587,2416)))</f>
        <v>64878500.189033769</v>
      </c>
      <c r="B3769">
        <v>234529509.45724243</v>
      </c>
    </row>
    <row r="3770" spans="1:2" x14ac:dyDescent="0.25">
      <c r="A3770">
        <f ca="1">31985.3167705729*((RANDBETWEEN(1587,2416)))</f>
        <v>66465488.249250494</v>
      </c>
      <c r="B3770">
        <v>250806381.99221069</v>
      </c>
    </row>
    <row r="3771" spans="1:2" x14ac:dyDescent="0.25">
      <c r="A3771">
        <f ca="1">30443.6714791254*((RANDBETWEEN(1587,2416)))</f>
        <v>49440522.482099637</v>
      </c>
      <c r="B3771">
        <v>218052459.92398912</v>
      </c>
    </row>
    <row r="3772" spans="1:2" x14ac:dyDescent="0.25">
      <c r="A3772">
        <f ca="1">26401.8472196609*((RANDBETWEEN(1587,2416)))</f>
        <v>44592719.954007231</v>
      </c>
      <c r="B3772">
        <v>218649356.30969569</v>
      </c>
    </row>
    <row r="3773" spans="1:2" x14ac:dyDescent="0.25">
      <c r="A3773">
        <f ca="1">30217.273418629*((RANDBETWEEN(1587,2416)))</f>
        <v>48891548.391341656</v>
      </c>
      <c r="B3773">
        <v>244920413.26113781</v>
      </c>
    </row>
    <row r="3774" spans="1:2" x14ac:dyDescent="0.25">
      <c r="A3774">
        <f ca="1">33794.1932099251*((RANDBETWEEN(1587,2416)))</f>
        <v>66067647.725403622</v>
      </c>
      <c r="B3774">
        <v>262204684.78123575</v>
      </c>
    </row>
    <row r="3775" spans="1:2" x14ac:dyDescent="0.25">
      <c r="A3775">
        <f ca="1">31765.6038554275*((RANDBETWEEN(1587,2416)))</f>
        <v>58766367.132540941</v>
      </c>
      <c r="B3775">
        <v>246575983.32252425</v>
      </c>
    </row>
    <row r="3776" spans="1:2" x14ac:dyDescent="0.25">
      <c r="A3776">
        <f ca="1">27364.4417595804*((RANDBETWEEN(1587,2416)))</f>
        <v>46026991.03961429</v>
      </c>
      <c r="B3776">
        <v>218772689.38490146</v>
      </c>
    </row>
    <row r="3777" spans="1:2" x14ac:dyDescent="0.25">
      <c r="A3777">
        <f ca="1">29685.1742408823*((RANDBETWEEN(1587,2416)))</f>
        <v>65426124.026904501</v>
      </c>
      <c r="B3777">
        <v>267170688.73226836</v>
      </c>
    </row>
    <row r="3778" spans="1:2" x14ac:dyDescent="0.25">
      <c r="A3778">
        <f ca="1">31409.1761583495*((RANDBETWEEN(1587,2416)))</f>
        <v>66461816.751067594</v>
      </c>
      <c r="B3778">
        <v>227996419.72443342</v>
      </c>
    </row>
    <row r="3779" spans="1:2" x14ac:dyDescent="0.25">
      <c r="A3779">
        <f ca="1">32628.6176918527*((RANDBETWEEN(1587,2416)))</f>
        <v>58862026.316102356</v>
      </c>
      <c r="B3779">
        <v>228949675.00966963</v>
      </c>
    </row>
    <row r="3780" spans="1:2" x14ac:dyDescent="0.25">
      <c r="A3780">
        <f ca="1">28365.2454624032*((RANDBETWEEN(1587,2416)))</f>
        <v>46292080.594642043</v>
      </c>
      <c r="B3780">
        <v>232624565.64691013</v>
      </c>
    </row>
    <row r="3781" spans="1:2" x14ac:dyDescent="0.25">
      <c r="A3781">
        <f ca="1">30173.7894753918*((RANDBETWEEN(1587,2416)))</f>
        <v>51567006.21344465</v>
      </c>
      <c r="B3781">
        <v>249120422.8475917</v>
      </c>
    </row>
    <row r="3782" spans="1:2" x14ac:dyDescent="0.25">
      <c r="A3782">
        <f ca="1">28584.897083447*((RANDBETWEEN(1587,2416)))</f>
        <v>55769134.209805101</v>
      </c>
      <c r="B3782">
        <v>211286530.8986336</v>
      </c>
    </row>
    <row r="3783" spans="1:2" x14ac:dyDescent="0.25">
      <c r="A3783">
        <f ca="1">26455.286376884*((RANDBETWEEN(1587,2416)))</f>
        <v>45820556.004763007</v>
      </c>
      <c r="B3783">
        <v>242470627.1317113</v>
      </c>
    </row>
    <row r="3784" spans="1:2" x14ac:dyDescent="0.25">
      <c r="A3784">
        <f ca="1">32746.2609724706*((RANDBETWEEN(1587,2416)))</f>
        <v>70109744.742059484</v>
      </c>
      <c r="B3784">
        <v>239952020.62753326</v>
      </c>
    </row>
    <row r="3785" spans="1:2" x14ac:dyDescent="0.25">
      <c r="A3785">
        <f ca="1">26607.6272070958*((RANDBETWEEN(1587,2416)))</f>
        <v>51299505.255280755</v>
      </c>
      <c r="B3785">
        <v>252052031.9850609</v>
      </c>
    </row>
    <row r="3786" spans="1:2" x14ac:dyDescent="0.25">
      <c r="A3786">
        <f ca="1">29311.3317228542*((RANDBETWEEN(1587,2416)))</f>
        <v>65921185.044699185</v>
      </c>
      <c r="B3786">
        <v>210083196.53535146</v>
      </c>
    </row>
    <row r="3787" spans="1:2" x14ac:dyDescent="0.25">
      <c r="A3787">
        <f ca="1">27009.0013346557*((RANDBETWEEN(1587,2416)))</f>
        <v>59770919.95359309</v>
      </c>
      <c r="B3787">
        <v>214800946.79205418</v>
      </c>
    </row>
    <row r="3788" spans="1:2" x14ac:dyDescent="0.25">
      <c r="A3788">
        <f ca="1">31800.2525784889*((RANDBETWEEN(1587,2416)))</f>
        <v>63632305.409556381</v>
      </c>
      <c r="B3788">
        <v>254782584.00018805</v>
      </c>
    </row>
    <row r="3789" spans="1:2" x14ac:dyDescent="0.25">
      <c r="A3789">
        <f ca="1">32894.769405115*((RANDBETWEEN(1587,2416)))</f>
        <v>60822428.63005764</v>
      </c>
      <c r="B3789">
        <v>238666156.45267174</v>
      </c>
    </row>
    <row r="3790" spans="1:2" x14ac:dyDescent="0.25">
      <c r="A3790">
        <f ca="1">31386.1489706483*((RANDBETWEEN(1587,2416)))</f>
        <v>66632794.264686406</v>
      </c>
      <c r="B3790">
        <v>216550831.18179867</v>
      </c>
    </row>
    <row r="3791" spans="1:2" x14ac:dyDescent="0.25">
      <c r="A3791">
        <f ca="1">26954.714836055*((RANDBETWEEN(1587,2416)))</f>
        <v>59758602.791534044</v>
      </c>
      <c r="B3791">
        <v>204344192.32152295</v>
      </c>
    </row>
    <row r="3792" spans="1:2" x14ac:dyDescent="0.25">
      <c r="A3792">
        <f ca="1">28099.9549929647*((RANDBETWEEN(1587,2416)))</f>
        <v>66737393.108291246</v>
      </c>
      <c r="B3792">
        <v>257688951.58365893</v>
      </c>
    </row>
    <row r="3793" spans="1:2" x14ac:dyDescent="0.25">
      <c r="A3793">
        <f ca="1">29884.4094431435*((RANDBETWEEN(1587,2416)))</f>
        <v>70049055.73472847</v>
      </c>
      <c r="B3793">
        <v>266083618.72902414</v>
      </c>
    </row>
    <row r="3794" spans="1:2" x14ac:dyDescent="0.25">
      <c r="A3794">
        <f ca="1">27209.9763295411*((RANDBETWEEN(1587,2416)))</f>
        <v>61222446.741467394</v>
      </c>
      <c r="B3794">
        <v>239917947.86860594</v>
      </c>
    </row>
    <row r="3795" spans="1:2" x14ac:dyDescent="0.25">
      <c r="A3795">
        <f ca="1">31819.4028555365*((RANDBETWEEN(1587,2416)))</f>
        <v>65579789.285260774</v>
      </c>
      <c r="B3795">
        <v>241794590.29528302</v>
      </c>
    </row>
    <row r="3796" spans="1:2" x14ac:dyDescent="0.25">
      <c r="A3796">
        <f ca="1">29603.2389553448*((RANDBETWEEN(1587,2416)))</f>
        <v>52604955.623647764</v>
      </c>
      <c r="B3796">
        <v>227916703.42742157</v>
      </c>
    </row>
    <row r="3797" spans="1:2" x14ac:dyDescent="0.25">
      <c r="A3797">
        <f ca="1">27057.4464581158*((RANDBETWEEN(1587,2416)))</f>
        <v>61934494.942627132</v>
      </c>
      <c r="B3797">
        <v>246343638.04635933</v>
      </c>
    </row>
    <row r="3798" spans="1:2" x14ac:dyDescent="0.25">
      <c r="A3798">
        <f ca="1">31871.1512404728*((RANDBETWEEN(1587,2416)))</f>
        <v>62148744.91892194</v>
      </c>
      <c r="B3798">
        <v>259805685.46760997</v>
      </c>
    </row>
    <row r="3799" spans="1:2" x14ac:dyDescent="0.25">
      <c r="A3799">
        <f ca="1">31295.5209997148*((RANDBETWEEN(1587,2416)))</f>
        <v>74326862.374322757</v>
      </c>
      <c r="B3799">
        <v>235734253.58946359</v>
      </c>
    </row>
    <row r="3800" spans="1:2" x14ac:dyDescent="0.25">
      <c r="A3800">
        <f ca="1">29158.6058653128*((RANDBETWEEN(1587,2416)))</f>
        <v>64761263.626859702</v>
      </c>
      <c r="B3800">
        <v>215643402.68864608</v>
      </c>
    </row>
    <row r="3801" spans="1:2" x14ac:dyDescent="0.25">
      <c r="A3801">
        <f ca="1">28307.7681124187*((RANDBETWEEN(1587,2416)))</f>
        <v>60012468.398327745</v>
      </c>
      <c r="B3801">
        <v>209767379.90884361</v>
      </c>
    </row>
    <row r="3802" spans="1:2" x14ac:dyDescent="0.25">
      <c r="A3802">
        <f ca="1">32382.1125668726*((RANDBETWEEN(1587,2416)))</f>
        <v>59777379.79844673</v>
      </c>
      <c r="B3802">
        <v>241805386.38892648</v>
      </c>
    </row>
    <row r="3803" spans="1:2" x14ac:dyDescent="0.25">
      <c r="A3803">
        <f ca="1">27715.1184940541*((RANDBETWEEN(1587,2416)))</f>
        <v>55873678.884012967</v>
      </c>
      <c r="B3803">
        <v>254860756.12060404</v>
      </c>
    </row>
    <row r="3804" spans="1:2" x14ac:dyDescent="0.25">
      <c r="A3804">
        <f ca="1">29431.2224138007*((RANDBETWEEN(1587,2416)))</f>
        <v>53594256.01553116</v>
      </c>
      <c r="B3804">
        <v>223442539.57921737</v>
      </c>
    </row>
    <row r="3805" spans="1:2" x14ac:dyDescent="0.25">
      <c r="A3805">
        <f ca="1">27253.5785905702*((RANDBETWEEN(1587,2416)))</f>
        <v>65572110.088912025</v>
      </c>
      <c r="B3805">
        <v>235870117.70536369</v>
      </c>
    </row>
    <row r="3806" spans="1:2" x14ac:dyDescent="0.25">
      <c r="A3806">
        <f ca="1">27001.0663205899*((RANDBETWEEN(1587,2416)))</f>
        <v>51680040.937609017</v>
      </c>
      <c r="B3806">
        <v>219409715.90820441</v>
      </c>
    </row>
    <row r="3807" spans="1:2" x14ac:dyDescent="0.25">
      <c r="A3807">
        <f ca="1">29716.368162393*((RANDBETWEEN(1587,2416)))</f>
        <v>65970337.320512548</v>
      </c>
      <c r="B3807">
        <v>242444090.72911343</v>
      </c>
    </row>
    <row r="3808" spans="1:2" x14ac:dyDescent="0.25">
      <c r="A3808">
        <f ca="1">29843.7608555148*((RANDBETWEEN(1587,2416)))</f>
        <v>66730649.272931091</v>
      </c>
      <c r="B3808">
        <v>244421259.2530635</v>
      </c>
    </row>
    <row r="3809" spans="1:2" x14ac:dyDescent="0.25">
      <c r="A3809">
        <f ca="1">28424.897605291*((RANDBETWEEN(1587,2416)))</f>
        <v>48237051.236178905</v>
      </c>
      <c r="B3809">
        <v>247233406.42088991</v>
      </c>
    </row>
    <row r="3810" spans="1:2" x14ac:dyDescent="0.25">
      <c r="A3810">
        <f ca="1">30995.2799531956*((RANDBETWEEN(1587,2416)))</f>
        <v>57775201.832756542</v>
      </c>
      <c r="B3810">
        <v>242648054.65897161</v>
      </c>
    </row>
    <row r="3811" spans="1:2" x14ac:dyDescent="0.25">
      <c r="A3811">
        <f ca="1">31026.0722760026*((RANDBETWEEN(1587,2416)))</f>
        <v>57118999.060120858</v>
      </c>
      <c r="B3811">
        <v>253777934.13308915</v>
      </c>
    </row>
    <row r="3812" spans="1:2" x14ac:dyDescent="0.25">
      <c r="A3812">
        <f ca="1">30307.2919010899*((RANDBETWEEN(1587,2416)))</f>
        <v>50370719.139611349</v>
      </c>
      <c r="B3812">
        <v>206471822.05772364</v>
      </c>
    </row>
    <row r="3813" spans="1:2" x14ac:dyDescent="0.25">
      <c r="A3813">
        <f ca="1">30833.3999265361*((RANDBETWEEN(1587,2416)))</f>
        <v>67895146.63823241</v>
      </c>
      <c r="B3813">
        <v>247607620.66648808</v>
      </c>
    </row>
    <row r="3814" spans="1:2" x14ac:dyDescent="0.25">
      <c r="A3814">
        <f ca="1">28987.0152736253*((RANDBETWEEN(1587,2416)))</f>
        <v>64467121.96854274</v>
      </c>
      <c r="B3814">
        <v>234397367.22868615</v>
      </c>
    </row>
    <row r="3815" spans="1:2" x14ac:dyDescent="0.25">
      <c r="A3815">
        <f ca="1">31999.2464933467*((RANDBETWEEN(1587,2416)))</f>
        <v>70334343.792376086</v>
      </c>
      <c r="B3815">
        <v>243322948.31529877</v>
      </c>
    </row>
    <row r="3816" spans="1:2" x14ac:dyDescent="0.25">
      <c r="A3816">
        <f ca="1">29541.4917574771*((RANDBETWEEN(1587,2416)))</f>
        <v>63957329.654937908</v>
      </c>
      <c r="B3816">
        <v>217298989.8787941</v>
      </c>
    </row>
    <row r="3817" spans="1:2" x14ac:dyDescent="0.25">
      <c r="A3817">
        <f ca="1">26456.2617341513*((RANDBETWEEN(1587,2416)))</f>
        <v>57806931.889120668</v>
      </c>
      <c r="B3817">
        <v>240626777.99976116</v>
      </c>
    </row>
    <row r="3818" spans="1:2" x14ac:dyDescent="0.25">
      <c r="A3818">
        <f ca="1">31063.6044100498*((RANDBETWEEN(1587,2416)))</f>
        <v>70048427.944662228</v>
      </c>
      <c r="B3818">
        <v>257394692.08320308</v>
      </c>
    </row>
    <row r="3819" spans="1:2" x14ac:dyDescent="0.25">
      <c r="A3819">
        <f ca="1">31491.5778617192*((RANDBETWEEN(1587,2416)))</f>
        <v>60589795.805947818</v>
      </c>
      <c r="B3819">
        <v>221204438.78198805</v>
      </c>
    </row>
    <row r="3820" spans="1:2" x14ac:dyDescent="0.25">
      <c r="A3820">
        <f ca="1">29332.6085170867*((RANDBETWEEN(1587,2416)))</f>
        <v>61745140.928467505</v>
      </c>
      <c r="B3820">
        <v>242008828.80910552</v>
      </c>
    </row>
    <row r="3821" spans="1:2" x14ac:dyDescent="0.25">
      <c r="A3821">
        <f ca="1">30634.9263282073*((RANDBETWEEN(1587,2416)))</f>
        <v>51527946.08404465</v>
      </c>
      <c r="B3821">
        <v>225433347.04007322</v>
      </c>
    </row>
    <row r="3822" spans="1:2" x14ac:dyDescent="0.25">
      <c r="A3822">
        <f ca="1">29297.5461969326*((RANDBETWEEN(1587,2416)))</f>
        <v>64923362.372402601</v>
      </c>
      <c r="B3822">
        <v>231625302.64167559</v>
      </c>
    </row>
    <row r="3823" spans="1:2" x14ac:dyDescent="0.25">
      <c r="A3823">
        <f ca="1">26339.6333937818*((RANDBETWEEN(1587,2416)))</f>
        <v>58473986.134195611</v>
      </c>
      <c r="B3823">
        <v>205483526.31585866</v>
      </c>
    </row>
    <row r="3824" spans="1:2" x14ac:dyDescent="0.25">
      <c r="A3824">
        <f ca="1">32992.4898487429*((RANDBETWEEN(1587,2416)))</f>
        <v>66710814.474158101</v>
      </c>
      <c r="B3824">
        <v>239238162.06531543</v>
      </c>
    </row>
    <row r="3825" spans="1:2" x14ac:dyDescent="0.25">
      <c r="A3825">
        <f ca="1">26263.7418194439*((RANDBETWEEN(1587,2416)))</f>
        <v>44674624.834874153</v>
      </c>
      <c r="B3825">
        <v>231256448.84381312</v>
      </c>
    </row>
    <row r="3826" spans="1:2" x14ac:dyDescent="0.25">
      <c r="A3826">
        <f ca="1">27597.2928695905*((RANDBETWEEN(1587,2416)))</f>
        <v>53538748.167005599</v>
      </c>
      <c r="B3826">
        <v>262241167.38127515</v>
      </c>
    </row>
    <row r="3827" spans="1:2" x14ac:dyDescent="0.25">
      <c r="A3827">
        <f ca="1">31014.8933899452*((RANDBETWEEN(1587,2416)))</f>
        <v>74559803.709428191</v>
      </c>
      <c r="B3827">
        <v>264626337.00526825</v>
      </c>
    </row>
    <row r="3828" spans="1:2" x14ac:dyDescent="0.25">
      <c r="A3828">
        <f ca="1">28548.9228974461*((RANDBETWEEN(1587,2416)))</f>
        <v>66661734.965536557</v>
      </c>
      <c r="B3828">
        <v>239212285.31779289</v>
      </c>
    </row>
    <row r="3829" spans="1:2" x14ac:dyDescent="0.25">
      <c r="A3829">
        <f ca="1">26949.5937301024*((RANDBETWEEN(1587,2416)))</f>
        <v>59531652.549796216</v>
      </c>
      <c r="B3829">
        <v>250770145.24105635</v>
      </c>
    </row>
    <row r="3830" spans="1:2" x14ac:dyDescent="0.25">
      <c r="A3830">
        <f ca="1">29684.2401292604*((RANDBETWEEN(1587,2416)))</f>
        <v>61743219.468861684</v>
      </c>
      <c r="B3830">
        <v>206725310.6728254</v>
      </c>
    </row>
    <row r="3831" spans="1:2" x14ac:dyDescent="0.25">
      <c r="A3831">
        <f ca="1">27128.8718998775*((RANDBETWEEN(1587,2416)))</f>
        <v>61229863.878023595</v>
      </c>
      <c r="B3831">
        <v>238044974.44670334</v>
      </c>
    </row>
    <row r="3832" spans="1:2" x14ac:dyDescent="0.25">
      <c r="A3832">
        <f ca="1">30719.5738310984*((RANDBETWEEN(1587,2416)))</f>
        <v>52346153.808191754</v>
      </c>
      <c r="B3832">
        <v>235020563.63845152</v>
      </c>
    </row>
    <row r="3833" spans="1:2" x14ac:dyDescent="0.25">
      <c r="A3833">
        <f ca="1">29285.8622258077*((RANDBETWEEN(1587,2416)))</f>
        <v>56345998.922454029</v>
      </c>
      <c r="B3833">
        <v>251214620.2362448</v>
      </c>
    </row>
    <row r="3834" spans="1:2" x14ac:dyDescent="0.25">
      <c r="A3834">
        <f ca="1">26249.624909285*((RANDBETWEEN(1587,2416)))</f>
        <v>44860608.969968095</v>
      </c>
      <c r="B3834">
        <v>253134357.20485753</v>
      </c>
    </row>
    <row r="3835" spans="1:2" x14ac:dyDescent="0.25">
      <c r="A3835">
        <f ca="1">30723.3375028936*((RANDBETWEEN(1587,2416)))</f>
        <v>56561664.342827104</v>
      </c>
      <c r="B3835">
        <v>262639568.47064584</v>
      </c>
    </row>
    <row r="3836" spans="1:2" x14ac:dyDescent="0.25">
      <c r="A3836">
        <f ca="1">30037.2354282302*((RANDBETWEEN(1587,2416)))</f>
        <v>61756556.040441319</v>
      </c>
      <c r="B3836">
        <v>210845346.98818362</v>
      </c>
    </row>
    <row r="3837" spans="1:2" x14ac:dyDescent="0.25">
      <c r="A3837">
        <f ca="1">27857.1914712803*((RANDBETWEEN(1587,2416)))</f>
        <v>44404363.205220878</v>
      </c>
      <c r="B3837">
        <v>228504473.32595482</v>
      </c>
    </row>
    <row r="3838" spans="1:2" x14ac:dyDescent="0.25">
      <c r="A3838">
        <f ca="1">27208.4706278153*((RANDBETWEEN(1587,2416)))</f>
        <v>63695029.739715703</v>
      </c>
      <c r="B3838">
        <v>222372756.25473496</v>
      </c>
    </row>
    <row r="3839" spans="1:2" x14ac:dyDescent="0.25">
      <c r="A3839">
        <f ca="1">27394.9074066381*((RANDBETWEEN(1587,2416)))</f>
        <v>58679891.665018834</v>
      </c>
      <c r="B3839">
        <v>241015806.02333081</v>
      </c>
    </row>
    <row r="3840" spans="1:2" x14ac:dyDescent="0.25">
      <c r="A3840">
        <f ca="1">27925.7958352013*((RANDBETWEEN(1587,2416)))</f>
        <v>63698740.30009415</v>
      </c>
      <c r="B3840">
        <v>263059299.98916608</v>
      </c>
    </row>
    <row r="3841" spans="1:2" x14ac:dyDescent="0.25">
      <c r="A3841">
        <f ca="1">26981.95952911*((RANDBETWEEN(1587,2416)))</f>
        <v>63947244.083990738</v>
      </c>
      <c r="B3841">
        <v>235624281.52800184</v>
      </c>
    </row>
    <row r="3842" spans="1:2" x14ac:dyDescent="0.25">
      <c r="A3842">
        <f ca="1">29563.2989559604*((RANDBETWEEN(1587,2416)))</f>
        <v>58860528.221317083</v>
      </c>
      <c r="B3842">
        <v>212064936.66476402</v>
      </c>
    </row>
    <row r="3843" spans="1:2" x14ac:dyDescent="0.25">
      <c r="A3843">
        <f ca="1">29715.0366931891*((RANDBETWEEN(1587,2416)))</f>
        <v>53576211.157819949</v>
      </c>
      <c r="B3843">
        <v>216192579.88545406</v>
      </c>
    </row>
    <row r="3844" spans="1:2" x14ac:dyDescent="0.25">
      <c r="A3844">
        <f ca="1">27246.373852454*((RANDBETWEEN(1587,2416)))</f>
        <v>46782023.9046636</v>
      </c>
      <c r="B3844">
        <v>205772678.95853809</v>
      </c>
    </row>
    <row r="3845" spans="1:2" x14ac:dyDescent="0.25">
      <c r="A3845">
        <f ca="1">26713.0685327937*((RANDBETWEEN(1587,2416)))</f>
        <v>49819872.813660249</v>
      </c>
      <c r="B3845">
        <v>235092295.9317942</v>
      </c>
    </row>
    <row r="3846" spans="1:2" x14ac:dyDescent="0.25">
      <c r="A3846">
        <f ca="1">29844.0994132489*((RANDBETWEEN(1587,2416)))</f>
        <v>59718042.925911076</v>
      </c>
      <c r="B3846">
        <v>258327121.89041075</v>
      </c>
    </row>
    <row r="3847" spans="1:2" x14ac:dyDescent="0.25">
      <c r="A3847">
        <f ca="1">29433.6431652075*((RANDBETWEEN(1587,2416)))</f>
        <v>65754758.831073582</v>
      </c>
      <c r="B3847">
        <v>259693911.72995889</v>
      </c>
    </row>
    <row r="3848" spans="1:2" x14ac:dyDescent="0.25">
      <c r="A3848">
        <f ca="1">28926.3787357654*((RANDBETWEEN(1587,2416)))</f>
        <v>62914873.750289746</v>
      </c>
      <c r="B3848">
        <v>253358970.93546972</v>
      </c>
    </row>
    <row r="3849" spans="1:2" x14ac:dyDescent="0.25">
      <c r="A3849">
        <f ca="1">26548.9219343391*((RANDBETWEEN(1587,2416)))</f>
        <v>61062520.448979959</v>
      </c>
      <c r="B3849">
        <v>255151418.8951045</v>
      </c>
    </row>
    <row r="3850" spans="1:2" x14ac:dyDescent="0.25">
      <c r="A3850">
        <f ca="1">30547.8254556537*((RANDBETWEEN(1587,2416)))</f>
        <v>49640216.365437187</v>
      </c>
      <c r="B3850">
        <v>255262199.81946108</v>
      </c>
    </row>
    <row r="3851" spans="1:2" x14ac:dyDescent="0.25">
      <c r="A3851">
        <f ca="1">30824.6254872201*((RANDBETWEEN(1587,2416)))</f>
        <v>65070784.40352162</v>
      </c>
      <c r="B3851">
        <v>249153232.74850705</v>
      </c>
    </row>
    <row r="3852" spans="1:2" x14ac:dyDescent="0.25">
      <c r="A3852">
        <f ca="1">25341.8379976112*((RANDBETWEEN(1587,2416)))</f>
        <v>50430257.615246281</v>
      </c>
      <c r="B3852">
        <v>204721728.64301139</v>
      </c>
    </row>
    <row r="3853" spans="1:2" x14ac:dyDescent="0.25">
      <c r="A3853">
        <f ca="1">30838.8078886218*((RANDBETWEEN(1587,2416)))</f>
        <v>71330162.646382242</v>
      </c>
      <c r="B3853">
        <v>259198063.24899468</v>
      </c>
    </row>
    <row r="3854" spans="1:2" x14ac:dyDescent="0.25">
      <c r="A3854">
        <f ca="1">32909.347014136*((RANDBETWEEN(1587,2416)))</f>
        <v>61375932.18136356</v>
      </c>
      <c r="B3854">
        <v>239351303.11330709</v>
      </c>
    </row>
    <row r="3855" spans="1:2" x14ac:dyDescent="0.25">
      <c r="A3855">
        <f ca="1">31171.0999918354*((RANDBETWEEN(1587,2416)))</f>
        <v>64181294.883189023</v>
      </c>
      <c r="B3855">
        <v>231966549.48910075</v>
      </c>
    </row>
    <row r="3856" spans="1:2" x14ac:dyDescent="0.25">
      <c r="A3856">
        <f ca="1">30741.8599545813*((RANDBETWEEN(1587,2416)))</f>
        <v>56011668.8372472</v>
      </c>
      <c r="B3856">
        <v>264113709.90320408</v>
      </c>
    </row>
    <row r="3857" spans="1:2" x14ac:dyDescent="0.25">
      <c r="A3857">
        <f ca="1">26395.4028973635*((RANDBETWEEN(1587,2416)))</f>
        <v>50336033.325272121</v>
      </c>
      <c r="B3857">
        <v>212949923.50960428</v>
      </c>
    </row>
    <row r="3858" spans="1:2" x14ac:dyDescent="0.25">
      <c r="A3858">
        <f ca="1">32813.509518529*((RANDBETWEEN(1587,2416)))</f>
        <v>56898625.505129233</v>
      </c>
      <c r="B3858">
        <v>213490078.31008664</v>
      </c>
    </row>
    <row r="3859" spans="1:2" x14ac:dyDescent="0.25">
      <c r="A3859">
        <f ca="1">28495.4686332913*((RANDBETWEEN(1587,2416)))</f>
        <v>55737136.646717869</v>
      </c>
      <c r="B3859">
        <v>209241827.34008771</v>
      </c>
    </row>
    <row r="3860" spans="1:2" x14ac:dyDescent="0.25">
      <c r="A3860">
        <f ca="1">31133.7898819822*((RANDBETWEEN(1587,2416)))</f>
        <v>65163022.22298865</v>
      </c>
      <c r="B3860">
        <v>264769090.27125713</v>
      </c>
    </row>
    <row r="3861" spans="1:2" x14ac:dyDescent="0.25">
      <c r="A3861">
        <f ca="1">27545.9544202621*((RANDBETWEEN(1587,2416)))</f>
        <v>64925814.568557806</v>
      </c>
      <c r="B3861">
        <v>221750120.60226479</v>
      </c>
    </row>
    <row r="3862" spans="1:2" x14ac:dyDescent="0.25">
      <c r="A3862">
        <f ca="1">31199.6183632104*((RANDBETWEEN(1587,2416)))</f>
        <v>51541769.536023617</v>
      </c>
      <c r="B3862">
        <v>253359786.29312199</v>
      </c>
    </row>
    <row r="3863" spans="1:2" x14ac:dyDescent="0.25">
      <c r="A3863">
        <f ca="1">32267.1998330507*((RANDBETWEEN(1587,2416)))</f>
        <v>58242295.698656484</v>
      </c>
      <c r="B3863">
        <v>234028833.31220144</v>
      </c>
    </row>
    <row r="3864" spans="1:2" x14ac:dyDescent="0.25">
      <c r="A3864">
        <f ca="1">28763.6753723406*((RANDBETWEEN(1587,2416)))</f>
        <v>67738455.501862109</v>
      </c>
      <c r="B3864">
        <v>237683016.23598084</v>
      </c>
    </row>
    <row r="3865" spans="1:2" x14ac:dyDescent="0.25">
      <c r="A3865">
        <f ca="1">34754.6689878587*((RANDBETWEEN(1587,2416)))</f>
        <v>70760506.059280366</v>
      </c>
      <c r="B3865">
        <v>225245654.68075216</v>
      </c>
    </row>
    <row r="3866" spans="1:2" x14ac:dyDescent="0.25">
      <c r="A3866">
        <f ca="1">29505.1417976988*((RANDBETWEEN(1587,2416)))</f>
        <v>66091517.626845248</v>
      </c>
      <c r="B3866">
        <v>223050976.98584694</v>
      </c>
    </row>
    <row r="3867" spans="1:2" x14ac:dyDescent="0.25">
      <c r="A3867">
        <f ca="1">33819.8765439215*((RANDBETWEEN(1587,2416)))</f>
        <v>65170902.100136645</v>
      </c>
      <c r="B3867">
        <v>231871453.78299987</v>
      </c>
    </row>
    <row r="3868" spans="1:2" x14ac:dyDescent="0.25">
      <c r="A3868">
        <f ca="1">32296.7313653574*((RANDBETWEEN(1587,2416)))</f>
        <v>72441568.452496663</v>
      </c>
      <c r="B3868">
        <v>257304204.5586136</v>
      </c>
    </row>
    <row r="3869" spans="1:2" x14ac:dyDescent="0.25">
      <c r="A3869">
        <f ca="1">31122.1838039962*((RANDBETWEEN(1587,2416)))</f>
        <v>54899532.230249278</v>
      </c>
      <c r="B3869">
        <v>222520670.39020115</v>
      </c>
    </row>
    <row r="3870" spans="1:2" x14ac:dyDescent="0.25">
      <c r="A3870">
        <f ca="1">29245.4898137783*((RANDBETWEEN(1587,2416)))</f>
        <v>68346709.694799975</v>
      </c>
      <c r="B3870">
        <v>248379698.36345726</v>
      </c>
    </row>
    <row r="3871" spans="1:2" x14ac:dyDescent="0.25">
      <c r="A3871">
        <f ca="1">31484.232508126*((RANDBETWEEN(1587,2416)))</f>
        <v>65739077.476967148</v>
      </c>
      <c r="B3871">
        <v>222338913.93245858</v>
      </c>
    </row>
    <row r="3872" spans="1:2" x14ac:dyDescent="0.25">
      <c r="A3872">
        <f ca="1">28526.8500484733*((RANDBETWEEN(1587,2416)))</f>
        <v>49351450.583858758</v>
      </c>
      <c r="B3872">
        <v>256696607.3549642</v>
      </c>
    </row>
    <row r="3873" spans="1:2" x14ac:dyDescent="0.25">
      <c r="A3873">
        <f ca="1">31265.3037103354*((RANDBETWEEN(1587,2416)))</f>
        <v>62593138.028091535</v>
      </c>
      <c r="B3873">
        <v>236961840.39620852</v>
      </c>
    </row>
    <row r="3874" spans="1:2" x14ac:dyDescent="0.25">
      <c r="A3874">
        <f ca="1">27867.9767902259*((RANDBETWEEN(1587,2416)))</f>
        <v>53227835.669331409</v>
      </c>
      <c r="B3874">
        <v>220285329.58115306</v>
      </c>
    </row>
    <row r="3875" spans="1:2" x14ac:dyDescent="0.25">
      <c r="A3875">
        <f ca="1">29697.0918813336*((RANDBETWEEN(1587,2416)))</f>
        <v>71718476.893420547</v>
      </c>
      <c r="B3875">
        <v>250785241.388693</v>
      </c>
    </row>
    <row r="3876" spans="1:2" x14ac:dyDescent="0.25">
      <c r="A3876">
        <f ca="1">26568.3006593539*((RANDBETWEEN(1587,2416)))</f>
        <v>55527748.378049597</v>
      </c>
      <c r="B3876">
        <v>241169413.17987552</v>
      </c>
    </row>
    <row r="3877" spans="1:2" x14ac:dyDescent="0.25">
      <c r="A3877">
        <f ca="1">28278.1995949905*((RANDBETWEEN(1587,2416)))</f>
        <v>48638503.303383805</v>
      </c>
      <c r="B3877">
        <v>217907458.93949527</v>
      </c>
    </row>
    <row r="3878" spans="1:2" x14ac:dyDescent="0.25">
      <c r="A3878">
        <f ca="1">30420.5526116563*((RANDBETWEEN(1587,2416)))</f>
        <v>51106528.387582563</v>
      </c>
      <c r="B3878">
        <v>258095210.05885836</v>
      </c>
    </row>
    <row r="3879" spans="1:2" x14ac:dyDescent="0.25">
      <c r="A3879">
        <f ca="1">29728.5144857976*((RANDBETWEEN(1587,2416)))</f>
        <v>70099837.157510698</v>
      </c>
      <c r="B3879">
        <v>212870024.6546199</v>
      </c>
    </row>
    <row r="3880" spans="1:2" x14ac:dyDescent="0.25">
      <c r="A3880">
        <f ca="1">31352.4909620751*((RANDBETWEEN(1587,2416)))</f>
        <v>63143916.797619313</v>
      </c>
      <c r="B3880">
        <v>237944392.86164382</v>
      </c>
    </row>
    <row r="3881" spans="1:2" x14ac:dyDescent="0.25">
      <c r="A3881">
        <f ca="1">32001.4220750198*((RANDBETWEEN(1587,2416)))</f>
        <v>58434596.708986089</v>
      </c>
      <c r="B3881">
        <v>264679221.95465115</v>
      </c>
    </row>
    <row r="3882" spans="1:2" x14ac:dyDescent="0.25">
      <c r="A3882">
        <f ca="1">28956.6318666575*((RANDBETWEEN(1587,2416)))</f>
        <v>57565784.150915042</v>
      </c>
      <c r="B3882">
        <v>212008883.43992943</v>
      </c>
    </row>
    <row r="3883" spans="1:2" x14ac:dyDescent="0.25">
      <c r="A3883">
        <f ca="1">29187.1654260338*((RANDBETWEEN(1587,2416)))</f>
        <v>67218041.976155907</v>
      </c>
      <c r="B3883">
        <v>207203443.45614669</v>
      </c>
    </row>
    <row r="3884" spans="1:2" x14ac:dyDescent="0.25">
      <c r="A3884">
        <f ca="1">27476.9574443811*((RANDBETWEEN(1587,2416)))</f>
        <v>51052186.931660153</v>
      </c>
      <c r="B3884">
        <v>218837791.51527405</v>
      </c>
    </row>
    <row r="3885" spans="1:2" x14ac:dyDescent="0.25">
      <c r="A3885">
        <f ca="1">27076.1054318888*((RANDBETWEEN(1587,2416)))</f>
        <v>57211810.777581125</v>
      </c>
      <c r="B3885">
        <v>248174306.18397105</v>
      </c>
    </row>
    <row r="3886" spans="1:2" x14ac:dyDescent="0.25">
      <c r="A3886">
        <f ca="1">26890.3122243549*((RANDBETWEEN(1587,2416)))</f>
        <v>57975513.155709125</v>
      </c>
      <c r="B3886">
        <v>204504835.15533808</v>
      </c>
    </row>
    <row r="3887" spans="1:2" x14ac:dyDescent="0.25">
      <c r="A3887">
        <f ca="1">28005.2665446305*((RANDBETWEEN(1587,2416)))</f>
        <v>57522817.482671045</v>
      </c>
      <c r="B3887">
        <v>225673529.24564651</v>
      </c>
    </row>
    <row r="3888" spans="1:2" x14ac:dyDescent="0.25">
      <c r="A3888">
        <f ca="1">29687.2193476334*((RANDBETWEEN(1587,2416)))</f>
        <v>50022964.60076233</v>
      </c>
      <c r="B3888">
        <v>266373967.97424307</v>
      </c>
    </row>
    <row r="3889" spans="1:2" x14ac:dyDescent="0.25">
      <c r="A3889">
        <f ca="1">26533.7700678863*((RANDBETWEEN(1587,2416)))</f>
        <v>42109093.097735539</v>
      </c>
      <c r="B3889">
        <v>211344331.19408813</v>
      </c>
    </row>
    <row r="3890" spans="1:2" x14ac:dyDescent="0.25">
      <c r="A3890">
        <f ca="1">27661.7264222883*((RANDBETWEEN(1587,2416)))</f>
        <v>60911121.581878863</v>
      </c>
      <c r="B3890">
        <v>242059665.02241805</v>
      </c>
    </row>
    <row r="3891" spans="1:2" x14ac:dyDescent="0.25">
      <c r="A3891">
        <f ca="1">32394.6432455011*((RANDBETWEEN(1587,2416)))</f>
        <v>77066856.281047106</v>
      </c>
      <c r="B3891">
        <v>212545563.87655705</v>
      </c>
    </row>
    <row r="3892" spans="1:2" x14ac:dyDescent="0.25">
      <c r="A3892">
        <f ca="1">28061.0181183956*((RANDBETWEEN(1587,2416)))</f>
        <v>63586267.056284525</v>
      </c>
      <c r="B3892">
        <v>265649950.76112819</v>
      </c>
    </row>
    <row r="3893" spans="1:2" x14ac:dyDescent="0.25">
      <c r="A3893">
        <f ca="1">29265.4719663129*((RANDBETWEEN(1587,2416)))</f>
        <v>65174206.068978794</v>
      </c>
      <c r="B3893">
        <v>243393780.17113751</v>
      </c>
    </row>
    <row r="3894" spans="1:2" x14ac:dyDescent="0.25">
      <c r="A3894">
        <f ca="1">32534.0445669585*((RANDBETWEEN(1587,2416)))</f>
        <v>75056040.815973163</v>
      </c>
      <c r="B3894">
        <v>234916575.81771064</v>
      </c>
    </row>
    <row r="3895" spans="1:2" x14ac:dyDescent="0.25">
      <c r="A3895">
        <f ca="1">27989.7983158822*((RANDBETWEEN(1587,2416)))</f>
        <v>49457973.624163806</v>
      </c>
      <c r="B3895">
        <v>221518748.75441682</v>
      </c>
    </row>
    <row r="3896" spans="1:2" x14ac:dyDescent="0.25">
      <c r="A3896">
        <f ca="1">28361.7508197949*((RANDBETWEEN(1587,2416)))</f>
        <v>56695139.888770014</v>
      </c>
      <c r="B3896">
        <v>238398529.06063175</v>
      </c>
    </row>
    <row r="3897" spans="1:2" x14ac:dyDescent="0.25">
      <c r="A3897">
        <f ca="1">26904.5924989686*((RANDBETWEEN(1587,2416)))</f>
        <v>62983651.040085532</v>
      </c>
      <c r="B3897">
        <v>241417700.25683314</v>
      </c>
    </row>
    <row r="3898" spans="1:2" x14ac:dyDescent="0.25">
      <c r="A3898">
        <f ca="1">27905.8098040943*((RANDBETWEEN(1587,2416)))</f>
        <v>50704856.414039373</v>
      </c>
      <c r="B3898">
        <v>224637683.06159666</v>
      </c>
    </row>
    <row r="3899" spans="1:2" x14ac:dyDescent="0.25">
      <c r="A3899">
        <f ca="1">30563.5825605275*((RANDBETWEEN(1587,2416)))</f>
        <v>57306717.300988972</v>
      </c>
      <c r="B3899">
        <v>232470908.15574348</v>
      </c>
    </row>
    <row r="3900" spans="1:2" x14ac:dyDescent="0.25">
      <c r="A3900">
        <f ca="1">32319.1594566316*((RANDBETWEEN(1587,2416)))</f>
        <v>73138257.850357383</v>
      </c>
      <c r="B3900">
        <v>218367729.62177038</v>
      </c>
    </row>
    <row r="3901" spans="1:2" x14ac:dyDescent="0.25">
      <c r="A3901">
        <f ca="1">30257.7350643517*((RANDBETWEEN(1587,2416)))</f>
        <v>71499027.957063124</v>
      </c>
      <c r="B3901">
        <v>258823937.1843923</v>
      </c>
    </row>
    <row r="3902" spans="1:2" x14ac:dyDescent="0.25">
      <c r="A3902">
        <f ca="1">31158.6054815959*((RANDBETWEEN(1587,2416)))</f>
        <v>64435996.135940254</v>
      </c>
      <c r="B3902">
        <v>248607560.09243706</v>
      </c>
    </row>
    <row r="3903" spans="1:2" x14ac:dyDescent="0.25">
      <c r="A3903">
        <f ca="1">30658.9904084595*((RANDBETWEEN(1587,2416)))</f>
        <v>57424289.035044603</v>
      </c>
      <c r="B3903">
        <v>256770903.33015344</v>
      </c>
    </row>
    <row r="3904" spans="1:2" x14ac:dyDescent="0.25">
      <c r="A3904">
        <f ca="1">30132.911768729*((RANDBETWEEN(1587,2416)))</f>
        <v>51135551.271533102</v>
      </c>
      <c r="B3904">
        <v>231440808.94836512</v>
      </c>
    </row>
    <row r="3905" spans="1:2" x14ac:dyDescent="0.25">
      <c r="A3905">
        <f ca="1">27422.1981968941*((RANDBETWEEN(1587,2416)))</f>
        <v>48921201.583259106</v>
      </c>
      <c r="B3905">
        <v>254841016.69995794</v>
      </c>
    </row>
    <row r="3906" spans="1:2" x14ac:dyDescent="0.25">
      <c r="A3906">
        <f ca="1">32828.7854094684*((RANDBETWEEN(1587,2416)))</f>
        <v>61389828.715706021</v>
      </c>
      <c r="B3906">
        <v>266234332.69511592</v>
      </c>
    </row>
    <row r="3907" spans="1:2" x14ac:dyDescent="0.25">
      <c r="A3907">
        <f ca="1">32555.7044152869*((RANDBETWEEN(1587,2416)))</f>
        <v>64492850.446683399</v>
      </c>
      <c r="B3907">
        <v>266197566.66460034</v>
      </c>
    </row>
    <row r="3908" spans="1:2" x14ac:dyDescent="0.25">
      <c r="A3908">
        <f ca="1">32266.4524999093*((RANDBETWEEN(1587,2416)))</f>
        <v>61209460.392327853</v>
      </c>
      <c r="B3908">
        <v>239702444.81800523</v>
      </c>
    </row>
    <row r="3909" spans="1:2" x14ac:dyDescent="0.25">
      <c r="A3909">
        <f ca="1">33017.1037706263*((RANDBETWEEN(1587,2416)))</f>
        <v>77127954.408182919</v>
      </c>
      <c r="B3909">
        <v>209002526.63620993</v>
      </c>
    </row>
    <row r="3910" spans="1:2" x14ac:dyDescent="0.25">
      <c r="A3910">
        <f ca="1">27168.7601231072*((RANDBETWEEN(1587,2416)))</f>
        <v>55179751.810030721</v>
      </c>
      <c r="B3910">
        <v>213725987.27647191</v>
      </c>
    </row>
    <row r="3911" spans="1:2" x14ac:dyDescent="0.25">
      <c r="A3911">
        <f ca="1">29676.252276358*((RANDBETWEEN(1587,2416)))</f>
        <v>65436136.269369483</v>
      </c>
      <c r="B3911">
        <v>233760130.23060435</v>
      </c>
    </row>
    <row r="3912" spans="1:2" x14ac:dyDescent="0.25">
      <c r="A3912">
        <f ca="1">28226.3477035354*((RANDBETWEEN(1587,2416)))</f>
        <v>49029165.961041071</v>
      </c>
      <c r="B3912">
        <v>245785128.64023793</v>
      </c>
    </row>
    <row r="3913" spans="1:2" x14ac:dyDescent="0.25">
      <c r="A3913">
        <f ca="1">27354.6651586686*((RANDBETWEEN(1587,2416)))</f>
        <v>48363048.00052613</v>
      </c>
      <c r="B3913">
        <v>231629209.31124583</v>
      </c>
    </row>
    <row r="3914" spans="1:2" x14ac:dyDescent="0.25">
      <c r="A3914">
        <f ca="1">30305.8271254422*((RANDBETWEEN(1587,2416)))</f>
        <v>60732877.559386194</v>
      </c>
      <c r="B3914">
        <v>264535882.15415719</v>
      </c>
    </row>
    <row r="3915" spans="1:2" x14ac:dyDescent="0.25">
      <c r="A3915">
        <f ca="1">30814.0455403505*((RANDBETWEEN(1587,2416)))</f>
        <v>59008897.209771134</v>
      </c>
      <c r="B3915">
        <v>237286534.4202998</v>
      </c>
    </row>
    <row r="3916" spans="1:2" x14ac:dyDescent="0.25">
      <c r="A3916">
        <f ca="1">31999.6051509802*((RANDBETWEEN(1587,2416)))</f>
        <v>75903063.418124959</v>
      </c>
      <c r="B3916">
        <v>265961910.74828476</v>
      </c>
    </row>
    <row r="3917" spans="1:2" x14ac:dyDescent="0.25">
      <c r="A3917">
        <f ca="1">29230.7045125875*((RANDBETWEEN(1587,2416)))</f>
        <v>65769085.153321818</v>
      </c>
      <c r="B3917">
        <v>240803272.82966059</v>
      </c>
    </row>
    <row r="3918" spans="1:2" x14ac:dyDescent="0.25">
      <c r="A3918">
        <f ca="1">27562.1506862329*((RANDBETWEEN(1587,2416)))</f>
        <v>47765207.139241666</v>
      </c>
      <c r="B3918">
        <v>237173684.10827291</v>
      </c>
    </row>
    <row r="3919" spans="1:2" x14ac:dyDescent="0.25">
      <c r="A3919">
        <f ca="1">32785.2390881618*((RANDBETWEEN(1587,2416)))</f>
        <v>58390510.816016175</v>
      </c>
      <c r="B3919">
        <v>260048839.76360673</v>
      </c>
    </row>
    <row r="3920" spans="1:2" x14ac:dyDescent="0.25">
      <c r="A3920">
        <f ca="1">27619.1548033005*((RANDBETWEEN(1587,2416)))</f>
        <v>48416378.370185733</v>
      </c>
      <c r="B3920">
        <v>256009339.39850888</v>
      </c>
    </row>
    <row r="3921" spans="1:2" x14ac:dyDescent="0.25">
      <c r="A3921">
        <f ca="1">30334.1356152492*((RANDBETWEEN(1587,2416)))</f>
        <v>70860540.797222063</v>
      </c>
      <c r="B3921">
        <v>218463812.49283779</v>
      </c>
    </row>
    <row r="3922" spans="1:2" x14ac:dyDescent="0.25">
      <c r="A3922">
        <f ca="1">27348.4143645779*((RANDBETWEEN(1587,2416)))</f>
        <v>47750331.480553083</v>
      </c>
      <c r="B3922">
        <v>242917111.34760001</v>
      </c>
    </row>
    <row r="3923" spans="1:2" x14ac:dyDescent="0.25">
      <c r="A3923">
        <f ca="1">32636.0139935911*((RANDBETWEEN(1587,2416)))</f>
        <v>54012603.159393333</v>
      </c>
      <c r="B3923">
        <v>263181148.21619466</v>
      </c>
    </row>
    <row r="3924" spans="1:2" x14ac:dyDescent="0.25">
      <c r="A3924">
        <f ca="1">29540.6570485117*((RANDBETWEEN(1587,2416)))</f>
        <v>62242164.401214175</v>
      </c>
      <c r="B3924">
        <v>210108184.35004485</v>
      </c>
    </row>
    <row r="3925" spans="1:2" x14ac:dyDescent="0.25">
      <c r="A3925">
        <f ca="1">28159.7762096972*((RANDBETWEEN(1587,2416)))</f>
        <v>55333960.252054945</v>
      </c>
      <c r="B3925">
        <v>266667798.23952714</v>
      </c>
    </row>
    <row r="3926" spans="1:2" x14ac:dyDescent="0.25">
      <c r="A3926">
        <f ca="1">28673.2496970099*((RANDBETWEEN(1587,2416)))</f>
        <v>47941673.493400559</v>
      </c>
      <c r="B3926">
        <v>210155523.9748264</v>
      </c>
    </row>
    <row r="3927" spans="1:2" x14ac:dyDescent="0.25">
      <c r="A3927">
        <f ca="1">28361.6092500516*((RANDBETWEEN(1587,2416)))</f>
        <v>57432258.731354587</v>
      </c>
      <c r="B3927">
        <v>256561713.55849099</v>
      </c>
    </row>
    <row r="3928" spans="1:2" x14ac:dyDescent="0.25">
      <c r="A3928">
        <f ca="1">32968.5956032479*((RANDBETWEEN(1587,2416)))</f>
        <v>56870827.415602602</v>
      </c>
      <c r="B3928">
        <v>205568625.86750492</v>
      </c>
    </row>
    <row r="3929" spans="1:2" x14ac:dyDescent="0.25">
      <c r="A3929">
        <f ca="1">29678.9279030922*((RANDBETWEEN(1587,2416)))</f>
        <v>68380249.888724387</v>
      </c>
      <c r="B3929">
        <v>249650794.4871687</v>
      </c>
    </row>
    <row r="3930" spans="1:2" x14ac:dyDescent="0.25">
      <c r="A3930">
        <f ca="1">31450.9186339786*((RANDBETWEEN(1587,2416)))</f>
        <v>57586632.018814892</v>
      </c>
      <c r="B3930">
        <v>254617965.04735419</v>
      </c>
    </row>
    <row r="3931" spans="1:2" x14ac:dyDescent="0.25">
      <c r="A3931">
        <f ca="1">31800.2535986239*((RANDBETWEEN(1587,2416)))</f>
        <v>51421010.068974853</v>
      </c>
      <c r="B3931">
        <v>255461397.09867805</v>
      </c>
    </row>
    <row r="3932" spans="1:2" x14ac:dyDescent="0.25">
      <c r="A3932">
        <f ca="1">32950.936490534*((RANDBETWEEN(1587,2416)))</f>
        <v>57762991.667906024</v>
      </c>
      <c r="B3932">
        <v>213247659.92580867</v>
      </c>
    </row>
    <row r="3933" spans="1:2" x14ac:dyDescent="0.25">
      <c r="A3933">
        <f ca="1">31369.2549010389*((RANDBETWEEN(1587,2416)))</f>
        <v>66220497.096093163</v>
      </c>
      <c r="B3933">
        <v>244469252.52200389</v>
      </c>
    </row>
    <row r="3934" spans="1:2" x14ac:dyDescent="0.25">
      <c r="A3934">
        <f ca="1">32036.0990512005*((RANDBETWEEN(1587,2416)))</f>
        <v>54429332.287989661</v>
      </c>
      <c r="B3934">
        <v>243783797.3934117</v>
      </c>
    </row>
    <row r="3935" spans="1:2" x14ac:dyDescent="0.25">
      <c r="A3935">
        <f ca="1">27026.7414904716*((RANDBETWEEN(1587,2416)))</f>
        <v>47810305.696644343</v>
      </c>
      <c r="B3935">
        <v>248240200.74279493</v>
      </c>
    </row>
    <row r="3936" spans="1:2" x14ac:dyDescent="0.25">
      <c r="A3936">
        <f ca="1">30958.8734743691*((RANDBETWEEN(1587,2416)))</f>
        <v>55106794.784376919</v>
      </c>
      <c r="B3936">
        <v>227803976.73510897</v>
      </c>
    </row>
    <row r="3937" spans="1:2" x14ac:dyDescent="0.25">
      <c r="A3937">
        <f ca="1">30922.9868986963*((RANDBETWEEN(1587,2416)))</f>
        <v>73936861.674782842</v>
      </c>
      <c r="B3937">
        <v>234662216.95036745</v>
      </c>
    </row>
    <row r="3938" spans="1:2" x14ac:dyDescent="0.25">
      <c r="A3938">
        <f ca="1">28676.8857161559*((RANDBETWEEN(1587,2416)))</f>
        <v>63232533.004123792</v>
      </c>
      <c r="B3938">
        <v>206808733.46597683</v>
      </c>
    </row>
    <row r="3939" spans="1:2" x14ac:dyDescent="0.25">
      <c r="A3939">
        <f ca="1">28052.4725302573*((RANDBETWEEN(1587,2416)))</f>
        <v>48418567.587224141</v>
      </c>
      <c r="B3939">
        <v>207180410.60958084</v>
      </c>
    </row>
    <row r="3940" spans="1:2" x14ac:dyDescent="0.25">
      <c r="A3940">
        <f ca="1">31107.8159009145*((RANDBETWEEN(1587,2416)))</f>
        <v>54780863.801510513</v>
      </c>
      <c r="B3940">
        <v>228876917.1647051</v>
      </c>
    </row>
    <row r="3941" spans="1:2" x14ac:dyDescent="0.25">
      <c r="A3941">
        <f ca="1">28602.9279807417*((RANDBETWEEN(1587,2416)))</f>
        <v>46651375.536589757</v>
      </c>
      <c r="B3941">
        <v>252353674.02098805</v>
      </c>
    </row>
    <row r="3942" spans="1:2" x14ac:dyDescent="0.25">
      <c r="A3942">
        <f ca="1">31319.0141022122*((RANDBETWEEN(1587,2416)))</f>
        <v>58002814.117297053</v>
      </c>
      <c r="B3942">
        <v>252762022.38044843</v>
      </c>
    </row>
    <row r="3943" spans="1:2" x14ac:dyDescent="0.25">
      <c r="A3943">
        <f ca="1">27917.7736484712*((RANDBETWEEN(1587,2416)))</f>
        <v>54383823.067221895</v>
      </c>
      <c r="B3943">
        <v>210663054.64892757</v>
      </c>
    </row>
    <row r="3944" spans="1:2" x14ac:dyDescent="0.25">
      <c r="A3944">
        <f ca="1">29083.0316363561*((RANDBETWEEN(1587,2416)))</f>
        <v>67996127.965800613</v>
      </c>
      <c r="B3944">
        <v>231489924.81889352</v>
      </c>
    </row>
    <row r="3945" spans="1:2" x14ac:dyDescent="0.25">
      <c r="A3945">
        <f ca="1">29198.476579623*((RANDBETWEEN(1587,2416)))</f>
        <v>67594473.281827345</v>
      </c>
      <c r="B3945">
        <v>249875148.54940557</v>
      </c>
    </row>
    <row r="3946" spans="1:2" x14ac:dyDescent="0.25">
      <c r="A3946">
        <f ca="1">32915.963400385*((RANDBETWEEN(1587,2416)))</f>
        <v>65009027.715760402</v>
      </c>
      <c r="B3946">
        <v>230247374.93112651</v>
      </c>
    </row>
    <row r="3947" spans="1:2" x14ac:dyDescent="0.25">
      <c r="A3947">
        <f ca="1">29557.3678368436*((RANDBETWEEN(1587,2416)))</f>
        <v>63814357.159745343</v>
      </c>
      <c r="B3947">
        <v>240071242.22700739</v>
      </c>
    </row>
    <row r="3948" spans="1:2" x14ac:dyDescent="0.25">
      <c r="A3948">
        <f ca="1">32334.0514893913*((RANDBETWEEN(1587,2416)))</f>
        <v>64700437.030271955</v>
      </c>
      <c r="B3948">
        <v>237229696.41159144</v>
      </c>
    </row>
    <row r="3949" spans="1:2" x14ac:dyDescent="0.25">
      <c r="A3949">
        <f ca="1">28119.5819073334*((RANDBETWEEN(1587,2416)))</f>
        <v>52414900.675269537</v>
      </c>
      <c r="B3949">
        <v>261691035.03654841</v>
      </c>
    </row>
    <row r="3950" spans="1:2" x14ac:dyDescent="0.25">
      <c r="A3950">
        <f ca="1">33682.0438819529*((RANDBETWEEN(1587,2416)))</f>
        <v>67801954.33437115</v>
      </c>
      <c r="B3950">
        <v>264003282.30219567</v>
      </c>
    </row>
    <row r="3951" spans="1:2" x14ac:dyDescent="0.25">
      <c r="A3951">
        <f ca="1">29621.6360860725*((RANDBETWEEN(1587,2416)))</f>
        <v>62679381.958129331</v>
      </c>
      <c r="B3951">
        <v>225319433.47946209</v>
      </c>
    </row>
    <row r="3952" spans="1:2" x14ac:dyDescent="0.25">
      <c r="A3952">
        <f ca="1">29395.7656534558*((RANDBETWEEN(1587,2416)))</f>
        <v>57527513.383812942</v>
      </c>
      <c r="B3952">
        <v>251724122.02196497</v>
      </c>
    </row>
    <row r="3953" spans="1:2" x14ac:dyDescent="0.25">
      <c r="A3953">
        <f ca="1">27779.6895019586*((RANDBETWEEN(1587,2416)))</f>
        <v>66532356.3571909</v>
      </c>
      <c r="B3953">
        <v>213809112.77267855</v>
      </c>
    </row>
    <row r="3954" spans="1:2" x14ac:dyDescent="0.25">
      <c r="A3954">
        <f ca="1">27140.7266641205*((RANDBETWEEN(1587,2416)))</f>
        <v>65219166.173881672</v>
      </c>
      <c r="B3954">
        <v>254832892.48361114</v>
      </c>
    </row>
    <row r="3955" spans="1:2" x14ac:dyDescent="0.25">
      <c r="A3955">
        <f ca="1">27270.410660418*((RANDBETWEEN(1587,2416)))</f>
        <v>58058704.296029903</v>
      </c>
      <c r="B3955">
        <v>207459777.05120891</v>
      </c>
    </row>
    <row r="3956" spans="1:2" x14ac:dyDescent="0.25">
      <c r="A3956">
        <f ca="1">27012.2592512909*((RANDBETWEEN(1587,2416)))</f>
        <v>62749478.240748733</v>
      </c>
      <c r="B3956">
        <v>226436712.23752353</v>
      </c>
    </row>
    <row r="3957" spans="1:2" x14ac:dyDescent="0.25">
      <c r="A3957">
        <f ca="1">29599.6908171678*((RANDBETWEEN(1587,2416)))</f>
        <v>68760081.768280894</v>
      </c>
      <c r="B3957">
        <v>242047371.87494797</v>
      </c>
    </row>
    <row r="3958" spans="1:2" x14ac:dyDescent="0.25">
      <c r="A3958">
        <f ca="1">29996.1884829277*((RANDBETWEEN(1587,2416)))</f>
        <v>55762914.389762618</v>
      </c>
      <c r="B3958">
        <v>227572840.30198732</v>
      </c>
    </row>
    <row r="3959" spans="1:2" x14ac:dyDescent="0.25">
      <c r="A3959">
        <f ca="1">31493.1632670445*((RANDBETWEEN(1587,2416)))</f>
        <v>65978177.044458263</v>
      </c>
      <c r="B3959">
        <v>207854757.95281726</v>
      </c>
    </row>
    <row r="3960" spans="1:2" x14ac:dyDescent="0.25">
      <c r="A3960">
        <f ca="1">26105.9743598616*((RANDBETWEEN(1587,2416)))</f>
        <v>45267759.540000036</v>
      </c>
      <c r="B3960">
        <v>219378047.46449134</v>
      </c>
    </row>
    <row r="3961" spans="1:2" x14ac:dyDescent="0.25">
      <c r="A3961">
        <f ca="1">33814.0727725804*((RANDBETWEEN(1587,2416)))</f>
        <v>54203958.654446363</v>
      </c>
      <c r="B3961">
        <v>240490014.44040197</v>
      </c>
    </row>
    <row r="3962" spans="1:2" x14ac:dyDescent="0.25">
      <c r="A3962">
        <f ca="1">33957.4351649605*((RANDBETWEEN(1587,2416)))</f>
        <v>74876144.538737953</v>
      </c>
      <c r="B3962">
        <v>266601478.4155159</v>
      </c>
    </row>
    <row r="3963" spans="1:2" x14ac:dyDescent="0.25">
      <c r="A3963">
        <f ca="1">29366.8974453167*((RANDBETWEEN(1587,2416)))</f>
        <v>48983984.938788235</v>
      </c>
      <c r="B3963">
        <v>260024268.23292509</v>
      </c>
    </row>
    <row r="3964" spans="1:2" x14ac:dyDescent="0.25">
      <c r="A3964">
        <f ca="1">27035.2657372319*((RANDBETWEEN(1587,2416)))</f>
        <v>54800483.649369121</v>
      </c>
      <c r="B3964">
        <v>216265517.42445898</v>
      </c>
    </row>
    <row r="3965" spans="1:2" x14ac:dyDescent="0.25">
      <c r="A3965">
        <f ca="1">29032.2882724887*((RANDBETWEEN(1587,2416)))</f>
        <v>57745221.373980045</v>
      </c>
      <c r="B3965">
        <v>205178488.26749384</v>
      </c>
    </row>
    <row r="3966" spans="1:2" x14ac:dyDescent="0.25">
      <c r="A3966">
        <f ca="1">29115.2933345465*((RANDBETWEEN(1587,2416)))</f>
        <v>47487043.428645261</v>
      </c>
      <c r="B3966">
        <v>228251090.92790717</v>
      </c>
    </row>
    <row r="3967" spans="1:2" x14ac:dyDescent="0.25">
      <c r="A3967">
        <f ca="1">28798.5050394446*((RANDBETWEEN(1587,2416)))</f>
        <v>56848248.947863683</v>
      </c>
      <c r="B3967">
        <v>252708206.77306491</v>
      </c>
    </row>
    <row r="3968" spans="1:2" x14ac:dyDescent="0.25">
      <c r="A3968">
        <f ca="1">30070.3788555376*((RANDBETWEEN(1587,2416)))</f>
        <v>50668588.371580906</v>
      </c>
      <c r="B3968">
        <v>247541404.68310583</v>
      </c>
    </row>
    <row r="3969" spans="1:2" x14ac:dyDescent="0.25">
      <c r="A3969">
        <f ca="1">31458.7220335748*((RANDBETWEEN(1587,2416)))</f>
        <v>74745923.551773682</v>
      </c>
      <c r="B3969">
        <v>262808875.23293057</v>
      </c>
    </row>
    <row r="3970" spans="1:2" x14ac:dyDescent="0.25">
      <c r="A3970">
        <f ca="1">33569.01654711*((RANDBETWEEN(1587,2416)))</f>
        <v>53475443.359546155</v>
      </c>
      <c r="B3970">
        <v>241863771.27101514</v>
      </c>
    </row>
    <row r="3971" spans="1:2" x14ac:dyDescent="0.25">
      <c r="A3971">
        <f ca="1">27289.8708741491*((RANDBETWEEN(1587,2416)))</f>
        <v>57008540.256097563</v>
      </c>
      <c r="B3971">
        <v>232267978.89864829</v>
      </c>
    </row>
    <row r="3972" spans="1:2" x14ac:dyDescent="0.25">
      <c r="A3972">
        <f ca="1">28772.7462246392*((RANDBETWEEN(1587,2416)))</f>
        <v>54610672.334365144</v>
      </c>
      <c r="B3972">
        <v>235332186.14253259</v>
      </c>
    </row>
    <row r="3973" spans="1:2" x14ac:dyDescent="0.25">
      <c r="A3973">
        <f ca="1">26011.1951983823*((RANDBETWEEN(1587,2416)))</f>
        <v>44765266.936415911</v>
      </c>
      <c r="B3973">
        <v>213116196.44779855</v>
      </c>
    </row>
    <row r="3974" spans="1:2" x14ac:dyDescent="0.25">
      <c r="A3974">
        <f ca="1">31931.196349042*((RANDBETWEEN(1587,2416)))</f>
        <v>55145176.094795555</v>
      </c>
      <c r="B3974">
        <v>237835050.96090475</v>
      </c>
    </row>
    <row r="3975" spans="1:2" x14ac:dyDescent="0.25">
      <c r="A3975">
        <f ca="1">27359.3440888035*((RANDBETWEEN(1587,2416)))</f>
        <v>62297226.490205504</v>
      </c>
      <c r="B3975">
        <v>223155708.95248106</v>
      </c>
    </row>
    <row r="3976" spans="1:2" x14ac:dyDescent="0.25">
      <c r="A3976">
        <f ca="1">33929.0711778541*((RANDBETWEEN(1587,2416)))</f>
        <v>61174115.333671011</v>
      </c>
      <c r="B3976">
        <v>223581947.07222703</v>
      </c>
    </row>
    <row r="3977" spans="1:2" x14ac:dyDescent="0.25">
      <c r="A3977">
        <f ca="1">31758.1044933083*((RANDBETWEEN(1587,2416)))</f>
        <v>71328702.691970438</v>
      </c>
      <c r="B3977">
        <v>247299384.85040307</v>
      </c>
    </row>
    <row r="3978" spans="1:2" x14ac:dyDescent="0.25">
      <c r="A3978">
        <f ca="1">33328.060157738*((RANDBETWEEN(1587,2416)))</f>
        <v>57357591.531467162</v>
      </c>
      <c r="B3978">
        <v>241936091.15723071</v>
      </c>
    </row>
    <row r="3979" spans="1:2" x14ac:dyDescent="0.25">
      <c r="A3979">
        <f ca="1">29734.531160705*((RANDBETWEEN(1587,2416)))</f>
        <v>61163930.597570233</v>
      </c>
      <c r="B3979">
        <v>210282471.88581514</v>
      </c>
    </row>
    <row r="3980" spans="1:2" x14ac:dyDescent="0.25">
      <c r="A3980">
        <f ca="1">32624.0596402827*((RANDBETWEEN(1587,2416)))</f>
        <v>73077893.59423317</v>
      </c>
      <c r="B3980">
        <v>231732327.6681473</v>
      </c>
    </row>
    <row r="3981" spans="1:2" x14ac:dyDescent="0.25">
      <c r="A3981">
        <f ca="1">31378.7983769564*((RANDBETWEEN(1587,2416)))</f>
        <v>71480902.702706605</v>
      </c>
      <c r="B3981">
        <v>238057004.78134558</v>
      </c>
    </row>
    <row r="3982" spans="1:2" x14ac:dyDescent="0.25">
      <c r="A3982">
        <f ca="1">29603.2897965934*((RANDBETWEEN(1587,2416)))</f>
        <v>53611557.821630597</v>
      </c>
      <c r="B3982">
        <v>221456984.04759955</v>
      </c>
    </row>
    <row r="3983" spans="1:2" x14ac:dyDescent="0.25">
      <c r="A3983">
        <f ca="1">31437.0628930238*((RANDBETWEEN(1587,2416)))</f>
        <v>51148101.326949775</v>
      </c>
      <c r="B3983">
        <v>221491967.06308782</v>
      </c>
    </row>
    <row r="3984" spans="1:2" x14ac:dyDescent="0.25">
      <c r="A3984">
        <f ca="1">30120.5080928102*((RANDBETWEEN(1587,2416)))</f>
        <v>51204863.757777378</v>
      </c>
      <c r="B3984">
        <v>253102298.08517471</v>
      </c>
    </row>
    <row r="3985" spans="1:2" x14ac:dyDescent="0.25">
      <c r="A3985">
        <f ca="1">28831.5782012768*((RANDBETWEEN(1587,2416)))</f>
        <v>54981819.629834808</v>
      </c>
      <c r="B3985">
        <v>263503388.96323118</v>
      </c>
    </row>
    <row r="3986" spans="1:2" x14ac:dyDescent="0.25">
      <c r="A3986">
        <f ca="1">28127.5783130541*((RANDBETWEEN(1587,2416)))</f>
        <v>51135937.373132288</v>
      </c>
      <c r="B3986">
        <v>216369278.99908161</v>
      </c>
    </row>
    <row r="3987" spans="1:2" x14ac:dyDescent="0.25">
      <c r="A3987">
        <f ca="1">31263.4674026517*((RANDBETWEEN(1587,2416)))</f>
        <v>62026719.326861061</v>
      </c>
      <c r="B3987">
        <v>228312363.93970042</v>
      </c>
    </row>
    <row r="3988" spans="1:2" x14ac:dyDescent="0.25">
      <c r="A3988">
        <f ca="1">31259.0063863533*((RANDBETWEEN(1587,2416)))</f>
        <v>64080963.092024334</v>
      </c>
      <c r="B3988">
        <v>244289473.27630299</v>
      </c>
    </row>
    <row r="3989" spans="1:2" x14ac:dyDescent="0.25">
      <c r="A3989">
        <f ca="1">28161.1977376133*((RANDBETWEEN(1587,2416)))</f>
        <v>59279321.237676054</v>
      </c>
      <c r="B3989">
        <v>248351736.67291781</v>
      </c>
    </row>
    <row r="3990" spans="1:2" x14ac:dyDescent="0.25">
      <c r="A3990">
        <f ca="1">28844.4909789805*((RANDBETWEEN(1587,2416)))</f>
        <v>48977945.68230892</v>
      </c>
      <c r="B3990">
        <v>237912697.96024069</v>
      </c>
    </row>
    <row r="3991" spans="1:2" x14ac:dyDescent="0.25">
      <c r="A3991">
        <f ca="1">28175.8644185988*((RANDBETWEEN(1587,2416)))</f>
        <v>60803515.415336251</v>
      </c>
      <c r="B3991">
        <v>216930107.40781915</v>
      </c>
    </row>
    <row r="3992" spans="1:2" x14ac:dyDescent="0.25">
      <c r="A3992">
        <f ca="1">30025.4317403238*((RANDBETWEEN(1587,2416)))</f>
        <v>66956712.780922063</v>
      </c>
      <c r="B3992">
        <v>255830870.46416825</v>
      </c>
    </row>
    <row r="3993" spans="1:2" x14ac:dyDescent="0.25">
      <c r="A3993">
        <f ca="1">30605.4515491113*((RANDBETWEEN(1587,2416)))</f>
        <v>60231528.64865113</v>
      </c>
      <c r="B3993">
        <v>258642360.56034392</v>
      </c>
    </row>
    <row r="3994" spans="1:2" x14ac:dyDescent="0.25">
      <c r="A3994">
        <f ca="1">30079.0371686563*((RANDBETWEEN(1587,2416)))</f>
        <v>59436177.445264831</v>
      </c>
      <c r="B3994">
        <v>252000108.98176649</v>
      </c>
    </row>
    <row r="3995" spans="1:2" x14ac:dyDescent="0.25">
      <c r="A3995">
        <f ca="1">27209.6069476207*((RANDBETWEEN(1587,2416)))</f>
        <v>59752296.856975079</v>
      </c>
      <c r="B3995">
        <v>250749412.48509794</v>
      </c>
    </row>
    <row r="3996" spans="1:2" x14ac:dyDescent="0.25">
      <c r="A3996">
        <f ca="1">30020.7149297487*((RANDBETWEEN(1587,2416)))</f>
        <v>51485526.104519069</v>
      </c>
      <c r="B3996">
        <v>234880438.39177179</v>
      </c>
    </row>
    <row r="3997" spans="1:2" x14ac:dyDescent="0.25">
      <c r="A3997">
        <f ca="1">28596.3202444175*((RANDBETWEEN(1587,2416)))</f>
        <v>45782708.711312421</v>
      </c>
      <c r="B3997">
        <v>257935117.15052584</v>
      </c>
    </row>
    <row r="3998" spans="1:2" x14ac:dyDescent="0.25">
      <c r="A3998">
        <f ca="1">31756.8812348773*((RANDBETWEEN(1587,2416)))</f>
        <v>64879308.362854339</v>
      </c>
      <c r="B3998">
        <v>227893029.37268317</v>
      </c>
    </row>
    <row r="3999" spans="1:2" x14ac:dyDescent="0.25">
      <c r="A3999">
        <f ca="1">31905.1174055967*((RANDBETWEEN(1587,2416)))</f>
        <v>57205875.508234873</v>
      </c>
      <c r="B3999">
        <v>251121602.2876128</v>
      </c>
    </row>
    <row r="4000" spans="1:2" x14ac:dyDescent="0.25">
      <c r="A4000">
        <f ca="1">27264.267715128*((RANDBETWEEN(1587,2416)))</f>
        <v>56464298.438030124</v>
      </c>
      <c r="B4000">
        <v>220894712.41109884</v>
      </c>
    </row>
    <row r="4001" spans="1:2" x14ac:dyDescent="0.25">
      <c r="A4001">
        <f ca="1">27326.2558887486*((RANDBETWEEN(1587,2416)))</f>
        <v>60473004.281800538</v>
      </c>
      <c r="B4001">
        <v>205554379.00354046</v>
      </c>
    </row>
    <row r="4002" spans="1:2" x14ac:dyDescent="0.25">
      <c r="A4002">
        <f ca="1">31433.8692058761*((RANDBETWEEN(1587,2416)))</f>
        <v>54789234.025841966</v>
      </c>
      <c r="B4002">
        <v>263385856.29265732</v>
      </c>
    </row>
    <row r="4003" spans="1:2" x14ac:dyDescent="0.25">
      <c r="A4003">
        <f ca="1">31225.9481329082*((RANDBETWEEN(1587,2416)))</f>
        <v>64918746.168316118</v>
      </c>
      <c r="B4003">
        <v>264397756.59151953</v>
      </c>
    </row>
    <row r="4004" spans="1:2" x14ac:dyDescent="0.25">
      <c r="A4004">
        <f ca="1">29028.6341171774*((RANDBETWEEN(1587,2416)))</f>
        <v>48506847.609803498</v>
      </c>
      <c r="B4004">
        <v>228770947.94811314</v>
      </c>
    </row>
    <row r="4005" spans="1:2" x14ac:dyDescent="0.25">
      <c r="A4005">
        <f ca="1">32692.9590424025*((RANDBETWEEN(1587,2416)))</f>
        <v>71957202.852327943</v>
      </c>
      <c r="B4005">
        <v>230310749.73523057</v>
      </c>
    </row>
    <row r="4006" spans="1:2" x14ac:dyDescent="0.25">
      <c r="A4006">
        <f ca="1">31187.637236545*((RANDBETWEEN(1587,2416)))</f>
        <v>56574373.947092555</v>
      </c>
      <c r="B4006">
        <v>257046870.1305089</v>
      </c>
    </row>
    <row r="4007" spans="1:2" x14ac:dyDescent="0.25">
      <c r="A4007">
        <f ca="1">31849.009591572*((RANDBETWEEN(1587,2416)))</f>
        <v>65194922.633947968</v>
      </c>
      <c r="B4007">
        <v>245537097.76611868</v>
      </c>
    </row>
    <row r="4008" spans="1:2" x14ac:dyDescent="0.25">
      <c r="A4008">
        <f ca="1">28657.7194390864*((RANDBETWEEN(1587,2416)))</f>
        <v>46683424.966271698</v>
      </c>
      <c r="B4008">
        <v>246553100.06950212</v>
      </c>
    </row>
    <row r="4009" spans="1:2" x14ac:dyDescent="0.25">
      <c r="A4009">
        <f ca="1">25960.6149773571*((RANDBETWEEN(1587,2416)))</f>
        <v>53686551.773174562</v>
      </c>
      <c r="B4009">
        <v>232915150.40670851</v>
      </c>
    </row>
    <row r="4010" spans="1:2" x14ac:dyDescent="0.25">
      <c r="A4010">
        <f ca="1">27246.6835882536*((RANDBETWEEN(1587,2416)))</f>
        <v>56754841.914332226</v>
      </c>
      <c r="B4010">
        <v>207365216.77468228</v>
      </c>
    </row>
    <row r="4011" spans="1:2" x14ac:dyDescent="0.25">
      <c r="A4011">
        <f ca="1">34760.1377673602*((RANDBETWEEN(1587,2416)))</f>
        <v>82868168.437386706</v>
      </c>
      <c r="B4011">
        <v>212275911.58496758</v>
      </c>
    </row>
    <row r="4012" spans="1:2" x14ac:dyDescent="0.25">
      <c r="A4012">
        <f ca="1">31743.5418850478*((RANDBETWEEN(1587,2416)))</f>
        <v>75962295.730919495</v>
      </c>
      <c r="B4012">
        <v>254445088.87439811</v>
      </c>
    </row>
    <row r="4013" spans="1:2" x14ac:dyDescent="0.25">
      <c r="A4013">
        <f ca="1">27305.9473413871*((RANDBETWEEN(1587,2416)))</f>
        <v>46365498.585675314</v>
      </c>
      <c r="B4013">
        <v>229135135.22703904</v>
      </c>
    </row>
    <row r="4014" spans="1:2" x14ac:dyDescent="0.25">
      <c r="A4014">
        <f ca="1">30357.0582571632*((RANDBETWEEN(1587,2416)))</f>
        <v>49299862.609633096</v>
      </c>
      <c r="B4014">
        <v>228371922.08116794</v>
      </c>
    </row>
    <row r="4015" spans="1:2" x14ac:dyDescent="0.25">
      <c r="A4015">
        <f ca="1">27209.2419596904*((RANDBETWEEN(1587,2416)))</f>
        <v>64757995.864063203</v>
      </c>
      <c r="B4015">
        <v>251311618.05043387</v>
      </c>
    </row>
    <row r="4016" spans="1:2" x14ac:dyDescent="0.25">
      <c r="A4016">
        <f ca="1">26051.6056233643*((RANDBETWEEN(1587,2416)))</f>
        <v>55750436.033999681</v>
      </c>
      <c r="B4016">
        <v>210473964.715718</v>
      </c>
    </row>
    <row r="4017" spans="1:2" x14ac:dyDescent="0.25">
      <c r="A4017">
        <f ca="1">32619.5164727644*((RANDBETWEEN(1587,2416)))</f>
        <v>63673296.154836103</v>
      </c>
      <c r="B4017">
        <v>216253293.97260129</v>
      </c>
    </row>
    <row r="4018" spans="1:2" x14ac:dyDescent="0.25">
      <c r="A4018">
        <f ca="1">27613.7180190165*((RANDBETWEEN(1587,2416)))</f>
        <v>50919696.027066439</v>
      </c>
      <c r="B4018">
        <v>229492339.16601706</v>
      </c>
    </row>
    <row r="4019" spans="1:2" x14ac:dyDescent="0.25">
      <c r="A4019">
        <f ca="1">30209.0488316407*((RANDBETWEEN(1587,2416)))</f>
        <v>48153223.837635279</v>
      </c>
      <c r="B4019">
        <v>265477558.20609063</v>
      </c>
    </row>
    <row r="4020" spans="1:2" x14ac:dyDescent="0.25">
      <c r="A4020">
        <f ca="1">30811.8475193441*((RANDBETWEEN(1587,2416)))</f>
        <v>58727381.371869773</v>
      </c>
      <c r="B4020">
        <v>213992691.94280714</v>
      </c>
    </row>
    <row r="4021" spans="1:2" x14ac:dyDescent="0.25">
      <c r="A4021">
        <f ca="1">27202.3879591266*((RANDBETWEEN(1587,2416)))</f>
        <v>49453941.309692211</v>
      </c>
      <c r="B4021">
        <v>209221640.6629926</v>
      </c>
    </row>
    <row r="4022" spans="1:2" x14ac:dyDescent="0.25">
      <c r="A4022">
        <f ca="1">30737.3717195061*((RANDBETWEEN(1587,2416)))</f>
        <v>66208298.683816217</v>
      </c>
      <c r="B4022">
        <v>254172274.97437644</v>
      </c>
    </row>
    <row r="4023" spans="1:2" x14ac:dyDescent="0.25">
      <c r="A4023">
        <f ca="1">27739.0267238776*((RANDBETWEEN(1587,2416)))</f>
        <v>54673621.672762699</v>
      </c>
      <c r="B4023">
        <v>205732028.07398105</v>
      </c>
    </row>
    <row r="4024" spans="1:2" x14ac:dyDescent="0.25">
      <c r="A4024">
        <f ca="1">26950.5132829315*((RANDBETWEEN(1587,2416)))</f>
        <v>61285467.205386326</v>
      </c>
      <c r="B4024">
        <v>220479406.90107495</v>
      </c>
    </row>
    <row r="4025" spans="1:2" x14ac:dyDescent="0.25">
      <c r="A4025">
        <f ca="1">30829.6284187784*((RANDBETWEEN(1587,2416)))</f>
        <v>54969227.470681965</v>
      </c>
      <c r="B4025">
        <v>210603478.95018575</v>
      </c>
    </row>
    <row r="4026" spans="1:2" x14ac:dyDescent="0.25">
      <c r="A4026">
        <f ca="1">27409.3333970525*((RANDBETWEEN(1587,2416)))</f>
        <v>64055612.148911625</v>
      </c>
      <c r="B4026">
        <v>226481601.15181637</v>
      </c>
    </row>
    <row r="4027" spans="1:2" x14ac:dyDescent="0.25">
      <c r="A4027">
        <f ca="1">33359.9674440774*((RANDBETWEEN(1587,2416)))</f>
        <v>71423690.297769725</v>
      </c>
      <c r="B4027">
        <v>261533526.79742095</v>
      </c>
    </row>
    <row r="4028" spans="1:2" x14ac:dyDescent="0.25">
      <c r="A4028">
        <f ca="1">27260.2928976413*((RANDBETWEEN(1587,2416)))</f>
        <v>51849077.091313764</v>
      </c>
      <c r="B4028">
        <v>261089388.73524928</v>
      </c>
    </row>
    <row r="4029" spans="1:2" x14ac:dyDescent="0.25">
      <c r="A4029">
        <f ca="1">32381.1643152135*((RANDBETWEEN(1587,2416)))</f>
        <v>66802341.982285358</v>
      </c>
      <c r="B4029">
        <v>207537177.38680077</v>
      </c>
    </row>
    <row r="4030" spans="1:2" x14ac:dyDescent="0.25">
      <c r="A4030">
        <f ca="1">29253.814127736*((RANDBETWEEN(1587,2416)))</f>
        <v>49965514.530173048</v>
      </c>
      <c r="B4030">
        <v>205739989.67769724</v>
      </c>
    </row>
    <row r="4031" spans="1:2" x14ac:dyDescent="0.25">
      <c r="A4031">
        <f ca="1">30201.8777119781*((RANDBETWEEN(1587,2416)))</f>
        <v>57081548.875638567</v>
      </c>
      <c r="B4031">
        <v>254677075.27253649</v>
      </c>
    </row>
    <row r="4032" spans="1:2" x14ac:dyDescent="0.25">
      <c r="A4032">
        <f ca="1">26979.6260905084*((RANDBETWEEN(1587,2416)))</f>
        <v>52475372.746038757</v>
      </c>
      <c r="B4032">
        <v>250410342.98849732</v>
      </c>
    </row>
    <row r="4033" spans="1:2" x14ac:dyDescent="0.25">
      <c r="A4033">
        <f ca="1">31846.7578215166*((RANDBETWEEN(1587,2416)))</f>
        <v>66336796.542219147</v>
      </c>
      <c r="B4033">
        <v>209949543.74658009</v>
      </c>
    </row>
    <row r="4034" spans="1:2" x14ac:dyDescent="0.25">
      <c r="A4034">
        <f ca="1">29927.89166939*((RANDBETWEEN(1587,2416)))</f>
        <v>56414075.796800174</v>
      </c>
      <c r="B4034">
        <v>217952329.57749724</v>
      </c>
    </row>
    <row r="4035" spans="1:2" x14ac:dyDescent="0.25">
      <c r="A4035">
        <f ca="1">26812.4737977315*((RANDBETWEEN(1587,2416)))</f>
        <v>52337948.853171878</v>
      </c>
      <c r="B4035">
        <v>219726649.29601261</v>
      </c>
    </row>
    <row r="4036" spans="1:2" x14ac:dyDescent="0.25">
      <c r="A4036">
        <f ca="1">28788.7058970057*((RANDBETWEEN(1587,2416)))</f>
        <v>48163504.965690471</v>
      </c>
      <c r="B4036">
        <v>262690885.48941663</v>
      </c>
    </row>
    <row r="4037" spans="1:2" x14ac:dyDescent="0.25">
      <c r="A4037">
        <f ca="1">28744.3371164752*((RANDBETWEEN(1587,2416)))</f>
        <v>52372182.226217873</v>
      </c>
      <c r="B4037">
        <v>236014317.06883979</v>
      </c>
    </row>
    <row r="4038" spans="1:2" x14ac:dyDescent="0.25">
      <c r="A4038">
        <f ca="1">28210.4139753121*((RANDBETWEEN(1587,2416)))</f>
        <v>56025882.154969849</v>
      </c>
      <c r="B4038">
        <v>247823447.86306256</v>
      </c>
    </row>
    <row r="4039" spans="1:2" x14ac:dyDescent="0.25">
      <c r="A4039">
        <f ca="1">30423.3341906665*((RANDBETWEEN(1587,2416)))</f>
        <v>50259348.082981035</v>
      </c>
      <c r="B4039">
        <v>207475070.79501295</v>
      </c>
    </row>
    <row r="4040" spans="1:2" x14ac:dyDescent="0.25">
      <c r="A4040">
        <f ca="1">29113.7119904301*((RANDBETWEEN(1587,2416)))</f>
        <v>64021052.666955695</v>
      </c>
      <c r="B4040">
        <v>265879722.54254481</v>
      </c>
    </row>
    <row r="4041" spans="1:2" x14ac:dyDescent="0.25">
      <c r="A4041">
        <f ca="1">30334.9392000842*((RANDBETWEEN(1587,2416)))</f>
        <v>68405287.896189794</v>
      </c>
      <c r="B4041">
        <v>253534261.35070574</v>
      </c>
    </row>
    <row r="4042" spans="1:2" x14ac:dyDescent="0.25">
      <c r="A4042">
        <f ca="1">29560.6045110137*((RANDBETWEEN(1587,2416)))</f>
        <v>55219209.226573519</v>
      </c>
      <c r="B4042">
        <v>249041149.82365531</v>
      </c>
    </row>
    <row r="4043" spans="1:2" x14ac:dyDescent="0.25">
      <c r="A4043">
        <f ca="1">30656.2694997753*((RANDBETWEEN(1587,2416)))</f>
        <v>63611759.212033704</v>
      </c>
      <c r="B4043">
        <v>214913221.99648672</v>
      </c>
    </row>
    <row r="4044" spans="1:2" x14ac:dyDescent="0.25">
      <c r="A4044">
        <f ca="1">26412.9836095928*((RANDBETWEEN(1587,2416)))</f>
        <v>57870847.088617802</v>
      </c>
      <c r="B4044">
        <v>230477315.11280948</v>
      </c>
    </row>
    <row r="4045" spans="1:2" x14ac:dyDescent="0.25">
      <c r="A4045">
        <f ca="1">33331.3671601899*((RANDBETWEEN(1587,2416)))</f>
        <v>57896584.757249773</v>
      </c>
      <c r="B4045">
        <v>247830576.34682387</v>
      </c>
    </row>
    <row r="4046" spans="1:2" x14ac:dyDescent="0.25">
      <c r="A4046">
        <f ca="1">31297.3718245942*((RANDBETWEEN(1587,2416)))</f>
        <v>62406959.418240763</v>
      </c>
      <c r="B4046">
        <v>257042923.64325127</v>
      </c>
    </row>
    <row r="4047" spans="1:2" x14ac:dyDescent="0.25">
      <c r="A4047">
        <f ca="1">27430.8762555964*((RANDBETWEEN(1587,2416)))</f>
        <v>54560012.8723813</v>
      </c>
      <c r="B4047">
        <v>239250878.38405591</v>
      </c>
    </row>
    <row r="4048" spans="1:2" x14ac:dyDescent="0.25">
      <c r="A4048">
        <f ca="1">28012.5574737446*((RANDBETWEEN(1587,2416)))</f>
        <v>65073171.011508681</v>
      </c>
      <c r="B4048">
        <v>220299823.69358742</v>
      </c>
    </row>
    <row r="4049" spans="1:2" x14ac:dyDescent="0.25">
      <c r="A4049">
        <f ca="1">29048.621343683*((RANDBETWEEN(1587,2416)))</f>
        <v>59084895.813051209</v>
      </c>
      <c r="B4049">
        <v>212142836.51049808</v>
      </c>
    </row>
    <row r="4050" spans="1:2" x14ac:dyDescent="0.25">
      <c r="A4050">
        <f ca="1">27479.3050496797*((RANDBETWEEN(1587,2416)))</f>
        <v>56305096.046793632</v>
      </c>
      <c r="B4050">
        <v>241589647.79567492</v>
      </c>
    </row>
    <row r="4051" spans="1:2" x14ac:dyDescent="0.25">
      <c r="A4051">
        <f ca="1">29444.2735624748*((RANDBETWEEN(1587,2416)))</f>
        <v>49407491.037832752</v>
      </c>
      <c r="B4051">
        <v>246379478.38599816</v>
      </c>
    </row>
    <row r="4052" spans="1:2" x14ac:dyDescent="0.25">
      <c r="A4052">
        <f ca="1">32924.2371120314*((RANDBETWEEN(1587,2416)))</f>
        <v>70128625.04862687</v>
      </c>
      <c r="B4052">
        <v>207310699.07980332</v>
      </c>
    </row>
    <row r="4053" spans="1:2" x14ac:dyDescent="0.25">
      <c r="A4053">
        <f ca="1">28945.8950438171*((RANDBETWEEN(1587,2416)))</f>
        <v>47963348.08760491</v>
      </c>
      <c r="B4053">
        <v>207755573.8922582</v>
      </c>
    </row>
    <row r="4054" spans="1:2" x14ac:dyDescent="0.25">
      <c r="A4054">
        <f ca="1">26882.235888907*((RANDBETWEEN(1587,2416)))</f>
        <v>44705158.283252306</v>
      </c>
      <c r="B4054">
        <v>253764388.16191113</v>
      </c>
    </row>
    <row r="4055" spans="1:2" x14ac:dyDescent="0.25">
      <c r="A4055">
        <f ca="1">28504.9125476098*((RANDBETWEEN(1587,2416)))</f>
        <v>55385045.080005847</v>
      </c>
      <c r="B4055">
        <v>204351374.23322123</v>
      </c>
    </row>
    <row r="4056" spans="1:2" x14ac:dyDescent="0.25">
      <c r="A4056">
        <f ca="1">27499.9237194691*((RANDBETWEEN(1587,2416)))</f>
        <v>56677342.785825714</v>
      </c>
      <c r="B4056">
        <v>219011013.02057919</v>
      </c>
    </row>
    <row r="4057" spans="1:2" x14ac:dyDescent="0.25">
      <c r="A4057">
        <f ca="1">30015.9617447796*((RANDBETWEEN(1587,2416)))</f>
        <v>57690678.473466337</v>
      </c>
      <c r="B4057">
        <v>218657666.97455072</v>
      </c>
    </row>
    <row r="4058" spans="1:2" x14ac:dyDescent="0.25">
      <c r="A4058">
        <f ca="1">28486.434616283*((RANDBETWEEN(1587,2416)))</f>
        <v>62499237.548124924</v>
      </c>
      <c r="B4058">
        <v>253286750.48183748</v>
      </c>
    </row>
    <row r="4059" spans="1:2" x14ac:dyDescent="0.25">
      <c r="A4059">
        <f ca="1">29376.9106572794*((RANDBETWEEN(1587,2416)))</f>
        <v>58283790.744042411</v>
      </c>
      <c r="B4059">
        <v>241632703.89630637</v>
      </c>
    </row>
    <row r="4060" spans="1:2" x14ac:dyDescent="0.25">
      <c r="A4060">
        <f ca="1">30545.7480351535*((RANDBETWEEN(1587,2416)))</f>
        <v>70194128.9847828</v>
      </c>
      <c r="B4060">
        <v>228488608.15025681</v>
      </c>
    </row>
    <row r="4061" spans="1:2" x14ac:dyDescent="0.25">
      <c r="A4061">
        <f ca="1">26459.7178076814*((RANDBETWEEN(1587,2416)))</f>
        <v>43658534.382674314</v>
      </c>
      <c r="B4061">
        <v>211274817.51664513</v>
      </c>
    </row>
    <row r="4062" spans="1:2" x14ac:dyDescent="0.25">
      <c r="A4062">
        <f ca="1">28130.0640231226*((RANDBETWEEN(1587,2416)))</f>
        <v>54234763.436580472</v>
      </c>
      <c r="B4062">
        <v>236258140.39955199</v>
      </c>
    </row>
    <row r="4063" spans="1:2" x14ac:dyDescent="0.25">
      <c r="A4063">
        <f ca="1">29163.6220518399*((RANDBETWEEN(1587,2416)))</f>
        <v>58502225.835990764</v>
      </c>
      <c r="B4063">
        <v>236599032.01397473</v>
      </c>
    </row>
    <row r="4064" spans="1:2" x14ac:dyDescent="0.25">
      <c r="A4064">
        <f ca="1">28409.4597499404*((RANDBETWEEN(1587,2416)))</f>
        <v>68239522.319356948</v>
      </c>
      <c r="B4064">
        <v>228566167.66061717</v>
      </c>
    </row>
    <row r="4065" spans="1:2" x14ac:dyDescent="0.25">
      <c r="A4065">
        <f ca="1">32774.5154015089*((RANDBETWEEN(1587,2416)))</f>
        <v>73578787.076387584</v>
      </c>
      <c r="B4065">
        <v>232707326.43022034</v>
      </c>
    </row>
    <row r="4066" spans="1:2" x14ac:dyDescent="0.25">
      <c r="A4066">
        <f ca="1">32612.8209192999*((RANDBETWEEN(1587,2416)))</f>
        <v>74813811.188873976</v>
      </c>
      <c r="B4066">
        <v>259236970.90271002</v>
      </c>
    </row>
    <row r="4067" spans="1:2" x14ac:dyDescent="0.25">
      <c r="A4067">
        <f ca="1">29602.3288942472*((RANDBETWEEN(1587,2416)))</f>
        <v>52159303.511663549</v>
      </c>
      <c r="B4067">
        <v>254559021.97831213</v>
      </c>
    </row>
    <row r="4068" spans="1:2" x14ac:dyDescent="0.25">
      <c r="A4068">
        <f ca="1">29626.6856530985*((RANDBETWEEN(1587,2416)))</f>
        <v>49950592.011124022</v>
      </c>
      <c r="B4068">
        <v>212598196.79125425</v>
      </c>
    </row>
    <row r="4069" spans="1:2" x14ac:dyDescent="0.25">
      <c r="A4069">
        <f ca="1">26932.7930648958*((RANDBETWEEN(1587,2416)))</f>
        <v>56316470.298697159</v>
      </c>
      <c r="B4069">
        <v>210101323.45904714</v>
      </c>
    </row>
    <row r="4070" spans="1:2" x14ac:dyDescent="0.25">
      <c r="A4070">
        <f ca="1">27841.4061761362*((RANDBETWEEN(1587,2416)))</f>
        <v>59580609.216931567</v>
      </c>
      <c r="B4070">
        <v>237321747.03232935</v>
      </c>
    </row>
    <row r="4071" spans="1:2" x14ac:dyDescent="0.25">
      <c r="A4071">
        <f ca="1">29721.4278077378*((RANDBETWEEN(1587,2416)))</f>
        <v>53498570.05392807</v>
      </c>
      <c r="B4071">
        <v>240908971.37228188</v>
      </c>
    </row>
    <row r="4072" spans="1:2" x14ac:dyDescent="0.25">
      <c r="A4072">
        <f ca="1">31044.362108367*((RANDBETWEEN(1587,2416)))</f>
        <v>67242088.326722831</v>
      </c>
      <c r="B4072">
        <v>254173588.69235054</v>
      </c>
    </row>
    <row r="4073" spans="1:2" x14ac:dyDescent="0.25">
      <c r="A4073">
        <f ca="1">29934.6978574166*((RANDBETWEEN(1587,2416)))</f>
        <v>54151868.424066603</v>
      </c>
      <c r="B4073">
        <v>250719952.44274139</v>
      </c>
    </row>
    <row r="4074" spans="1:2" x14ac:dyDescent="0.25">
      <c r="A4074">
        <f ca="1">27658.2258280478*((RANDBETWEEN(1587,2416)))</f>
        <v>55897274.398484528</v>
      </c>
      <c r="B4074">
        <v>209489396.41689581</v>
      </c>
    </row>
    <row r="4075" spans="1:2" x14ac:dyDescent="0.25">
      <c r="A4075">
        <f ca="1">31167.3412014769*((RANDBETWEEN(1587,2416)))</f>
        <v>60776315.342879951</v>
      </c>
      <c r="B4075">
        <v>256231656.98478281</v>
      </c>
    </row>
    <row r="4076" spans="1:2" x14ac:dyDescent="0.25">
      <c r="A4076">
        <f ca="1">26958.1784053284*((RANDBETWEEN(1587,2416)))</f>
        <v>60871566.839231506</v>
      </c>
      <c r="B4076">
        <v>211381851.6959458</v>
      </c>
    </row>
    <row r="4077" spans="1:2" x14ac:dyDescent="0.25">
      <c r="A4077">
        <f ca="1">31524.5144445321*((RANDBETWEEN(1587,2416)))</f>
        <v>57311567.260159269</v>
      </c>
      <c r="B4077">
        <v>215190246.46265048</v>
      </c>
    </row>
    <row r="4078" spans="1:2" x14ac:dyDescent="0.25">
      <c r="A4078">
        <f ca="1">28381.5036789391*((RANDBETWEEN(1587,2416)))</f>
        <v>65220695.454202086</v>
      </c>
      <c r="B4078">
        <v>225031227.38639325</v>
      </c>
    </row>
    <row r="4079" spans="1:2" x14ac:dyDescent="0.25">
      <c r="A4079">
        <f ca="1">28201.5219526339*((RANDBETWEEN(1587,2416)))</f>
        <v>45037830.558356419</v>
      </c>
      <c r="B4079">
        <v>266510987.42813122</v>
      </c>
    </row>
    <row r="4080" spans="1:2" x14ac:dyDescent="0.25">
      <c r="A4080">
        <f ca="1">32036.5572841938*((RANDBETWEEN(1587,2416)))</f>
        <v>55647500.002644591</v>
      </c>
      <c r="B4080">
        <v>229735304.97635445</v>
      </c>
    </row>
    <row r="4081" spans="1:2" x14ac:dyDescent="0.25">
      <c r="A4081">
        <f ca="1">29291.0310176717*((RANDBETWEEN(1587,2416)))</f>
        <v>59080009.562643856</v>
      </c>
      <c r="B4081">
        <v>218217413.14481398</v>
      </c>
    </row>
    <row r="4082" spans="1:2" x14ac:dyDescent="0.25">
      <c r="A4082">
        <f ca="1">30856.057222282*((RANDBETWEEN(1587,2416)))</f>
        <v>60076743.411782965</v>
      </c>
      <c r="B4082">
        <v>219527970.44781673</v>
      </c>
    </row>
    <row r="4083" spans="1:2" x14ac:dyDescent="0.25">
      <c r="A4083">
        <f ca="1">30494.4188955328*((RANDBETWEEN(1587,2416)))</f>
        <v>51139140.487808481</v>
      </c>
      <c r="B4083">
        <v>222863577.27171934</v>
      </c>
    </row>
    <row r="4084" spans="1:2" x14ac:dyDescent="0.25">
      <c r="A4084">
        <f ca="1">33153.9036110154*((RANDBETWEEN(1587,2416)))</f>
        <v>74662590.932006598</v>
      </c>
      <c r="B4084">
        <v>256866254.80089608</v>
      </c>
    </row>
    <row r="4085" spans="1:2" x14ac:dyDescent="0.25">
      <c r="A4085">
        <f ca="1">28445.8873098753*((RANDBETWEEN(1587,2416)))</f>
        <v>55355696.705017425</v>
      </c>
      <c r="B4085">
        <v>207107623.53488898</v>
      </c>
    </row>
    <row r="4086" spans="1:2" x14ac:dyDescent="0.25">
      <c r="A4086">
        <f ca="1">28959.9922164962*((RANDBETWEEN(1587,2416)))</f>
        <v>60468463.748044029</v>
      </c>
      <c r="B4086">
        <v>210326817.22900379</v>
      </c>
    </row>
    <row r="4087" spans="1:2" x14ac:dyDescent="0.25">
      <c r="A4087">
        <f ca="1">26498.8105648857*((RANDBETWEEN(1587,2416)))</f>
        <v>54799540.24818369</v>
      </c>
      <c r="B4087">
        <v>245799215.68401754</v>
      </c>
    </row>
    <row r="4088" spans="1:2" x14ac:dyDescent="0.25">
      <c r="A4088">
        <f ca="1">28218.3521566393*((RANDBETWEEN(1587,2416)))</f>
        <v>59766469.867762007</v>
      </c>
      <c r="B4088">
        <v>245058423.07410157</v>
      </c>
    </row>
    <row r="4089" spans="1:2" x14ac:dyDescent="0.25">
      <c r="A4089">
        <f ca="1">26232.1016044818*((RANDBETWEEN(1587,2416)))</f>
        <v>43545288.663439721</v>
      </c>
      <c r="B4089">
        <v>218759649.58047694</v>
      </c>
    </row>
    <row r="4090" spans="1:2" x14ac:dyDescent="0.25">
      <c r="A4090">
        <f ca="1">31290.4930609319*((RANDBETWEEN(1587,2416)))</f>
        <v>66680040.712845914</v>
      </c>
      <c r="B4090">
        <v>231410815.13222474</v>
      </c>
    </row>
    <row r="4091" spans="1:2" x14ac:dyDescent="0.25">
      <c r="A4091">
        <f ca="1">29018.6958418725*((RANDBETWEEN(1587,2416)))</f>
        <v>62477252.147551425</v>
      </c>
      <c r="B4091">
        <v>222995234.96724316</v>
      </c>
    </row>
    <row r="4092" spans="1:2" x14ac:dyDescent="0.25">
      <c r="A4092">
        <f ca="1">30445.654088167*((RANDBETWEEN(1587,2416)))</f>
        <v>64544786.666914001</v>
      </c>
      <c r="B4092">
        <v>232610350.10804409</v>
      </c>
    </row>
    <row r="4093" spans="1:2" x14ac:dyDescent="0.25">
      <c r="A4093">
        <f ca="1">33526.0472436239*((RANDBETWEEN(1587,2416)))</f>
        <v>61822031.117242388</v>
      </c>
      <c r="B4093">
        <v>259619058.1720368</v>
      </c>
    </row>
    <row r="4094" spans="1:2" x14ac:dyDescent="0.25">
      <c r="A4094">
        <f ca="1">28625.0485292849*((RANDBETWEEN(1587,2416)))</f>
        <v>61085853.561493993</v>
      </c>
      <c r="B4094">
        <v>213336341.19922575</v>
      </c>
    </row>
    <row r="4095" spans="1:2" x14ac:dyDescent="0.25">
      <c r="A4095">
        <f ca="1">27588.3584814998*((RANDBETWEEN(1587,2416)))</f>
        <v>49631456.908218093</v>
      </c>
      <c r="B4095">
        <v>212772910.82628834</v>
      </c>
    </row>
    <row r="4096" spans="1:2" x14ac:dyDescent="0.25">
      <c r="A4096">
        <f ca="1">32044.1719969717*((RANDBETWEEN(1587,2416)))</f>
        <v>53225369.686970077</v>
      </c>
      <c r="B4096">
        <v>238254767.60435635</v>
      </c>
    </row>
    <row r="4097" spans="1:2" x14ac:dyDescent="0.25">
      <c r="A4097">
        <f ca="1">27342.6275978459*((RANDBETWEEN(1587,2416)))</f>
        <v>60892031.660402842</v>
      </c>
      <c r="B4097">
        <v>226686645.28747165</v>
      </c>
    </row>
    <row r="4098" spans="1:2" x14ac:dyDescent="0.25">
      <c r="A4098">
        <f ca="1">32944.9356334439*((RANDBETWEEN(1587,2416)))</f>
        <v>75279177.92241925</v>
      </c>
      <c r="B4098">
        <v>206083393.32393831</v>
      </c>
    </row>
    <row r="4099" spans="1:2" x14ac:dyDescent="0.25">
      <c r="A4099">
        <f ca="1">28788.5556633838*((RANDBETWEEN(1587,2416)))</f>
        <v>68315242.58920981</v>
      </c>
      <c r="B4099">
        <v>214660861.67235178</v>
      </c>
    </row>
    <row r="4100" spans="1:2" x14ac:dyDescent="0.25">
      <c r="A4100">
        <f ca="1">29484.9282310252*((RANDBETWEEN(1587,2416)))</f>
        <v>52512657.179455914</v>
      </c>
      <c r="B4100">
        <v>265101844.12473261</v>
      </c>
    </row>
    <row r="4101" spans="1:2" x14ac:dyDescent="0.25">
      <c r="A4101">
        <f ca="1">32323.194873281*((RANDBETWEEN(1587,2416)))</f>
        <v>78092838.813846871</v>
      </c>
      <c r="B4101">
        <v>227708030.58511701</v>
      </c>
    </row>
    <row r="4102" spans="1:2" x14ac:dyDescent="0.25">
      <c r="A4102">
        <f ca="1">27803.2179351777*((RANDBETWEEN(1587,2416)))</f>
        <v>45930916.028913625</v>
      </c>
      <c r="B4102">
        <v>253956342.37486526</v>
      </c>
    </row>
    <row r="4103" spans="1:2" x14ac:dyDescent="0.25">
      <c r="A4103">
        <f ca="1">28543.6632982413*((RANDBETWEEN(1587,2416)))</f>
        <v>50265391.068203002</v>
      </c>
      <c r="B4103">
        <v>234373570.96331316</v>
      </c>
    </row>
    <row r="4104" spans="1:2" x14ac:dyDescent="0.25">
      <c r="A4104">
        <f ca="1">28271.7002776887*((RANDBETWEEN(1587,2416)))</f>
        <v>57985257.269539498</v>
      </c>
      <c r="B4104">
        <v>225538048.66218004</v>
      </c>
    </row>
    <row r="4105" spans="1:2" x14ac:dyDescent="0.25">
      <c r="A4105">
        <f ca="1">27734.4039493304*((RANDBETWEEN(1587,2416)))</f>
        <v>49284035.817960061</v>
      </c>
      <c r="B4105">
        <v>215497177.8029598</v>
      </c>
    </row>
    <row r="4106" spans="1:2" x14ac:dyDescent="0.25">
      <c r="A4106">
        <f ca="1">32805.7896427489*((RANDBETWEEN(1587,2416)))</f>
        <v>63479202.958719112</v>
      </c>
      <c r="B4106">
        <v>233099658.91470876</v>
      </c>
    </row>
    <row r="4107" spans="1:2" x14ac:dyDescent="0.25">
      <c r="A4107">
        <f ca="1">31195.970132238*((RANDBETWEEN(1587,2416)))</f>
        <v>69816581.155948609</v>
      </c>
      <c r="B4107">
        <v>233335763.95294803</v>
      </c>
    </row>
    <row r="4108" spans="1:2" x14ac:dyDescent="0.25">
      <c r="A4108">
        <f ca="1">31083.0448476004*((RANDBETWEEN(1587,2416)))</f>
        <v>64217570.655142404</v>
      </c>
      <c r="B4108">
        <v>264662132.78327674</v>
      </c>
    </row>
    <row r="4109" spans="1:2" x14ac:dyDescent="0.25">
      <c r="A4109">
        <f ca="1">28306.4257255938*((RANDBETWEEN(1587,2416)))</f>
        <v>54263418.115963347</v>
      </c>
      <c r="B4109">
        <v>215300008.41870305</v>
      </c>
    </row>
    <row r="4110" spans="1:2" x14ac:dyDescent="0.25">
      <c r="A4110">
        <f ca="1">26947.1211561519*((RANDBETWEEN(1587,2416)))</f>
        <v>57990204.728038855</v>
      </c>
      <c r="B4110">
        <v>208997251.8917464</v>
      </c>
    </row>
    <row r="4111" spans="1:2" x14ac:dyDescent="0.25">
      <c r="A4111">
        <f ca="1">33965.4806578305*((RANDBETWEEN(1587,2416)))</f>
        <v>57062007.505155273</v>
      </c>
      <c r="B4111">
        <v>248733994.47601455</v>
      </c>
    </row>
    <row r="4112" spans="1:2" x14ac:dyDescent="0.25">
      <c r="A4112">
        <f ca="1">29650.304721297*((RANDBETWEEN(1587,2416)))</f>
        <v>67928848.116491362</v>
      </c>
      <c r="B4112">
        <v>206267422.24908817</v>
      </c>
    </row>
    <row r="4113" spans="1:2" x14ac:dyDescent="0.25">
      <c r="A4113">
        <f ca="1">28432.2444920291*((RANDBETWEEN(1587,2416)))</f>
        <v>46230829.544039339</v>
      </c>
      <c r="B4113">
        <v>262234708.17813578</v>
      </c>
    </row>
    <row r="4114" spans="1:2" x14ac:dyDescent="0.25">
      <c r="A4114">
        <f ca="1">31838.7559564379*((RANDBETWEEN(1587,2416)))</f>
        <v>71860072.193680257</v>
      </c>
      <c r="B4114">
        <v>246185701.78092515</v>
      </c>
    </row>
    <row r="4115" spans="1:2" x14ac:dyDescent="0.25">
      <c r="A4115">
        <f ca="1">26647.2650676755*((RANDBETWEEN(1587,2416)))</f>
        <v>43914692.831529193</v>
      </c>
      <c r="B4115">
        <v>214405366.4215892</v>
      </c>
    </row>
    <row r="4116" spans="1:2" x14ac:dyDescent="0.25">
      <c r="A4116">
        <f ca="1">25985.5715602072*((RANDBETWEEN(1587,2416)))</f>
        <v>43915615.936750203</v>
      </c>
      <c r="B4116">
        <v>209486261.19554535</v>
      </c>
    </row>
    <row r="4117" spans="1:2" x14ac:dyDescent="0.25">
      <c r="A4117">
        <f ca="1">31963.5036895734*((RANDBETWEEN(1587,2416)))</f>
        <v>68369934.391997576</v>
      </c>
      <c r="B4117">
        <v>254038502.820351</v>
      </c>
    </row>
    <row r="4118" spans="1:2" x14ac:dyDescent="0.25">
      <c r="A4118">
        <f ca="1">29685.7484867863*((RANDBETWEEN(1587,2416)))</f>
        <v>50168914.94266893</v>
      </c>
      <c r="B4118">
        <v>229781730.19041225</v>
      </c>
    </row>
    <row r="4119" spans="1:2" x14ac:dyDescent="0.25">
      <c r="A4119">
        <f ca="1">32131.4759912264*((RANDBETWEEN(1587,2416)))</f>
        <v>58447154.828040913</v>
      </c>
      <c r="B4119">
        <v>260676324.99351484</v>
      </c>
    </row>
    <row r="4120" spans="1:2" x14ac:dyDescent="0.25">
      <c r="A4120">
        <f ca="1">30907.3415988878*((RANDBETWEEN(1587,2416)))</f>
        <v>51460723.762148239</v>
      </c>
      <c r="B4120">
        <v>231824616.78641799</v>
      </c>
    </row>
    <row r="4121" spans="1:2" x14ac:dyDescent="0.25">
      <c r="A4121">
        <f ca="1">27125.6678919112*((RANDBETWEEN(1587,2416)))</f>
        <v>48636322.530196719</v>
      </c>
      <c r="B4121">
        <v>252438535.76735947</v>
      </c>
    </row>
    <row r="4122" spans="1:2" x14ac:dyDescent="0.25">
      <c r="A4122">
        <f ca="1">34390.8847540841*((RANDBETWEEN(1587,2416)))</f>
        <v>72186467.098822534</v>
      </c>
      <c r="B4122">
        <v>254714252.91918617</v>
      </c>
    </row>
    <row r="4123" spans="1:2" x14ac:dyDescent="0.25">
      <c r="A4123">
        <f ca="1">25640.4028507771*((RANDBETWEEN(1587,2416)))</f>
        <v>40896442.546989419</v>
      </c>
      <c r="B4123">
        <v>254440176.0433208</v>
      </c>
    </row>
    <row r="4124" spans="1:2" x14ac:dyDescent="0.25">
      <c r="A4124">
        <f ca="1">28375.8716875606*((RANDBETWEEN(1587,2416)))</f>
        <v>57120629.707059503</v>
      </c>
      <c r="B4124">
        <v>247620311.97602159</v>
      </c>
    </row>
    <row r="4125" spans="1:2" x14ac:dyDescent="0.25">
      <c r="A4125">
        <f ca="1">30442.646671497*((RANDBETWEEN(1587,2416)))</f>
        <v>56166683.108911879</v>
      </c>
      <c r="B4125">
        <v>209081257.53368193</v>
      </c>
    </row>
    <row r="4126" spans="1:2" x14ac:dyDescent="0.25">
      <c r="A4126">
        <f ca="1">28781.9187432143*((RANDBETWEEN(1587,2416)))</f>
        <v>56757943.761618607</v>
      </c>
      <c r="B4126">
        <v>240455910.45011294</v>
      </c>
    </row>
    <row r="4127" spans="1:2" x14ac:dyDescent="0.25">
      <c r="A4127">
        <f ca="1">29660.9968872377*((RANDBETWEEN(1587,2416)))</f>
        <v>60093179.693543486</v>
      </c>
      <c r="B4127">
        <v>238374312.06305528</v>
      </c>
    </row>
    <row r="4128" spans="1:2" x14ac:dyDescent="0.25">
      <c r="A4128">
        <f ca="1">28371.0510754204*((RANDBETWEEN(1587,2416)))</f>
        <v>66132920.056804895</v>
      </c>
      <c r="B4128">
        <v>238973969.67305923</v>
      </c>
    </row>
    <row r="4129" spans="1:2" x14ac:dyDescent="0.25">
      <c r="A4129">
        <f ca="1">28722.5434404872*((RANDBETWEEN(1587,2416)))</f>
        <v>64884225.63206052</v>
      </c>
      <c r="B4129">
        <v>240546792.43388879</v>
      </c>
    </row>
    <row r="4130" spans="1:2" x14ac:dyDescent="0.25">
      <c r="A4130">
        <f ca="1">29065.3112176264*((RANDBETWEEN(1587,2416)))</f>
        <v>59496692.062481277</v>
      </c>
      <c r="B4130">
        <v>243534637.49664408</v>
      </c>
    </row>
    <row r="4131" spans="1:2" x14ac:dyDescent="0.25">
      <c r="A4131">
        <f ca="1">30575.308782416*((RANDBETWEEN(1587,2416)))</f>
        <v>64452750.913332984</v>
      </c>
      <c r="B4131">
        <v>219410079.84917569</v>
      </c>
    </row>
    <row r="4132" spans="1:2" x14ac:dyDescent="0.25">
      <c r="A4132">
        <f ca="1">27482.8478962578*((RANDBETWEEN(1587,2416)))</f>
        <v>58813294.497991584</v>
      </c>
      <c r="B4132">
        <v>237902238.6429418</v>
      </c>
    </row>
    <row r="4133" spans="1:2" x14ac:dyDescent="0.25">
      <c r="A4133">
        <f ca="1">28654.7288741955*((RANDBETWEEN(1587,2416)))</f>
        <v>57166184.104020089</v>
      </c>
      <c r="B4133">
        <v>234712185.69136754</v>
      </c>
    </row>
    <row r="4134" spans="1:2" x14ac:dyDescent="0.25">
      <c r="A4134">
        <f ca="1">26755.6978162512*((RANDBETWEEN(1587,2416)))</f>
        <v>55223760.292742461</v>
      </c>
      <c r="B4134">
        <v>262168430.99236691</v>
      </c>
    </row>
    <row r="4135" spans="1:2" x14ac:dyDescent="0.25">
      <c r="A4135">
        <f ca="1">26738.450461592*((RANDBETWEEN(1587,2416)))</f>
        <v>55669453.861034632</v>
      </c>
      <c r="B4135">
        <v>264098922.3625299</v>
      </c>
    </row>
    <row r="4136" spans="1:2" x14ac:dyDescent="0.25">
      <c r="A4136">
        <f ca="1">32145.8220824237*((RANDBETWEEN(1587,2416)))</f>
        <v>67313351.440595269</v>
      </c>
      <c r="B4136">
        <v>255212986.64381129</v>
      </c>
    </row>
    <row r="4137" spans="1:2" x14ac:dyDescent="0.25">
      <c r="A4137">
        <f ca="1">31039.6319694423*((RANDBETWEEN(1587,2416)))</f>
        <v>74774473.414386556</v>
      </c>
      <c r="B4137">
        <v>212931140.28134266</v>
      </c>
    </row>
    <row r="4138" spans="1:2" x14ac:dyDescent="0.25">
      <c r="A4138">
        <f ca="1">31022.7400204257*((RANDBETWEEN(1587,2416)))</f>
        <v>50287861.573109992</v>
      </c>
      <c r="B4138">
        <v>265966028.99012631</v>
      </c>
    </row>
    <row r="4139" spans="1:2" x14ac:dyDescent="0.25">
      <c r="A4139">
        <f ca="1">33050.0464863047*((RANDBETWEEN(1587,2416)))</f>
        <v>76543907.662281707</v>
      </c>
      <c r="B4139">
        <v>266844246.25508621</v>
      </c>
    </row>
    <row r="4140" spans="1:2" x14ac:dyDescent="0.25">
      <c r="A4140">
        <f ca="1">29694.3211969425*((RANDBETWEEN(1587,2416)))</f>
        <v>60517026.599368751</v>
      </c>
      <c r="B4140">
        <v>263511154.65821284</v>
      </c>
    </row>
    <row r="4141" spans="1:2" x14ac:dyDescent="0.25">
      <c r="A4141">
        <f ca="1">34041.2440803129*((RANDBETWEEN(1587,2416)))</f>
        <v>66108096.003967695</v>
      </c>
      <c r="B4141">
        <v>206762584.91698131</v>
      </c>
    </row>
    <row r="4142" spans="1:2" x14ac:dyDescent="0.25">
      <c r="A4142">
        <f ca="1">28730.5945895009*((RANDBETWEEN(1587,2416)))</f>
        <v>60851399.340562887</v>
      </c>
      <c r="B4142">
        <v>254939592.2257174</v>
      </c>
    </row>
    <row r="4143" spans="1:2" x14ac:dyDescent="0.25">
      <c r="A4143">
        <f ca="1">27003.4920424772*((RANDBETWEEN(1587,2416)))</f>
        <v>50118481.230837755</v>
      </c>
      <c r="B4143">
        <v>223892623.45689657</v>
      </c>
    </row>
    <row r="4144" spans="1:2" x14ac:dyDescent="0.25">
      <c r="A4144">
        <f ca="1">32770.8443142945*((RANDBETWEEN(1587,2416)))</f>
        <v>71047190.473390371</v>
      </c>
      <c r="B4144">
        <v>206691042.59055072</v>
      </c>
    </row>
    <row r="4145" spans="1:2" x14ac:dyDescent="0.25">
      <c r="A4145">
        <f ca="1">29746.0087773515*((RANDBETWEEN(1587,2416)))</f>
        <v>58123701.150944822</v>
      </c>
      <c r="B4145">
        <v>221021276.13614851</v>
      </c>
    </row>
    <row r="4146" spans="1:2" x14ac:dyDescent="0.25">
      <c r="A4146">
        <f ca="1">30780.3706816684*((RANDBETWEEN(1587,2416)))</f>
        <v>55189204.632231511</v>
      </c>
      <c r="B4146">
        <v>249489505.75482309</v>
      </c>
    </row>
    <row r="4147" spans="1:2" x14ac:dyDescent="0.25">
      <c r="A4147">
        <f ca="1">32000.6983620399*((RANDBETWEEN(1587,2416)))</f>
        <v>53665171.153140932</v>
      </c>
      <c r="B4147">
        <v>261476635.97379595</v>
      </c>
    </row>
    <row r="4148" spans="1:2" x14ac:dyDescent="0.25">
      <c r="A4148">
        <f ca="1">30996.2213864576*((RANDBETWEEN(1587,2416)))</f>
        <v>54615342.082938269</v>
      </c>
      <c r="B4148">
        <v>233181048.73283225</v>
      </c>
    </row>
    <row r="4149" spans="1:2" x14ac:dyDescent="0.25">
      <c r="A4149">
        <f ca="1">31745.9823889666*((RANDBETWEEN(1587,2416)))</f>
        <v>53364996.395852871</v>
      </c>
      <c r="B4149">
        <v>261519340.19848523</v>
      </c>
    </row>
    <row r="4150" spans="1:2" x14ac:dyDescent="0.25">
      <c r="A4150">
        <f ca="1">31931.0382207077*((RANDBETWEEN(1587,2416)))</f>
        <v>68460145.945197254</v>
      </c>
      <c r="B4150">
        <v>252242723.23076576</v>
      </c>
    </row>
    <row r="4151" spans="1:2" x14ac:dyDescent="0.25">
      <c r="A4151">
        <f ca="1">33737.0704251627*((RANDBETWEEN(1587,2416)))</f>
        <v>73513076.456429496</v>
      </c>
      <c r="B4151">
        <v>256366683.38465065</v>
      </c>
    </row>
    <row r="4152" spans="1:2" x14ac:dyDescent="0.25">
      <c r="A4152">
        <f ca="1">31198.3303255505*((RANDBETWEEN(1587,2416)))</f>
        <v>49730138.538927488</v>
      </c>
      <c r="B4152">
        <v>211624750.18002301</v>
      </c>
    </row>
    <row r="4153" spans="1:2" x14ac:dyDescent="0.25">
      <c r="A4153">
        <f ca="1">28335.9910293107*((RANDBETWEEN(1587,2416)))</f>
        <v>55056830.569950663</v>
      </c>
      <c r="B4153">
        <v>209649920.98784801</v>
      </c>
    </row>
    <row r="4154" spans="1:2" x14ac:dyDescent="0.25">
      <c r="A4154">
        <f ca="1">32028.9622761726*((RANDBETWEEN(1587,2416)))</f>
        <v>68894297.856047288</v>
      </c>
      <c r="B4154">
        <v>242879272.65312213</v>
      </c>
    </row>
    <row r="4155" spans="1:2" x14ac:dyDescent="0.25">
      <c r="A4155">
        <f ca="1">27648.8114038341*((RANDBETWEEN(1587,2416)))</f>
        <v>48772503.316363335</v>
      </c>
      <c r="B4155">
        <v>251471691.6695751</v>
      </c>
    </row>
    <row r="4156" spans="1:2" x14ac:dyDescent="0.25">
      <c r="A4156">
        <f ca="1">29956.7174992566*((RANDBETWEEN(1587,2416)))</f>
        <v>54011961.651159607</v>
      </c>
      <c r="B4156">
        <v>244395494.19902053</v>
      </c>
    </row>
    <row r="4157" spans="1:2" x14ac:dyDescent="0.25">
      <c r="A4157">
        <f ca="1">33098.2481537435*((RANDBETWEEN(1587,2416)))</f>
        <v>56763495.583670042</v>
      </c>
      <c r="B4157">
        <v>219555763.67856196</v>
      </c>
    </row>
    <row r="4158" spans="1:2" x14ac:dyDescent="0.25">
      <c r="A4158">
        <f ca="1">32055.677248412*((RANDBETWEEN(1587,2416)))</f>
        <v>64912746.42803432</v>
      </c>
      <c r="B4158">
        <v>211361860.10502258</v>
      </c>
    </row>
    <row r="4159" spans="1:2" x14ac:dyDescent="0.25">
      <c r="A4159">
        <f ca="1">31330.2616310419*((RANDBETWEEN(1587,2416)))</f>
        <v>70555749.193106294</v>
      </c>
      <c r="B4159">
        <v>209715285.38837433</v>
      </c>
    </row>
    <row r="4160" spans="1:2" x14ac:dyDescent="0.25">
      <c r="A4160">
        <f ca="1">31588.7806671717*((RANDBETWEEN(1587,2416)))</f>
        <v>61440178.397648968</v>
      </c>
      <c r="B4160">
        <v>235260746.98876739</v>
      </c>
    </row>
    <row r="4161" spans="1:2" x14ac:dyDescent="0.25">
      <c r="A4161">
        <f ca="1">31136.935838672*((RANDBETWEEN(1587,2416)))</f>
        <v>54084857.551773302</v>
      </c>
      <c r="B4161">
        <v>204530591.7926386</v>
      </c>
    </row>
    <row r="4162" spans="1:2" x14ac:dyDescent="0.25">
      <c r="A4162">
        <f ca="1">28477.3162928522*((RANDBETWEEN(1587,2416)))</f>
        <v>65981941.85053844</v>
      </c>
      <c r="B4162">
        <v>219228920.80532789</v>
      </c>
    </row>
    <row r="4163" spans="1:2" x14ac:dyDescent="0.25">
      <c r="A4163">
        <f ca="1">26545.195276337*((RANDBETWEEN(1587,2416)))</f>
        <v>62487389.680497408</v>
      </c>
      <c r="B4163">
        <v>241451219.20248908</v>
      </c>
    </row>
    <row r="4164" spans="1:2" x14ac:dyDescent="0.25">
      <c r="A4164">
        <f ca="1">27258.4858423063*((RANDBETWEEN(1587,2416)))</f>
        <v>60622872.513289437</v>
      </c>
      <c r="B4164">
        <v>257917359.19002903</v>
      </c>
    </row>
    <row r="4165" spans="1:2" x14ac:dyDescent="0.25">
      <c r="A4165">
        <f ca="1">33040.7758871323*((RANDBETWEEN(1587,2416)))</f>
        <v>73350522.469433725</v>
      </c>
      <c r="B4165">
        <v>232908197.23089567</v>
      </c>
    </row>
    <row r="4166" spans="1:2" x14ac:dyDescent="0.25">
      <c r="A4166">
        <f ca="1">27762.8666846846*((RANDBETWEEN(1587,2416)))</f>
        <v>64409850.708468355</v>
      </c>
      <c r="B4166">
        <v>204628284.84249911</v>
      </c>
    </row>
    <row r="4167" spans="1:2" x14ac:dyDescent="0.25">
      <c r="A4167">
        <f ca="1">27240.4533035907*((RANDBETWEEN(1587,2416)))</f>
        <v>64614355.236117221</v>
      </c>
      <c r="B4167">
        <v>214234782.30247563</v>
      </c>
    </row>
    <row r="4168" spans="1:2" x14ac:dyDescent="0.25">
      <c r="A4168">
        <f ca="1">29667.6184808372*((RANDBETWEEN(1587,2416)))</f>
        <v>63399700.693549022</v>
      </c>
      <c r="B4168">
        <v>222779556.18584305</v>
      </c>
    </row>
    <row r="4169" spans="1:2" x14ac:dyDescent="0.25">
      <c r="A4169">
        <f ca="1">31095.0987059801*((RANDBETWEEN(1587,2416)))</f>
        <v>67631839.685506642</v>
      </c>
      <c r="B4169">
        <v>258579290.28738827</v>
      </c>
    </row>
    <row r="4170" spans="1:2" x14ac:dyDescent="0.25">
      <c r="A4170">
        <f ca="1">32973.7607864026*((RANDBETWEEN(1587,2416)))</f>
        <v>60407929.760689616</v>
      </c>
      <c r="B4170">
        <v>267880455.62573156</v>
      </c>
    </row>
    <row r="4171" spans="1:2" x14ac:dyDescent="0.25">
      <c r="A4171">
        <f ca="1">30526.3292383854*((RANDBETWEEN(1587,2416)))</f>
        <v>62456869.621736437</v>
      </c>
      <c r="B4171">
        <v>249792496.57629713</v>
      </c>
    </row>
    <row r="4172" spans="1:2" x14ac:dyDescent="0.25">
      <c r="A4172">
        <f ca="1">28174.5749882697*((RANDBETWEEN(1587,2416)))</f>
        <v>47840428.33008191</v>
      </c>
      <c r="B4172">
        <v>208644796.04719663</v>
      </c>
    </row>
    <row r="4173" spans="1:2" x14ac:dyDescent="0.25">
      <c r="A4173">
        <f ca="1">29646.1582649183*((RANDBETWEEN(1587,2416)))</f>
        <v>55082562.056218185</v>
      </c>
      <c r="B4173">
        <v>211960366.06164521</v>
      </c>
    </row>
    <row r="4174" spans="1:2" x14ac:dyDescent="0.25">
      <c r="A4174">
        <f ca="1">26970.6329189928*((RANDBETWEEN(1587,2416)))</f>
        <v>43638484.062930413</v>
      </c>
      <c r="B4174">
        <v>206002626.29279327</v>
      </c>
    </row>
    <row r="4175" spans="1:2" x14ac:dyDescent="0.25">
      <c r="A4175">
        <f ca="1">30666.675500151*((RANDBETWEEN(1587,2416)))</f>
        <v>56886683.052780099</v>
      </c>
      <c r="B4175">
        <v>244190102.8370381</v>
      </c>
    </row>
    <row r="4176" spans="1:2" x14ac:dyDescent="0.25">
      <c r="A4176">
        <f ca="1">31249.0356678234*((RANDBETWEEN(1587,2416)))</f>
        <v>71997778.178665087</v>
      </c>
      <c r="B4176">
        <v>220526742.16910112</v>
      </c>
    </row>
    <row r="4177" spans="1:2" x14ac:dyDescent="0.25">
      <c r="A4177">
        <f ca="1">30209.0253689901*((RANDBETWEEN(1587,2416)))</f>
        <v>51023043.848224215</v>
      </c>
      <c r="B4177">
        <v>219562093.72289398</v>
      </c>
    </row>
    <row r="4178" spans="1:2" x14ac:dyDescent="0.25">
      <c r="A4178">
        <f ca="1">31984.8297328907*((RANDBETWEEN(1587,2416)))</f>
        <v>60931100.641156711</v>
      </c>
      <c r="B4178">
        <v>211530798.74751061</v>
      </c>
    </row>
    <row r="4179" spans="1:2" x14ac:dyDescent="0.25">
      <c r="A4179">
        <f ca="1">30681.6062642751*((RANDBETWEEN(1587,2416)))</f>
        <v>61946163.047571428</v>
      </c>
      <c r="B4179">
        <v>244084957.54117352</v>
      </c>
    </row>
    <row r="4180" spans="1:2" x14ac:dyDescent="0.25">
      <c r="A4180">
        <f ca="1">27116.1652799608*((RANDBETWEEN(1587,2416)))</f>
        <v>54693305.369680904</v>
      </c>
      <c r="B4180">
        <v>226591962.74007645</v>
      </c>
    </row>
    <row r="4181" spans="1:2" x14ac:dyDescent="0.25">
      <c r="A4181">
        <f ca="1">27359.7475805975*((RANDBETWEEN(1587,2416)))</f>
        <v>57510189.414416045</v>
      </c>
      <c r="B4181">
        <v>242197440.85704237</v>
      </c>
    </row>
    <row r="4182" spans="1:2" x14ac:dyDescent="0.25">
      <c r="A4182">
        <f ca="1">28934.3723483776*((RANDBETWEEN(1587,2416)))</f>
        <v>63800291.028172627</v>
      </c>
      <c r="B4182">
        <v>230241261.48668256</v>
      </c>
    </row>
    <row r="4183" spans="1:2" x14ac:dyDescent="0.25">
      <c r="A4183">
        <f ca="1">27794.2355757617*((RANDBETWEEN(1587,2416)))</f>
        <v>47528142.834552579</v>
      </c>
      <c r="B4183">
        <v>203869664.57202739</v>
      </c>
    </row>
    <row r="4184" spans="1:2" x14ac:dyDescent="0.25">
      <c r="A4184">
        <f ca="1">30417.5927375753*((RANDBETWEEN(1587,2416)))</f>
        <v>63755274.377957776</v>
      </c>
      <c r="B4184">
        <v>228112231.05909526</v>
      </c>
    </row>
    <row r="4185" spans="1:2" x14ac:dyDescent="0.25">
      <c r="A4185">
        <f ca="1">33131.9424981917*((RANDBETWEEN(1587,2416)))</f>
        <v>75971544.148353517</v>
      </c>
      <c r="B4185">
        <v>219183761.00866097</v>
      </c>
    </row>
    <row r="4186" spans="1:2" x14ac:dyDescent="0.25">
      <c r="A4186">
        <f ca="1">32392.9774733954*((RANDBETWEEN(1587,2416)))</f>
        <v>74277097.346495613</v>
      </c>
      <c r="B4186">
        <v>237348700.2341935</v>
      </c>
    </row>
    <row r="4187" spans="1:2" x14ac:dyDescent="0.25">
      <c r="A4187">
        <f ca="1">34131.6437497775*((RANDBETWEEN(1587,2416)))</f>
        <v>80004572.949478462</v>
      </c>
      <c r="B4187">
        <v>225291452.05351487</v>
      </c>
    </row>
    <row r="4188" spans="1:2" x14ac:dyDescent="0.25">
      <c r="A4188">
        <f ca="1">33634.7843484294*((RANDBETWEEN(1587,2416)))</f>
        <v>60609881.395869695</v>
      </c>
      <c r="B4188">
        <v>244983348.56569949</v>
      </c>
    </row>
    <row r="4189" spans="1:2" x14ac:dyDescent="0.25">
      <c r="A4189">
        <f ca="1">29489.2095091885*((RANDBETWEEN(1587,2416)))</f>
        <v>52195900.831263587</v>
      </c>
      <c r="B4189">
        <v>223714401.22813338</v>
      </c>
    </row>
    <row r="4190" spans="1:2" x14ac:dyDescent="0.25">
      <c r="A4190">
        <f ca="1">26370.6051500434*((RANDBETWEEN(1587,2416)))</f>
        <v>59175637.956697345</v>
      </c>
      <c r="B4190">
        <v>209476259.10574391</v>
      </c>
    </row>
    <row r="4191" spans="1:2" x14ac:dyDescent="0.25">
      <c r="A4191">
        <f ca="1">27981.8397473509*((RANDBETWEEN(1587,2416)))</f>
        <v>51570530.654367797</v>
      </c>
      <c r="B4191">
        <v>244165667.53833732</v>
      </c>
    </row>
    <row r="4192" spans="1:2" x14ac:dyDescent="0.25">
      <c r="A4192">
        <f ca="1">30772.7451091468*((RANDBETWEEN(1587,2416)))</f>
        <v>73608406.301079109</v>
      </c>
      <c r="B4192">
        <v>261681274.21021903</v>
      </c>
    </row>
    <row r="4193" spans="1:2" x14ac:dyDescent="0.25">
      <c r="A4193">
        <f ca="1">31385.8350869359*((RANDBETWEEN(1587,2416)))</f>
        <v>52069100.409226738</v>
      </c>
      <c r="B4193">
        <v>262889437.4095659</v>
      </c>
    </row>
    <row r="4194" spans="1:2" x14ac:dyDescent="0.25">
      <c r="A4194">
        <f ca="1">28858.9315434345*((RANDBETWEEN(1587,2416)))</f>
        <v>69001705.320351809</v>
      </c>
      <c r="B4194">
        <v>225911385.64342833</v>
      </c>
    </row>
    <row r="4195" spans="1:2" x14ac:dyDescent="0.25">
      <c r="A4195">
        <f ca="1">28898.0891348797*((RANDBETWEEN(1587,2416)))</f>
        <v>49878101.846802346</v>
      </c>
      <c r="B4195">
        <v>224830831.65575671</v>
      </c>
    </row>
    <row r="4196" spans="1:2" x14ac:dyDescent="0.25">
      <c r="A4196">
        <f ca="1">29430.5163638193*((RANDBETWEEN(1587,2416)))</f>
        <v>55299940.24761647</v>
      </c>
      <c r="B4196">
        <v>207267316.7507219</v>
      </c>
    </row>
    <row r="4197" spans="1:2" x14ac:dyDescent="0.25">
      <c r="A4197">
        <f ca="1">29208.0991710202*((RANDBETWEEN(1587,2416)))</f>
        <v>57802828.259448953</v>
      </c>
      <c r="B4197">
        <v>236870034.77679136</v>
      </c>
    </row>
    <row r="4198" spans="1:2" x14ac:dyDescent="0.25">
      <c r="A4198">
        <f ca="1">25263.8447644932*((RANDBETWEEN(1587,2416)))</f>
        <v>47394972.778189272</v>
      </c>
      <c r="B4198">
        <v>258506379.56164175</v>
      </c>
    </row>
    <row r="4199" spans="1:2" x14ac:dyDescent="0.25">
      <c r="A4199">
        <f ca="1">30615.6247659218*((RANDBETWEEN(1587,2416)))</f>
        <v>59180002.672526844</v>
      </c>
      <c r="B4199">
        <v>262766511.54799917</v>
      </c>
    </row>
    <row r="4200" spans="1:2" x14ac:dyDescent="0.25">
      <c r="A4200">
        <f ca="1">29910.8989094797*((RANDBETWEEN(1587,2416)))</f>
        <v>71307583.000199541</v>
      </c>
      <c r="B4200">
        <v>234837595.22236669</v>
      </c>
    </row>
    <row r="4201" spans="1:2" x14ac:dyDescent="0.25">
      <c r="A4201">
        <f ca="1">31047.2999063329*((RANDBETWEEN(1587,2416)))</f>
        <v>67310546.196929693</v>
      </c>
      <c r="B4201">
        <v>251535666.56453955</v>
      </c>
    </row>
    <row r="4202" spans="1:2" x14ac:dyDescent="0.25">
      <c r="A4202">
        <f ca="1">28967.7137534059*((RANDBETWEEN(1587,2416)))</f>
        <v>67726514.755462959</v>
      </c>
      <c r="B4202">
        <v>220633520.30818823</v>
      </c>
    </row>
    <row r="4203" spans="1:2" x14ac:dyDescent="0.25">
      <c r="A4203">
        <f ca="1">27795.5302298508*((RANDBETWEEN(1587,2416)))</f>
        <v>50004158.883501619</v>
      </c>
      <c r="B4203">
        <v>263171041.6836423</v>
      </c>
    </row>
    <row r="4204" spans="1:2" x14ac:dyDescent="0.25">
      <c r="A4204">
        <f ca="1">30347.3101129173*((RANDBETWEEN(1587,2416)))</f>
        <v>71225136.835016966</v>
      </c>
      <c r="B4204">
        <v>244412698.59439081</v>
      </c>
    </row>
    <row r="4205" spans="1:2" x14ac:dyDescent="0.25">
      <c r="A4205">
        <f ca="1">30287.8247951849*((RANDBETWEEN(1587,2416)))</f>
        <v>68299044.913142055</v>
      </c>
      <c r="B4205">
        <v>264378300.95653853</v>
      </c>
    </row>
    <row r="4206" spans="1:2" x14ac:dyDescent="0.25">
      <c r="A4206">
        <f ca="1">31212.1869053791*((RANDBETWEEN(1587,2416)))</f>
        <v>64640439.081040025</v>
      </c>
      <c r="B4206">
        <v>244448727.66264856</v>
      </c>
    </row>
    <row r="4207" spans="1:2" x14ac:dyDescent="0.25">
      <c r="A4207">
        <f ca="1">30553.3472109115*((RANDBETWEEN(1587,2416)))</f>
        <v>48702035.454192922</v>
      </c>
      <c r="B4207">
        <v>243369635.51557755</v>
      </c>
    </row>
    <row r="4208" spans="1:2" x14ac:dyDescent="0.25">
      <c r="A4208">
        <f ca="1">27504.3386057018*((RANDBETWEEN(1587,2416)))</f>
        <v>46619853.936664537</v>
      </c>
      <c r="B4208">
        <v>264271296.29394671</v>
      </c>
    </row>
    <row r="4209" spans="1:2" x14ac:dyDescent="0.25">
      <c r="A4209">
        <f ca="1">32881.5845537052*((RANDBETWEEN(1587,2416)))</f>
        <v>71353038.481540307</v>
      </c>
      <c r="B4209">
        <v>241149289.39789087</v>
      </c>
    </row>
    <row r="4210" spans="1:2" x14ac:dyDescent="0.25">
      <c r="A4210">
        <f ca="1">29550.2702182726*((RANDBETWEEN(1587,2416)))</f>
        <v>54727100.444240786</v>
      </c>
      <c r="B4210">
        <v>222168698.42075673</v>
      </c>
    </row>
    <row r="4211" spans="1:2" x14ac:dyDescent="0.25">
      <c r="A4211">
        <f ca="1">31898.6603688138*((RANDBETWEEN(1587,2416)))</f>
        <v>70464140.754709572</v>
      </c>
      <c r="B4211">
        <v>257563078.43565023</v>
      </c>
    </row>
    <row r="4212" spans="1:2" x14ac:dyDescent="0.25">
      <c r="A4212">
        <f ca="1">30500.9862280192*((RANDBETWEEN(1587,2416)))</f>
        <v>49442098.675619096</v>
      </c>
      <c r="B4212">
        <v>221993828.92181978</v>
      </c>
    </row>
    <row r="4213" spans="1:2" x14ac:dyDescent="0.25">
      <c r="A4213">
        <f ca="1">26059.5249438914*((RANDBETWEEN(1587,2416)))</f>
        <v>62516800.340395547</v>
      </c>
      <c r="B4213">
        <v>245379733.60308543</v>
      </c>
    </row>
    <row r="4214" spans="1:2" x14ac:dyDescent="0.25">
      <c r="A4214">
        <f ca="1">31169.4590389268*((RANDBETWEEN(1587,2416)))</f>
        <v>71159874.985869899</v>
      </c>
      <c r="B4214">
        <v>267759730.40361679</v>
      </c>
    </row>
    <row r="4215" spans="1:2" x14ac:dyDescent="0.25">
      <c r="A4215">
        <f ca="1">32301.5439501615*((RANDBETWEEN(1587,2416)))</f>
        <v>66153562.009930655</v>
      </c>
      <c r="B4215">
        <v>219402415.69326538</v>
      </c>
    </row>
    <row r="4216" spans="1:2" x14ac:dyDescent="0.25">
      <c r="A4216">
        <f ca="1">28365.7716770921*((RANDBETWEEN(1587,2416)))</f>
        <v>56079130.605611056</v>
      </c>
      <c r="B4216">
        <v>238030145.17032546</v>
      </c>
    </row>
    <row r="4217" spans="1:2" x14ac:dyDescent="0.25">
      <c r="A4217">
        <f ca="1">27280.4473332098*((RANDBETWEEN(1587,2416)))</f>
        <v>44712653.17913086</v>
      </c>
      <c r="B4217">
        <v>225604810.23140386</v>
      </c>
    </row>
    <row r="4218" spans="1:2" x14ac:dyDescent="0.25">
      <c r="A4218">
        <f ca="1">27866.635641515*((RANDBETWEEN(1587,2416)))</f>
        <v>54423539.407878809</v>
      </c>
      <c r="B4218">
        <v>238811632.52561617</v>
      </c>
    </row>
    <row r="4219" spans="1:2" x14ac:dyDescent="0.25">
      <c r="A4219">
        <f ca="1">33055.1617865095*((RANDBETWEEN(1587,2416)))</f>
        <v>55896278.58098758</v>
      </c>
      <c r="B4219">
        <v>207043147.01592836</v>
      </c>
    </row>
    <row r="4220" spans="1:2" x14ac:dyDescent="0.25">
      <c r="A4220">
        <f ca="1">28084.7218019484*((RANDBETWEEN(1587,2416)))</f>
        <v>63471471.272403471</v>
      </c>
      <c r="B4220">
        <v>257984431.42727134</v>
      </c>
    </row>
    <row r="4221" spans="1:2" x14ac:dyDescent="0.25">
      <c r="A4221">
        <f ca="1">29303.0936745897*((RANDBETWEEN(1587,2416)))</f>
        <v>51456232.492579557</v>
      </c>
      <c r="B4221">
        <v>218732789.86360276</v>
      </c>
    </row>
    <row r="4222" spans="1:2" x14ac:dyDescent="0.25">
      <c r="A4222">
        <f ca="1">27954.537566485*((RANDBETWEEN(1587,2416)))</f>
        <v>58704528.889618531</v>
      </c>
      <c r="B4222">
        <v>234503786.78292379</v>
      </c>
    </row>
    <row r="4223" spans="1:2" x14ac:dyDescent="0.25">
      <c r="A4223">
        <f ca="1">32384.6762670097*((RANDBETWEEN(1587,2416)))</f>
        <v>72120674.046630666</v>
      </c>
      <c r="B4223">
        <v>217134230.89407462</v>
      </c>
    </row>
    <row r="4224" spans="1:2" x14ac:dyDescent="0.25">
      <c r="A4224">
        <f ca="1">32039.5376177491*((RANDBETWEEN(1587,2416)))</f>
        <v>59080907.3671294</v>
      </c>
      <c r="B4224">
        <v>217487217.46517298</v>
      </c>
    </row>
    <row r="4225" spans="1:2" x14ac:dyDescent="0.25">
      <c r="A4225">
        <f ca="1">30511.5568204909*((RANDBETWEEN(1587,2416)))</f>
        <v>67155936.561900467</v>
      </c>
      <c r="B4225">
        <v>232931332.19520378</v>
      </c>
    </row>
    <row r="4226" spans="1:2" x14ac:dyDescent="0.25">
      <c r="A4226">
        <f ca="1">29817.3769823033*((RANDBETWEEN(1587,2416)))</f>
        <v>69772662.138589725</v>
      </c>
      <c r="B4226">
        <v>205310802.79911485</v>
      </c>
    </row>
    <row r="4227" spans="1:2" x14ac:dyDescent="0.25">
      <c r="A4227">
        <f ca="1">29064.0517895793*((RANDBETWEEN(1587,2416)))</f>
        <v>59959138.841902144</v>
      </c>
      <c r="B4227">
        <v>231106559.62374383</v>
      </c>
    </row>
    <row r="4228" spans="1:2" x14ac:dyDescent="0.25">
      <c r="A4228">
        <f ca="1">27044.7051088001*((RANDBETWEEN(1587,2416)))</f>
        <v>45813730.454307407</v>
      </c>
      <c r="B4228">
        <v>230266807.48061913</v>
      </c>
    </row>
    <row r="4229" spans="1:2" x14ac:dyDescent="0.25">
      <c r="A4229">
        <f ca="1">31890.1077067823*((RANDBETWEEN(1587,2416)))</f>
        <v>76536258.496277556</v>
      </c>
      <c r="B4229">
        <v>210618144.99394181</v>
      </c>
    </row>
    <row r="4230" spans="1:2" x14ac:dyDescent="0.25">
      <c r="A4230">
        <f ca="1">31003.9807407377*((RANDBETWEEN(1587,2416)))</f>
        <v>73758470.182214931</v>
      </c>
      <c r="B4230">
        <v>241410237.66849437</v>
      </c>
    </row>
    <row r="4231" spans="1:2" x14ac:dyDescent="0.25">
      <c r="A4231">
        <f ca="1">28716.9456133295*((RANDBETWEEN(1587,2416)))</f>
        <v>67944293.321137562</v>
      </c>
      <c r="B4231">
        <v>250964404.60961419</v>
      </c>
    </row>
    <row r="4232" spans="1:2" x14ac:dyDescent="0.25">
      <c r="A4232">
        <f ca="1">30268.2911352942*((RANDBETWEEN(1587,2416)))</f>
        <v>59598265.24539426</v>
      </c>
      <c r="B4232">
        <v>252103866.35103083</v>
      </c>
    </row>
    <row r="4233" spans="1:2" x14ac:dyDescent="0.25">
      <c r="A4233">
        <f ca="1">27916.5700187356*((RANDBETWEEN(1587,2416)))</f>
        <v>49049413.522918455</v>
      </c>
      <c r="B4233">
        <v>236530307.87285829</v>
      </c>
    </row>
    <row r="4234" spans="1:2" x14ac:dyDescent="0.25">
      <c r="A4234">
        <f ca="1">32384.0412501819*((RANDBETWEEN(1587,2416)))</f>
        <v>64994770.789115138</v>
      </c>
      <c r="B4234">
        <v>251553809.36418414</v>
      </c>
    </row>
    <row r="4235" spans="1:2" x14ac:dyDescent="0.25">
      <c r="A4235">
        <f ca="1">26482.031961019*((RANDBETWEEN(1587,2416)))</f>
        <v>56565620.268736631</v>
      </c>
      <c r="B4235">
        <v>219211257.36407724</v>
      </c>
    </row>
    <row r="4236" spans="1:2" x14ac:dyDescent="0.25">
      <c r="A4236">
        <f ca="1">31593.6326420394*((RANDBETWEEN(1587,2416)))</f>
        <v>60880930.101209976</v>
      </c>
      <c r="B4236">
        <v>249119094.5090909</v>
      </c>
    </row>
    <row r="4237" spans="1:2" x14ac:dyDescent="0.25">
      <c r="A4237">
        <f ca="1">30902.1655243024*((RANDBETWEEN(1587,2416)))</f>
        <v>57230810.551007994</v>
      </c>
      <c r="B4237">
        <v>245678374.98964247</v>
      </c>
    </row>
    <row r="4238" spans="1:2" x14ac:dyDescent="0.25">
      <c r="A4238">
        <f ca="1">26753.139170335*((RANDBETWEEN(1587,2416)))</f>
        <v>48289416.202454701</v>
      </c>
      <c r="B4238">
        <v>220641651.45754114</v>
      </c>
    </row>
    <row r="4239" spans="1:2" x14ac:dyDescent="0.25">
      <c r="A4239">
        <f ca="1">29086.240513268*((RANDBETWEEN(1587,2416)))</f>
        <v>62448158.381986387</v>
      </c>
      <c r="B4239">
        <v>228187961.97683308</v>
      </c>
    </row>
    <row r="4240" spans="1:2" x14ac:dyDescent="0.25">
      <c r="A4240">
        <f ca="1">32620.1373626166*((RANDBETWEEN(1587,2416)))</f>
        <v>59727471.510950945</v>
      </c>
      <c r="B4240">
        <v>226229987.3385551</v>
      </c>
    </row>
    <row r="4241" spans="1:2" x14ac:dyDescent="0.25">
      <c r="A4241">
        <f ca="1">27984.7370440515*((RANDBETWEEN(1587,2416)))</f>
        <v>45111396.115011066</v>
      </c>
      <c r="B4241">
        <v>215008600.55634946</v>
      </c>
    </row>
    <row r="4242" spans="1:2" x14ac:dyDescent="0.25">
      <c r="A4242">
        <f ca="1">31247.7999356787*((RANDBETWEEN(1587,2416)))</f>
        <v>70838762.454183683</v>
      </c>
      <c r="B4242">
        <v>244227464.55215031</v>
      </c>
    </row>
    <row r="4243" spans="1:2" x14ac:dyDescent="0.25">
      <c r="A4243">
        <f ca="1">31078.4974918742*((RANDBETWEEN(1587,2416)))</f>
        <v>66103964.165216379</v>
      </c>
      <c r="B4243">
        <v>252450289.38673696</v>
      </c>
    </row>
    <row r="4244" spans="1:2" x14ac:dyDescent="0.25">
      <c r="A4244">
        <f ca="1">30328.9687992171*((RANDBETWEEN(1587,2416)))</f>
        <v>68027877.016643897</v>
      </c>
      <c r="B4244">
        <v>241438383.40033507</v>
      </c>
    </row>
    <row r="4245" spans="1:2" x14ac:dyDescent="0.25">
      <c r="A4245">
        <f ca="1">31512.809343779*((RANDBETWEEN(1587,2416)))</f>
        <v>52027648.226579137</v>
      </c>
      <c r="B4245">
        <v>235826635.26590717</v>
      </c>
    </row>
    <row r="4246" spans="1:2" x14ac:dyDescent="0.25">
      <c r="A4246">
        <f ca="1">30877.7701919024*((RANDBETWEEN(1587,2416)))</f>
        <v>63639084.365510918</v>
      </c>
      <c r="B4246">
        <v>216314001.22941428</v>
      </c>
    </row>
    <row r="4247" spans="1:2" x14ac:dyDescent="0.25">
      <c r="A4247">
        <f ca="1">32748.1635932661*((RANDBETWEEN(1587,2416)))</f>
        <v>53575995.638583355</v>
      </c>
      <c r="B4247">
        <v>246183501.35621226</v>
      </c>
    </row>
    <row r="4248" spans="1:2" x14ac:dyDescent="0.25">
      <c r="A4248">
        <f ca="1">30212.6486076035*((RANDBETWEEN(1587,2416)))</f>
        <v>61784866.402549095</v>
      </c>
      <c r="B4248">
        <v>224914755.56111267</v>
      </c>
    </row>
    <row r="4249" spans="1:2" x14ac:dyDescent="0.25">
      <c r="A4249">
        <f ca="1">34081.4362283319*((RANDBETWEEN(1587,2416)))</f>
        <v>68605931.127632052</v>
      </c>
      <c r="B4249">
        <v>264857529.07407042</v>
      </c>
    </row>
    <row r="4250" spans="1:2" x14ac:dyDescent="0.25">
      <c r="A4250">
        <f ca="1">29643.7565549343*((RANDBETWEEN(1587,2416)))</f>
        <v>50572248.682717964</v>
      </c>
      <c r="B4250">
        <v>216314497.37872341</v>
      </c>
    </row>
    <row r="4251" spans="1:2" x14ac:dyDescent="0.25">
      <c r="A4251">
        <f ca="1">30757.2997630844*((RANDBETWEEN(1587,2416)))</f>
        <v>59423103.142279051</v>
      </c>
      <c r="B4251">
        <v>257122976.65563998</v>
      </c>
    </row>
    <row r="4252" spans="1:2" x14ac:dyDescent="0.25">
      <c r="A4252">
        <f ca="1">28539.5649387771*((RANDBETWEEN(1587,2416)))</f>
        <v>68352258.02837117</v>
      </c>
      <c r="B4252">
        <v>206752842.65411809</v>
      </c>
    </row>
    <row r="4253" spans="1:2" x14ac:dyDescent="0.25">
      <c r="A4253">
        <f ca="1">33076.9447167496*((RANDBETWEEN(1587,2416)))</f>
        <v>66914659.161984377</v>
      </c>
      <c r="B4253">
        <v>235625900.05814976</v>
      </c>
    </row>
    <row r="4254" spans="1:2" x14ac:dyDescent="0.25">
      <c r="A4254">
        <f ca="1">27459.1933259252*((RANDBETWEEN(1587,2416)))</f>
        <v>61865562.563309409</v>
      </c>
      <c r="B4254">
        <v>212015861.49349725</v>
      </c>
    </row>
    <row r="4255" spans="1:2" x14ac:dyDescent="0.25">
      <c r="A4255">
        <f ca="1">25211.1321729342*((RANDBETWEEN(1587,2416)))</f>
        <v>56145191.349124394</v>
      </c>
      <c r="B4255">
        <v>240287278.34894937</v>
      </c>
    </row>
    <row r="4256" spans="1:2" x14ac:dyDescent="0.25">
      <c r="A4256">
        <f ca="1">31009.1258950189*((RANDBETWEEN(1587,2416)))</f>
        <v>53211660.035852492</v>
      </c>
      <c r="B4256">
        <v>240515744.84491789</v>
      </c>
    </row>
    <row r="4257" spans="1:2" x14ac:dyDescent="0.25">
      <c r="A4257">
        <f ca="1">30263.4849169859*((RANDBETWEEN(1587,2416)))</f>
        <v>53687422.242733061</v>
      </c>
      <c r="B4257">
        <v>203980054.69846174</v>
      </c>
    </row>
    <row r="4258" spans="1:2" x14ac:dyDescent="0.25">
      <c r="A4258">
        <f ca="1">30686.9280429221*((RANDBETWEEN(1587,2416)))</f>
        <v>49405954.149104536</v>
      </c>
      <c r="B4258">
        <v>262126174.98436433</v>
      </c>
    </row>
    <row r="4259" spans="1:2" x14ac:dyDescent="0.25">
      <c r="A4259">
        <f ca="1">27397.22035068*((RANDBETWEEN(1587,2416)))</f>
        <v>55890329.51538717</v>
      </c>
      <c r="B4259">
        <v>250752096.32290781</v>
      </c>
    </row>
    <row r="4260" spans="1:2" x14ac:dyDescent="0.25">
      <c r="A4260">
        <f ca="1">27869.761093463*((RANDBETWEEN(1587,2416)))</f>
        <v>60923297.750310212</v>
      </c>
      <c r="B4260">
        <v>204500731.59693533</v>
      </c>
    </row>
    <row r="4261" spans="1:2" x14ac:dyDescent="0.25">
      <c r="A4261">
        <f ca="1">31001.7704263224*((RANDBETWEEN(1587,2416)))</f>
        <v>66529799.334887877</v>
      </c>
      <c r="B4261">
        <v>266954223.64102793</v>
      </c>
    </row>
    <row r="4262" spans="1:2" x14ac:dyDescent="0.25">
      <c r="A4262">
        <f ca="1">33305.3498577031*((RANDBETWEEN(1587,2416)))</f>
        <v>54853911.215637065</v>
      </c>
      <c r="B4262">
        <v>226998615.71282282</v>
      </c>
    </row>
    <row r="4263" spans="1:2" x14ac:dyDescent="0.25">
      <c r="A4263">
        <f ca="1">29745.8317885733*((RANDBETWEEN(1587,2416)))</f>
        <v>71241267.133633107</v>
      </c>
      <c r="B4263">
        <v>261371960.7496652</v>
      </c>
    </row>
    <row r="4264" spans="1:2" x14ac:dyDescent="0.25">
      <c r="A4264">
        <f ca="1">33712.431145221*((RANDBETWEEN(1587,2416)))</f>
        <v>66278639.631504387</v>
      </c>
      <c r="B4264">
        <v>264364551.03064218</v>
      </c>
    </row>
    <row r="4265" spans="1:2" x14ac:dyDescent="0.25">
      <c r="A4265">
        <f ca="1">29176.1752396844*((RANDBETWEEN(1587,2416)))</f>
        <v>46827761.259693451</v>
      </c>
      <c r="B4265">
        <v>224629992.28913793</v>
      </c>
    </row>
    <row r="4266" spans="1:2" x14ac:dyDescent="0.25">
      <c r="A4266">
        <f ca="1">30536.7667949492*((RANDBETWEEN(1587,2416)))</f>
        <v>62264467.494901344</v>
      </c>
      <c r="B4266">
        <v>265906562.37189475</v>
      </c>
    </row>
    <row r="4267" spans="1:2" x14ac:dyDescent="0.25">
      <c r="A4267">
        <f ca="1">30984.7313859676*((RANDBETWEEN(1587,2416)))</f>
        <v>72473286.711778238</v>
      </c>
      <c r="B4267">
        <v>239226538.96014646</v>
      </c>
    </row>
    <row r="4268" spans="1:2" x14ac:dyDescent="0.25">
      <c r="A4268">
        <f ca="1">27875.6279370012*((RANDBETWEEN(1587,2416)))</f>
        <v>49590742.099925153</v>
      </c>
      <c r="B4268">
        <v>264448380.82324344</v>
      </c>
    </row>
    <row r="4269" spans="1:2" x14ac:dyDescent="0.25">
      <c r="A4269">
        <f ca="1">28174.5438114799*((RANDBETWEEN(1587,2416)))</f>
        <v>45811808.23746638</v>
      </c>
      <c r="B4269">
        <v>215747917.2125136</v>
      </c>
    </row>
    <row r="4270" spans="1:2" x14ac:dyDescent="0.25">
      <c r="A4270">
        <f ca="1">32243.1820447637*((RANDBETWEEN(1587,2416)))</f>
        <v>63970473.176811203</v>
      </c>
      <c r="B4270">
        <v>248557729.20071632</v>
      </c>
    </row>
    <row r="4271" spans="1:2" x14ac:dyDescent="0.25">
      <c r="A4271">
        <f ca="1">26875.8728929695*((RANDBETWEEN(1587,2416)))</f>
        <v>54853656.574550793</v>
      </c>
      <c r="B4271">
        <v>219346465.11883852</v>
      </c>
    </row>
    <row r="4272" spans="1:2" x14ac:dyDescent="0.25">
      <c r="A4272">
        <f ca="1">33831.3089168699*((RANDBETWEEN(1587,2416)))</f>
        <v>66343196.785981849</v>
      </c>
      <c r="B4272">
        <v>219150458.07007247</v>
      </c>
    </row>
    <row r="4273" spans="1:2" x14ac:dyDescent="0.25">
      <c r="A4273">
        <f ca="1">29882.0731745333*((RANDBETWEEN(1587,2416)))</f>
        <v>61766245.251760356</v>
      </c>
      <c r="B4273">
        <v>231791591.15493324</v>
      </c>
    </row>
    <row r="4274" spans="1:2" x14ac:dyDescent="0.25">
      <c r="A4274">
        <f ca="1">27707.0350533355*((RANDBETWEEN(1587,2416)))</f>
        <v>66053571.567151852</v>
      </c>
      <c r="B4274">
        <v>204446937.0036754</v>
      </c>
    </row>
    <row r="4275" spans="1:2" x14ac:dyDescent="0.25">
      <c r="A4275">
        <f ca="1">28453.6981959759*((RANDBETWEEN(1587,2416)))</f>
        <v>49537888.559194095</v>
      </c>
      <c r="B4275">
        <v>245097862.29401231</v>
      </c>
    </row>
    <row r="4276" spans="1:2" x14ac:dyDescent="0.25">
      <c r="A4276">
        <f ca="1">31716.6297273646*((RANDBETWEEN(1587,2416)))</f>
        <v>58326882.068623506</v>
      </c>
      <c r="B4276">
        <v>229633658.63675982</v>
      </c>
    </row>
    <row r="4277" spans="1:2" x14ac:dyDescent="0.25">
      <c r="A4277">
        <f ca="1">32631.0214390304*((RANDBETWEEN(1587,2416)))</f>
        <v>70678792.436939806</v>
      </c>
      <c r="B4277">
        <v>212122816.5494251</v>
      </c>
    </row>
    <row r="4278" spans="1:2" x14ac:dyDescent="0.25">
      <c r="A4278">
        <f ca="1">29805.4022593525*((RANDBETWEEN(1587,2416)))</f>
        <v>52397897.171941705</v>
      </c>
      <c r="B4278">
        <v>262595800.38308141</v>
      </c>
    </row>
    <row r="4279" spans="1:2" x14ac:dyDescent="0.25">
      <c r="A4279">
        <f ca="1">31305.8372438117*((RANDBETWEEN(1587,2416)))</f>
        <v>64771777.257446311</v>
      </c>
      <c r="B4279">
        <v>253773208.49317881</v>
      </c>
    </row>
    <row r="4280" spans="1:2" x14ac:dyDescent="0.25">
      <c r="A4280">
        <f ca="1">29902.7362691372*((RANDBETWEEN(1587,2416)))</f>
        <v>62436913.329958431</v>
      </c>
      <c r="B4280">
        <v>228742173.9315964</v>
      </c>
    </row>
    <row r="4281" spans="1:2" x14ac:dyDescent="0.25">
      <c r="A4281">
        <f ca="1">28379.9359750934*((RANDBETWEEN(1587,2416)))</f>
        <v>54830036.303880423</v>
      </c>
      <c r="B4281">
        <v>246209689.96432903</v>
      </c>
    </row>
    <row r="4282" spans="1:2" x14ac:dyDescent="0.25">
      <c r="A4282">
        <f ca="1">32653.8205609335*((RANDBETWEEN(1587,2416)))</f>
        <v>56458455.749853984</v>
      </c>
      <c r="B4282">
        <v>211510774.19251657</v>
      </c>
    </row>
    <row r="4283" spans="1:2" x14ac:dyDescent="0.25">
      <c r="A4283">
        <f ca="1">31829.8930663534*((RANDBETWEEN(1587,2416)))</f>
        <v>54842905.753326826</v>
      </c>
      <c r="B4283">
        <v>262455680.07289445</v>
      </c>
    </row>
    <row r="4284" spans="1:2" x14ac:dyDescent="0.25">
      <c r="A4284">
        <f ca="1">33031.3129822688*((RANDBETWEEN(1587,2416)))</f>
        <v>60150020.940711468</v>
      </c>
      <c r="B4284">
        <v>228666975.6897558</v>
      </c>
    </row>
    <row r="4285" spans="1:2" x14ac:dyDescent="0.25">
      <c r="A4285">
        <f ca="1">27408.8612837438*((RANDBETWEEN(1587,2416)))</f>
        <v>61806982.194842219</v>
      </c>
      <c r="B4285">
        <v>218730842.9432824</v>
      </c>
    </row>
    <row r="4286" spans="1:2" x14ac:dyDescent="0.25">
      <c r="A4286">
        <f ca="1">28821.7172836184*((RANDBETWEEN(1587,2416)))</f>
        <v>45941817.350087784</v>
      </c>
      <c r="B4286">
        <v>252571542.02788731</v>
      </c>
    </row>
    <row r="4287" spans="1:2" x14ac:dyDescent="0.25">
      <c r="A4287">
        <f ca="1">32115.593215739*((RANDBETWEEN(1587,2416)))</f>
        <v>50967446.433377758</v>
      </c>
      <c r="B4287">
        <v>219798822.52236187</v>
      </c>
    </row>
    <row r="4288" spans="1:2" x14ac:dyDescent="0.25">
      <c r="A4288">
        <f ca="1">27996.2539519262*((RANDBETWEEN(1587,2416)))</f>
        <v>47257676.670851514</v>
      </c>
      <c r="B4288">
        <v>252127545.0001336</v>
      </c>
    </row>
    <row r="4289" spans="1:2" x14ac:dyDescent="0.25">
      <c r="A4289">
        <f ca="1">30757.8789366259*((RANDBETWEEN(1587,2416)))</f>
        <v>62776830.909653485</v>
      </c>
      <c r="B4289">
        <v>256867892.26017624</v>
      </c>
    </row>
    <row r="4290" spans="1:2" x14ac:dyDescent="0.25">
      <c r="A4290">
        <f ca="1">33374.9655477862*((RANDBETWEEN(1587,2416)))</f>
        <v>80099917.314686924</v>
      </c>
      <c r="B4290">
        <v>218735142.61221057</v>
      </c>
    </row>
    <row r="4291" spans="1:2" x14ac:dyDescent="0.25">
      <c r="A4291">
        <f ca="1">29651.610889346*((RANDBETWEEN(1587,2416)))</f>
        <v>54054886.651277766</v>
      </c>
      <c r="B4291">
        <v>246253218.17042145</v>
      </c>
    </row>
    <row r="4292" spans="1:2" x14ac:dyDescent="0.25">
      <c r="A4292">
        <f ca="1">28655.3060106407*((RANDBETWEEN(1587,2416)))</f>
        <v>51436274.28910014</v>
      </c>
      <c r="B4292">
        <v>204011927.64778244</v>
      </c>
    </row>
    <row r="4293" spans="1:2" x14ac:dyDescent="0.25">
      <c r="A4293">
        <f ca="1">32762.4739079963*((RANDBETWEEN(1587,2416)))</f>
        <v>59496652.616921216</v>
      </c>
      <c r="B4293">
        <v>241645963.38627815</v>
      </c>
    </row>
    <row r="4294" spans="1:2" x14ac:dyDescent="0.25">
      <c r="A4294">
        <f ca="1">32385.8721972576*((RANDBETWEEN(1587,2416)))</f>
        <v>67751244.636662826</v>
      </c>
      <c r="B4294">
        <v>223591766.5779112</v>
      </c>
    </row>
    <row r="4295" spans="1:2" x14ac:dyDescent="0.25">
      <c r="A4295">
        <f ca="1">32644.6699771408*((RANDBETWEEN(1587,2416)))</f>
        <v>78020761.245366395</v>
      </c>
      <c r="B4295">
        <v>231077224.97160619</v>
      </c>
    </row>
    <row r="4296" spans="1:2" x14ac:dyDescent="0.25">
      <c r="A4296">
        <f ca="1">28068.8225867821*((RANDBETWEEN(1587,2416)))</f>
        <v>63098713.175086074</v>
      </c>
      <c r="B4296">
        <v>259864608.4492076</v>
      </c>
    </row>
    <row r="4297" spans="1:2" x14ac:dyDescent="0.25">
      <c r="A4297">
        <f ca="1">30211.9444427436*((RANDBETWEEN(1587,2416)))</f>
        <v>58188204.996724263</v>
      </c>
      <c r="B4297">
        <v>222091145.44664049</v>
      </c>
    </row>
    <row r="4298" spans="1:2" x14ac:dyDescent="0.25">
      <c r="A4298">
        <f ca="1">28308.4846122584*((RANDBETWEEN(1587,2416)))</f>
        <v>48832135.956145763</v>
      </c>
      <c r="B4298">
        <v>213843846.83979928</v>
      </c>
    </row>
    <row r="4299" spans="1:2" x14ac:dyDescent="0.25">
      <c r="A4299">
        <f ca="1">32576.5931784883*((RANDBETWEEN(1587,2416)))</f>
        <v>75936038.699056178</v>
      </c>
      <c r="B4299">
        <v>214629140.89372391</v>
      </c>
    </row>
    <row r="4300" spans="1:2" x14ac:dyDescent="0.25">
      <c r="A4300">
        <f ca="1">31680.2903362996*((RANDBETWEEN(1587,2416)))</f>
        <v>76444540.581490889</v>
      </c>
      <c r="B4300">
        <v>211578143.46788818</v>
      </c>
    </row>
    <row r="4301" spans="1:2" x14ac:dyDescent="0.25">
      <c r="A4301">
        <f ca="1">27379.0406258518*((RANDBETWEEN(1587,2416)))</f>
        <v>53662919.626669534</v>
      </c>
      <c r="B4301">
        <v>208938794.09328839</v>
      </c>
    </row>
    <row r="4302" spans="1:2" x14ac:dyDescent="0.25">
      <c r="A4302">
        <f ca="1">27281.8220205767*((RANDBETWEEN(1587,2416)))</f>
        <v>63293827.087738052</v>
      </c>
      <c r="B4302">
        <v>256275002.30145663</v>
      </c>
    </row>
    <row r="4303" spans="1:2" x14ac:dyDescent="0.25">
      <c r="A4303">
        <f ca="1">33596.5624197597*((RANDBETWEEN(1587,2416)))</f>
        <v>65580489.843370989</v>
      </c>
      <c r="B4303">
        <v>236848012.51994082</v>
      </c>
    </row>
    <row r="4304" spans="1:2" x14ac:dyDescent="0.25">
      <c r="A4304">
        <f ca="1">32869.9168056677*((RANDBETWEEN(1587,2416)))</f>
        <v>57686703.993946895</v>
      </c>
      <c r="B4304">
        <v>227297118.94254321</v>
      </c>
    </row>
    <row r="4305" spans="1:2" x14ac:dyDescent="0.25">
      <c r="A4305">
        <f ca="1">28004.1047122342*((RANDBETWEEN(1587,2416)))</f>
        <v>66481744.586844064</v>
      </c>
      <c r="B4305">
        <v>255350602.66583163</v>
      </c>
    </row>
    <row r="4306" spans="1:2" x14ac:dyDescent="0.25">
      <c r="A4306">
        <f ca="1">31794.6243729279*((RANDBETWEEN(1587,2416)))</f>
        <v>66927684.305013165</v>
      </c>
      <c r="B4306">
        <v>254830736.79593235</v>
      </c>
    </row>
    <row r="4307" spans="1:2" x14ac:dyDescent="0.25">
      <c r="A4307">
        <f ca="1">28543.1642496053*((RANDBETWEEN(1587,2416)))</f>
        <v>50121796.422306903</v>
      </c>
      <c r="B4307">
        <v>234527800.67320612</v>
      </c>
    </row>
    <row r="4308" spans="1:2" x14ac:dyDescent="0.25">
      <c r="A4308">
        <f ca="1">29115.9991743473*((RANDBETWEEN(1587,2416)))</f>
        <v>56921778.385849021</v>
      </c>
      <c r="B4308">
        <v>246375849.9214375</v>
      </c>
    </row>
    <row r="4309" spans="1:2" x14ac:dyDescent="0.25">
      <c r="A4309">
        <f ca="1">31856.5509303699*((RANDBETWEEN(1587,2416)))</f>
        <v>54602128.294654027</v>
      </c>
      <c r="B4309">
        <v>209339658.88235313</v>
      </c>
    </row>
    <row r="4310" spans="1:2" x14ac:dyDescent="0.25">
      <c r="A4310">
        <f ca="1">33756.7997406197*((RANDBETWEEN(1587,2416)))</f>
        <v>64137919.507177383</v>
      </c>
      <c r="B4310">
        <v>231713865.65994832</v>
      </c>
    </row>
    <row r="4311" spans="1:2" x14ac:dyDescent="0.25">
      <c r="A4311">
        <f ca="1">28350.8205455056*((RANDBETWEEN(1587,2416)))</f>
        <v>53129437.702277549</v>
      </c>
      <c r="B4311">
        <v>243951170.83001518</v>
      </c>
    </row>
    <row r="4312" spans="1:2" x14ac:dyDescent="0.25">
      <c r="A4312">
        <f ca="1">29667.1746879454*((RANDBETWEEN(1587,2416)))</f>
        <v>60046361.568401434</v>
      </c>
      <c r="B4312">
        <v>229793017.69543433</v>
      </c>
    </row>
    <row r="4313" spans="1:2" x14ac:dyDescent="0.25">
      <c r="A4313">
        <f ca="1">26747.3820521931*((RANDBETWEEN(1587,2416)))</f>
        <v>48332519.36831297</v>
      </c>
      <c r="B4313">
        <v>216733522.88164073</v>
      </c>
    </row>
    <row r="4314" spans="1:2" x14ac:dyDescent="0.25">
      <c r="A4314">
        <f ca="1">29401.9380564271*((RANDBETWEEN(1587,2416)))</f>
        <v>53099900.129907414</v>
      </c>
      <c r="B4314">
        <v>223765904.28856468</v>
      </c>
    </row>
    <row r="4315" spans="1:2" x14ac:dyDescent="0.25">
      <c r="A4315">
        <f ca="1">32522.7096208659*((RANDBETWEEN(1587,2416)))</f>
        <v>59776740.283151522</v>
      </c>
      <c r="B4315">
        <v>219045452.8487072</v>
      </c>
    </row>
    <row r="4316" spans="1:2" x14ac:dyDescent="0.25">
      <c r="A4316">
        <f ca="1">27307.5873114626*((RANDBETWEEN(1587,2416)))</f>
        <v>58383621.67190703</v>
      </c>
      <c r="B4316">
        <v>213159055.27167112</v>
      </c>
    </row>
    <row r="4317" spans="1:2" x14ac:dyDescent="0.25">
      <c r="A4317">
        <f ca="1">32353.6256276107*((RANDBETWEEN(1587,2416)))</f>
        <v>54386444.680013657</v>
      </c>
      <c r="B4317">
        <v>249074355.2334933</v>
      </c>
    </row>
    <row r="4318" spans="1:2" x14ac:dyDescent="0.25">
      <c r="A4318">
        <f ca="1">31335.264657767*((RANDBETWEEN(1587,2416)))</f>
        <v>71099715.508473352</v>
      </c>
      <c r="B4318">
        <v>208036693.17683658</v>
      </c>
    </row>
    <row r="4319" spans="1:2" x14ac:dyDescent="0.25">
      <c r="A4319">
        <f ca="1">28783.8110612868*((RANDBETWEEN(1587,2416)))</f>
        <v>53681807.629299879</v>
      </c>
      <c r="B4319">
        <v>222847789.55697376</v>
      </c>
    </row>
    <row r="4320" spans="1:2" x14ac:dyDescent="0.25">
      <c r="A4320">
        <f ca="1">33107.6759592841*((RANDBETWEEN(1587,2416)))</f>
        <v>79491529.978241235</v>
      </c>
      <c r="B4320">
        <v>263807979.54268092</v>
      </c>
    </row>
    <row r="4321" spans="1:2" x14ac:dyDescent="0.25">
      <c r="A4321">
        <f ca="1">32073.9755115814*((RANDBETWEEN(1587,2416)))</f>
        <v>61806550.810817428</v>
      </c>
      <c r="B4321">
        <v>256252835.98915276</v>
      </c>
    </row>
    <row r="4322" spans="1:2" x14ac:dyDescent="0.25">
      <c r="A4322">
        <f ca="1">28584.3682822228*((RANDBETWEEN(1587,2416)))</f>
        <v>48707763.552907705</v>
      </c>
      <c r="B4322">
        <v>245351247.44332093</v>
      </c>
    </row>
    <row r="4323" spans="1:2" x14ac:dyDescent="0.25">
      <c r="A4323">
        <f ca="1">31932.2276231831*((RANDBETWEEN(1587,2416)))</f>
        <v>76765075.206132233</v>
      </c>
      <c r="B4323">
        <v>226958667.93863672</v>
      </c>
    </row>
    <row r="4324" spans="1:2" x14ac:dyDescent="0.25">
      <c r="A4324">
        <f ca="1">29528.7858718016*((RANDBETWEEN(1587,2416)))</f>
        <v>48692967.902600758</v>
      </c>
      <c r="B4324">
        <v>224512458.15166563</v>
      </c>
    </row>
    <row r="4325" spans="1:2" x14ac:dyDescent="0.25">
      <c r="A4325">
        <f ca="1">33792.6190777871*((RANDBETWEEN(1587,2416)))</f>
        <v>71809315.540297583</v>
      </c>
      <c r="B4325">
        <v>258268904.66334084</v>
      </c>
    </row>
    <row r="4326" spans="1:2" x14ac:dyDescent="0.25">
      <c r="A4326">
        <f ca="1">26297.2175918429*((RANDBETWEEN(1587,2416)))</f>
        <v>47177208.359766081</v>
      </c>
      <c r="B4326">
        <v>227381106.02393776</v>
      </c>
    </row>
    <row r="4327" spans="1:2" x14ac:dyDescent="0.25">
      <c r="A4327">
        <f ca="1">32144.9206496036*((RANDBETWEEN(1587,2416)))</f>
        <v>60111001.614758641</v>
      </c>
      <c r="B4327">
        <v>258755013.63037515</v>
      </c>
    </row>
    <row r="4328" spans="1:2" x14ac:dyDescent="0.25">
      <c r="A4328">
        <f ca="1">28832.5193957269*((RANDBETWEEN(1587,2416)))</f>
        <v>60663620.808609404</v>
      </c>
      <c r="B4328">
        <v>238755450.350411</v>
      </c>
    </row>
    <row r="4329" spans="1:2" x14ac:dyDescent="0.25">
      <c r="A4329">
        <f ca="1">29667.436076649*((RANDBETWEEN(1587,2416)))</f>
        <v>47764572.083404928</v>
      </c>
      <c r="B4329">
        <v>254921638.93498766</v>
      </c>
    </row>
    <row r="4330" spans="1:2" x14ac:dyDescent="0.25">
      <c r="A4330">
        <f ca="1">29167.7421557779*((RANDBETWEEN(1587,2416)))</f>
        <v>65394077.913254</v>
      </c>
      <c r="B4330">
        <v>230324487.38161862</v>
      </c>
    </row>
    <row r="4331" spans="1:2" x14ac:dyDescent="0.25">
      <c r="A4331">
        <f ca="1">27260.3522711493*((RANDBETWEEN(1587,2416)))</f>
        <v>57464822.587582737</v>
      </c>
      <c r="B4331">
        <v>205227839.85795295</v>
      </c>
    </row>
    <row r="4332" spans="1:2" x14ac:dyDescent="0.25">
      <c r="A4332">
        <f ca="1">25895.6081872453*((RANDBETWEEN(1587,2416)))</f>
        <v>48139935.620089039</v>
      </c>
      <c r="B4332">
        <v>238115042.88406965</v>
      </c>
    </row>
    <row r="4333" spans="1:2" x14ac:dyDescent="0.25">
      <c r="A4333">
        <f ca="1">33066.0243486419*((RANDBETWEEN(1587,2416)))</f>
        <v>61337475.166730776</v>
      </c>
      <c r="B4333">
        <v>204984019.71037808</v>
      </c>
    </row>
    <row r="4334" spans="1:2" x14ac:dyDescent="0.25">
      <c r="A4334">
        <f ca="1">26974.8681274627*((RANDBETWEEN(1587,2416)))</f>
        <v>46666521.860510483</v>
      </c>
      <c r="B4334">
        <v>224222838.77327198</v>
      </c>
    </row>
    <row r="4335" spans="1:2" x14ac:dyDescent="0.25">
      <c r="A4335">
        <f ca="1">33373.0896710088*((RANDBETWEEN(1587,2416)))</f>
        <v>54765240.150125399</v>
      </c>
      <c r="B4335">
        <v>245304485.0854539</v>
      </c>
    </row>
    <row r="4336" spans="1:2" x14ac:dyDescent="0.25">
      <c r="A4336">
        <f ca="1">31856.8334656316*((RANDBETWEEN(1587,2416)))</f>
        <v>52977914.053345285</v>
      </c>
      <c r="B4336">
        <v>225523983.33369622</v>
      </c>
    </row>
    <row r="4337" spans="1:2" x14ac:dyDescent="0.25">
      <c r="A4337">
        <f ca="1">28772.5469988594*((RANDBETWEEN(1587,2416)))</f>
        <v>51589176.768954881</v>
      </c>
      <c r="B4337">
        <v>258031821.67357478</v>
      </c>
    </row>
    <row r="4338" spans="1:2" x14ac:dyDescent="0.25">
      <c r="A4338">
        <f ca="1">31126.4638952845*((RANDBETWEEN(1587,2416)))</f>
        <v>71497487.567468613</v>
      </c>
      <c r="B4338">
        <v>252677130.9959414</v>
      </c>
    </row>
    <row r="4339" spans="1:2" x14ac:dyDescent="0.25">
      <c r="A4339">
        <f ca="1">26602.016252048*((RANDBETWEEN(1587,2416)))</f>
        <v>57646569.218187988</v>
      </c>
      <c r="B4339">
        <v>224277407.53225341</v>
      </c>
    </row>
    <row r="4340" spans="1:2" x14ac:dyDescent="0.25">
      <c r="A4340">
        <f ca="1">33188.6511484436*((RANDBETWEEN(1587,2416)))</f>
        <v>72284882.201310247</v>
      </c>
      <c r="B4340">
        <v>229155728.13011232</v>
      </c>
    </row>
    <row r="4341" spans="1:2" x14ac:dyDescent="0.25">
      <c r="A4341">
        <f ca="1">31346.6657838095*((RANDBETWEEN(1587,2416)))</f>
        <v>51189105.224960931</v>
      </c>
      <c r="B4341">
        <v>230736797.31289217</v>
      </c>
    </row>
    <row r="4342" spans="1:2" x14ac:dyDescent="0.25">
      <c r="A4342">
        <f ca="1">31364.0640873888*((RANDBETWEEN(1587,2416)))</f>
        <v>59466265.509689093</v>
      </c>
      <c r="B4342">
        <v>210652498.79667962</v>
      </c>
    </row>
    <row r="4343" spans="1:2" x14ac:dyDescent="0.25">
      <c r="A4343">
        <f ca="1">29323.1345523754*((RANDBETWEEN(1587,2416)))</f>
        <v>62780831.07663583</v>
      </c>
      <c r="B4343">
        <v>258201572.85738757</v>
      </c>
    </row>
    <row r="4344" spans="1:2" x14ac:dyDescent="0.25">
      <c r="A4344">
        <f ca="1">31218.1495099608*((RANDBETWEEN(1587,2416)))</f>
        <v>55006379.436550878</v>
      </c>
      <c r="B4344">
        <v>249920634.61729747</v>
      </c>
    </row>
    <row r="4345" spans="1:2" x14ac:dyDescent="0.25">
      <c r="A4345">
        <f ca="1">29262.4077545644*((RANDBETWEEN(1587,2416)))</f>
        <v>68532558.961189941</v>
      </c>
      <c r="B4345">
        <v>217752732.19934249</v>
      </c>
    </row>
    <row r="4346" spans="1:2" x14ac:dyDescent="0.25">
      <c r="A4346">
        <f ca="1">31785.8901937419*((RANDBETWEEN(1587,2416)))</f>
        <v>68212520.355770141</v>
      </c>
      <c r="B4346">
        <v>239171514.83243388</v>
      </c>
    </row>
    <row r="4347" spans="1:2" x14ac:dyDescent="0.25">
      <c r="A4347">
        <f ca="1">33976.4629473084*((RANDBETWEEN(1587,2416)))</f>
        <v>77194523.816284582</v>
      </c>
      <c r="B4347">
        <v>245721369.92202255</v>
      </c>
    </row>
    <row r="4348" spans="1:2" x14ac:dyDescent="0.25">
      <c r="A4348">
        <f ca="1">29393.6531636797*((RANDBETWEEN(1587,2416)))</f>
        <v>65371484.636023603</v>
      </c>
      <c r="B4348">
        <v>264010962.41174379</v>
      </c>
    </row>
    <row r="4349" spans="1:2" x14ac:dyDescent="0.25">
      <c r="A4349">
        <f ca="1">27024.2594248239*((RANDBETWEEN(1587,2416)))</f>
        <v>52940524.213229991</v>
      </c>
      <c r="B4349">
        <v>228835672.19263828</v>
      </c>
    </row>
    <row r="4350" spans="1:2" x14ac:dyDescent="0.25">
      <c r="A4350">
        <f ca="1">32280.3298816779*((RANDBETWEEN(1587,2416)))</f>
        <v>57265305.210096575</v>
      </c>
      <c r="B4350">
        <v>256722364.80541626</v>
      </c>
    </row>
    <row r="4351" spans="1:2" x14ac:dyDescent="0.25">
      <c r="A4351">
        <f ca="1">29952.8397686297*((RANDBETWEEN(1587,2416)))</f>
        <v>71886815.444711342</v>
      </c>
      <c r="B4351">
        <v>265393794.6061295</v>
      </c>
    </row>
    <row r="4352" spans="1:2" x14ac:dyDescent="0.25">
      <c r="A4352">
        <f ca="1">27343.9721231723*((RANDBETWEEN(1587,2416)))</f>
        <v>64941933.792534173</v>
      </c>
      <c r="B4352">
        <v>218861167.57930019</v>
      </c>
    </row>
    <row r="4353" spans="1:2" x14ac:dyDescent="0.25">
      <c r="A4353">
        <f ca="1">27089.4670193186*((RANDBETWEEN(1587,2416)))</f>
        <v>44670531.11485637</v>
      </c>
      <c r="B4353">
        <v>221551335.16585258</v>
      </c>
    </row>
    <row r="4354" spans="1:2" x14ac:dyDescent="0.25">
      <c r="A4354">
        <f ca="1">29085.2516099143*((RANDBETWEEN(1587,2416)))</f>
        <v>54971125.542738117</v>
      </c>
      <c r="B4354">
        <v>222126142.54645959</v>
      </c>
    </row>
    <row r="4355" spans="1:2" x14ac:dyDescent="0.25">
      <c r="A4355">
        <f ca="1">30922.1192776865*((RANDBETWEEN(1587,2416)))</f>
        <v>58690182.389048986</v>
      </c>
      <c r="B4355">
        <v>225689298.65485084</v>
      </c>
    </row>
    <row r="4356" spans="1:2" x14ac:dyDescent="0.25">
      <c r="A4356">
        <f ca="1">27030.088637781*((RANDBETWEEN(1587,2416)))</f>
        <v>55736042.7711045</v>
      </c>
      <c r="B4356">
        <v>236959657.44850844</v>
      </c>
    </row>
    <row r="4357" spans="1:2" x14ac:dyDescent="0.25">
      <c r="A4357">
        <f ca="1">31593.3713695694*((RANDBETWEEN(1587,2416)))</f>
        <v>74465576.318075165</v>
      </c>
      <c r="B4357">
        <v>256951610.29793012</v>
      </c>
    </row>
    <row r="4358" spans="1:2" x14ac:dyDescent="0.25">
      <c r="A4358">
        <f ca="1">29191.6861256182*((RANDBETWEEN(1587,2416)))</f>
        <v>51143834.092083029</v>
      </c>
      <c r="B4358">
        <v>248300116.54340386</v>
      </c>
    </row>
    <row r="4359" spans="1:2" x14ac:dyDescent="0.25">
      <c r="A4359">
        <f ca="1">31484.8747544159*((RANDBETWEEN(1587,2416)))</f>
        <v>63725386.502937816</v>
      </c>
      <c r="B4359">
        <v>263689758.04772186</v>
      </c>
    </row>
    <row r="4360" spans="1:2" x14ac:dyDescent="0.25">
      <c r="A4360">
        <f ca="1">35140.318997372*((RANDBETWEEN(1587,2416)))</f>
        <v>74005511.808465406</v>
      </c>
      <c r="B4360">
        <v>240083158.65458053</v>
      </c>
    </row>
    <row r="4361" spans="1:2" x14ac:dyDescent="0.25">
      <c r="A4361">
        <f ca="1">29596.2337395448*((RANDBETWEEN(1587,2416)))</f>
        <v>58600542.804298773</v>
      </c>
      <c r="B4361">
        <v>251899656.36632833</v>
      </c>
    </row>
    <row r="4362" spans="1:2" x14ac:dyDescent="0.25">
      <c r="A4362">
        <f ca="1">28498.8051299108*((RANDBETWEEN(1587,2416)))</f>
        <v>60189476.434371665</v>
      </c>
      <c r="B4362">
        <v>265661408.35117769</v>
      </c>
    </row>
    <row r="4363" spans="1:2" x14ac:dyDescent="0.25">
      <c r="A4363">
        <f ca="1">32756.573381238*((RANDBETWEEN(1587,2416)))</f>
        <v>77108973.739434168</v>
      </c>
      <c r="B4363">
        <v>234675823.10045633</v>
      </c>
    </row>
    <row r="4364" spans="1:2" x14ac:dyDescent="0.25">
      <c r="A4364">
        <f ca="1">33248.3567574544*((RANDBETWEEN(1587,2416)))</f>
        <v>67028687.223028056</v>
      </c>
      <c r="B4364">
        <v>244928853.80756751</v>
      </c>
    </row>
    <row r="4365" spans="1:2" x14ac:dyDescent="0.25">
      <c r="A4365">
        <f ca="1">27497.5491411683*((RANDBETWEEN(1587,2416)))</f>
        <v>45975902.164033368</v>
      </c>
      <c r="B4365">
        <v>250232886.72561958</v>
      </c>
    </row>
    <row r="4366" spans="1:2" x14ac:dyDescent="0.25">
      <c r="A4366">
        <f ca="1">33293.2335215418*((RANDBETWEEN(1587,2416)))</f>
        <v>61426015.847244635</v>
      </c>
      <c r="B4366">
        <v>220257881.27996081</v>
      </c>
    </row>
    <row r="4367" spans="1:2" x14ac:dyDescent="0.25">
      <c r="A4367">
        <f ca="1">30672.1313794199*((RANDBETWEEN(1587,2416)))</f>
        <v>57663606.993309416</v>
      </c>
      <c r="B4367">
        <v>212938044.31382298</v>
      </c>
    </row>
    <row r="4368" spans="1:2" x14ac:dyDescent="0.25">
      <c r="A4368">
        <f ca="1">31752.7054738576*((RANDBETWEEN(1587,2416)))</f>
        <v>50804328.75817214</v>
      </c>
      <c r="B4368">
        <v>259808863.31897742</v>
      </c>
    </row>
    <row r="4369" spans="1:2" x14ac:dyDescent="0.25">
      <c r="A4369">
        <f ca="1">28702.1472296639*((RANDBETWEEN(1587,2416)))</f>
        <v>52065695.074610226</v>
      </c>
      <c r="B4369">
        <v>253728845.87062055</v>
      </c>
    </row>
    <row r="4370" spans="1:2" x14ac:dyDescent="0.25">
      <c r="A4370">
        <f ca="1">29040.5622310477*((RANDBETWEEN(1587,2416)))</f>
        <v>64557169.839618951</v>
      </c>
      <c r="B4370">
        <v>260799676.28675562</v>
      </c>
    </row>
    <row r="4371" spans="1:2" x14ac:dyDescent="0.25">
      <c r="A4371">
        <f ca="1">28874.2066284417*((RANDBETWEEN(1587,2416)))</f>
        <v>63292260.929544114</v>
      </c>
      <c r="B4371">
        <v>252130626.91090968</v>
      </c>
    </row>
    <row r="4372" spans="1:2" x14ac:dyDescent="0.25">
      <c r="A4372">
        <f ca="1">30275.8024675973*((RANDBETWEEN(1587,2416)))</f>
        <v>55768028.145314313</v>
      </c>
      <c r="B4372">
        <v>231211473.50654858</v>
      </c>
    </row>
    <row r="4373" spans="1:2" x14ac:dyDescent="0.25">
      <c r="A4373">
        <f ca="1">30409.0633870775*((RANDBETWEEN(1587,2416)))</f>
        <v>58050902.005930983</v>
      </c>
      <c r="B4373">
        <v>211424262.01797521</v>
      </c>
    </row>
    <row r="4374" spans="1:2" x14ac:dyDescent="0.25">
      <c r="A4374">
        <f ca="1">29675.7404020655*((RANDBETWEEN(1587,2416)))</f>
        <v>68639987.549977481</v>
      </c>
      <c r="B4374">
        <v>265408955.40777895</v>
      </c>
    </row>
    <row r="4375" spans="1:2" x14ac:dyDescent="0.25">
      <c r="A4375">
        <f ca="1">29088.2059848936*((RANDBETWEEN(1587,2416)))</f>
        <v>68706342.536318749</v>
      </c>
      <c r="B4375">
        <v>243571302.86383492</v>
      </c>
    </row>
    <row r="4376" spans="1:2" x14ac:dyDescent="0.25">
      <c r="A4376">
        <f ca="1">27319.5240138015*((RANDBETWEEN(1587,2416)))</f>
        <v>63326656.663991876</v>
      </c>
      <c r="B4376">
        <v>218214533.22898427</v>
      </c>
    </row>
    <row r="4377" spans="1:2" x14ac:dyDescent="0.25">
      <c r="A4377">
        <f ca="1">29386.6042922452*((RANDBETWEEN(1587,2416)))</f>
        <v>70674783.322849736</v>
      </c>
      <c r="B4377">
        <v>215290558.38700595</v>
      </c>
    </row>
    <row r="4378" spans="1:2" x14ac:dyDescent="0.25">
      <c r="A4378">
        <f ca="1">29987.9807299638*((RANDBETWEEN(1587,2416)))</f>
        <v>69931971.062275603</v>
      </c>
      <c r="B4378">
        <v>243330561.85181975</v>
      </c>
    </row>
    <row r="4379" spans="1:2" x14ac:dyDescent="0.25">
      <c r="A4379">
        <f ca="1">30430.8625667921*((RANDBETWEEN(1587,2416)))</f>
        <v>53436594.667286918</v>
      </c>
      <c r="B4379">
        <v>228170030.51710972</v>
      </c>
    </row>
    <row r="4380" spans="1:2" x14ac:dyDescent="0.25">
      <c r="A4380">
        <f ca="1">32560.6280485039*((RANDBETWEEN(1587,2416)))</f>
        <v>60920935.078750715</v>
      </c>
      <c r="B4380">
        <v>214735724.46026513</v>
      </c>
    </row>
    <row r="4381" spans="1:2" x14ac:dyDescent="0.25">
      <c r="A4381">
        <f ca="1">28687.4549793761*((RANDBETWEEN(1587,2416)))</f>
        <v>58321595.973071709</v>
      </c>
      <c r="B4381">
        <v>211317345.33626378</v>
      </c>
    </row>
    <row r="4382" spans="1:2" x14ac:dyDescent="0.25">
      <c r="A4382">
        <f ca="1">32901.6807208587*((RANDBETWEEN(1587,2416)))</f>
        <v>78174393.392760307</v>
      </c>
      <c r="B4382">
        <v>241262087.90108937</v>
      </c>
    </row>
    <row r="4383" spans="1:2" x14ac:dyDescent="0.25">
      <c r="A4383">
        <f ca="1">29766.568008456*((RANDBETWEEN(1587,2416)))</f>
        <v>68195207.307372704</v>
      </c>
      <c r="B4383">
        <v>261350091.32080752</v>
      </c>
    </row>
    <row r="4384" spans="1:2" x14ac:dyDescent="0.25">
      <c r="A4384">
        <f ca="1">28884.2297746181*((RANDBETWEEN(1587,2416)))</f>
        <v>63112042.057540514</v>
      </c>
      <c r="B4384">
        <v>249734969.80012423</v>
      </c>
    </row>
    <row r="4385" spans="1:2" x14ac:dyDescent="0.25">
      <c r="A4385">
        <f ca="1">27735.197603201*((RANDBETWEEN(1587,2416)))</f>
        <v>63790954.487362228</v>
      </c>
      <c r="B4385">
        <v>221156682.39015955</v>
      </c>
    </row>
    <row r="4386" spans="1:2" x14ac:dyDescent="0.25">
      <c r="A4386">
        <f ca="1">29219.7214431839*((RANDBETWEEN(1587,2416)))</f>
        <v>62033468.62387953</v>
      </c>
      <c r="B4386">
        <v>260085817.47862881</v>
      </c>
    </row>
    <row r="4387" spans="1:2" x14ac:dyDescent="0.25">
      <c r="A4387">
        <f ca="1">30941.9144706656*((RANDBETWEEN(1587,2416)))</f>
        <v>59779778.757326014</v>
      </c>
      <c r="B4387">
        <v>267181624.90192422</v>
      </c>
    </row>
    <row r="4388" spans="1:2" x14ac:dyDescent="0.25">
      <c r="A4388">
        <f ca="1">29134.7539362913*((RANDBETWEEN(1587,2416)))</f>
        <v>57832486.563538164</v>
      </c>
      <c r="B4388">
        <v>257794275.79979873</v>
      </c>
    </row>
    <row r="4389" spans="1:2" x14ac:dyDescent="0.25">
      <c r="A4389">
        <f ca="1">34425.4639217077*((RANDBETWEEN(1587,2416)))</f>
        <v>61242900.31671793</v>
      </c>
      <c r="B4389">
        <v>232635483.3448799</v>
      </c>
    </row>
    <row r="4390" spans="1:2" x14ac:dyDescent="0.25">
      <c r="A4390">
        <f ca="1">30316.8519606977*((RANDBETWEEN(1587,2416)))</f>
        <v>62392081.335115947</v>
      </c>
      <c r="B4390">
        <v>227676498.92462039</v>
      </c>
    </row>
    <row r="4391" spans="1:2" x14ac:dyDescent="0.25">
      <c r="A4391">
        <f ca="1">31058.351276927*((RANDBETWEEN(1587,2416)))</f>
        <v>64446078.899623588</v>
      </c>
      <c r="B4391">
        <v>258824207.44115573</v>
      </c>
    </row>
    <row r="4392" spans="1:2" x14ac:dyDescent="0.25">
      <c r="A4392">
        <f ca="1">30067.8491798337*((RANDBETWEEN(1587,2416)))</f>
        <v>51656564.890954338</v>
      </c>
      <c r="B4392">
        <v>219623781.96076483</v>
      </c>
    </row>
    <row r="4393" spans="1:2" x14ac:dyDescent="0.25">
      <c r="A4393">
        <f ca="1">28258.0505045444*((RANDBETWEEN(1587,2416)))</f>
        <v>52475199.78693904</v>
      </c>
      <c r="B4393">
        <v>204387578.1354169</v>
      </c>
    </row>
    <row r="4394" spans="1:2" x14ac:dyDescent="0.25">
      <c r="A4394">
        <f ca="1">27216.8011385853*((RANDBETWEEN(1587,2416)))</f>
        <v>55331756.714743882</v>
      </c>
      <c r="B4394">
        <v>209042429.05620766</v>
      </c>
    </row>
    <row r="4395" spans="1:2" x14ac:dyDescent="0.25">
      <c r="A4395">
        <f ca="1">32137.2613868631*((RANDBETWEEN(1587,2416)))</f>
        <v>68580915.799565896</v>
      </c>
      <c r="B4395">
        <v>257801993.36337182</v>
      </c>
    </row>
    <row r="4396" spans="1:2" x14ac:dyDescent="0.25">
      <c r="A4396">
        <f ca="1">32610.5042795192*((RANDBETWEEN(1587,2416)))</f>
        <v>68579890.499828905</v>
      </c>
      <c r="B4396">
        <v>231076434.2653904</v>
      </c>
    </row>
    <row r="4397" spans="1:2" x14ac:dyDescent="0.25">
      <c r="A4397">
        <f ca="1">30258.4142631968*((RANDBETWEEN(1587,2416)))</f>
        <v>72741227.888725132</v>
      </c>
      <c r="B4397">
        <v>247137125.73230124</v>
      </c>
    </row>
    <row r="4398" spans="1:2" x14ac:dyDescent="0.25">
      <c r="A4398">
        <f ca="1">30146.5667904154*((RANDBETWEEN(1587,2416)))</f>
        <v>72261320.596625686</v>
      </c>
      <c r="B4398">
        <v>248679326.51406479</v>
      </c>
    </row>
    <row r="4399" spans="1:2" x14ac:dyDescent="0.25">
      <c r="A4399">
        <f ca="1">28654.1228278575*((RANDBETWEEN(1587,2416)))</f>
        <v>57193629.164403528</v>
      </c>
      <c r="B4399">
        <v>222080233.11488634</v>
      </c>
    </row>
    <row r="4400" spans="1:2" x14ac:dyDescent="0.25">
      <c r="A4400">
        <f ca="1">27361.1379979502*((RANDBETWEEN(1587,2416)))</f>
        <v>50836994.400191501</v>
      </c>
      <c r="B4400">
        <v>222089242.36167741</v>
      </c>
    </row>
    <row r="4401" spans="1:2" x14ac:dyDescent="0.25">
      <c r="A4401">
        <f ca="1">25711.7156450934*((RANDBETWEEN(1587,2416)))</f>
        <v>40933051.306988679</v>
      </c>
      <c r="B4401">
        <v>216207042.56996194</v>
      </c>
    </row>
    <row r="4402" spans="1:2" x14ac:dyDescent="0.25">
      <c r="A4402">
        <f ca="1">29175.1897277235*((RANDBETWEEN(1587,2416)))</f>
        <v>53303071.632550836</v>
      </c>
      <c r="B4402">
        <v>205856913.06711727</v>
      </c>
    </row>
    <row r="4403" spans="1:2" x14ac:dyDescent="0.25">
      <c r="A4403">
        <f ca="1">28276.151560547*((RANDBETWEEN(1587,2416)))</f>
        <v>54827457.875900544</v>
      </c>
      <c r="B4403">
        <v>253556367.8121112</v>
      </c>
    </row>
    <row r="4404" spans="1:2" x14ac:dyDescent="0.25">
      <c r="A4404">
        <f ca="1">30571.8614328726*((RANDBETWEEN(1587,2416)))</f>
        <v>59798560.96269875</v>
      </c>
      <c r="B4404">
        <v>208781457.82477623</v>
      </c>
    </row>
    <row r="4405" spans="1:2" x14ac:dyDescent="0.25">
      <c r="A4405">
        <f ca="1">26849.2461884152*((RANDBETWEEN(1587,2416)))</f>
        <v>59578477.292093419</v>
      </c>
      <c r="B4405">
        <v>241223507.89489985</v>
      </c>
    </row>
    <row r="4406" spans="1:2" x14ac:dyDescent="0.25">
      <c r="A4406">
        <f ca="1">29330.7895285902*((RANDBETWEEN(1587,2416)))</f>
        <v>48571787.459345341</v>
      </c>
      <c r="B4406">
        <v>228205429.81844395</v>
      </c>
    </row>
    <row r="4407" spans="1:2" x14ac:dyDescent="0.25">
      <c r="A4407">
        <f ca="1">26698.6318681364*((RANDBETWEEN(1587,2416)))</f>
        <v>56173921.450558923</v>
      </c>
      <c r="B4407">
        <v>252530950.31035388</v>
      </c>
    </row>
    <row r="4408" spans="1:2" x14ac:dyDescent="0.25">
      <c r="A4408">
        <f ca="1">27745.5074948412*((RANDBETWEEN(1587,2416)))</f>
        <v>64702523.477969609</v>
      </c>
      <c r="B4408">
        <v>223294119.3457765</v>
      </c>
    </row>
    <row r="4409" spans="1:2" x14ac:dyDescent="0.25">
      <c r="A4409">
        <f ca="1">26387.8613494972*((RANDBETWEEN(1587,2416)))</f>
        <v>56285308.258477546</v>
      </c>
      <c r="B4409">
        <v>244811920.41935936</v>
      </c>
    </row>
    <row r="4410" spans="1:2" x14ac:dyDescent="0.25">
      <c r="A4410">
        <f ca="1">30937.5208088647*((RANDBETWEEN(1587,2416)))</f>
        <v>73693174.566715807</v>
      </c>
      <c r="B4410">
        <v>249655057.4541465</v>
      </c>
    </row>
    <row r="4411" spans="1:2" x14ac:dyDescent="0.25">
      <c r="A4411">
        <f ca="1">28696.4380022104*((RANDBETWEEN(1587,2416)))</f>
        <v>47062158.323625065</v>
      </c>
      <c r="B4411">
        <v>258906082.82787386</v>
      </c>
    </row>
    <row r="4412" spans="1:2" x14ac:dyDescent="0.25">
      <c r="A4412">
        <f ca="1">26044.0061186443*((RANDBETWEEN(1587,2416)))</f>
        <v>52244276.274000503</v>
      </c>
      <c r="B4412">
        <v>251462605.5572502</v>
      </c>
    </row>
    <row r="4413" spans="1:2" x14ac:dyDescent="0.25">
      <c r="A4413">
        <f ca="1">28826.4145107374*((RANDBETWEEN(1587,2416)))</f>
        <v>53559478.160950087</v>
      </c>
      <c r="B4413">
        <v>226725748.65361601</v>
      </c>
    </row>
    <row r="4414" spans="1:2" x14ac:dyDescent="0.25">
      <c r="A4414">
        <f ca="1">31573.016162646*((RANDBETWEEN(1587,2416)))</f>
        <v>60020303.725190058</v>
      </c>
      <c r="B4414">
        <v>216702701.89334458</v>
      </c>
    </row>
    <row r="4415" spans="1:2" x14ac:dyDescent="0.25">
      <c r="A4415">
        <f ca="1">27831.1726078154*((RANDBETWEEN(1587,2416)))</f>
        <v>44669032.035543673</v>
      </c>
      <c r="B4415">
        <v>221876880.52672666</v>
      </c>
    </row>
    <row r="4416" spans="1:2" x14ac:dyDescent="0.25">
      <c r="A4416">
        <f ca="1">31295.935932274*((RANDBETWEEN(1587,2416)))</f>
        <v>60119492.925898418</v>
      </c>
      <c r="B4416">
        <v>255329011.10457206</v>
      </c>
    </row>
    <row r="4417" spans="1:2" x14ac:dyDescent="0.25">
      <c r="A4417">
        <f ca="1">34045.7440021248*((RANDBETWEEN(1587,2416)))</f>
        <v>61827071.10785871</v>
      </c>
      <c r="B4417">
        <v>254009629.66155791</v>
      </c>
    </row>
    <row r="4418" spans="1:2" x14ac:dyDescent="0.25">
      <c r="A4418">
        <f ca="1">30820.8096758908*((RANDBETWEEN(1587,2416)))</f>
        <v>51778960.255496621</v>
      </c>
      <c r="B4418">
        <v>253143517.5422962</v>
      </c>
    </row>
    <row r="4419" spans="1:2" x14ac:dyDescent="0.25">
      <c r="A4419">
        <f ca="1">30413.264774424*((RANDBETWEEN(1587,2416)))</f>
        <v>57572310.217984594</v>
      </c>
      <c r="B4419">
        <v>265560561.9653393</v>
      </c>
    </row>
    <row r="4420" spans="1:2" x14ac:dyDescent="0.25">
      <c r="A4420">
        <f ca="1">26940.3325846944*((RANDBETWEEN(1587,2416)))</f>
        <v>46041028.387242779</v>
      </c>
      <c r="B4420">
        <v>210195680.6726647</v>
      </c>
    </row>
    <row r="4421" spans="1:2" x14ac:dyDescent="0.25">
      <c r="A4421">
        <f ca="1">27729.3450898615*((RANDBETWEEN(1587,2416)))</f>
        <v>60144949.499909692</v>
      </c>
      <c r="B4421">
        <v>212848588.49095669</v>
      </c>
    </row>
    <row r="4422" spans="1:2" x14ac:dyDescent="0.25">
      <c r="A4422">
        <f ca="1">32466.3556690465*((RANDBETWEEN(1587,2416)))</f>
        <v>65971634.719502397</v>
      </c>
      <c r="B4422">
        <v>260754893.73976654</v>
      </c>
    </row>
    <row r="4423" spans="1:2" x14ac:dyDescent="0.25">
      <c r="A4423">
        <f ca="1">31341.9320126372*((RANDBETWEEN(1587,2416)))</f>
        <v>53249942.489470623</v>
      </c>
      <c r="B4423">
        <v>254087042.93016511</v>
      </c>
    </row>
    <row r="4424" spans="1:2" x14ac:dyDescent="0.25">
      <c r="A4424">
        <f ca="1">27007.9311756958*((RANDBETWEEN(1587,2416)))</f>
        <v>55339250.979000747</v>
      </c>
      <c r="B4424">
        <v>259110333.18133643</v>
      </c>
    </row>
    <row r="4425" spans="1:2" x14ac:dyDescent="0.25">
      <c r="A4425">
        <f ca="1">28856.8567828528*((RANDBETWEEN(1587,2416)))</f>
        <v>65303066.899595834</v>
      </c>
      <c r="B4425">
        <v>214145548.69071373</v>
      </c>
    </row>
    <row r="4426" spans="1:2" x14ac:dyDescent="0.25">
      <c r="A4426">
        <f ca="1">29259.2430389595*((RANDBETWEEN(1587,2416)))</f>
        <v>50589231.21436096</v>
      </c>
      <c r="B4426">
        <v>216802281.96106446</v>
      </c>
    </row>
    <row r="4427" spans="1:2" x14ac:dyDescent="0.25">
      <c r="A4427">
        <f ca="1">28001.8316869928*((RANDBETWEEN(1587,2416)))</f>
        <v>53959529.660835207</v>
      </c>
      <c r="B4427">
        <v>234896867.66433215</v>
      </c>
    </row>
    <row r="4428" spans="1:2" x14ac:dyDescent="0.25">
      <c r="A4428">
        <f ca="1">28665.8921321924*((RANDBETWEEN(1587,2416)))</f>
        <v>48961343.761784546</v>
      </c>
      <c r="B4428">
        <v>239583936.43027562</v>
      </c>
    </row>
    <row r="4429" spans="1:2" x14ac:dyDescent="0.25">
      <c r="A4429">
        <f ca="1">31579.9713029959*((RANDBETWEEN(1587,2416)))</f>
        <v>67549558.617108136</v>
      </c>
      <c r="B4429">
        <v>231470656.27034259</v>
      </c>
    </row>
    <row r="4430" spans="1:2" x14ac:dyDescent="0.25">
      <c r="A4430">
        <f ca="1">27761.068435801*((RANDBETWEEN(1587,2416)))</f>
        <v>58575854.399540082</v>
      </c>
      <c r="B4430">
        <v>261364355.27994338</v>
      </c>
    </row>
    <row r="4431" spans="1:2" x14ac:dyDescent="0.25">
      <c r="A4431">
        <f ca="1">26885.1648180155*((RANDBETWEEN(1587,2416)))</f>
        <v>60168998.862718701</v>
      </c>
      <c r="B4431">
        <v>204272642.48297614</v>
      </c>
    </row>
    <row r="4432" spans="1:2" x14ac:dyDescent="0.25">
      <c r="A4432">
        <f ca="1">30305.7486877985*((RANDBETWEEN(1587,2416)))</f>
        <v>69339552.997682929</v>
      </c>
      <c r="B4432">
        <v>216825390.40854797</v>
      </c>
    </row>
    <row r="4433" spans="1:2" x14ac:dyDescent="0.25">
      <c r="A4433">
        <f ca="1">25672.7117097524*((RANDBETWEEN(1587,2416)))</f>
        <v>56325929.491196781</v>
      </c>
      <c r="B4433">
        <v>212415123.99676222</v>
      </c>
    </row>
    <row r="4434" spans="1:2" x14ac:dyDescent="0.25">
      <c r="A4434">
        <f ca="1">32883.4425002404*((RANDBETWEEN(1587,2416)))</f>
        <v>63563694.352964737</v>
      </c>
      <c r="B4434">
        <v>238596339.18269226</v>
      </c>
    </row>
    <row r="4435" spans="1:2" x14ac:dyDescent="0.25">
      <c r="A4435">
        <f ca="1">29381.8071451915*((RANDBETWEEN(1587,2416)))</f>
        <v>52887252.861344658</v>
      </c>
      <c r="B4435">
        <v>249949895.68824148</v>
      </c>
    </row>
    <row r="4436" spans="1:2" x14ac:dyDescent="0.25">
      <c r="A4436">
        <f ca="1">31558.6328604028*((RANDBETWEEN(1587,2416)))</f>
        <v>58067884.463141106</v>
      </c>
      <c r="B4436">
        <v>265949464.0418511</v>
      </c>
    </row>
    <row r="4437" spans="1:2" x14ac:dyDescent="0.25">
      <c r="A4437">
        <f ca="1">33463.1825491164*((RANDBETWEEN(1587,2416)))</f>
        <v>78638478.990423501</v>
      </c>
      <c r="B4437">
        <v>233503225.6194393</v>
      </c>
    </row>
    <row r="4438" spans="1:2" x14ac:dyDescent="0.25">
      <c r="A4438">
        <f ca="1">27124.7930011732*((RANDBETWEEN(1587,2416)))</f>
        <v>55198953.757387444</v>
      </c>
      <c r="B4438">
        <v>226786313.22639877</v>
      </c>
    </row>
    <row r="4439" spans="1:2" x14ac:dyDescent="0.25">
      <c r="A4439">
        <f ca="1">27855.56583414*((RANDBETWEEN(1587,2416)))</f>
        <v>54596909.034914494</v>
      </c>
      <c r="B4439">
        <v>252936977.88487905</v>
      </c>
    </row>
    <row r="4440" spans="1:2" x14ac:dyDescent="0.25">
      <c r="A4440">
        <f ca="1">30521.6653454689*((RANDBETWEEN(1587,2416)))</f>
        <v>62111588.978029154</v>
      </c>
      <c r="B4440">
        <v>225177977.18348593</v>
      </c>
    </row>
    <row r="4441" spans="1:2" x14ac:dyDescent="0.25">
      <c r="A4441">
        <f ca="1">32474.2470159409*((RANDBETWEEN(1587,2416)))</f>
        <v>68910352.167826667</v>
      </c>
      <c r="B4441">
        <v>216923397.96762985</v>
      </c>
    </row>
    <row r="4442" spans="1:2" x14ac:dyDescent="0.25">
      <c r="A4442">
        <f ca="1">34005.7561110492*((RANDBETWEEN(1587,2416)))</f>
        <v>77125054.859859511</v>
      </c>
      <c r="B4442">
        <v>242728237.04106236</v>
      </c>
    </row>
    <row r="4443" spans="1:2" x14ac:dyDescent="0.25">
      <c r="A4443">
        <f ca="1">30595.5930082215*((RANDBETWEEN(1587,2416)))</f>
        <v>53603478.950404003</v>
      </c>
      <c r="B4443">
        <v>227794623.69288501</v>
      </c>
    </row>
    <row r="4444" spans="1:2" x14ac:dyDescent="0.25">
      <c r="A4444">
        <f ca="1">27160.479841891*((RANDBETWEEN(1587,2416)))</f>
        <v>59155525.095638581</v>
      </c>
      <c r="B4444">
        <v>207349094.44478226</v>
      </c>
    </row>
    <row r="4445" spans="1:2" x14ac:dyDescent="0.25">
      <c r="A4445">
        <f ca="1">28062.9590733259*((RANDBETWEEN(1587,2416)))</f>
        <v>63534539.342009783</v>
      </c>
      <c r="B4445">
        <v>245140416.59984764</v>
      </c>
    </row>
    <row r="4446" spans="1:2" x14ac:dyDescent="0.25">
      <c r="A4446">
        <f ca="1">32112.9478058911*((RANDBETWEEN(1587,2416)))</f>
        <v>73924005.849161237</v>
      </c>
      <c r="B4446">
        <v>223027052.85369366</v>
      </c>
    </row>
    <row r="4447" spans="1:2" x14ac:dyDescent="0.25">
      <c r="A4447">
        <f ca="1">28701.0020987301*((RANDBETWEEN(1587,2416)))</f>
        <v>59812888.373753473</v>
      </c>
      <c r="B4447">
        <v>215686925.03301233</v>
      </c>
    </row>
    <row r="4448" spans="1:2" x14ac:dyDescent="0.25">
      <c r="A4448">
        <f ca="1">31258.2313824552*((RANDBETWEEN(1587,2416)))</f>
        <v>56483624.108096629</v>
      </c>
      <c r="B4448">
        <v>205574255.89408904</v>
      </c>
    </row>
    <row r="4449" spans="1:2" x14ac:dyDescent="0.25">
      <c r="A4449">
        <f ca="1">27910.309649234*((RANDBETWEEN(1587,2416)))</f>
        <v>66649819.44237069</v>
      </c>
      <c r="B4449">
        <v>232037507.86940479</v>
      </c>
    </row>
    <row r="4450" spans="1:2" x14ac:dyDescent="0.25">
      <c r="A4450">
        <f ca="1">27095.6182705666*((RANDBETWEEN(1587,2416)))</f>
        <v>64568858.338760123</v>
      </c>
      <c r="B4450">
        <v>217331702.41410166</v>
      </c>
    </row>
    <row r="4451" spans="1:2" x14ac:dyDescent="0.25">
      <c r="A4451">
        <f ca="1">30869.2762917467*((RANDBETWEEN(1587,2416)))</f>
        <v>50872567.328798562</v>
      </c>
      <c r="B4451">
        <v>267694865.58252326</v>
      </c>
    </row>
    <row r="4452" spans="1:2" x14ac:dyDescent="0.25">
      <c r="A4452">
        <f ca="1">30042.2297541879*((RANDBETWEEN(1587,2416)))</f>
        <v>61045810.860509813</v>
      </c>
      <c r="B4452">
        <v>238108763.77780592</v>
      </c>
    </row>
    <row r="4453" spans="1:2" x14ac:dyDescent="0.25">
      <c r="A4453">
        <f ca="1">31731.4712320319*((RANDBETWEEN(1587,2416)))</f>
        <v>67905348.436548367</v>
      </c>
      <c r="B4453">
        <v>266660430.0112915</v>
      </c>
    </row>
    <row r="4454" spans="1:2" x14ac:dyDescent="0.25">
      <c r="A4454">
        <f ca="1">31855.2575458966*((RANDBETWEEN(1587,2416)))</f>
        <v>65303277.969087958</v>
      </c>
      <c r="B4454">
        <v>262790534.57272422</v>
      </c>
    </row>
    <row r="4455" spans="1:2" x14ac:dyDescent="0.25">
      <c r="A4455">
        <f ca="1">27018.5094631542*((RANDBETWEEN(1587,2416)))</f>
        <v>47201336.032130368</v>
      </c>
      <c r="B4455">
        <v>229862221.83009702</v>
      </c>
    </row>
    <row r="4456" spans="1:2" x14ac:dyDescent="0.25">
      <c r="A4456">
        <f ca="1">31950.1168744899*((RANDBETWEEN(1587,2416)))</f>
        <v>51950890.037920579</v>
      </c>
      <c r="B4456">
        <v>249620742.01884115</v>
      </c>
    </row>
    <row r="4457" spans="1:2" x14ac:dyDescent="0.25">
      <c r="A4457">
        <f ca="1">30008.4373593413*((RANDBETWEEN(1587,2416)))</f>
        <v>50114090.39010004</v>
      </c>
      <c r="B4457">
        <v>228380085.40352172</v>
      </c>
    </row>
    <row r="4458" spans="1:2" x14ac:dyDescent="0.25">
      <c r="A4458">
        <f ca="1">32880.724481358*((RANDBETWEEN(1587,2416)))</f>
        <v>58757854.648186803</v>
      </c>
      <c r="B4458">
        <v>233013763.48074025</v>
      </c>
    </row>
    <row r="4459" spans="1:2" x14ac:dyDescent="0.25">
      <c r="A4459">
        <f ca="1">26659.0803944033*((RANDBETWEEN(1587,2416)))</f>
        <v>51292070.678831965</v>
      </c>
      <c r="B4459">
        <v>225099258.56533599</v>
      </c>
    </row>
    <row r="4460" spans="1:2" x14ac:dyDescent="0.25">
      <c r="A4460">
        <f ca="1">31220.4502543955*((RANDBETWEEN(1587,2416)))</f>
        <v>58163698.823938802</v>
      </c>
      <c r="B4460">
        <v>217934898.26037526</v>
      </c>
    </row>
    <row r="4461" spans="1:2" x14ac:dyDescent="0.25">
      <c r="A4461">
        <f ca="1">28607.4243864919*((RANDBETWEEN(1587,2416)))</f>
        <v>56957381.953505412</v>
      </c>
      <c r="B4461">
        <v>243296292.47268307</v>
      </c>
    </row>
    <row r="4462" spans="1:2" x14ac:dyDescent="0.25">
      <c r="A4462">
        <f ca="1">30651.1883022142*((RANDBETWEEN(1587,2416)))</f>
        <v>72582013.899643287</v>
      </c>
      <c r="B4462">
        <v>255535642.36033773</v>
      </c>
    </row>
    <row r="4463" spans="1:2" x14ac:dyDescent="0.25">
      <c r="A4463">
        <f ca="1">27142.3714781787*((RANDBETWEEN(1587,2416)))</f>
        <v>56917552.989740781</v>
      </c>
      <c r="B4463">
        <v>213339095.39825791</v>
      </c>
    </row>
    <row r="4464" spans="1:2" x14ac:dyDescent="0.25">
      <c r="A4464">
        <f ca="1">29872.3123074929*((RANDBETWEEN(1587,2416)))</f>
        <v>54039012.964254729</v>
      </c>
      <c r="B4464">
        <v>211951992.11780402</v>
      </c>
    </row>
    <row r="4465" spans="1:2" x14ac:dyDescent="0.25">
      <c r="A4465">
        <f ca="1">26181.3755297446*((RANDBETWEEN(1587,2416)))</f>
        <v>50870412.654293716</v>
      </c>
      <c r="B4465">
        <v>266729863.58776146</v>
      </c>
    </row>
    <row r="4466" spans="1:2" x14ac:dyDescent="0.25">
      <c r="A4466">
        <f ca="1">29844.8472890052*((RANDBETWEEN(1587,2416)))</f>
        <v>59480780.646987401</v>
      </c>
      <c r="B4466">
        <v>221884409.8759875</v>
      </c>
    </row>
    <row r="4467" spans="1:2" x14ac:dyDescent="0.25">
      <c r="A4467">
        <f ca="1">32382.2144175973*((RANDBETWEEN(1587,2416)))</f>
        <v>66480686.199327238</v>
      </c>
      <c r="B4467">
        <v>259226141.06636611</v>
      </c>
    </row>
    <row r="4468" spans="1:2" x14ac:dyDescent="0.25">
      <c r="A4468">
        <f ca="1">31093.6722087799*((RANDBETWEEN(1587,2416)))</f>
        <v>71017947.324853346</v>
      </c>
      <c r="B4468">
        <v>234378613.93114161</v>
      </c>
    </row>
    <row r="4469" spans="1:2" x14ac:dyDescent="0.25">
      <c r="A4469">
        <f ca="1">32986.5607762078*((RANDBETWEEN(1587,2416)))</f>
        <v>55582354.907910205</v>
      </c>
      <c r="B4469">
        <v>234019856.76453477</v>
      </c>
    </row>
    <row r="4470" spans="1:2" x14ac:dyDescent="0.25">
      <c r="A4470">
        <f ca="1">30790.3378140815*((RANDBETWEEN(1587,2416)))</f>
        <v>51265912.460445762</v>
      </c>
      <c r="B4470">
        <v>266256892.2584635</v>
      </c>
    </row>
    <row r="4471" spans="1:2" x14ac:dyDescent="0.25">
      <c r="A4471">
        <f ca="1">30519.3340016143*((RANDBETWEEN(1587,2416)))</f>
        <v>70621738.8797355</v>
      </c>
      <c r="B4471">
        <v>235868009.36303133</v>
      </c>
    </row>
    <row r="4472" spans="1:2" x14ac:dyDescent="0.25">
      <c r="A4472">
        <f ca="1">27571.6891983192*((RANDBETWEEN(1587,2416)))</f>
        <v>48526172.98904185</v>
      </c>
      <c r="B4472">
        <v>232396756.18413037</v>
      </c>
    </row>
    <row r="4473" spans="1:2" x14ac:dyDescent="0.25">
      <c r="A4473">
        <f ca="1">31101.9749866595*((RANDBETWEEN(1587,2416)))</f>
        <v>71627848.394276783</v>
      </c>
      <c r="B4473">
        <v>214060571.68786776</v>
      </c>
    </row>
    <row r="4474" spans="1:2" x14ac:dyDescent="0.25">
      <c r="A4474">
        <f ca="1">32560.4152464411*((RANDBETWEEN(1587,2416)))</f>
        <v>55710870.486660659</v>
      </c>
      <c r="B4474">
        <v>258211148.80218118</v>
      </c>
    </row>
    <row r="4475" spans="1:2" x14ac:dyDescent="0.25">
      <c r="A4475">
        <f ca="1">30072.8447824658*((RANDBETWEEN(1587,2416)))</f>
        <v>69047251.620541513</v>
      </c>
      <c r="B4475">
        <v>222359593.30582547</v>
      </c>
    </row>
    <row r="4476" spans="1:2" x14ac:dyDescent="0.25">
      <c r="A4476">
        <f ca="1">30153.9763532994*((RANDBETWEEN(1587,2416)))</f>
        <v>49663599.053884149</v>
      </c>
      <c r="B4476">
        <v>266680095.71293581</v>
      </c>
    </row>
    <row r="4477" spans="1:2" x14ac:dyDescent="0.25">
      <c r="A4477">
        <f ca="1">25760.3125007578*((RANDBETWEEN(1587,2416)))</f>
        <v>51366063.126511075</v>
      </c>
      <c r="B4477">
        <v>203997368.6613462</v>
      </c>
    </row>
    <row r="4478" spans="1:2" x14ac:dyDescent="0.25">
      <c r="A4478">
        <f ca="1">29693.0785713943*((RANDBETWEEN(1587,2416)))</f>
        <v>63068098.885641597</v>
      </c>
      <c r="B4478">
        <v>246124500.42695117</v>
      </c>
    </row>
    <row r="4479" spans="1:2" x14ac:dyDescent="0.25">
      <c r="A4479">
        <f ca="1">27327.2176587703*((RANDBETWEEN(1587,2416)))</f>
        <v>51047242.586582839</v>
      </c>
      <c r="B4479">
        <v>263770619.32076561</v>
      </c>
    </row>
    <row r="4480" spans="1:2" x14ac:dyDescent="0.25">
      <c r="A4480">
        <f ca="1">32198.7311457556*((RANDBETWEEN(1587,2416)))</f>
        <v>52934714.003622189</v>
      </c>
      <c r="B4480">
        <v>215059981.25093299</v>
      </c>
    </row>
    <row r="4481" spans="1:2" x14ac:dyDescent="0.25">
      <c r="A4481">
        <f ca="1">32522.69985606*((RANDBETWEEN(1587,2416)))</f>
        <v>62280970.224355072</v>
      </c>
      <c r="B4481">
        <v>250702546.37099329</v>
      </c>
    </row>
    <row r="4482" spans="1:2" x14ac:dyDescent="0.25">
      <c r="A4482">
        <f ca="1">27887.4437141501*((RANDBETWEEN(1587,2416)))</f>
        <v>48022178.075766452</v>
      </c>
      <c r="B4482">
        <v>206673919.46647596</v>
      </c>
    </row>
    <row r="4483" spans="1:2" x14ac:dyDescent="0.25">
      <c r="A4483">
        <f ca="1">27055.1818818199*((RANDBETWEEN(1587,2416)))</f>
        <v>65013602.062013149</v>
      </c>
      <c r="B4483">
        <v>254469220.42024842</v>
      </c>
    </row>
    <row r="4484" spans="1:2" x14ac:dyDescent="0.25">
      <c r="A4484">
        <f ca="1">32800.6540744825*((RANDBETWEEN(1587,2416)))</f>
        <v>79213579.589875206</v>
      </c>
      <c r="B4484">
        <v>258916193.19409817</v>
      </c>
    </row>
    <row r="4485" spans="1:2" x14ac:dyDescent="0.25">
      <c r="A4485">
        <f ca="1">32877.992509811*((RANDBETWEEN(1587,2416)))</f>
        <v>65065547.176916048</v>
      </c>
      <c r="B4485">
        <v>236560498.44239607</v>
      </c>
    </row>
    <row r="4486" spans="1:2" x14ac:dyDescent="0.25">
      <c r="A4486">
        <f ca="1">26249.7521232064*((RANDBETWEEN(1587,2416)))</f>
        <v>51003268.37539009</v>
      </c>
      <c r="B4486">
        <v>229585065.79082426</v>
      </c>
    </row>
    <row r="4487" spans="1:2" x14ac:dyDescent="0.25">
      <c r="A4487">
        <f ca="1">31238.2878068278*((RANDBETWEEN(1587,2416)))</f>
        <v>68224420.57011196</v>
      </c>
      <c r="B4487">
        <v>250214112.5001297</v>
      </c>
    </row>
    <row r="4488" spans="1:2" x14ac:dyDescent="0.25">
      <c r="A4488">
        <f ca="1">31036.8888904977*((RANDBETWEEN(1587,2416)))</f>
        <v>71322770.670363724</v>
      </c>
      <c r="B4488">
        <v>258505983.59118456</v>
      </c>
    </row>
    <row r="4489" spans="1:2" x14ac:dyDescent="0.25">
      <c r="A4489">
        <f ca="1">29375.4937576592*((RANDBETWEEN(1587,2416)))</f>
        <v>51847746.482268572</v>
      </c>
      <c r="B4489">
        <v>231330990.00970599</v>
      </c>
    </row>
    <row r="4490" spans="1:2" x14ac:dyDescent="0.25">
      <c r="A4490">
        <f ca="1">28687.331434776*((RANDBETWEEN(1587,2416)))</f>
        <v>47075910.884467483</v>
      </c>
      <c r="B4490">
        <v>218875885.98927695</v>
      </c>
    </row>
    <row r="4491" spans="1:2" x14ac:dyDescent="0.25">
      <c r="A4491">
        <f ca="1">30371.4352256918*((RANDBETWEEN(1587,2416)))</f>
        <v>59558384.47758159</v>
      </c>
      <c r="B4491">
        <v>204217902.47279137</v>
      </c>
    </row>
    <row r="4492" spans="1:2" x14ac:dyDescent="0.25">
      <c r="A4492">
        <f ca="1">29362.9644009793*((RANDBETWEEN(1587,2416)))</f>
        <v>53822313.746995047</v>
      </c>
      <c r="B4492">
        <v>243139976.09733313</v>
      </c>
    </row>
    <row r="4493" spans="1:2" x14ac:dyDescent="0.25">
      <c r="A4493">
        <f ca="1">27881.2330348107*((RANDBETWEEN(1587,2416)))</f>
        <v>56208565.798178419</v>
      </c>
      <c r="B4493">
        <v>213803503.98207709</v>
      </c>
    </row>
    <row r="4494" spans="1:2" x14ac:dyDescent="0.25">
      <c r="A4494">
        <f ca="1">29364.2153401064*((RANDBETWEEN(1587,2416)))</f>
        <v>48832690.110597</v>
      </c>
      <c r="B4494">
        <v>225792500.84953934</v>
      </c>
    </row>
    <row r="4495" spans="1:2" x14ac:dyDescent="0.25">
      <c r="A4495">
        <f ca="1">27019.7112157735*((RANDBETWEEN(1587,2416)))</f>
        <v>55984841.639082775</v>
      </c>
      <c r="B4495">
        <v>207577621.88252816</v>
      </c>
    </row>
    <row r="4496" spans="1:2" x14ac:dyDescent="0.25">
      <c r="A4496">
        <f ca="1">33461.12621518*((RANDBETWEEN(1587,2416)))</f>
        <v>57653520.468755193</v>
      </c>
      <c r="B4496">
        <v>247784285.97351277</v>
      </c>
    </row>
    <row r="4497" spans="1:2" x14ac:dyDescent="0.25">
      <c r="A4497">
        <f ca="1">28451.5257629119*((RANDBETWEEN(1587,2416)))</f>
        <v>55764990.495307274</v>
      </c>
      <c r="B4497">
        <v>228260893.62864956</v>
      </c>
    </row>
    <row r="4498" spans="1:2" x14ac:dyDescent="0.25">
      <c r="A4498">
        <f ca="1">29512.1355793287*((RANDBETWEEN(1587,2416)))</f>
        <v>67612302.612242013</v>
      </c>
      <c r="B4498">
        <v>242184316.64519936</v>
      </c>
    </row>
    <row r="4499" spans="1:2" x14ac:dyDescent="0.25">
      <c r="A4499">
        <f ca="1">31308.7822089955*((RANDBETWEEN(1587,2416)))</f>
        <v>67000793.92725037</v>
      </c>
      <c r="B4499">
        <v>213039831.34299338</v>
      </c>
    </row>
    <row r="4500" spans="1:2" x14ac:dyDescent="0.25">
      <c r="A4500">
        <f ca="1">31172.3538250383*((RANDBETWEEN(1587,2416)))</f>
        <v>68797384.891859576</v>
      </c>
      <c r="B4500">
        <v>256455063.37394792</v>
      </c>
    </row>
    <row r="4501" spans="1:2" x14ac:dyDescent="0.25">
      <c r="A4501">
        <f ca="1">33922.5602342307*((RANDBETWEEN(1587,2416)))</f>
        <v>62722813.873092599</v>
      </c>
      <c r="B4501">
        <v>212241719.25965276</v>
      </c>
    </row>
    <row r="4502" spans="1:2" x14ac:dyDescent="0.25">
      <c r="A4502">
        <f ca="1">28696.7087089674*((RANDBETWEEN(1587,2416)))</f>
        <v>59803940.949488126</v>
      </c>
      <c r="B4502">
        <v>212492986.00321805</v>
      </c>
    </row>
    <row r="4503" spans="1:2" x14ac:dyDescent="0.25">
      <c r="A4503">
        <f ca="1">31523.9353296264*((RANDBETWEEN(1587,2416)))</f>
        <v>68501511.471278101</v>
      </c>
      <c r="B4503">
        <v>259412774.40054551</v>
      </c>
    </row>
    <row r="4504" spans="1:2" x14ac:dyDescent="0.25">
      <c r="A4504">
        <f ca="1">31219.0401985992*((RANDBETWEEN(1587,2416)))</f>
        <v>75019353.597233847</v>
      </c>
      <c r="B4504">
        <v>234648918.85541093</v>
      </c>
    </row>
    <row r="4505" spans="1:2" x14ac:dyDescent="0.25">
      <c r="A4505">
        <f ca="1">29700.6459023386*((RANDBETWEEN(1587,2416)))</f>
        <v>60767521.516184717</v>
      </c>
      <c r="B4505">
        <v>204287475.70403945</v>
      </c>
    </row>
    <row r="4506" spans="1:2" x14ac:dyDescent="0.25">
      <c r="A4506">
        <f ca="1">29733.5230891028*((RANDBETWEEN(1587,2416)))</f>
        <v>68565504.243471026</v>
      </c>
      <c r="B4506">
        <v>212396944.3900196</v>
      </c>
    </row>
    <row r="4507" spans="1:2" x14ac:dyDescent="0.25">
      <c r="A4507">
        <f ca="1">28797.3265748504*((RANDBETWEEN(1587,2416)))</f>
        <v>59408884.723916344</v>
      </c>
      <c r="B4507">
        <v>208503430.33365384</v>
      </c>
    </row>
    <row r="4508" spans="1:2" x14ac:dyDescent="0.25">
      <c r="A4508">
        <f ca="1">31008.0003271218*((RANDBETWEEN(1587,2416)))</f>
        <v>61147776.64508415</v>
      </c>
      <c r="B4508">
        <v>241652463.21751922</v>
      </c>
    </row>
    <row r="4509" spans="1:2" x14ac:dyDescent="0.25">
      <c r="A4509">
        <f ca="1">28919.4348748323*((RANDBETWEEN(1587,2416)))</f>
        <v>67064169.474736087</v>
      </c>
      <c r="B4509">
        <v>249154530.58004221</v>
      </c>
    </row>
    <row r="4510" spans="1:2" x14ac:dyDescent="0.25">
      <c r="A4510">
        <f ca="1">33112.3485762894*((RANDBETWEEN(1587,2416)))</f>
        <v>63575709.266475558</v>
      </c>
      <c r="B4510">
        <v>239583004.34440497</v>
      </c>
    </row>
    <row r="4511" spans="1:2" x14ac:dyDescent="0.25">
      <c r="A4511">
        <f ca="1">28424.7722052068*((RANDBETWEEN(1587,2416)))</f>
        <v>49658077.042496309</v>
      </c>
      <c r="B4511">
        <v>237626866.86624178</v>
      </c>
    </row>
    <row r="4512" spans="1:2" x14ac:dyDescent="0.25">
      <c r="A4512">
        <f ca="1">32908.204399623*((RANDBETWEEN(1587,2416)))</f>
        <v>75590145.505934015</v>
      </c>
      <c r="B4512">
        <v>257923681.93648049</v>
      </c>
    </row>
    <row r="4513" spans="1:2" x14ac:dyDescent="0.25">
      <c r="A4513">
        <f ca="1">33358.8467278395*((RANDBETWEEN(1587,2416)))</f>
        <v>63515244.169806316</v>
      </c>
      <c r="B4513">
        <v>267442563.98643494</v>
      </c>
    </row>
    <row r="4514" spans="1:2" x14ac:dyDescent="0.25">
      <c r="A4514">
        <f ca="1">28285.0108605217*((RANDBETWEEN(1587,2416)))</f>
        <v>45397442.431137338</v>
      </c>
      <c r="B4514">
        <v>227673396.97168809</v>
      </c>
    </row>
    <row r="4515" spans="1:2" x14ac:dyDescent="0.25">
      <c r="A4515">
        <f ca="1">32402.6065813288*((RANDBETWEEN(1587,2416)))</f>
        <v>61143718.618967488</v>
      </c>
      <c r="B4515">
        <v>260190460.04111636</v>
      </c>
    </row>
    <row r="4516" spans="1:2" x14ac:dyDescent="0.25">
      <c r="A4516">
        <f ca="1">25634.3420734951*((RANDBETWEEN(1587,2416)))</f>
        <v>59471673.61050871</v>
      </c>
      <c r="B4516">
        <v>207212227.2396338</v>
      </c>
    </row>
    <row r="4517" spans="1:2" x14ac:dyDescent="0.25">
      <c r="A4517">
        <f ca="1">27797.2423202687*((RANDBETWEEN(1587,2416)))</f>
        <v>55094134.278772578</v>
      </c>
      <c r="B4517">
        <v>239118461.86274695</v>
      </c>
    </row>
    <row r="4518" spans="1:2" x14ac:dyDescent="0.25">
      <c r="A4518">
        <f ca="1">32306.3726933385*((RANDBETWEEN(1587,2416)))</f>
        <v>66066532.157877192</v>
      </c>
      <c r="B4518">
        <v>251250028.69900209</v>
      </c>
    </row>
    <row r="4519" spans="1:2" x14ac:dyDescent="0.25">
      <c r="A4519">
        <f ca="1">31354.4368893386*((RANDBETWEEN(1587,2416)))</f>
        <v>71488116.107691959</v>
      </c>
      <c r="B4519">
        <v>265300175.72305703</v>
      </c>
    </row>
    <row r="4520" spans="1:2" x14ac:dyDescent="0.25">
      <c r="A4520">
        <f ca="1">30647.5136763165*((RANDBETWEEN(1587,2416)))</f>
        <v>59057758.854261905</v>
      </c>
      <c r="B4520">
        <v>209930999.21171525</v>
      </c>
    </row>
    <row r="4521" spans="1:2" x14ac:dyDescent="0.25">
      <c r="A4521">
        <f ca="1">27174.158726915*((RANDBETWEEN(1587,2416)))</f>
        <v>55652677.072721884</v>
      </c>
      <c r="B4521">
        <v>262046830.83050433</v>
      </c>
    </row>
    <row r="4522" spans="1:2" x14ac:dyDescent="0.25">
      <c r="A4522">
        <f ca="1">28311.890742654*((RANDBETWEEN(1587,2416)))</f>
        <v>58265871.148381867</v>
      </c>
      <c r="B4522">
        <v>214170034.75583664</v>
      </c>
    </row>
    <row r="4523" spans="1:2" x14ac:dyDescent="0.25">
      <c r="A4523">
        <f ca="1">25796.9232891833*((RANDBETWEEN(1587,2416)))</f>
        <v>56417871.233443901</v>
      </c>
      <c r="B4523">
        <v>207063048.02151653</v>
      </c>
    </row>
    <row r="4524" spans="1:2" x14ac:dyDescent="0.25">
      <c r="A4524">
        <f ca="1">29919.7057567895*((RANDBETWEEN(1587,2416)))</f>
        <v>54064908.302518569</v>
      </c>
      <c r="B4524">
        <v>232182846.26055396</v>
      </c>
    </row>
    <row r="4525" spans="1:2" x14ac:dyDescent="0.25">
      <c r="A4525">
        <f ca="1">27196.6276707741*((RANDBETWEEN(1587,2416)))</f>
        <v>63259355.962220587</v>
      </c>
      <c r="B4525">
        <v>265090116.45590991</v>
      </c>
    </row>
    <row r="4526" spans="1:2" x14ac:dyDescent="0.25">
      <c r="A4526">
        <f ca="1">28046.3848709485*((RANDBETWEEN(1587,2416)))</f>
        <v>67058906.226437859</v>
      </c>
      <c r="B4526">
        <v>229176756.77928585</v>
      </c>
    </row>
    <row r="4527" spans="1:2" x14ac:dyDescent="0.25">
      <c r="A4527">
        <f ca="1">31782.5822400668*((RANDBETWEEN(1587,2416)))</f>
        <v>72337157.178392053</v>
      </c>
      <c r="B4527">
        <v>256898547.78878918</v>
      </c>
    </row>
    <row r="4528" spans="1:2" x14ac:dyDescent="0.25">
      <c r="A4528">
        <f ca="1">32147.472508289*((RANDBETWEEN(1587,2416)))</f>
        <v>67316807.432357237</v>
      </c>
      <c r="B4528">
        <v>244946775.25355768</v>
      </c>
    </row>
    <row r="4529" spans="1:2" x14ac:dyDescent="0.25">
      <c r="A4529">
        <f ca="1">30811.6310891798*((RANDBETWEEN(1587,2416)))</f>
        <v>73670609.934228882</v>
      </c>
      <c r="B4529">
        <v>256075822.01574308</v>
      </c>
    </row>
    <row r="4530" spans="1:2" x14ac:dyDescent="0.25">
      <c r="A4530">
        <f ca="1">32740.9641237368*((RANDBETWEEN(1587,2416)))</f>
        <v>60799970.377779223</v>
      </c>
      <c r="B4530">
        <v>255039372.41066363</v>
      </c>
    </row>
    <row r="4531" spans="1:2" x14ac:dyDescent="0.25">
      <c r="A4531">
        <f ca="1">28895.202232009*((RANDBETWEEN(1587,2416)))</f>
        <v>64378510.572916038</v>
      </c>
      <c r="B4531">
        <v>258854825.86650482</v>
      </c>
    </row>
    <row r="4532" spans="1:2" x14ac:dyDescent="0.25">
      <c r="A4532">
        <f ca="1">26128.4168959882*((RANDBETWEEN(1587,2416)))</f>
        <v>46168912.65521118</v>
      </c>
      <c r="B4532">
        <v>255267208.3327843</v>
      </c>
    </row>
    <row r="4533" spans="1:2" x14ac:dyDescent="0.25">
      <c r="A4533">
        <f ca="1">29329.96270669*((RANDBETWEEN(1587,2416)))</f>
        <v>65611126.57486552</v>
      </c>
      <c r="B4533">
        <v>221101323.56498754</v>
      </c>
    </row>
    <row r="4534" spans="1:2" x14ac:dyDescent="0.25">
      <c r="A4534">
        <f ca="1">32958.7427476847*((RANDBETWEEN(1587,2416)))</f>
        <v>59193901.974841774</v>
      </c>
      <c r="B4534">
        <v>244259389.08023772</v>
      </c>
    </row>
    <row r="4535" spans="1:2" x14ac:dyDescent="0.25">
      <c r="A4535">
        <f ca="1">26945.838423856*((RANDBETWEEN(1587,2416)))</f>
        <v>49256992.63880872</v>
      </c>
      <c r="B4535">
        <v>248717311.72473782</v>
      </c>
    </row>
    <row r="4536" spans="1:2" x14ac:dyDescent="0.25">
      <c r="A4536">
        <f ca="1">27161.0422546937*((RANDBETWEEN(1587,2416)))</f>
        <v>49215808.565504998</v>
      </c>
      <c r="B4536">
        <v>213651819.1520021</v>
      </c>
    </row>
    <row r="4537" spans="1:2" x14ac:dyDescent="0.25">
      <c r="A4537">
        <f ca="1">27663.3551467648*((RANDBETWEEN(1587,2416)))</f>
        <v>50900573.470047221</v>
      </c>
      <c r="B4537">
        <v>220366714.70351297</v>
      </c>
    </row>
    <row r="4538" spans="1:2" x14ac:dyDescent="0.25">
      <c r="A4538">
        <f ca="1">28249.7404874712*((RANDBETWEEN(1587,2416)))</f>
        <v>47290065.57602673</v>
      </c>
      <c r="B4538">
        <v>235733496.11803749</v>
      </c>
    </row>
    <row r="4539" spans="1:2" x14ac:dyDescent="0.25">
      <c r="A4539">
        <f ca="1">27893.1270647946*((RANDBETWEEN(1587,2416)))</f>
        <v>66525108.049535118</v>
      </c>
      <c r="B4539">
        <v>260110334.07046875</v>
      </c>
    </row>
    <row r="4540" spans="1:2" x14ac:dyDescent="0.25">
      <c r="A4540">
        <f ca="1">32706.2051793304*((RANDBETWEEN(1587,2416)))</f>
        <v>61422253.326782577</v>
      </c>
      <c r="B4540">
        <v>264237087.30798426</v>
      </c>
    </row>
    <row r="4541" spans="1:2" x14ac:dyDescent="0.25">
      <c r="A4541">
        <f ca="1">27378.1300000954*((RANDBETWEEN(1587,2416)))</f>
        <v>48568802.620169289</v>
      </c>
      <c r="B4541">
        <v>263011193.39590234</v>
      </c>
    </row>
    <row r="4542" spans="1:2" x14ac:dyDescent="0.25">
      <c r="A4542">
        <f ca="1">31029.7902525334*((RANDBETWEEN(1587,2416)))</f>
        <v>74440466.815827683</v>
      </c>
      <c r="B4542">
        <v>233895187.55600309</v>
      </c>
    </row>
    <row r="4543" spans="1:2" x14ac:dyDescent="0.25">
      <c r="A4543">
        <f ca="1">27536.9237575269*((RANDBETWEEN(1587,2416)))</f>
        <v>60801527.656619333</v>
      </c>
      <c r="B4543">
        <v>211675951.17164713</v>
      </c>
    </row>
    <row r="4544" spans="1:2" x14ac:dyDescent="0.25">
      <c r="A4544">
        <f ca="1">32272.1837373065*((RANDBETWEEN(1587,2416)))</f>
        <v>55637244.763116345</v>
      </c>
      <c r="B4544">
        <v>260777138.57346237</v>
      </c>
    </row>
    <row r="4545" spans="1:2" x14ac:dyDescent="0.25">
      <c r="A4545">
        <f ca="1">27645.7941471837*((RANDBETWEEN(1587,2416)))</f>
        <v>55706275.20657523</v>
      </c>
      <c r="B4545">
        <v>215524121.90383309</v>
      </c>
    </row>
    <row r="4546" spans="1:2" x14ac:dyDescent="0.25">
      <c r="A4546">
        <f ca="1">31233.9785636261*((RANDBETWEEN(1587,2416)))</f>
        <v>53191465.493855245</v>
      </c>
      <c r="B4546">
        <v>266688135.53725541</v>
      </c>
    </row>
    <row r="4547" spans="1:2" x14ac:dyDescent="0.25">
      <c r="A4547">
        <f ca="1">27823.1591964239*((RANDBETWEEN(1587,2416)))</f>
        <v>54867269.935347952</v>
      </c>
      <c r="B4547">
        <v>216850427.96411416</v>
      </c>
    </row>
    <row r="4548" spans="1:2" x14ac:dyDescent="0.25">
      <c r="A4548">
        <f ca="1">28986.4122716166*((RANDBETWEEN(1587,2416)))</f>
        <v>51334936.133032992</v>
      </c>
      <c r="B4548">
        <v>209217682.49847028</v>
      </c>
    </row>
    <row r="4549" spans="1:2" x14ac:dyDescent="0.25">
      <c r="A4549">
        <f ca="1">29451.1054225327*((RANDBETWEEN(1587,2416)))</f>
        <v>58843308.634220414</v>
      </c>
      <c r="B4549">
        <v>232118550.07930583</v>
      </c>
    </row>
    <row r="4550" spans="1:2" x14ac:dyDescent="0.25">
      <c r="A4550">
        <f ca="1">28327.0904974463*((RANDBETWEEN(1587,2416)))</f>
        <v>60704954.936027408</v>
      </c>
      <c r="B4550">
        <v>232379296.35093254</v>
      </c>
    </row>
    <row r="4551" spans="1:2" x14ac:dyDescent="0.25">
      <c r="A4551">
        <f ca="1">32118.2029684751*((RANDBETWEEN(1587,2416)))</f>
        <v>62598377.585558049</v>
      </c>
      <c r="B4551">
        <v>262551515.4178302</v>
      </c>
    </row>
    <row r="4552" spans="1:2" x14ac:dyDescent="0.25">
      <c r="A4552">
        <f ca="1">27456.5901652616*((RANDBETWEEN(1587,2416)))</f>
        <v>46181984.657970026</v>
      </c>
      <c r="B4552">
        <v>237792354.21674967</v>
      </c>
    </row>
    <row r="4553" spans="1:2" x14ac:dyDescent="0.25">
      <c r="A4553">
        <f ca="1">28134.1834500756*((RANDBETWEEN(1587,2416)))</f>
        <v>66143465.291127726</v>
      </c>
      <c r="B4553">
        <v>209138325.8261576</v>
      </c>
    </row>
    <row r="4554" spans="1:2" x14ac:dyDescent="0.25">
      <c r="A4554">
        <f ca="1">29842.2219552399*((RANDBETWEEN(1587,2416)))</f>
        <v>52999786.192506127</v>
      </c>
      <c r="B4554">
        <v>249894085.82122058</v>
      </c>
    </row>
    <row r="4555" spans="1:2" x14ac:dyDescent="0.25">
      <c r="A4555">
        <f ca="1">29027.8593354638*((RANDBETWEEN(1587,2416)))</f>
        <v>66909215.76824408</v>
      </c>
      <c r="B4555">
        <v>262559887.66199896</v>
      </c>
    </row>
    <row r="4556" spans="1:2" x14ac:dyDescent="0.25">
      <c r="A4556">
        <f ca="1">31734.1668645089*((RANDBETWEEN(1587,2416)))</f>
        <v>52551780.327626809</v>
      </c>
      <c r="B4556">
        <v>265971194.54612401</v>
      </c>
    </row>
    <row r="4557" spans="1:2" x14ac:dyDescent="0.25">
      <c r="A4557">
        <f ca="1">29663.7850920976*((RANDBETWEEN(1587,2416)))</f>
        <v>64162767.154207028</v>
      </c>
      <c r="B4557">
        <v>220662798.95693851</v>
      </c>
    </row>
    <row r="4558" spans="1:2" x14ac:dyDescent="0.25">
      <c r="A4558">
        <f ca="1">31538.3057352186*((RANDBETWEEN(1587,2416)))</f>
        <v>51470514.959876761</v>
      </c>
      <c r="B4558">
        <v>226556922.13838416</v>
      </c>
    </row>
    <row r="4559" spans="1:2" x14ac:dyDescent="0.25">
      <c r="A4559">
        <f ca="1">30012.1224944492*((RANDBETWEEN(1587,2416)))</f>
        <v>64826184.588010266</v>
      </c>
      <c r="B4559">
        <v>223956418.53466925</v>
      </c>
    </row>
    <row r="4560" spans="1:2" x14ac:dyDescent="0.25">
      <c r="A4560">
        <f ca="1">29151.4679129182*((RANDBETWEEN(1587,2416)))</f>
        <v>52676702.518643275</v>
      </c>
      <c r="B4560">
        <v>207637980.6533418</v>
      </c>
    </row>
    <row r="4561" spans="1:2" x14ac:dyDescent="0.25">
      <c r="A4561">
        <f ca="1">31377.0026436184*((RANDBETWEEN(1587,2416)))</f>
        <v>52117201.391050138</v>
      </c>
      <c r="B4561">
        <v>266688187.36766559</v>
      </c>
    </row>
    <row r="4562" spans="1:2" x14ac:dyDescent="0.25">
      <c r="A4562">
        <f ca="1">29259.3555043526*((RANDBETWEEN(1587,2416)))</f>
        <v>60830200.09354908</v>
      </c>
      <c r="B4562">
        <v>232884445.3001762</v>
      </c>
    </row>
    <row r="4563" spans="1:2" x14ac:dyDescent="0.25">
      <c r="A4563">
        <f ca="1">31834.4041201797*((RANDBETWEEN(1587,2416)))</f>
        <v>62140756.842590697</v>
      </c>
      <c r="B4563">
        <v>266298443.07184201</v>
      </c>
    </row>
    <row r="4564" spans="1:2" x14ac:dyDescent="0.25">
      <c r="A4564">
        <f ca="1">30832.908256763*((RANDBETWEEN(1587,2416)))</f>
        <v>65828259.128188901</v>
      </c>
      <c r="B4564">
        <v>248731342.62498486</v>
      </c>
    </row>
    <row r="4565" spans="1:2" x14ac:dyDescent="0.25">
      <c r="A4565">
        <f ca="1">28530.0457494683*((RANDBETWEEN(1587,2416)))</f>
        <v>66902957.282503054</v>
      </c>
      <c r="B4565">
        <v>212400332.00592512</v>
      </c>
    </row>
    <row r="4566" spans="1:2" x14ac:dyDescent="0.25">
      <c r="A4566">
        <f ca="1">29635.6839092089*((RANDBETWEEN(1587,2416)))</f>
        <v>69792035.606186852</v>
      </c>
      <c r="B4566">
        <v>264547679.98153758</v>
      </c>
    </row>
    <row r="4567" spans="1:2" x14ac:dyDescent="0.25">
      <c r="A4567">
        <f ca="1">26111.3773679613*((RANDBETWEEN(1587,2416)))</f>
        <v>46713254.111282848</v>
      </c>
      <c r="B4567">
        <v>219773193.53638345</v>
      </c>
    </row>
    <row r="4568" spans="1:2" x14ac:dyDescent="0.25">
      <c r="A4568">
        <f ca="1">29611.4552316482*((RANDBETWEEN(1587,2416)))</f>
        <v>47052602.363089018</v>
      </c>
      <c r="B4568">
        <v>211748157.97509408</v>
      </c>
    </row>
    <row r="4569" spans="1:2" x14ac:dyDescent="0.25">
      <c r="A4569">
        <f ca="1">30923.5935853031*((RANDBETWEEN(1587,2416)))</f>
        <v>68186523.855593383</v>
      </c>
      <c r="B4569">
        <v>253377945.8575449</v>
      </c>
    </row>
    <row r="4570" spans="1:2" x14ac:dyDescent="0.25">
      <c r="A4570">
        <f ca="1">28617.096676785*((RANDBETWEEN(1587,2416)))</f>
        <v>52340669.821839839</v>
      </c>
      <c r="B4570">
        <v>212470092.46219265</v>
      </c>
    </row>
    <row r="4571" spans="1:2" x14ac:dyDescent="0.25">
      <c r="A4571">
        <f ca="1">32101.5667124672*((RANDBETWEEN(1587,2416)))</f>
        <v>58745867.083814956</v>
      </c>
      <c r="B4571">
        <v>264668432.13770702</v>
      </c>
    </row>
    <row r="4572" spans="1:2" x14ac:dyDescent="0.25">
      <c r="A4572">
        <f ca="1">28422.8691366304*((RANDBETWEEN(1587,2416)))</f>
        <v>55907783.591752</v>
      </c>
      <c r="B4572">
        <v>218757021.33731523</v>
      </c>
    </row>
    <row r="4573" spans="1:2" x14ac:dyDescent="0.25">
      <c r="A4573">
        <f ca="1">30897.1383623489*((RANDBETWEEN(1587,2416)))</f>
        <v>63277339.366090521</v>
      </c>
      <c r="B4573">
        <v>216812690.58383077</v>
      </c>
    </row>
    <row r="4574" spans="1:2" x14ac:dyDescent="0.25">
      <c r="A4574">
        <f ca="1">30847.3679147029*((RANDBETWEEN(1587,2416)))</f>
        <v>70517083.053010792</v>
      </c>
      <c r="B4574">
        <v>255856670.82308903</v>
      </c>
    </row>
    <row r="4575" spans="1:2" x14ac:dyDescent="0.25">
      <c r="A4575">
        <f ca="1">27466.6296158279*((RANDBETWEEN(1587,2416)))</f>
        <v>54988192.490887552</v>
      </c>
      <c r="B4575">
        <v>231669961.56147492</v>
      </c>
    </row>
    <row r="4576" spans="1:2" x14ac:dyDescent="0.25">
      <c r="A4576">
        <f ca="1">33835.1380323958*((RANDBETWEEN(1587,2416)))</f>
        <v>69023681.58608748</v>
      </c>
      <c r="B4576">
        <v>243922558.68192732</v>
      </c>
    </row>
    <row r="4577" spans="1:2" x14ac:dyDescent="0.25">
      <c r="A4577">
        <f ca="1">26372.364417275*((RANDBETWEEN(1587,2416)))</f>
        <v>57386264.97199031</v>
      </c>
      <c r="B4577">
        <v>231392210.00642481</v>
      </c>
    </row>
    <row r="4578" spans="1:2" x14ac:dyDescent="0.25">
      <c r="A4578">
        <f ca="1">27126.7177990549*((RANDBETWEEN(1587,2416)))</f>
        <v>56396446.304235168</v>
      </c>
      <c r="B4578">
        <v>254999441.45249212</v>
      </c>
    </row>
    <row r="4579" spans="1:2" x14ac:dyDescent="0.25">
      <c r="A4579">
        <f ca="1">27942.0841058202*((RANDBETWEEN(1587,2416)))</f>
        <v>60634322.509629928</v>
      </c>
      <c r="B4579">
        <v>208947977.84403837</v>
      </c>
    </row>
    <row r="4580" spans="1:2" x14ac:dyDescent="0.25">
      <c r="A4580">
        <f ca="1">29940.7170981813*((RANDBETWEEN(1587,2416)))</f>
        <v>62456335.866806105</v>
      </c>
      <c r="B4580">
        <v>210641802.29060057</v>
      </c>
    </row>
    <row r="4581" spans="1:2" x14ac:dyDescent="0.25">
      <c r="A4581">
        <f ca="1">31515.4370804623*((RANDBETWEEN(1587,2416)))</f>
        <v>51023492.633268408</v>
      </c>
      <c r="B4581">
        <v>264042304.53488439</v>
      </c>
    </row>
    <row r="4582" spans="1:2" x14ac:dyDescent="0.25">
      <c r="A4582">
        <f ca="1">30025.2168652772*((RANDBETWEEN(1587,2416)))</f>
        <v>54345642.526151821</v>
      </c>
      <c r="B4582">
        <v>219862328.96232605</v>
      </c>
    </row>
    <row r="4583" spans="1:2" x14ac:dyDescent="0.25">
      <c r="A4583">
        <f ca="1">32082.7923694338*((RANDBETWEEN(1587,2416)))</f>
        <v>53417849.29510726</v>
      </c>
      <c r="B4583">
        <v>221868053.85162809</v>
      </c>
    </row>
    <row r="4584" spans="1:2" x14ac:dyDescent="0.25">
      <c r="A4584">
        <f ca="1">28521.3360432108*((RANDBETWEEN(1587,2416)))</f>
        <v>59438464.314051256</v>
      </c>
      <c r="B4584">
        <v>253721075.24414083</v>
      </c>
    </row>
    <row r="4585" spans="1:2" x14ac:dyDescent="0.25">
      <c r="A4585">
        <f ca="1">29466.1137449495*((RANDBETWEEN(1587,2416)))</f>
        <v>63853068.485305592</v>
      </c>
      <c r="B4585">
        <v>229031479.43249571</v>
      </c>
    </row>
    <row r="4586" spans="1:2" x14ac:dyDescent="0.25">
      <c r="A4586">
        <f ca="1">29823.2813513925*((RANDBETWEEN(1587,2416)))</f>
        <v>57379993.320079155</v>
      </c>
      <c r="B4586">
        <v>212772216.91474259</v>
      </c>
    </row>
    <row r="4587" spans="1:2" x14ac:dyDescent="0.25">
      <c r="A4587">
        <f ca="1">29031.4302069046*((RANDBETWEEN(1587,2416)))</f>
        <v>53156548.70884224</v>
      </c>
      <c r="B4587">
        <v>213412234.8413564</v>
      </c>
    </row>
    <row r="4588" spans="1:2" x14ac:dyDescent="0.25">
      <c r="A4588">
        <f ca="1">29307.028250932*((RANDBETWEEN(1587,2416)))</f>
        <v>52957800.049434066</v>
      </c>
      <c r="B4588">
        <v>215478387.52981305</v>
      </c>
    </row>
    <row r="4589" spans="1:2" x14ac:dyDescent="0.25">
      <c r="A4589">
        <f ca="1">31585.3870809091*((RANDBETWEEN(1587,2416)))</f>
        <v>71130291.706207201</v>
      </c>
      <c r="B4589">
        <v>253629794.83283439</v>
      </c>
    </row>
    <row r="4590" spans="1:2" x14ac:dyDescent="0.25">
      <c r="A4590">
        <f ca="1">27933.0928070706*((RANDBETWEEN(1587,2416)))</f>
        <v>62905325.001523048</v>
      </c>
      <c r="B4590">
        <v>247761027.88683546</v>
      </c>
    </row>
    <row r="4591" spans="1:2" x14ac:dyDescent="0.25">
      <c r="A4591">
        <f ca="1">27960.9467438069*((RANDBETWEEN(1587,2416)))</f>
        <v>50273782.245364882</v>
      </c>
      <c r="B4591">
        <v>250599978.00218052</v>
      </c>
    </row>
    <row r="4592" spans="1:2" x14ac:dyDescent="0.25">
      <c r="A4592">
        <f ca="1">28507.1993499303*((RANDBETWEEN(1587,2416)))</f>
        <v>68588321.635932371</v>
      </c>
      <c r="B4592">
        <v>239654663.05808011</v>
      </c>
    </row>
    <row r="4593" spans="1:2" x14ac:dyDescent="0.25">
      <c r="A4593">
        <f ca="1">32516.6867186098*((RANDBETWEEN(1587,2416)))</f>
        <v>55863667.782571599</v>
      </c>
      <c r="B4593">
        <v>260160349.55031717</v>
      </c>
    </row>
    <row r="4594" spans="1:2" x14ac:dyDescent="0.25">
      <c r="A4594">
        <f ca="1">26618.0498805849*((RANDBETWEEN(1587,2416)))</f>
        <v>51213127.970245369</v>
      </c>
      <c r="B4594">
        <v>236318365.37010464</v>
      </c>
    </row>
    <row r="4595" spans="1:2" x14ac:dyDescent="0.25">
      <c r="A4595">
        <f ca="1">32008.8315747408*((RANDBETWEEN(1587,2416)))</f>
        <v>74484551.074421763</v>
      </c>
      <c r="B4595">
        <v>225275242.30888769</v>
      </c>
    </row>
    <row r="4596" spans="1:2" x14ac:dyDescent="0.25">
      <c r="A4596">
        <f ca="1">28840.496950686*((RANDBETWEEN(1587,2416)))</f>
        <v>62756921.364692807</v>
      </c>
      <c r="B4596">
        <v>261830584.57108471</v>
      </c>
    </row>
    <row r="4597" spans="1:2" x14ac:dyDescent="0.25">
      <c r="A4597">
        <f ca="1">31349.6594631452*((RANDBETWEEN(1587,2416)))</f>
        <v>75740777.26295878</v>
      </c>
      <c r="B4597">
        <v>216704504.1988785</v>
      </c>
    </row>
    <row r="4598" spans="1:2" x14ac:dyDescent="0.25">
      <c r="A4598">
        <f ca="1">30115.8307348475*((RANDBETWEEN(1587,2416)))</f>
        <v>69567568.997497708</v>
      </c>
      <c r="B4598">
        <v>205752377.03359669</v>
      </c>
    </row>
    <row r="4599" spans="1:2" x14ac:dyDescent="0.25">
      <c r="A4599">
        <f ca="1">29305.5967083445*((RANDBETWEEN(1587,2416)))</f>
        <v>50405626.338352516</v>
      </c>
      <c r="B4599">
        <v>258386275.87043041</v>
      </c>
    </row>
    <row r="4600" spans="1:2" x14ac:dyDescent="0.25">
      <c r="A4600">
        <f ca="1">27954.2033944787*((RANDBETWEEN(1587,2416)))</f>
        <v>63595812.722438976</v>
      </c>
      <c r="B4600">
        <v>205837103.13967085</v>
      </c>
    </row>
    <row r="4601" spans="1:2" x14ac:dyDescent="0.25">
      <c r="A4601">
        <f ca="1">29266.8609562663*((RANDBETWEEN(1587,2416)))</f>
        <v>63567621.997010477</v>
      </c>
      <c r="B4601">
        <v>242465430.83846849</v>
      </c>
    </row>
    <row r="4602" spans="1:2" x14ac:dyDescent="0.25">
      <c r="A4602">
        <f ca="1">30173.0736747307*((RANDBETWEEN(1587,2416)))</f>
        <v>69398069.4518805</v>
      </c>
      <c r="B4602">
        <v>244530694.65509188</v>
      </c>
    </row>
    <row r="4603" spans="1:2" x14ac:dyDescent="0.25">
      <c r="A4603">
        <f ca="1">28246.4067645443*((RANDBETWEEN(1587,2416)))</f>
        <v>62452805.356407352</v>
      </c>
      <c r="B4603">
        <v>263011440.24967796</v>
      </c>
    </row>
    <row r="4604" spans="1:2" x14ac:dyDescent="0.25">
      <c r="A4604">
        <f ca="1">27779.6381847357*((RANDBETWEEN(1587,2416)))</f>
        <v>57781647.424250171</v>
      </c>
      <c r="B4604">
        <v>262040676.19608128</v>
      </c>
    </row>
    <row r="4605" spans="1:2" x14ac:dyDescent="0.25">
      <c r="A4605">
        <f ca="1">32273.759926415*((RANDBETWEEN(1587,2416)))</f>
        <v>56801817.470490314</v>
      </c>
      <c r="B4605">
        <v>218968060.44459754</v>
      </c>
    </row>
    <row r="4606" spans="1:2" x14ac:dyDescent="0.25">
      <c r="A4606">
        <f ca="1">27508.1555130667*((RANDBETWEEN(1587,2416)))</f>
        <v>61480727.571704008</v>
      </c>
      <c r="B4606">
        <v>248316841.27170673</v>
      </c>
    </row>
    <row r="4607" spans="1:2" x14ac:dyDescent="0.25">
      <c r="A4607">
        <f ca="1">28499.6461112724*((RANDBETWEEN(1587,2416)))</f>
        <v>51099865.477511376</v>
      </c>
      <c r="B4607">
        <v>256903558.74999622</v>
      </c>
    </row>
    <row r="4608" spans="1:2" x14ac:dyDescent="0.25">
      <c r="A4608">
        <f ca="1">28350.4304061313*((RANDBETWEEN(1587,2416)))</f>
        <v>64468878.743542559</v>
      </c>
      <c r="B4608">
        <v>234286837.60293972</v>
      </c>
    </row>
    <row r="4609" spans="1:2" x14ac:dyDescent="0.25">
      <c r="A4609">
        <f ca="1">28240.4137367273*((RANDBETWEEN(1587,2416)))</f>
        <v>64585826.21589531</v>
      </c>
      <c r="B4609">
        <v>249298313.67965615</v>
      </c>
    </row>
    <row r="4610" spans="1:2" x14ac:dyDescent="0.25">
      <c r="A4610">
        <f ca="1">30494.7753629621*((RANDBETWEEN(1587,2416)))</f>
        <v>69284129.624649987</v>
      </c>
      <c r="B4610">
        <v>264214270.11533082</v>
      </c>
    </row>
    <row r="4611" spans="1:2" x14ac:dyDescent="0.25">
      <c r="A4611">
        <f ca="1">27196.4649393292*((RANDBETWEEN(1587,2416)))</f>
        <v>53767411.185053825</v>
      </c>
      <c r="B4611">
        <v>236498194.46924728</v>
      </c>
    </row>
    <row r="4612" spans="1:2" x14ac:dyDescent="0.25">
      <c r="A4612">
        <f ca="1">30124.4639973108*((RANDBETWEEN(1587,2416)))</f>
        <v>60007932.282643184</v>
      </c>
      <c r="B4612">
        <v>231707716.44612217</v>
      </c>
    </row>
    <row r="4613" spans="1:2" x14ac:dyDescent="0.25">
      <c r="A4613">
        <f ca="1">33145.9753591666*((RANDBETWEEN(1587,2416)))</f>
        <v>57011077.617766507</v>
      </c>
      <c r="B4613">
        <v>223671646.66342515</v>
      </c>
    </row>
    <row r="4614" spans="1:2" x14ac:dyDescent="0.25">
      <c r="A4614">
        <f ca="1">32675.5629798297*((RANDBETWEEN(1587,2416)))</f>
        <v>78780782.344369382</v>
      </c>
      <c r="B4614">
        <v>247486804.44949594</v>
      </c>
    </row>
    <row r="4615" spans="1:2" x14ac:dyDescent="0.25">
      <c r="A4615">
        <f ca="1">28986.0223536468*((RANDBETWEEN(1587,2416)))</f>
        <v>63624319.066254832</v>
      </c>
      <c r="B4615">
        <v>231869385.93881267</v>
      </c>
    </row>
    <row r="4616" spans="1:2" x14ac:dyDescent="0.25">
      <c r="A4616">
        <f ca="1">28258.1880965825*((RANDBETWEEN(1587,2416)))</f>
        <v>65982869.205520242</v>
      </c>
      <c r="B4616">
        <v>211651807.48102614</v>
      </c>
    </row>
    <row r="4617" spans="1:2" x14ac:dyDescent="0.25">
      <c r="A4617">
        <f ca="1">31905.3653758397*((RANDBETWEEN(1587,2416)))</f>
        <v>63906446.847806923</v>
      </c>
      <c r="B4617">
        <v>223986790.59138149</v>
      </c>
    </row>
    <row r="4618" spans="1:2" x14ac:dyDescent="0.25">
      <c r="A4618">
        <f ca="1">33585.5340690138*((RANDBETWEEN(1587,2416)))</f>
        <v>57935046.26904884</v>
      </c>
      <c r="B4618">
        <v>264252867.01196253</v>
      </c>
    </row>
    <row r="4619" spans="1:2" x14ac:dyDescent="0.25">
      <c r="A4619">
        <f ca="1">32362.0285326057*((RANDBETWEEN(1587,2416)))</f>
        <v>63267765.781244196</v>
      </c>
      <c r="B4619">
        <v>264124216.47304216</v>
      </c>
    </row>
    <row r="4620" spans="1:2" x14ac:dyDescent="0.25">
      <c r="A4620">
        <f ca="1">28431.5950702069*((RANDBETWEEN(1587,2416)))</f>
        <v>62464214.369244508</v>
      </c>
      <c r="B4620">
        <v>254601505.32838055</v>
      </c>
    </row>
    <row r="4621" spans="1:2" x14ac:dyDescent="0.25">
      <c r="A4621">
        <f ca="1">32081.9041565844*((RANDBETWEEN(1587,2416)))</f>
        <v>68623192.99093394</v>
      </c>
      <c r="B4621">
        <v>246030121.4319104</v>
      </c>
    </row>
    <row r="4622" spans="1:2" x14ac:dyDescent="0.25">
      <c r="A4622">
        <f ca="1">27209.8147173668*((RANDBETWEEN(1587,2416)))</f>
        <v>59616704.045750573</v>
      </c>
      <c r="B4622">
        <v>264667743.90842116</v>
      </c>
    </row>
    <row r="4623" spans="1:2" x14ac:dyDescent="0.25">
      <c r="A4623">
        <f ca="1">28202.6181881904*((RANDBETWEEN(1587,2416)))</f>
        <v>53613177.175749868</v>
      </c>
      <c r="B4623">
        <v>211077782.91541982</v>
      </c>
    </row>
    <row r="4624" spans="1:2" x14ac:dyDescent="0.25">
      <c r="A4624">
        <f ca="1">31775.0943601607*((RANDBETWEEN(1587,2416)))</f>
        <v>66886573.628138371</v>
      </c>
      <c r="B4624">
        <v>218217356.34985846</v>
      </c>
    </row>
    <row r="4625" spans="1:2" x14ac:dyDescent="0.25">
      <c r="A4625">
        <f ca="1">30608.5982170391*((RANDBETWEEN(1587,2416)))</f>
        <v>48759496.959743351</v>
      </c>
      <c r="B4625">
        <v>247895058.29332793</v>
      </c>
    </row>
    <row r="4626" spans="1:2" x14ac:dyDescent="0.25">
      <c r="A4626">
        <f ca="1">30322.8915666341*((RANDBETWEEN(1587,2416)))</f>
        <v>52549571.084976807</v>
      </c>
      <c r="B4626">
        <v>240050130.28884593</v>
      </c>
    </row>
    <row r="4627" spans="1:2" x14ac:dyDescent="0.25">
      <c r="A4627">
        <f ca="1">30393.0221828081*((RANDBETWEEN(1587,2416)))</f>
        <v>70602990.530663192</v>
      </c>
      <c r="B4627">
        <v>235865855.46344525</v>
      </c>
    </row>
    <row r="4628" spans="1:2" x14ac:dyDescent="0.25">
      <c r="A4628">
        <f ca="1">27119.9512383066*((RANDBETWEEN(1587,2416)))</f>
        <v>48680312.47276032</v>
      </c>
      <c r="B4628">
        <v>217279505.38010055</v>
      </c>
    </row>
    <row r="4629" spans="1:2" x14ac:dyDescent="0.25">
      <c r="A4629">
        <f ca="1">32041.9441203843*((RANDBETWEEN(1587,2416)))</f>
        <v>62289539.37002717</v>
      </c>
      <c r="B4629">
        <v>230375756.806802</v>
      </c>
    </row>
    <row r="4630" spans="1:2" x14ac:dyDescent="0.25">
      <c r="A4630">
        <f ca="1">30788.4080118787*((RANDBETWEEN(1587,2416)))</f>
        <v>66841633.793788686</v>
      </c>
      <c r="B4630">
        <v>262448800.70635027</v>
      </c>
    </row>
    <row r="4631" spans="1:2" x14ac:dyDescent="0.25">
      <c r="A4631">
        <f ca="1">31311.4417295793*((RANDBETWEEN(1587,2416)))</f>
        <v>59648296.494848579</v>
      </c>
      <c r="B4631">
        <v>253944980.75068283</v>
      </c>
    </row>
    <row r="4632" spans="1:2" x14ac:dyDescent="0.25">
      <c r="A4632">
        <f ca="1">30261.8449996103*((RANDBETWEEN(1587,2416)))</f>
        <v>50355710.079351544</v>
      </c>
      <c r="B4632">
        <v>208909787.3758499</v>
      </c>
    </row>
    <row r="4633" spans="1:2" x14ac:dyDescent="0.25">
      <c r="A4633">
        <f ca="1">26642.4750598152*((RANDBETWEEN(1587,2416)))</f>
        <v>62343391.639967456</v>
      </c>
      <c r="B4633">
        <v>206233461.44562784</v>
      </c>
    </row>
    <row r="4634" spans="1:2" x14ac:dyDescent="0.25">
      <c r="A4634">
        <f ca="1">29479.0822377738*((RANDBETWEEN(1587,2416)))</f>
        <v>66151060.541564517</v>
      </c>
      <c r="B4634">
        <v>253210293.8322826</v>
      </c>
    </row>
    <row r="4635" spans="1:2" x14ac:dyDescent="0.25">
      <c r="A4635">
        <f ca="1">32983.8879120643*((RANDBETWEEN(1587,2416)))</f>
        <v>70981326.786762372</v>
      </c>
      <c r="B4635">
        <v>257265034.75608528</v>
      </c>
    </row>
    <row r="4636" spans="1:2" x14ac:dyDescent="0.25">
      <c r="A4636">
        <f ca="1">31688.8963187659*((RANDBETWEEN(1587,2416)))</f>
        <v>67972682.603752762</v>
      </c>
      <c r="B4636">
        <v>265470706.87419254</v>
      </c>
    </row>
    <row r="4637" spans="1:2" x14ac:dyDescent="0.25">
      <c r="A4637">
        <f ca="1">27292.786311123*((RANDBETWEEN(1587,2416)))</f>
        <v>57151094.535491541</v>
      </c>
      <c r="B4637">
        <v>253270086.74418271</v>
      </c>
    </row>
    <row r="4638" spans="1:2" x14ac:dyDescent="0.25">
      <c r="A4638">
        <f ca="1">33572.9409893509*((RANDBETWEEN(1587,2416)))</f>
        <v>79601443.085751072</v>
      </c>
      <c r="B4638">
        <v>227601964.29614538</v>
      </c>
    </row>
    <row r="4639" spans="1:2" x14ac:dyDescent="0.25">
      <c r="A4639">
        <f ca="1">31864.1060601804*((RANDBETWEEN(1587,2416)))</f>
        <v>56048962.559857368</v>
      </c>
      <c r="B4639">
        <v>214569469.96500754</v>
      </c>
    </row>
    <row r="4640" spans="1:2" x14ac:dyDescent="0.25">
      <c r="A4640">
        <f ca="1">28724.4463149342*((RANDBETWEEN(1587,2416)))</f>
        <v>55955221.421491735</v>
      </c>
      <c r="B4640">
        <v>209540774.55442724</v>
      </c>
    </row>
    <row r="4641" spans="1:2" x14ac:dyDescent="0.25">
      <c r="A4641">
        <f ca="1">28361.0918045067*((RANDBETWEEN(1587,2416)))</f>
        <v>49546827.38247329</v>
      </c>
      <c r="B4641">
        <v>213424711.77205825</v>
      </c>
    </row>
    <row r="4642" spans="1:2" x14ac:dyDescent="0.25">
      <c r="A4642">
        <f ca="1">32664.3815694002*((RANDBETWEEN(1587,2416)))</f>
        <v>77153269.266923264</v>
      </c>
      <c r="B4642">
        <v>231090555.40417472</v>
      </c>
    </row>
    <row r="4643" spans="1:2" x14ac:dyDescent="0.25">
      <c r="A4643">
        <f ca="1">32845.6709369192*((RANDBETWEEN(1587,2416)))</f>
        <v>53275678.259682901</v>
      </c>
      <c r="B4643">
        <v>210753767.27825779</v>
      </c>
    </row>
    <row r="4644" spans="1:2" x14ac:dyDescent="0.25">
      <c r="A4644">
        <f ca="1">33284.1666332148*((RANDBETWEEN(1587,2416)))</f>
        <v>77319119.088957965</v>
      </c>
      <c r="B4644">
        <v>246629010.31744027</v>
      </c>
    </row>
    <row r="4645" spans="1:2" x14ac:dyDescent="0.25">
      <c r="A4645">
        <f ca="1">30591.1960857548*((RANDBETWEEN(1587,2416)))</f>
        <v>54850014.581758305</v>
      </c>
      <c r="B4645">
        <v>238500714.7303822</v>
      </c>
    </row>
    <row r="4646" spans="1:2" x14ac:dyDescent="0.25">
      <c r="A4646">
        <f ca="1">31821.1044286224*((RANDBETWEEN(1587,2416)))</f>
        <v>53204886.604656667</v>
      </c>
      <c r="B4646">
        <v>230941690.45491865</v>
      </c>
    </row>
    <row r="4647" spans="1:2" x14ac:dyDescent="0.25">
      <c r="A4647">
        <f ca="1">32918.3555813882*((RANDBETWEEN(1587,2416)))</f>
        <v>73770034.857890964</v>
      </c>
      <c r="B4647">
        <v>230827699.79129535</v>
      </c>
    </row>
    <row r="4648" spans="1:2" x14ac:dyDescent="0.25">
      <c r="A4648">
        <f ca="1">30875.5006832973*((RANDBETWEEN(1587,2416)))</f>
        <v>59558840.818080477</v>
      </c>
      <c r="B4648">
        <v>250299544.00757784</v>
      </c>
    </row>
    <row r="4649" spans="1:2" x14ac:dyDescent="0.25">
      <c r="A4649">
        <f ca="1">31437.732207198*((RANDBETWEEN(1587,2416)))</f>
        <v>75513432.761689633</v>
      </c>
      <c r="B4649">
        <v>204875872.34362906</v>
      </c>
    </row>
    <row r="4650" spans="1:2" x14ac:dyDescent="0.25">
      <c r="A4650">
        <f ca="1">26478.6741600649*((RANDBETWEEN(1587,2416)))</f>
        <v>59762367.579266489</v>
      </c>
      <c r="B4650">
        <v>208552950.06676123</v>
      </c>
    </row>
    <row r="4651" spans="1:2" x14ac:dyDescent="0.25">
      <c r="A4651">
        <f ca="1">28953.3000881587*((RANDBETWEEN(1587,2416)))</f>
        <v>59180545.380196311</v>
      </c>
      <c r="B4651">
        <v>223182225.81716403</v>
      </c>
    </row>
    <row r="4652" spans="1:2" x14ac:dyDescent="0.25">
      <c r="A4652">
        <f ca="1">29346.5524706462*((RANDBETWEEN(1587,2416)))</f>
        <v>49067435.730920509</v>
      </c>
      <c r="B4652">
        <v>241060867.53103867</v>
      </c>
    </row>
    <row r="4653" spans="1:2" x14ac:dyDescent="0.25">
      <c r="A4653">
        <f ca="1">29006.9937073037*((RANDBETWEEN(1587,2416)))</f>
        <v>66135945.652652502</v>
      </c>
      <c r="B4653">
        <v>211595696.9120428</v>
      </c>
    </row>
    <row r="4654" spans="1:2" x14ac:dyDescent="0.25">
      <c r="A4654">
        <f ca="1">31485.615437478*((RANDBETWEEN(1587,2416)))</f>
        <v>61459921.333957039</v>
      </c>
      <c r="B4654">
        <v>224334808.59437257</v>
      </c>
    </row>
    <row r="4655" spans="1:2" x14ac:dyDescent="0.25">
      <c r="A4655">
        <f ca="1">31957.0265726914*((RANDBETWEEN(1587,2416)))</f>
        <v>72286794.107428059</v>
      </c>
      <c r="B4655">
        <v>232018428.68451428</v>
      </c>
    </row>
    <row r="4656" spans="1:2" x14ac:dyDescent="0.25">
      <c r="A4656">
        <f ca="1">26817.1991278834*((RANDBETWEEN(1587,2416)))</f>
        <v>52803065.082802325</v>
      </c>
      <c r="B4656">
        <v>211863851.63159746</v>
      </c>
    </row>
    <row r="4657" spans="1:2" x14ac:dyDescent="0.25">
      <c r="A4657">
        <f ca="1">31135.1413847745*((RANDBETWEEN(1587,2416)))</f>
        <v>71112662.92282486</v>
      </c>
      <c r="B4657">
        <v>206429901.55958745</v>
      </c>
    </row>
    <row r="4658" spans="1:2" x14ac:dyDescent="0.25">
      <c r="A4658">
        <f ca="1">27915.7453720405*((RANDBETWEEN(1587,2416)))</f>
        <v>56529384.378382102</v>
      </c>
      <c r="B4658">
        <v>235876924.04122072</v>
      </c>
    </row>
    <row r="4659" spans="1:2" x14ac:dyDescent="0.25">
      <c r="A4659">
        <f ca="1">26898.2684072538*((RANDBETWEEN(1587,2416)))</f>
        <v>63318523.830675557</v>
      </c>
      <c r="B4659">
        <v>211722066.65042707</v>
      </c>
    </row>
    <row r="4660" spans="1:2" x14ac:dyDescent="0.25">
      <c r="A4660">
        <f ca="1">32294.4583582808*((RANDBETWEEN(1587,2416)))</f>
        <v>62812721.506856076</v>
      </c>
      <c r="B4660">
        <v>264899153.35915622</v>
      </c>
    </row>
    <row r="4661" spans="1:2" x14ac:dyDescent="0.25">
      <c r="A4661">
        <f ca="1">29766.2697461966*((RANDBETWEEN(1587,2416)))</f>
        <v>51584945.470158674</v>
      </c>
      <c r="B4661">
        <v>249647083.70217621</v>
      </c>
    </row>
    <row r="4662" spans="1:2" x14ac:dyDescent="0.25">
      <c r="A4662">
        <f ca="1">28218.3243585648*((RANDBETWEEN(1587,2416)))</f>
        <v>62757553.373448111</v>
      </c>
      <c r="B4662">
        <v>211943044.73659962</v>
      </c>
    </row>
    <row r="4663" spans="1:2" x14ac:dyDescent="0.25">
      <c r="A4663">
        <f ca="1">28510.7020940792*((RANDBETWEEN(1587,2416)))</f>
        <v>65175464.987064943</v>
      </c>
      <c r="B4663">
        <v>210021342.91757697</v>
      </c>
    </row>
    <row r="4664" spans="1:2" x14ac:dyDescent="0.25">
      <c r="A4664">
        <f ca="1">31085.5097447919*((RANDBETWEEN(1587,2416)))</f>
        <v>50482867.825542115</v>
      </c>
      <c r="B4664">
        <v>248440849.05214202</v>
      </c>
    </row>
    <row r="4665" spans="1:2" x14ac:dyDescent="0.25">
      <c r="A4665">
        <f ca="1">27864.0575760638*((RANDBETWEEN(1587,2416)))</f>
        <v>54362776.330900468</v>
      </c>
      <c r="B4665">
        <v>218370493.99027598</v>
      </c>
    </row>
    <row r="4666" spans="1:2" x14ac:dyDescent="0.25">
      <c r="A4666">
        <f ca="1">28295.5133469709*((RANDBETWEEN(1587,2416)))</f>
        <v>51837380.451650627</v>
      </c>
      <c r="B4666">
        <v>214345906.17298636</v>
      </c>
    </row>
    <row r="4667" spans="1:2" x14ac:dyDescent="0.25">
      <c r="A4667">
        <f ca="1">26974.884513241*((RANDBETWEEN(1587,2416)))</f>
        <v>50523958.693300389</v>
      </c>
      <c r="B4667">
        <v>267175694.49175864</v>
      </c>
    </row>
    <row r="4668" spans="1:2" x14ac:dyDescent="0.25">
      <c r="A4668">
        <f ca="1">32243.5375200698*((RANDBETWEEN(1587,2416)))</f>
        <v>53169593.370595165</v>
      </c>
      <c r="B4668">
        <v>226685881.20656994</v>
      </c>
    </row>
    <row r="4669" spans="1:2" x14ac:dyDescent="0.25">
      <c r="A4669">
        <f ca="1">32075.246624325*((RANDBETWEEN(1587,2416)))</f>
        <v>70629693.066763625</v>
      </c>
      <c r="B4669">
        <v>263695156.86031228</v>
      </c>
    </row>
    <row r="4670" spans="1:2" x14ac:dyDescent="0.25">
      <c r="A4670">
        <f ca="1">26989.4319153486*((RANDBETWEEN(1587,2416)))</f>
        <v>58189215.209491529</v>
      </c>
      <c r="B4670">
        <v>220966906.6735695</v>
      </c>
    </row>
    <row r="4671" spans="1:2" x14ac:dyDescent="0.25">
      <c r="A4671">
        <f ca="1">33557.3921095138*((RANDBETWEEN(1587,2416)))</f>
        <v>69530916.45091261</v>
      </c>
      <c r="B4671">
        <v>223546029.4451386</v>
      </c>
    </row>
    <row r="4672" spans="1:2" x14ac:dyDescent="0.25">
      <c r="A4672">
        <f ca="1">32428.7439861217*((RANDBETWEEN(1587,2416)))</f>
        <v>52469707.769544877</v>
      </c>
      <c r="B4672">
        <v>216441867.32023823</v>
      </c>
    </row>
    <row r="4673" spans="1:2" x14ac:dyDescent="0.25">
      <c r="A4673">
        <f ca="1">31411.8023846119*((RANDBETWEEN(1587,2416)))</f>
        <v>57169480.339993589</v>
      </c>
      <c r="B4673">
        <v>204277319.76256144</v>
      </c>
    </row>
    <row r="4674" spans="1:2" x14ac:dyDescent="0.25">
      <c r="A4674">
        <f ca="1">30461.3371246896*((RANDBETWEEN(1587,2416)))</f>
        <v>70487534.10653168</v>
      </c>
      <c r="B4674">
        <v>238282196.41103417</v>
      </c>
    </row>
    <row r="4675" spans="1:2" x14ac:dyDescent="0.25">
      <c r="A4675">
        <f ca="1">30809.5197598219*((RANDBETWEEN(1587,2416)))</f>
        <v>49726564.892352588</v>
      </c>
      <c r="B4675">
        <v>266263589.04189298</v>
      </c>
    </row>
    <row r="4676" spans="1:2" x14ac:dyDescent="0.25">
      <c r="A4676">
        <f ca="1">31154.4830942733*((RANDBETWEEN(1587,2416)))</f>
        <v>74988840.807915881</v>
      </c>
      <c r="B4676">
        <v>262659414.81263116</v>
      </c>
    </row>
    <row r="4677" spans="1:2" x14ac:dyDescent="0.25">
      <c r="A4677">
        <f ca="1">29758.4903474696*((RANDBETWEEN(1587,2416)))</f>
        <v>58177848.62930309</v>
      </c>
      <c r="B4677">
        <v>223789687.07414269</v>
      </c>
    </row>
    <row r="4678" spans="1:2" x14ac:dyDescent="0.25">
      <c r="A4678">
        <f ca="1">27490.6929908531*((RANDBETWEEN(1587,2416)))</f>
        <v>58637648.149489604</v>
      </c>
      <c r="B4678">
        <v>260372768.30831796</v>
      </c>
    </row>
    <row r="4679" spans="1:2" x14ac:dyDescent="0.25">
      <c r="A4679">
        <f ca="1">29867.8700887297*((RANDBETWEEN(1587,2416)))</f>
        <v>56778821.038675152</v>
      </c>
      <c r="B4679">
        <v>252628074.85813206</v>
      </c>
    </row>
    <row r="4680" spans="1:2" x14ac:dyDescent="0.25">
      <c r="A4680">
        <f ca="1">30946.3435254987*((RANDBETWEEN(1587,2416)))</f>
        <v>56879379.399866536</v>
      </c>
      <c r="B4680">
        <v>260038353.01995218</v>
      </c>
    </row>
    <row r="4681" spans="1:2" x14ac:dyDescent="0.25">
      <c r="A4681">
        <f ca="1">27104.7746483843*((RANDBETWEEN(1587,2416)))</f>
        <v>44424725.648701884</v>
      </c>
      <c r="B4681">
        <v>209793258.84528866</v>
      </c>
    </row>
    <row r="4682" spans="1:2" x14ac:dyDescent="0.25">
      <c r="A4682">
        <f ca="1">27504.8398307252*((RANDBETWEEN(1587,2416)))</f>
        <v>46290645.435110457</v>
      </c>
      <c r="B4682">
        <v>264377707.91081801</v>
      </c>
    </row>
    <row r="4683" spans="1:2" x14ac:dyDescent="0.25">
      <c r="A4683">
        <f ca="1">33351.5500829859*((RANDBETWEEN(1587,2416)))</f>
        <v>63534702.908088058</v>
      </c>
      <c r="B4683">
        <v>253757700.72234848</v>
      </c>
    </row>
    <row r="4684" spans="1:2" x14ac:dyDescent="0.25">
      <c r="A4684">
        <f ca="1">30694.2422505922*((RANDBETWEEN(1587,2416)))</f>
        <v>64949016.602253042</v>
      </c>
      <c r="B4684">
        <v>260772132.02883494</v>
      </c>
    </row>
    <row r="4685" spans="1:2" x14ac:dyDescent="0.25">
      <c r="A4685">
        <f ca="1">31290.3527274745*((RANDBETWEEN(1587,2416)))</f>
        <v>65146514.378601916</v>
      </c>
      <c r="B4685">
        <v>256699004.80950516</v>
      </c>
    </row>
    <row r="4686" spans="1:2" x14ac:dyDescent="0.25">
      <c r="A4686">
        <f ca="1">33349.1621839226*((RANDBETWEEN(1587,2416)))</f>
        <v>61929394.175544344</v>
      </c>
      <c r="B4686">
        <v>264484447.53345564</v>
      </c>
    </row>
    <row r="4687" spans="1:2" x14ac:dyDescent="0.25">
      <c r="A4687">
        <f ca="1">26053.1329657525*((RANDBETWEEN(1587,2416)))</f>
        <v>51324671.94253242</v>
      </c>
      <c r="B4687">
        <v>237751705.9436039</v>
      </c>
    </row>
    <row r="4688" spans="1:2" x14ac:dyDescent="0.25">
      <c r="A4688">
        <f ca="1">31698.0748324026*((RANDBETWEEN(1587,2416)))</f>
        <v>76011983.448101312</v>
      </c>
      <c r="B4688">
        <v>255457186.15010104</v>
      </c>
    </row>
    <row r="4689" spans="1:2" x14ac:dyDescent="0.25">
      <c r="A4689">
        <f ca="1">27441.8725025237*((RANDBETWEEN(1587,2416)))</f>
        <v>48681881.819477104</v>
      </c>
      <c r="B4689">
        <v>205483264.73433381</v>
      </c>
    </row>
    <row r="4690" spans="1:2" x14ac:dyDescent="0.25">
      <c r="A4690">
        <f ca="1">30484.0212183349*((RANDBETWEEN(1587,2416)))</f>
        <v>51365575.752894357</v>
      </c>
      <c r="B4690">
        <v>230202870.78346175</v>
      </c>
    </row>
    <row r="4691" spans="1:2" x14ac:dyDescent="0.25">
      <c r="A4691">
        <f ca="1">29452.1154767333*((RANDBETWEEN(1587,2416)))</f>
        <v>53219972.666457064</v>
      </c>
      <c r="B4691">
        <v>232215058.46920121</v>
      </c>
    </row>
    <row r="4692" spans="1:2" x14ac:dyDescent="0.25">
      <c r="A4692">
        <f ca="1">27554.431949044*((RANDBETWEEN(1587,2416)))</f>
        <v>54860874.010546558</v>
      </c>
      <c r="B4692">
        <v>228463332.99625909</v>
      </c>
    </row>
    <row r="4693" spans="1:2" x14ac:dyDescent="0.25">
      <c r="A4693">
        <f ca="1">31957.5006278261*((RANDBETWEEN(1587,2416)))</f>
        <v>74141401.456556648</v>
      </c>
      <c r="B4693">
        <v>215980631.38001242</v>
      </c>
    </row>
    <row r="4694" spans="1:2" x14ac:dyDescent="0.25">
      <c r="A4694">
        <f ca="1">28556.2616865949*((RANDBETWEEN(1587,2416)))</f>
        <v>46346812.717343442</v>
      </c>
      <c r="B4694">
        <v>213508908.51171789</v>
      </c>
    </row>
    <row r="4695" spans="1:2" x14ac:dyDescent="0.25">
      <c r="A4695">
        <f ca="1">27949.8407398409*((RANDBETWEEN(1587,2416)))</f>
        <v>45083093.113363303</v>
      </c>
      <c r="B4695">
        <v>219137034.04281121</v>
      </c>
    </row>
    <row r="4696" spans="1:2" x14ac:dyDescent="0.25">
      <c r="A4696">
        <f ca="1">27917.5343727119*((RANDBETWEEN(1587,2416)))</f>
        <v>49804881.320918106</v>
      </c>
      <c r="B4696">
        <v>223628959.58539948</v>
      </c>
    </row>
    <row r="4697" spans="1:2" x14ac:dyDescent="0.25">
      <c r="A4697">
        <f ca="1">27583.538852952*((RANDBETWEEN(1587,2416)))</f>
        <v>55884249.716080718</v>
      </c>
      <c r="B4697">
        <v>207558340.09106377</v>
      </c>
    </row>
    <row r="4698" spans="1:2" x14ac:dyDescent="0.25">
      <c r="A4698">
        <f ca="1">32497.7012738226*((RANDBETWEEN(1587,2416)))</f>
        <v>78514446.277555346</v>
      </c>
      <c r="B4698">
        <v>218442210.60029244</v>
      </c>
    </row>
    <row r="4699" spans="1:2" x14ac:dyDescent="0.25">
      <c r="A4699">
        <f ca="1">28256.4927344426*((RANDBETWEEN(1587,2416)))</f>
        <v>57982323.09107621</v>
      </c>
      <c r="B4699">
        <v>250037341.20559037</v>
      </c>
    </row>
    <row r="4700" spans="1:2" x14ac:dyDescent="0.25">
      <c r="A4700">
        <f ca="1">27752.4354971287*((RANDBETWEEN(1587,2416)))</f>
        <v>63858354.078893229</v>
      </c>
      <c r="B4700">
        <v>225074170.66105849</v>
      </c>
    </row>
    <row r="4701" spans="1:2" x14ac:dyDescent="0.25">
      <c r="A4701">
        <f ca="1">29122.8695673026*((RANDBETWEEN(1587,2416)))</f>
        <v>67186460.091767162</v>
      </c>
      <c r="B4701">
        <v>233392242.25553006</v>
      </c>
    </row>
    <row r="4702" spans="1:2" x14ac:dyDescent="0.25">
      <c r="A4702">
        <f ca="1">31596.6053683953*((RANDBETWEEN(1587,2416)))</f>
        <v>61139431.387844831</v>
      </c>
      <c r="B4702">
        <v>206205912.69964221</v>
      </c>
    </row>
    <row r="4703" spans="1:2" x14ac:dyDescent="0.25">
      <c r="A4703">
        <f ca="1">27842.7478377317*((RANDBETWEEN(1587,2416)))</f>
        <v>54933741.483844727</v>
      </c>
      <c r="B4703">
        <v>228764271.64375821</v>
      </c>
    </row>
    <row r="4704" spans="1:2" x14ac:dyDescent="0.25">
      <c r="A4704">
        <f ca="1">30240.1775069669*((RANDBETWEEN(1587,2416)))</f>
        <v>51196620.519294903</v>
      </c>
      <c r="B4704">
        <v>253552316.46091539</v>
      </c>
    </row>
    <row r="4705" spans="1:2" x14ac:dyDescent="0.25">
      <c r="A4705">
        <f ca="1">31424.0556953005*((RANDBETWEEN(1587,2416)))</f>
        <v>67970232.468935028</v>
      </c>
      <c r="B4705">
        <v>239890893.54932976</v>
      </c>
    </row>
    <row r="4706" spans="1:2" x14ac:dyDescent="0.25">
      <c r="A4706">
        <f ca="1">33201.4429501917*((RANDBETWEEN(1587,2416)))</f>
        <v>64975223.85352508</v>
      </c>
      <c r="B4706">
        <v>259969737.32834744</v>
      </c>
    </row>
    <row r="4707" spans="1:2" x14ac:dyDescent="0.25">
      <c r="A4707">
        <f ca="1">29623.2387579506*((RANDBETWEEN(1587,2416)))</f>
        <v>69614611.08118394</v>
      </c>
      <c r="B4707">
        <v>220466039.82081765</v>
      </c>
    </row>
    <row r="4708" spans="1:2" x14ac:dyDescent="0.25">
      <c r="A4708">
        <f ca="1">29068.4713913956*((RANDBETWEEN(1587,2416)))</f>
        <v>67613264.45638606</v>
      </c>
      <c r="B4708">
        <v>210658491.7443167</v>
      </c>
    </row>
    <row r="4709" spans="1:2" x14ac:dyDescent="0.25">
      <c r="A4709">
        <f ca="1">26802.6842530439*((RANDBETWEEN(1587,2416)))</f>
        <v>47494356.496393852</v>
      </c>
      <c r="B4709">
        <v>205236186.4775328</v>
      </c>
    </row>
    <row r="4710" spans="1:2" x14ac:dyDescent="0.25">
      <c r="A4710">
        <f ca="1">33299.6884420169*((RANDBETWEEN(1587,2416)))</f>
        <v>76222986.843776658</v>
      </c>
      <c r="B4710">
        <v>266354684.35133958</v>
      </c>
    </row>
    <row r="4711" spans="1:2" x14ac:dyDescent="0.25">
      <c r="A4711">
        <f ca="1">28790.9704960783*((RANDBETWEEN(1587,2416)))</f>
        <v>68637673.662650719</v>
      </c>
      <c r="B4711">
        <v>208137694.90018234</v>
      </c>
    </row>
    <row r="4712" spans="1:2" x14ac:dyDescent="0.25">
      <c r="A4712">
        <f ca="1">29982.7308686367*((RANDBETWEEN(1587,2416)))</f>
        <v>71298934.00561811</v>
      </c>
      <c r="B4712">
        <v>248060338.57850549</v>
      </c>
    </row>
    <row r="4713" spans="1:2" x14ac:dyDescent="0.25">
      <c r="A4713">
        <f ca="1">31235.4078706844*((RANDBETWEEN(1587,2416)))</f>
        <v>49726769.330129571</v>
      </c>
      <c r="B4713">
        <v>255104887.25903428</v>
      </c>
    </row>
    <row r="4714" spans="1:2" x14ac:dyDescent="0.25">
      <c r="A4714">
        <f ca="1">29795.561214348*((RANDBETWEEN(1587,2416)))</f>
        <v>65252279.059422217</v>
      </c>
      <c r="B4714">
        <v>211635499.81394735</v>
      </c>
    </row>
    <row r="4715" spans="1:2" x14ac:dyDescent="0.25">
      <c r="A4715">
        <f ca="1">27850.9340303752*((RANDBETWEEN(1587,2416)))</f>
        <v>47903606.532245345</v>
      </c>
      <c r="B4715">
        <v>210691140.33382437</v>
      </c>
    </row>
    <row r="4716" spans="1:2" x14ac:dyDescent="0.25">
      <c r="A4716">
        <f ca="1">30727.6006559969*((RANDBETWEEN(1587,2416)))</f>
        <v>60379735.289033942</v>
      </c>
      <c r="B4716">
        <v>213888046.39609405</v>
      </c>
    </row>
    <row r="4717" spans="1:2" x14ac:dyDescent="0.25">
      <c r="A4717">
        <f ca="1">33214.5067087566*((RANDBETWEEN(1587,2416)))</f>
        <v>53342497.774263166</v>
      </c>
      <c r="B4717">
        <v>239858170.18653592</v>
      </c>
    </row>
    <row r="4718" spans="1:2" x14ac:dyDescent="0.25">
      <c r="A4718">
        <f ca="1">26568.322061357*((RANDBETWEEN(1587,2416)))</f>
        <v>52286457.816750631</v>
      </c>
      <c r="B4718">
        <v>224724069.15483841</v>
      </c>
    </row>
    <row r="4719" spans="1:2" x14ac:dyDescent="0.25">
      <c r="A4719">
        <f ca="1">30181.0069830751*((RANDBETWEEN(1587,2416)))</f>
        <v>53148753.297195204</v>
      </c>
      <c r="B4719">
        <v>230260349.56014001</v>
      </c>
    </row>
    <row r="4720" spans="1:2" x14ac:dyDescent="0.25">
      <c r="A4720">
        <f ca="1">32265.7059396864*((RANDBETWEEN(1587,2416)))</f>
        <v>61369372.697283439</v>
      </c>
      <c r="B4720">
        <v>246542337.76084957</v>
      </c>
    </row>
    <row r="4721" spans="1:2" x14ac:dyDescent="0.25">
      <c r="A4721">
        <f ca="1">28925.016889671*((RANDBETWEEN(1587,2416)))</f>
        <v>58631009.235363141</v>
      </c>
      <c r="B4721">
        <v>252378410.53000855</v>
      </c>
    </row>
    <row r="4722" spans="1:2" x14ac:dyDescent="0.25">
      <c r="A4722">
        <f ca="1">30165.4354187974*((RANDBETWEEN(1587,2416)))</f>
        <v>64855686.15041443</v>
      </c>
      <c r="B4722">
        <v>237833474.23183101</v>
      </c>
    </row>
    <row r="4723" spans="1:2" x14ac:dyDescent="0.25">
      <c r="A4723">
        <f ca="1">30921.7208216744*((RANDBETWEEN(1587,2416)))</f>
        <v>74521347.180235341</v>
      </c>
      <c r="B4723">
        <v>255754564.09154832</v>
      </c>
    </row>
    <row r="4724" spans="1:2" x14ac:dyDescent="0.25">
      <c r="A4724">
        <f ca="1">30101.5869593218*((RANDBETWEEN(1587,2416)))</f>
        <v>47771218.504443668</v>
      </c>
      <c r="B4724">
        <v>227614128.93639159</v>
      </c>
    </row>
    <row r="4725" spans="1:2" x14ac:dyDescent="0.25">
      <c r="A4725">
        <f ca="1">31778.7547120595*((RANDBETWEEN(1587,2416)))</f>
        <v>67307402.480142012</v>
      </c>
      <c r="B4725">
        <v>220689757.9466916</v>
      </c>
    </row>
    <row r="4726" spans="1:2" x14ac:dyDescent="0.25">
      <c r="A4726">
        <f ca="1">29569.4937088839*((RANDBETWEEN(1587,2416)))</f>
        <v>52663268.295522265</v>
      </c>
      <c r="B4726">
        <v>242006609.95101598</v>
      </c>
    </row>
    <row r="4727" spans="1:2" x14ac:dyDescent="0.25">
      <c r="A4727">
        <f ca="1">27889.2736869673*((RANDBETWEEN(1587,2416)))</f>
        <v>65177232.606442586</v>
      </c>
      <c r="B4727">
        <v>207627252.88651958</v>
      </c>
    </row>
    <row r="4728" spans="1:2" x14ac:dyDescent="0.25">
      <c r="A4728">
        <f ca="1">30501.5105064603*((RANDBETWEEN(1587,2416)))</f>
        <v>56183782.35289982</v>
      </c>
      <c r="B4728">
        <v>254770348.55889499</v>
      </c>
    </row>
    <row r="4729" spans="1:2" x14ac:dyDescent="0.25">
      <c r="A4729">
        <f ca="1">33254.1602771703*((RANDBETWEEN(1587,2416)))</f>
        <v>72095019.480905205</v>
      </c>
      <c r="B4729">
        <v>217098355.32505757</v>
      </c>
    </row>
    <row r="4730" spans="1:2" x14ac:dyDescent="0.25">
      <c r="A4730">
        <f ca="1">30237.1356051203*((RANDBETWEEN(1587,2416)))</f>
        <v>52642853.08851438</v>
      </c>
      <c r="B4730">
        <v>225329653.78050739</v>
      </c>
    </row>
    <row r="4731" spans="1:2" x14ac:dyDescent="0.25">
      <c r="A4731">
        <f ca="1">27794.6324149271*((RANDBETWEEN(1587,2416)))</f>
        <v>59230361.676209629</v>
      </c>
      <c r="B4731">
        <v>242522179.2330429</v>
      </c>
    </row>
    <row r="4732" spans="1:2" x14ac:dyDescent="0.25">
      <c r="A4732">
        <f ca="1">34572.5234546415*((RANDBETWEEN(1587,2416)))</f>
        <v>82904911.244230315</v>
      </c>
      <c r="B4732">
        <v>246327464.93005186</v>
      </c>
    </row>
    <row r="4733" spans="1:2" x14ac:dyDescent="0.25">
      <c r="A4733">
        <f ca="1">35911.3907536408*((RANDBETWEEN(1587,2416)))</f>
        <v>84140388.535780475</v>
      </c>
      <c r="B4733">
        <v>264891908.00544244</v>
      </c>
    </row>
    <row r="4734" spans="1:2" x14ac:dyDescent="0.25">
      <c r="A4734">
        <f ca="1">30449.8635343375*((RANDBETWEEN(1587,2416)))</f>
        <v>50394524.149328567</v>
      </c>
      <c r="B4734">
        <v>243750960.13583678</v>
      </c>
    </row>
    <row r="4735" spans="1:2" x14ac:dyDescent="0.25">
      <c r="A4735">
        <f ca="1">31435.0705086116*((RANDBETWEEN(1587,2416)))</f>
        <v>55294289.024647795</v>
      </c>
      <c r="B4735">
        <v>232456597.77803564</v>
      </c>
    </row>
    <row r="4736" spans="1:2" x14ac:dyDescent="0.25">
      <c r="A4736">
        <f ca="1">32461.6353866874*((RANDBETWEEN(1587,2416)))</f>
        <v>54178469.460381344</v>
      </c>
      <c r="B4736">
        <v>264534424.89451969</v>
      </c>
    </row>
    <row r="4737" spans="1:2" x14ac:dyDescent="0.25">
      <c r="A4737">
        <f ca="1">33070.5084615099*((RANDBETWEEN(1587,2416)))</f>
        <v>69745702.345324323</v>
      </c>
      <c r="B4737">
        <v>241907500.96050483</v>
      </c>
    </row>
    <row r="4738" spans="1:2" x14ac:dyDescent="0.25">
      <c r="A4738">
        <f ca="1">27487.1195859996*((RANDBETWEEN(1587,2416)))</f>
        <v>60004382.056237206</v>
      </c>
      <c r="B4738">
        <v>219981451.4054276</v>
      </c>
    </row>
    <row r="4739" spans="1:2" x14ac:dyDescent="0.25">
      <c r="A4739">
        <f ca="1">28862.0987234552*((RANDBETWEEN(1587,2416)))</f>
        <v>56511989.300525188</v>
      </c>
      <c r="B4739">
        <v>245263786.13210559</v>
      </c>
    </row>
    <row r="4740" spans="1:2" x14ac:dyDescent="0.25">
      <c r="A4740">
        <f ca="1">30147.2795622758*((RANDBETWEEN(1587,2416)))</f>
        <v>52335677.320110828</v>
      </c>
      <c r="B4740">
        <v>262450041.89000097</v>
      </c>
    </row>
    <row r="4741" spans="1:2" x14ac:dyDescent="0.25">
      <c r="A4741">
        <f ca="1">29788.3601281983*((RANDBETWEEN(1587,2416)))</f>
        <v>56240423.922038317</v>
      </c>
      <c r="B4741">
        <v>242716422.64341509</v>
      </c>
    </row>
    <row r="4742" spans="1:2" x14ac:dyDescent="0.25">
      <c r="A4742">
        <f ca="1">31702.0463055581*((RANDBETWEEN(1587,2416)))</f>
        <v>54115393.043587737</v>
      </c>
      <c r="B4742">
        <v>261226571.25701892</v>
      </c>
    </row>
    <row r="4743" spans="1:2" x14ac:dyDescent="0.25">
      <c r="A4743">
        <f ca="1">29351.9722512686*((RANDBETWEEN(1587,2416)))</f>
        <v>60083487.198346846</v>
      </c>
      <c r="B4743">
        <v>215633119.7222701</v>
      </c>
    </row>
    <row r="4744" spans="1:2" x14ac:dyDescent="0.25">
      <c r="A4744">
        <f ca="1">31039.5355953408*((RANDBETWEEN(1587,2416)))</f>
        <v>53698396.579939559</v>
      </c>
      <c r="B4744">
        <v>220340757.90888253</v>
      </c>
    </row>
    <row r="4745" spans="1:2" x14ac:dyDescent="0.25">
      <c r="A4745">
        <f ca="1">26439.110516054*((RANDBETWEEN(1587,2416)))</f>
        <v>59831707.097830184</v>
      </c>
      <c r="B4745">
        <v>227492566.00973046</v>
      </c>
    </row>
    <row r="4746" spans="1:2" x14ac:dyDescent="0.25">
      <c r="A4746">
        <f ca="1">26601.251389141*((RANDBETWEEN(1587,2416)))</f>
        <v>51606427.694933496</v>
      </c>
      <c r="B4746">
        <v>242048934.95942104</v>
      </c>
    </row>
    <row r="4747" spans="1:2" x14ac:dyDescent="0.25">
      <c r="A4747">
        <f ca="1">29244.7366942073*((RANDBETWEEN(1587,2416)))</f>
        <v>51353757.635028079</v>
      </c>
      <c r="B4747">
        <v>234360896.91151959</v>
      </c>
    </row>
    <row r="4748" spans="1:2" x14ac:dyDescent="0.25">
      <c r="A4748">
        <f ca="1">28312.7768220153*((RANDBETWEEN(1587,2416)))</f>
        <v>48244971.70471406</v>
      </c>
      <c r="B4748">
        <v>241685934.82702532</v>
      </c>
    </row>
    <row r="4749" spans="1:2" x14ac:dyDescent="0.25">
      <c r="A4749">
        <f ca="1">31156.6664421116*((RANDBETWEEN(1587,2416)))</f>
        <v>61098222.892980769</v>
      </c>
      <c r="B4749">
        <v>257212420.03278571</v>
      </c>
    </row>
    <row r="4750" spans="1:2" x14ac:dyDescent="0.25">
      <c r="A4750">
        <f ca="1">26215.7062586105*((RANDBETWEEN(1587,2416)))</f>
        <v>42521875.551466256</v>
      </c>
      <c r="B4750">
        <v>247288289.8962087</v>
      </c>
    </row>
    <row r="4751" spans="1:2" x14ac:dyDescent="0.25">
      <c r="A4751">
        <f ca="1">33059.6644125078*((RANDBETWEEN(1587,2416)))</f>
        <v>63408436.343189962</v>
      </c>
      <c r="B4751">
        <v>224254213.72612417</v>
      </c>
    </row>
    <row r="4752" spans="1:2" x14ac:dyDescent="0.25">
      <c r="A4752">
        <f ca="1">27194.9226588953*((RANDBETWEEN(1587,2416)))</f>
        <v>43946995.016774848</v>
      </c>
      <c r="B4752">
        <v>264476018.8384746</v>
      </c>
    </row>
    <row r="4753" spans="1:2" x14ac:dyDescent="0.25">
      <c r="A4753">
        <f ca="1">29602.4664790156*((RANDBETWEEN(1587,2416)))</f>
        <v>51330676.874613136</v>
      </c>
      <c r="B4753">
        <v>267741182.25067639</v>
      </c>
    </row>
    <row r="4754" spans="1:2" x14ac:dyDescent="0.25">
      <c r="A4754">
        <f ca="1">32246.4441909131*((RANDBETWEEN(1587,2416)))</f>
        <v>75714650.960263863</v>
      </c>
      <c r="B4754">
        <v>216687095.90429023</v>
      </c>
    </row>
    <row r="4755" spans="1:2" x14ac:dyDescent="0.25">
      <c r="A4755">
        <f ca="1">29997.5063484197*((RANDBETWEEN(1587,2416)))</f>
        <v>59245075.03812883</v>
      </c>
      <c r="B4755">
        <v>220763861.01521856</v>
      </c>
    </row>
    <row r="4756" spans="1:2" x14ac:dyDescent="0.25">
      <c r="A4756">
        <f ca="1">30179.7881611429*((RANDBETWEEN(1587,2416)))</f>
        <v>68598658.490277842</v>
      </c>
      <c r="B4756">
        <v>250479089.16438586</v>
      </c>
    </row>
    <row r="4757" spans="1:2" x14ac:dyDescent="0.25">
      <c r="A4757">
        <f ca="1">28085.2223411267*((RANDBETWEEN(1587,2416)))</f>
        <v>62461534.486665882</v>
      </c>
      <c r="B4757">
        <v>251775699.55605167</v>
      </c>
    </row>
    <row r="4758" spans="1:2" x14ac:dyDescent="0.25">
      <c r="A4758">
        <f ca="1">27798.5623971196*((RANDBETWEEN(1587,2416)))</f>
        <v>62407772.581533492</v>
      </c>
      <c r="B4758">
        <v>240962686.39572114</v>
      </c>
    </row>
    <row r="4759" spans="1:2" x14ac:dyDescent="0.25">
      <c r="A4759">
        <f ca="1">32159.0125292511*((RANDBETWEEN(1587,2416)))</f>
        <v>77567538.220553666</v>
      </c>
      <c r="B4759">
        <v>230510126.59914806</v>
      </c>
    </row>
    <row r="4760" spans="1:2" x14ac:dyDescent="0.25">
      <c r="A4760">
        <f ca="1">29733.8078547524*((RANDBETWEEN(1587,2416)))</f>
        <v>61192176.565080345</v>
      </c>
      <c r="B4760">
        <v>260061248.88616782</v>
      </c>
    </row>
    <row r="4761" spans="1:2" x14ac:dyDescent="0.25">
      <c r="A4761">
        <f ca="1">33728.5015686777*((RANDBETWEEN(1587,2416)))</f>
        <v>58620135.726361863</v>
      </c>
      <c r="B4761">
        <v>264397465.27307916</v>
      </c>
    </row>
    <row r="4762" spans="1:2" x14ac:dyDescent="0.25">
      <c r="A4762">
        <f ca="1">31517.3653576949*((RANDBETWEEN(1587,2416)))</f>
        <v>74160360.686656103</v>
      </c>
      <c r="B4762">
        <v>214782056.08460081</v>
      </c>
    </row>
    <row r="4763" spans="1:2" x14ac:dyDescent="0.25">
      <c r="A4763">
        <f ca="1">26927.1138717528*((RANDBETWEEN(1587,2416)))</f>
        <v>49222764.157564059</v>
      </c>
      <c r="B4763">
        <v>213319338.95599744</v>
      </c>
    </row>
    <row r="4764" spans="1:2" x14ac:dyDescent="0.25">
      <c r="A4764">
        <f ca="1">26950.852699846*((RANDBETWEEN(1587,2416)))</f>
        <v>45654744.473539121</v>
      </c>
      <c r="B4764">
        <v>230043016.91224125</v>
      </c>
    </row>
    <row r="4765" spans="1:2" x14ac:dyDescent="0.25">
      <c r="A4765">
        <f ca="1">33191.1883351595*((RANDBETWEEN(1587,2416)))</f>
        <v>75543144.650822982</v>
      </c>
      <c r="B4765">
        <v>253057247.66205677</v>
      </c>
    </row>
    <row r="4766" spans="1:2" x14ac:dyDescent="0.25">
      <c r="A4766">
        <f ca="1">28489.9801826137*((RANDBETWEEN(1587,2416)))</f>
        <v>55555461.356096737</v>
      </c>
      <c r="B4766">
        <v>213260423.6086787</v>
      </c>
    </row>
    <row r="4767" spans="1:2" x14ac:dyDescent="0.25">
      <c r="A4767">
        <f ca="1">29579.3806493167*((RANDBETWEEN(1587,2416)))</f>
        <v>60460254.047203369</v>
      </c>
      <c r="B4767">
        <v>235199601.75650829</v>
      </c>
    </row>
    <row r="4768" spans="1:2" x14ac:dyDescent="0.25">
      <c r="A4768">
        <f ca="1">28215.3329382056*((RANDBETWEEN(1587,2416)))</f>
        <v>47824989.330258496</v>
      </c>
      <c r="B4768">
        <v>251221606.50334275</v>
      </c>
    </row>
    <row r="4769" spans="1:2" x14ac:dyDescent="0.25">
      <c r="A4769">
        <f ca="1">30763.3711092453*((RANDBETWEEN(1587,2416)))</f>
        <v>62664986.949532576</v>
      </c>
      <c r="B4769">
        <v>229077938.32569316</v>
      </c>
    </row>
    <row r="4770" spans="1:2" x14ac:dyDescent="0.25">
      <c r="A4770">
        <f ca="1">29002.6343629163*((RANDBETWEEN(1587,2416)))</f>
        <v>52117733.95016063</v>
      </c>
      <c r="B4770">
        <v>216644008.77091008</v>
      </c>
    </row>
    <row r="4771" spans="1:2" x14ac:dyDescent="0.25">
      <c r="A4771">
        <f ca="1">33460.3455495448*((RANDBETWEEN(1587,2416)))</f>
        <v>62269703.067702889</v>
      </c>
      <c r="B4771">
        <v>257773697.13363639</v>
      </c>
    </row>
    <row r="4772" spans="1:2" x14ac:dyDescent="0.25">
      <c r="A4772">
        <f ca="1">29062.2304011735*((RANDBETWEEN(1587,2416)))</f>
        <v>68034681.369147211</v>
      </c>
      <c r="B4772">
        <v>222113138.63145187</v>
      </c>
    </row>
    <row r="4773" spans="1:2" x14ac:dyDescent="0.25">
      <c r="A4773">
        <f ca="1">28809.308731463*((RANDBETWEEN(1587,2416)))</f>
        <v>56091724.100158438</v>
      </c>
      <c r="B4773">
        <v>225439468.20967495</v>
      </c>
    </row>
    <row r="4774" spans="1:2" x14ac:dyDescent="0.25">
      <c r="A4774">
        <f ca="1">27216.7033085279*((RANDBETWEEN(1587,2416)))</f>
        <v>58869729.256345794</v>
      </c>
      <c r="B4774">
        <v>206320787.59916872</v>
      </c>
    </row>
    <row r="4775" spans="1:2" x14ac:dyDescent="0.25">
      <c r="A4775">
        <f ca="1">29522.237226103*((RANDBETWEEN(1587,2416)))</f>
        <v>65568888.879174702</v>
      </c>
      <c r="B4775">
        <v>207756469.0317066</v>
      </c>
    </row>
    <row r="4776" spans="1:2" x14ac:dyDescent="0.25">
      <c r="A4776">
        <f ca="1">30982.2527583671*((RANDBETWEEN(1587,2416)))</f>
        <v>59423960.790548086</v>
      </c>
      <c r="B4776">
        <v>210362077.14269671</v>
      </c>
    </row>
    <row r="4777" spans="1:2" x14ac:dyDescent="0.25">
      <c r="A4777">
        <f ca="1">27892.4327406054*((RANDBETWEEN(1587,2416)))</f>
        <v>58072044.965940379</v>
      </c>
      <c r="B4777">
        <v>236448151.59773353</v>
      </c>
    </row>
    <row r="4778" spans="1:2" x14ac:dyDescent="0.25">
      <c r="A4778">
        <f ca="1">28583.0430709129*((RANDBETWEEN(1587,2416)))</f>
        <v>46504611.076375224</v>
      </c>
      <c r="B4778">
        <v>234609446.46600339</v>
      </c>
    </row>
    <row r="4779" spans="1:2" x14ac:dyDescent="0.25">
      <c r="A4779">
        <f ca="1">26349.868229027*((RANDBETWEEN(1587,2416)))</f>
        <v>45558922.167987719</v>
      </c>
      <c r="B4779">
        <v>232337194.70557004</v>
      </c>
    </row>
    <row r="4780" spans="1:2" x14ac:dyDescent="0.25">
      <c r="A4780">
        <f ca="1">29864.7237224713*((RANDBETWEEN(1587,2416)))</f>
        <v>58355670.153708972</v>
      </c>
      <c r="B4780">
        <v>212507612.04874331</v>
      </c>
    </row>
    <row r="4781" spans="1:2" x14ac:dyDescent="0.25">
      <c r="A4781">
        <f ca="1">27613.0684561199*((RANDBETWEEN(1587,2416)))</f>
        <v>62930183.011497341</v>
      </c>
      <c r="B4781">
        <v>252985706.20322129</v>
      </c>
    </row>
    <row r="4782" spans="1:2" x14ac:dyDescent="0.25">
      <c r="A4782">
        <f ca="1">28037.8508303698*((RANDBETWEEN(1587,2416)))</f>
        <v>59748660.119518049</v>
      </c>
      <c r="B4782">
        <v>264141845.80127218</v>
      </c>
    </row>
    <row r="4783" spans="1:2" x14ac:dyDescent="0.25">
      <c r="A4783">
        <f ca="1">26299.2083420054*((RANDBETWEEN(1587,2416)))</f>
        <v>52493219.8506428</v>
      </c>
      <c r="B4783">
        <v>213022909.07221657</v>
      </c>
    </row>
    <row r="4784" spans="1:2" x14ac:dyDescent="0.25">
      <c r="A4784">
        <f ca="1">30720.9361066639*((RANDBETWEEN(1587,2416)))</f>
        <v>56772289.92511481</v>
      </c>
      <c r="B4784">
        <v>260105377.9235757</v>
      </c>
    </row>
    <row r="4785" spans="1:2" x14ac:dyDescent="0.25">
      <c r="A4785">
        <f ca="1">32638.0595265897*((RANDBETWEEN(1587,2416)))</f>
        <v>62273417.576733172</v>
      </c>
      <c r="B4785">
        <v>211079616.77659589</v>
      </c>
    </row>
    <row r="4786" spans="1:2" x14ac:dyDescent="0.25">
      <c r="A4786">
        <f ca="1">29245.7992722717*((RANDBETWEEN(1587,2416)))</f>
        <v>70511622.045447141</v>
      </c>
      <c r="B4786">
        <v>214772648.82426795</v>
      </c>
    </row>
    <row r="4787" spans="1:2" x14ac:dyDescent="0.25">
      <c r="A4787">
        <f ca="1">26908.2078931072*((RANDBETWEEN(1587,2416)))</f>
        <v>54408396.359862804</v>
      </c>
      <c r="B4787">
        <v>224460133.5360828</v>
      </c>
    </row>
    <row r="4788" spans="1:2" x14ac:dyDescent="0.25">
      <c r="A4788">
        <f ca="1">27903.4056753183*((RANDBETWEEN(1587,2416)))</f>
        <v>56002135.190363921</v>
      </c>
      <c r="B4788">
        <v>226138372.20308948</v>
      </c>
    </row>
    <row r="4789" spans="1:2" x14ac:dyDescent="0.25">
      <c r="A4789">
        <f ca="1">30107.6829806212*((RANDBETWEEN(1587,2416)))</f>
        <v>57716428.273850836</v>
      </c>
      <c r="B4789">
        <v>258293750.77496794</v>
      </c>
    </row>
    <row r="4790" spans="1:2" x14ac:dyDescent="0.25">
      <c r="A4790">
        <f ca="1">29655.8415017217*((RANDBETWEEN(1587,2416)))</f>
        <v>51156326.590470009</v>
      </c>
      <c r="B4790">
        <v>253836530.57769507</v>
      </c>
    </row>
    <row r="4791" spans="1:2" x14ac:dyDescent="0.25">
      <c r="A4791">
        <f ca="1">34535.4241502225*((RANDBETWEEN(1587,2416)))</f>
        <v>55740174.578459159</v>
      </c>
      <c r="B4791">
        <v>237051015.72855616</v>
      </c>
    </row>
    <row r="4792" spans="1:2" x14ac:dyDescent="0.25">
      <c r="A4792">
        <f ca="1">28312.9522505447*((RANDBETWEEN(1587,2416)))</f>
        <v>67583017.022050157</v>
      </c>
      <c r="B4792">
        <v>260294274.12551969</v>
      </c>
    </row>
    <row r="4793" spans="1:2" x14ac:dyDescent="0.25">
      <c r="A4793">
        <f ca="1">29887.6059651239*((RANDBETWEEN(1587,2416)))</f>
        <v>51048030.98843164</v>
      </c>
      <c r="B4793">
        <v>267566728.60850739</v>
      </c>
    </row>
    <row r="4794" spans="1:2" x14ac:dyDescent="0.25">
      <c r="A4794">
        <f ca="1">31291.3642157636*((RANDBETWEEN(1587,2416)))</f>
        <v>63458886.629568622</v>
      </c>
      <c r="B4794">
        <v>221733405.75341213</v>
      </c>
    </row>
    <row r="4795" spans="1:2" x14ac:dyDescent="0.25">
      <c r="A4795">
        <f ca="1">30280.20392876*((RANDBETWEEN(1587,2416)))</f>
        <v>58471073.786435597</v>
      </c>
      <c r="B4795">
        <v>245422799.07953054</v>
      </c>
    </row>
    <row r="4796" spans="1:2" x14ac:dyDescent="0.25">
      <c r="A4796">
        <f ca="1">30297.3708371672*((RANDBETWEEN(1587,2416)))</f>
        <v>56019838.677922063</v>
      </c>
      <c r="B4796">
        <v>242832366.16969445</v>
      </c>
    </row>
    <row r="4797" spans="1:2" x14ac:dyDescent="0.25">
      <c r="A4797">
        <f ca="1">30601.4048786802*((RANDBETWEEN(1587,2416)))</f>
        <v>66680461.230644077</v>
      </c>
      <c r="B4797">
        <v>267178876.56391385</v>
      </c>
    </row>
    <row r="4798" spans="1:2" x14ac:dyDescent="0.25">
      <c r="A4798">
        <f ca="1">29062.9096185886*((RANDBETWEEN(1587,2416)))</f>
        <v>54841710.450276777</v>
      </c>
      <c r="B4798">
        <v>233578821.83419293</v>
      </c>
    </row>
    <row r="4799" spans="1:2" x14ac:dyDescent="0.25">
      <c r="A4799">
        <f ca="1">29190.7470765626*((RANDBETWEEN(1587,2416)))</f>
        <v>55374847.204239175</v>
      </c>
      <c r="B4799">
        <v>263712335.72377425</v>
      </c>
    </row>
    <row r="4800" spans="1:2" x14ac:dyDescent="0.25">
      <c r="A4800">
        <f ca="1">29798.968068013*((RANDBETWEEN(1587,2416)))</f>
        <v>52267389.991294838</v>
      </c>
      <c r="B4800">
        <v>266058674.73645359</v>
      </c>
    </row>
    <row r="4801" spans="1:2" x14ac:dyDescent="0.25">
      <c r="A4801">
        <f ca="1">29176.3859903777*((RANDBETWEEN(1587,2416)))</f>
        <v>51117028.255141772</v>
      </c>
      <c r="B4801">
        <v>265246340.05005497</v>
      </c>
    </row>
    <row r="4802" spans="1:2" x14ac:dyDescent="0.25">
      <c r="A4802">
        <f ca="1">28545.8056024944*((RANDBETWEEN(1587,2416)))</f>
        <v>53723206.143894508</v>
      </c>
      <c r="B4802">
        <v>225700317.34878752</v>
      </c>
    </row>
    <row r="4803" spans="1:2" x14ac:dyDescent="0.25">
      <c r="A4803">
        <f ca="1">30713.0446262026*((RANDBETWEEN(1587,2416)))</f>
        <v>52795723.712442286</v>
      </c>
      <c r="B4803">
        <v>215349225.90881252</v>
      </c>
    </row>
    <row r="4804" spans="1:2" x14ac:dyDescent="0.25">
      <c r="A4804">
        <f ca="1">31603.1399414012*((RANDBETWEEN(1587,2416)))</f>
        <v>53567322.200675078</v>
      </c>
      <c r="B4804">
        <v>215673881.26177412</v>
      </c>
    </row>
    <row r="4805" spans="1:2" x14ac:dyDescent="0.25">
      <c r="A4805">
        <f ca="1">31603.4338873709*((RANDBETWEEN(1587,2416)))</f>
        <v>69148313.345567435</v>
      </c>
      <c r="B4805">
        <v>216538002.20658034</v>
      </c>
    </row>
    <row r="4806" spans="1:2" x14ac:dyDescent="0.25">
      <c r="A4806">
        <f ca="1">33240.6404602447*((RANDBETWEEN(1587,2416)))</f>
        <v>72398114.922412857</v>
      </c>
      <c r="B4806">
        <v>210270808.46453232</v>
      </c>
    </row>
    <row r="4807" spans="1:2" x14ac:dyDescent="0.25">
      <c r="A4807">
        <f ca="1">30790.5600218909*((RANDBETWEEN(1587,2416)))</f>
        <v>57516766.120892115</v>
      </c>
      <c r="B4807">
        <v>225751394.47193092</v>
      </c>
    </row>
    <row r="4808" spans="1:2" x14ac:dyDescent="0.25">
      <c r="A4808">
        <f ca="1">32099.3631175509*((RANDBETWEEN(1587,2416)))</f>
        <v>73924833.259719819</v>
      </c>
      <c r="B4808">
        <v>220235848.42826894</v>
      </c>
    </row>
    <row r="4809" spans="1:2" x14ac:dyDescent="0.25">
      <c r="A4809">
        <f ca="1">28137.2218510737*((RANDBETWEEN(1587,2416)))</f>
        <v>45300927.180228665</v>
      </c>
      <c r="B4809">
        <v>229733001.74681562</v>
      </c>
    </row>
    <row r="4810" spans="1:2" x14ac:dyDescent="0.25">
      <c r="A4810">
        <f ca="1">33708.262756974*((RANDBETWEEN(1587,2416)))</f>
        <v>72405348.401980072</v>
      </c>
      <c r="B4810">
        <v>223633807.99199972</v>
      </c>
    </row>
    <row r="4811" spans="1:2" x14ac:dyDescent="0.25">
      <c r="A4811">
        <f ca="1">32456.2612170739*((RANDBETWEEN(1587,2416)))</f>
        <v>53033530.82869868</v>
      </c>
      <c r="B4811">
        <v>231198246.96140695</v>
      </c>
    </row>
    <row r="4812" spans="1:2" x14ac:dyDescent="0.25">
      <c r="A4812">
        <f ca="1">29166.9603061675*((RANDBETWEEN(1587,2416)))</f>
        <v>69096528.965310812</v>
      </c>
      <c r="B4812">
        <v>209386358.88952947</v>
      </c>
    </row>
    <row r="4813" spans="1:2" x14ac:dyDescent="0.25">
      <c r="A4813">
        <f ca="1">31984.9736443462*((RANDBETWEEN(1587,2416)))</f>
        <v>64769571.629800983</v>
      </c>
      <c r="B4813">
        <v>263836340.73412704</v>
      </c>
    </row>
    <row r="4814" spans="1:2" x14ac:dyDescent="0.25">
      <c r="A4814">
        <f ca="1">26912.7902668274*((RANDBETWEEN(1587,2416)))</f>
        <v>51699470.102575496</v>
      </c>
      <c r="B4814">
        <v>259231798.15742654</v>
      </c>
    </row>
    <row r="4815" spans="1:2" x14ac:dyDescent="0.25">
      <c r="A4815">
        <f ca="1">32145.3054319045*((RANDBETWEEN(1587,2416)))</f>
        <v>57475806.112245195</v>
      </c>
      <c r="B4815">
        <v>222695365.81260616</v>
      </c>
    </row>
    <row r="4816" spans="1:2" x14ac:dyDescent="0.25">
      <c r="A4816">
        <f ca="1">33193.0988195658*((RANDBETWEEN(1587,2416)))</f>
        <v>55498861.226314038</v>
      </c>
      <c r="B4816">
        <v>235683047.48122916</v>
      </c>
    </row>
    <row r="4817" spans="1:2" x14ac:dyDescent="0.25">
      <c r="A4817">
        <f ca="1">35061.49792333*((RANDBETWEEN(1587,2416)))</f>
        <v>78958493.323339254</v>
      </c>
      <c r="B4817">
        <v>239185731.77476048</v>
      </c>
    </row>
    <row r="4818" spans="1:2" x14ac:dyDescent="0.25">
      <c r="A4818">
        <f ca="1">30707.7286249084*((RANDBETWEEN(1587,2416)))</f>
        <v>49163073.528478362</v>
      </c>
      <c r="B4818">
        <v>233602222.93196204</v>
      </c>
    </row>
    <row r="4819" spans="1:2" x14ac:dyDescent="0.25">
      <c r="A4819">
        <f ca="1">33247.4445250026*((RANDBETWEEN(1587,2416)))</f>
        <v>72379686.730930597</v>
      </c>
      <c r="B4819">
        <v>256009663.50816017</v>
      </c>
    </row>
    <row r="4820" spans="1:2" x14ac:dyDescent="0.25">
      <c r="A4820">
        <f ca="1">29191.7815490912*((RANDBETWEEN(1587,2416)))</f>
        <v>65302015.325317055</v>
      </c>
      <c r="B4820">
        <v>222815597.3818827</v>
      </c>
    </row>
    <row r="4821" spans="1:2" x14ac:dyDescent="0.25">
      <c r="A4821">
        <f ca="1">32144.4784239691*((RANDBETWEEN(1587,2416)))</f>
        <v>70332118.791644469</v>
      </c>
      <c r="B4821">
        <v>229923832.26211378</v>
      </c>
    </row>
    <row r="4822" spans="1:2" x14ac:dyDescent="0.25">
      <c r="A4822">
        <f ca="1">30426.2084718089*((RANDBETWEEN(1587,2416)))</f>
        <v>51329013.691941544</v>
      </c>
      <c r="B4822">
        <v>251727174.65666831</v>
      </c>
    </row>
    <row r="4823" spans="1:2" x14ac:dyDescent="0.25">
      <c r="A4823">
        <f ca="1">34899.2921747733*((RANDBETWEEN(1587,2416)))</f>
        <v>74405290.916616783</v>
      </c>
      <c r="B4823">
        <v>239090194.53104779</v>
      </c>
    </row>
    <row r="4824" spans="1:2" x14ac:dyDescent="0.25">
      <c r="A4824">
        <f ca="1">32172.4206106719*((RANDBETWEEN(1587,2416)))</f>
        <v>60355461.065620527</v>
      </c>
      <c r="B4824">
        <v>238866469.40294442</v>
      </c>
    </row>
    <row r="4825" spans="1:2" x14ac:dyDescent="0.25">
      <c r="A4825">
        <f ca="1">30950.5147005573*((RANDBETWEEN(1587,2416)))</f>
        <v>53420588.373161823</v>
      </c>
      <c r="B4825">
        <v>223129027.2072677</v>
      </c>
    </row>
    <row r="4826" spans="1:2" x14ac:dyDescent="0.25">
      <c r="A4826">
        <f ca="1">31749.8434546655*((RANDBETWEEN(1587,2416)))</f>
        <v>55435226.671845973</v>
      </c>
      <c r="B4826">
        <v>209228939.55070376</v>
      </c>
    </row>
    <row r="4827" spans="1:2" x14ac:dyDescent="0.25">
      <c r="A4827">
        <f ca="1">32782.5514385031*((RANDBETWEEN(1587,2416)))</f>
        <v>65171712.259744085</v>
      </c>
      <c r="B4827">
        <v>255955445.40136656</v>
      </c>
    </row>
    <row r="4828" spans="1:2" x14ac:dyDescent="0.25">
      <c r="A4828">
        <f ca="1">30846.2994395856*((RANDBETWEEN(1587,2416)))</f>
        <v>66566314.190625809</v>
      </c>
      <c r="B4828">
        <v>256005098.92655137</v>
      </c>
    </row>
    <row r="4829" spans="1:2" x14ac:dyDescent="0.25">
      <c r="A4829">
        <f ca="1">29729.3235493372*((RANDBETWEEN(1587,2416)))</f>
        <v>59458647.098674491</v>
      </c>
      <c r="B4829">
        <v>228773691.20463744</v>
      </c>
    </row>
    <row r="4830" spans="1:2" x14ac:dyDescent="0.25">
      <c r="A4830">
        <f ca="1">29299.2870398125*((RANDBETWEEN(1587,2416)))</f>
        <v>64868621.506144904</v>
      </c>
      <c r="B4830">
        <v>216909564.72369534</v>
      </c>
    </row>
    <row r="4831" spans="1:2" x14ac:dyDescent="0.25">
      <c r="A4831">
        <f ca="1">34450.8275165466*((RANDBETWEEN(1587,2416)))</f>
        <v>78789042.530341998</v>
      </c>
      <c r="B4831">
        <v>204614924.24849078</v>
      </c>
    </row>
    <row r="4832" spans="1:2" x14ac:dyDescent="0.25">
      <c r="A4832">
        <f ca="1">27172.8928600734*((RANDBETWEEN(1587,2416)))</f>
        <v>43395109.897537239</v>
      </c>
      <c r="B4832">
        <v>220897732.2517128</v>
      </c>
    </row>
    <row r="4833" spans="1:2" x14ac:dyDescent="0.25">
      <c r="A4833">
        <f ca="1">28570.8400408018*((RANDBETWEEN(1587,2416)))</f>
        <v>56684546.640950806</v>
      </c>
      <c r="B4833">
        <v>229581530.63363698</v>
      </c>
    </row>
    <row r="4834" spans="1:2" x14ac:dyDescent="0.25">
      <c r="A4834">
        <f ca="1">28759.1208403343*((RANDBETWEEN(1587,2416)))</f>
        <v>48056490.924198575</v>
      </c>
      <c r="B4834">
        <v>204738215.91261578</v>
      </c>
    </row>
    <row r="4835" spans="1:2" x14ac:dyDescent="0.25">
      <c r="A4835">
        <f ca="1">31538.8396637318*((RANDBETWEEN(1587,2416)))</f>
        <v>73485496.416495025</v>
      </c>
      <c r="B4835">
        <v>255195788.1872896</v>
      </c>
    </row>
    <row r="4836" spans="1:2" x14ac:dyDescent="0.25">
      <c r="A4836">
        <f ca="1">31902.6097230792*((RANDBETWEEN(1587,2416)))</f>
        <v>69643397.025481999</v>
      </c>
      <c r="B4836">
        <v>235250092.32940191</v>
      </c>
    </row>
    <row r="4837" spans="1:2" x14ac:dyDescent="0.25">
      <c r="A4837">
        <f ca="1">29870.7802219147*((RANDBETWEEN(1587,2416)))</f>
        <v>53677792.05878073</v>
      </c>
      <c r="B4837">
        <v>250517149.52105975</v>
      </c>
    </row>
    <row r="4838" spans="1:2" x14ac:dyDescent="0.25">
      <c r="A4838">
        <f ca="1">26338.6930348671*((RANDBETWEEN(1587,2416)))</f>
        <v>63397234.134925105</v>
      </c>
      <c r="B4838">
        <v>217244301.95761856</v>
      </c>
    </row>
    <row r="4839" spans="1:2" x14ac:dyDescent="0.25">
      <c r="A4839">
        <f ca="1">29712.7999285514*((RANDBETWEEN(1587,2416)))</f>
        <v>48728991.882824369</v>
      </c>
      <c r="B4839">
        <v>259444281.17014167</v>
      </c>
    </row>
    <row r="4840" spans="1:2" x14ac:dyDescent="0.25">
      <c r="A4840">
        <f ca="1">25983.6150506717*((RANDBETWEEN(1587,2416)))</f>
        <v>61399282.364737295</v>
      </c>
      <c r="B4840">
        <v>206246679.3298752</v>
      </c>
    </row>
    <row r="4841" spans="1:2" x14ac:dyDescent="0.25">
      <c r="A4841">
        <f ca="1">28300.5984011757*((RANDBETWEEN(1587,2416)))</f>
        <v>48507225.659615077</v>
      </c>
      <c r="B4841">
        <v>255581960.68705148</v>
      </c>
    </row>
    <row r="4842" spans="1:2" x14ac:dyDescent="0.25">
      <c r="A4842">
        <f ca="1">28275.1176056017*((RANDBETWEEN(1587,2416)))</f>
        <v>54995103.742895335</v>
      </c>
      <c r="B4842">
        <v>207210593.16310439</v>
      </c>
    </row>
    <row r="4843" spans="1:2" x14ac:dyDescent="0.25">
      <c r="A4843">
        <f ca="1">30920.928150668*((RANDBETWEEN(1587,2416)))</f>
        <v>70283269.686468437</v>
      </c>
      <c r="B4843">
        <v>226208710.32590115</v>
      </c>
    </row>
    <row r="4844" spans="1:2" x14ac:dyDescent="0.25">
      <c r="A4844">
        <f ca="1">31846.6942933074*((RANDBETWEEN(1587,2416)))</f>
        <v>61878127.0118962</v>
      </c>
      <c r="B4844">
        <v>251841847.818941</v>
      </c>
    </row>
    <row r="4845" spans="1:2" x14ac:dyDescent="0.25">
      <c r="A4845">
        <f ca="1">33234.7782863533*((RANDBETWEEN(1587,2416)))</f>
        <v>54006514.715324156</v>
      </c>
      <c r="B4845">
        <v>218800668.8280493</v>
      </c>
    </row>
    <row r="4846" spans="1:2" x14ac:dyDescent="0.25">
      <c r="A4846">
        <f ca="1">26059.222883191*((RANDBETWEEN(1587,2416)))</f>
        <v>52561452.555396214</v>
      </c>
      <c r="B4846">
        <v>244848450.34109688</v>
      </c>
    </row>
    <row r="4847" spans="1:2" x14ac:dyDescent="0.25">
      <c r="A4847">
        <f ca="1">26707.2636338878*((RANDBETWEEN(1587,2416)))</f>
        <v>52746845.676928423</v>
      </c>
      <c r="B4847">
        <v>238025548.61599612</v>
      </c>
    </row>
    <row r="4848" spans="1:2" x14ac:dyDescent="0.25">
      <c r="A4848">
        <f ca="1">27901.9799808045*((RANDBETWEEN(1587,2416)))</f>
        <v>56222489.661321037</v>
      </c>
      <c r="B4848">
        <v>250550464.16503948</v>
      </c>
    </row>
    <row r="4849" spans="1:2" x14ac:dyDescent="0.25">
      <c r="A4849">
        <f ca="1">26456.1862650649*((RANDBETWEEN(1587,2416)))</f>
        <v>46880362.061695017</v>
      </c>
      <c r="B4849">
        <v>248008647.03534445</v>
      </c>
    </row>
    <row r="4850" spans="1:2" x14ac:dyDescent="0.25">
      <c r="A4850">
        <f ca="1">32524.8965443335*((RANDBETWEEN(1587,2416)))</f>
        <v>57211293.021482617</v>
      </c>
      <c r="B4850">
        <v>257424783.38415325</v>
      </c>
    </row>
    <row r="4851" spans="1:2" x14ac:dyDescent="0.25">
      <c r="A4851">
        <f ca="1">33334.460030256*((RANDBETWEEN(1587,2416)))</f>
        <v>60535379.414944828</v>
      </c>
      <c r="B4851">
        <v>230537469.13171649</v>
      </c>
    </row>
    <row r="4852" spans="1:2" x14ac:dyDescent="0.25">
      <c r="A4852">
        <f ca="1">27209.4718328528*((RANDBETWEEN(1587,2416)))</f>
        <v>55398484.651688293</v>
      </c>
      <c r="B4852">
        <v>211528066.4919551</v>
      </c>
    </row>
    <row r="4853" spans="1:2" x14ac:dyDescent="0.25">
      <c r="A4853">
        <f ca="1">31048.1877407604*((RANDBETWEEN(1587,2416)))</f>
        <v>70479386.171526179</v>
      </c>
      <c r="B4853">
        <v>232347328.90465277</v>
      </c>
    </row>
    <row r="4854" spans="1:2" x14ac:dyDescent="0.25">
      <c r="A4854">
        <f ca="1">28733.0918661145*((RANDBETWEEN(1587,2416)))</f>
        <v>54391742.90255475</v>
      </c>
      <c r="B4854">
        <v>261562074.32283276</v>
      </c>
    </row>
    <row r="4855" spans="1:2" x14ac:dyDescent="0.25">
      <c r="A4855">
        <f ca="1">30886.3593203877*((RANDBETWEEN(1587,2416)))</f>
        <v>62606650.342425838</v>
      </c>
      <c r="B4855">
        <v>203693244.94964534</v>
      </c>
    </row>
    <row r="4856" spans="1:2" x14ac:dyDescent="0.25">
      <c r="A4856">
        <f ca="1">33479.9917809047*((RANDBETWEEN(1587,2416)))</f>
        <v>72216342.271411449</v>
      </c>
      <c r="B4856">
        <v>207275283.24315429</v>
      </c>
    </row>
    <row r="4857" spans="1:2" x14ac:dyDescent="0.25">
      <c r="A4857">
        <f ca="1">31785.4216843383*((RANDBETWEEN(1587,2416)))</f>
        <v>76602866.259255201</v>
      </c>
      <c r="B4857">
        <v>238582036.85497093</v>
      </c>
    </row>
    <row r="4858" spans="1:2" x14ac:dyDescent="0.25">
      <c r="A4858">
        <f ca="1">30967.8259164901*((RANDBETWEEN(1587,2416)))</f>
        <v>70792450.045096457</v>
      </c>
      <c r="B4858">
        <v>204907230.39595452</v>
      </c>
    </row>
    <row r="4859" spans="1:2" x14ac:dyDescent="0.25">
      <c r="A4859">
        <f ca="1">30722.34085083*((RANDBETWEEN(1587,2416)))</f>
        <v>67312648.804168597</v>
      </c>
      <c r="B4859">
        <v>239799832.30885193</v>
      </c>
    </row>
    <row r="4860" spans="1:2" x14ac:dyDescent="0.25">
      <c r="A4860">
        <f ca="1">26593.1709053907*((RANDBETWEEN(1587,2416)))</f>
        <v>53399087.178024545</v>
      </c>
      <c r="B4860">
        <v>239140970.8577866</v>
      </c>
    </row>
    <row r="4861" spans="1:2" x14ac:dyDescent="0.25">
      <c r="A4861">
        <f ca="1">27831.198104769*((RANDBETWEEN(1587,2416)))</f>
        <v>59113464.774529457</v>
      </c>
      <c r="B4861">
        <v>250213210.84429556</v>
      </c>
    </row>
    <row r="4862" spans="1:2" x14ac:dyDescent="0.25">
      <c r="A4862">
        <f ca="1">29277.7674995025*((RANDBETWEEN(1587,2416)))</f>
        <v>56213313.599044882</v>
      </c>
      <c r="B4862">
        <v>249339060.2747499</v>
      </c>
    </row>
    <row r="4863" spans="1:2" x14ac:dyDescent="0.25">
      <c r="A4863">
        <f ca="1">28223.8210905586*((RANDBETWEEN(1587,2416)))</f>
        <v>64322088.265383162</v>
      </c>
      <c r="B4863">
        <v>236442991.49053138</v>
      </c>
    </row>
    <row r="4864" spans="1:2" x14ac:dyDescent="0.25">
      <c r="A4864">
        <f ca="1">30186.6925894382*((RANDBETWEEN(1587,2416)))</f>
        <v>53702126.116610527</v>
      </c>
      <c r="B4864">
        <v>218418852.71412331</v>
      </c>
    </row>
    <row r="4865" spans="1:2" x14ac:dyDescent="0.25">
      <c r="A4865">
        <f ca="1">30426.3691903945*((RANDBETWEEN(1587,2416)))</f>
        <v>59635683.613173172</v>
      </c>
      <c r="B4865">
        <v>254922980.77291384</v>
      </c>
    </row>
    <row r="4866" spans="1:2" x14ac:dyDescent="0.25">
      <c r="A4866">
        <f ca="1">29973.4556143302*((RANDBETWEEN(1587,2416)))</f>
        <v>59257521.749530755</v>
      </c>
      <c r="B4866">
        <v>222538920.05065817</v>
      </c>
    </row>
    <row r="4867" spans="1:2" x14ac:dyDescent="0.25">
      <c r="A4867">
        <f ca="1">29457.7935644053*((RANDBETWEEN(1587,2416)))</f>
        <v>67664551.817439005</v>
      </c>
      <c r="B4867">
        <v>258582185.17400551</v>
      </c>
    </row>
    <row r="4868" spans="1:2" x14ac:dyDescent="0.25">
      <c r="A4868">
        <f ca="1">29232.4702934625*((RANDBETWEEN(1587,2416)))</f>
        <v>66825427.090855189</v>
      </c>
      <c r="B4868">
        <v>251940730.46886033</v>
      </c>
    </row>
    <row r="4869" spans="1:2" x14ac:dyDescent="0.25">
      <c r="A4869">
        <f ca="1">31337.3352700453*((RANDBETWEEN(1587,2416)))</f>
        <v>50891832.478553593</v>
      </c>
      <c r="B4869">
        <v>241001652.45531905</v>
      </c>
    </row>
    <row r="4870" spans="1:2" x14ac:dyDescent="0.25">
      <c r="A4870">
        <f ca="1">27928.3850217256*((RANDBETWEEN(1587,2416)))</f>
        <v>59627102.021384068</v>
      </c>
      <c r="B4870">
        <v>223652325.88019428</v>
      </c>
    </row>
    <row r="4871" spans="1:2" x14ac:dyDescent="0.25">
      <c r="A4871">
        <f ca="1">32109.1667786143*((RANDBETWEEN(1587,2416)))</f>
        <v>72181406.918324962</v>
      </c>
      <c r="B4871">
        <v>230864704.05250371</v>
      </c>
    </row>
    <row r="4872" spans="1:2" x14ac:dyDescent="0.25">
      <c r="A4872">
        <f ca="1">30417.5011941655*((RANDBETWEEN(1587,2416)))</f>
        <v>73093255.369579718</v>
      </c>
      <c r="B4872">
        <v>224833694.97264636</v>
      </c>
    </row>
    <row r="4873" spans="1:2" x14ac:dyDescent="0.25">
      <c r="A4873">
        <f ca="1">32227.5189929048*((RANDBETWEEN(1587,2416)))</f>
        <v>55302422.591824695</v>
      </c>
      <c r="B4873">
        <v>225414332.56809354</v>
      </c>
    </row>
    <row r="4874" spans="1:2" x14ac:dyDescent="0.25">
      <c r="A4874">
        <f ca="1">30162.2890880542*((RANDBETWEEN(1587,2416)))</f>
        <v>58816463.721705712</v>
      </c>
      <c r="B4874">
        <v>235745032.46594277</v>
      </c>
    </row>
    <row r="4875" spans="1:2" x14ac:dyDescent="0.25">
      <c r="A4875">
        <f ca="1">29701.5544426948*((RANDBETWEEN(1587,2416)))</f>
        <v>69709548.277004719</v>
      </c>
      <c r="B4875">
        <v>245211877.08737749</v>
      </c>
    </row>
    <row r="4876" spans="1:2" x14ac:dyDescent="0.25">
      <c r="A4876">
        <f ca="1">27010.290732364*((RANDBETWEEN(1587,2416)))</f>
        <v>60530061.531227812</v>
      </c>
      <c r="B4876">
        <v>220716919.62314641</v>
      </c>
    </row>
    <row r="4877" spans="1:2" x14ac:dyDescent="0.25">
      <c r="A4877">
        <f ca="1">26006.6716317537*((RANDBETWEEN(1587,2416)))</f>
        <v>58489004.499814168</v>
      </c>
      <c r="B4877">
        <v>246447126.16515762</v>
      </c>
    </row>
    <row r="4878" spans="1:2" x14ac:dyDescent="0.25">
      <c r="A4878">
        <f ca="1">30038.4037771136*((RANDBETWEEN(1587,2416)))</f>
        <v>58695040.980479918</v>
      </c>
      <c r="B4878">
        <v>229155963.10729694</v>
      </c>
    </row>
    <row r="4879" spans="1:2" x14ac:dyDescent="0.25">
      <c r="A4879">
        <f ca="1">30696.1991745867*((RANDBETWEEN(1587,2416)))</f>
        <v>61331005.950824246</v>
      </c>
      <c r="B4879">
        <v>228779091.21194369</v>
      </c>
    </row>
    <row r="4880" spans="1:2" x14ac:dyDescent="0.25">
      <c r="A4880">
        <f ca="1">34475.878533257*((RANDBETWEEN(1587,2416)))</f>
        <v>73433621.275837451</v>
      </c>
      <c r="B4880">
        <v>249559956.20663005</v>
      </c>
    </row>
    <row r="4881" spans="1:2" x14ac:dyDescent="0.25">
      <c r="A4881">
        <f ca="1">31550.3426046434*((RANDBETWEEN(1587,2416)))</f>
        <v>75720822.25114426</v>
      </c>
      <c r="B4881">
        <v>208498574.68658841</v>
      </c>
    </row>
    <row r="4882" spans="1:2" x14ac:dyDescent="0.25">
      <c r="A4882">
        <f ca="1">30509.1353390906*((RANDBETWEEN(1587,2416)))</f>
        <v>67303152.558033913</v>
      </c>
      <c r="B4882">
        <v>241565974.14080462</v>
      </c>
    </row>
    <row r="4883" spans="1:2" x14ac:dyDescent="0.25">
      <c r="A4883">
        <f ca="1">28264.1134941175*((RANDBETWEEN(1587,2416)))</f>
        <v>45731335.633482188</v>
      </c>
      <c r="B4883">
        <v>243261549.91454759</v>
      </c>
    </row>
    <row r="4884" spans="1:2" x14ac:dyDescent="0.25">
      <c r="A4884">
        <f ca="1">28733.2722435129*((RANDBETWEEN(1587,2416)))</f>
        <v>66603725.060463011</v>
      </c>
      <c r="B4884">
        <v>230177046.10059872</v>
      </c>
    </row>
    <row r="4885" spans="1:2" x14ac:dyDescent="0.25">
      <c r="A4885">
        <f ca="1">27365.438635662*((RANDBETWEEN(1587,2416)))</f>
        <v>55497109.553122535</v>
      </c>
      <c r="B4885">
        <v>211897760.15844643</v>
      </c>
    </row>
    <row r="4886" spans="1:2" x14ac:dyDescent="0.25">
      <c r="A4886">
        <f ca="1">33002.6366645252*((RANDBETWEEN(1587,2416)))</f>
        <v>69074518.538851172</v>
      </c>
      <c r="B4886">
        <v>264346504.75948352</v>
      </c>
    </row>
    <row r="4887" spans="1:2" x14ac:dyDescent="0.25">
      <c r="A4887">
        <f ca="1">30452.256642884*((RANDBETWEEN(1587,2416)))</f>
        <v>73024511.429635853</v>
      </c>
      <c r="B4887">
        <v>246620536.33766937</v>
      </c>
    </row>
    <row r="4888" spans="1:2" x14ac:dyDescent="0.25">
      <c r="A4888">
        <f ca="1">27760.3820158134*((RANDBETWEEN(1587,2416)))</f>
        <v>56103732.053958826</v>
      </c>
      <c r="B4888">
        <v>213821133.5292711</v>
      </c>
    </row>
    <row r="4889" spans="1:2" x14ac:dyDescent="0.25">
      <c r="A4889">
        <f ca="1">33133.1535209654*((RANDBETWEEN(1587,2416)))</f>
        <v>56525159.906766891</v>
      </c>
      <c r="B4889">
        <v>239114995.46082354</v>
      </c>
    </row>
    <row r="4890" spans="1:2" x14ac:dyDescent="0.25">
      <c r="A4890">
        <f ca="1">26438.3582265843*((RANDBETWEEN(1587,2416)))</f>
        <v>60226580.040159091</v>
      </c>
      <c r="B4890">
        <v>254314597.5113554</v>
      </c>
    </row>
    <row r="4891" spans="1:2" x14ac:dyDescent="0.25">
      <c r="A4891">
        <f ca="1">33588.8472656056*((RANDBETWEEN(1587,2416)))</f>
        <v>65766962.94605577</v>
      </c>
      <c r="B4891">
        <v>264204284.12685829</v>
      </c>
    </row>
    <row r="4892" spans="1:2" x14ac:dyDescent="0.25">
      <c r="A4892">
        <f ca="1">29347.2955608565*((RANDBETWEEN(1587,2416)))</f>
        <v>64916217.780614652</v>
      </c>
      <c r="B4892">
        <v>220432667.27799976</v>
      </c>
    </row>
    <row r="4893" spans="1:2" x14ac:dyDescent="0.25">
      <c r="A4893">
        <f ca="1">28288.961779184*((RANDBETWEEN(1587,2416)))</f>
        <v>56549634.596588887</v>
      </c>
      <c r="B4893">
        <v>213093767.90787798</v>
      </c>
    </row>
    <row r="4894" spans="1:2" x14ac:dyDescent="0.25">
      <c r="A4894">
        <f ca="1">28386.6149738338*((RANDBETWEEN(1587,2416)))</f>
        <v>46355342.252270631</v>
      </c>
      <c r="B4894">
        <v>234323615.25305629</v>
      </c>
    </row>
    <row r="4895" spans="1:2" x14ac:dyDescent="0.25">
      <c r="A4895">
        <f ca="1">27338.3455684479*((RANDBETWEEN(1587,2416)))</f>
        <v>52106886.653461754</v>
      </c>
      <c r="B4895">
        <v>242371240.86508808</v>
      </c>
    </row>
    <row r="4896" spans="1:2" x14ac:dyDescent="0.25">
      <c r="A4896">
        <f ca="1">30493.2011425313*((RANDBETWEEN(1587,2416)))</f>
        <v>58272507.383377232</v>
      </c>
      <c r="B4896">
        <v>218314093.81963697</v>
      </c>
    </row>
    <row r="4897" spans="1:2" x14ac:dyDescent="0.25">
      <c r="A4897">
        <f ca="1">27108.4688740963*((RANDBETWEEN(1587,2416)))</f>
        <v>43780177.231665567</v>
      </c>
      <c r="B4897">
        <v>247897571.06829286</v>
      </c>
    </row>
    <row r="4898" spans="1:2" x14ac:dyDescent="0.25">
      <c r="A4898">
        <f ca="1">29102.6530592772*((RANDBETWEEN(1587,2416)))</f>
        <v>61552111.220371254</v>
      </c>
      <c r="B4898">
        <v>253248601.43451169</v>
      </c>
    </row>
    <row r="4899" spans="1:2" x14ac:dyDescent="0.25">
      <c r="A4899">
        <f ca="1">26826.3302628963*((RANDBETWEEN(1587,2416)))</f>
        <v>45363324.474557608</v>
      </c>
      <c r="B4899">
        <v>242015773.05318278</v>
      </c>
    </row>
    <row r="4900" spans="1:2" x14ac:dyDescent="0.25">
      <c r="A4900">
        <f ca="1">26258.4067847022*((RANDBETWEEN(1587,2416)))</f>
        <v>42407326.957294017</v>
      </c>
      <c r="B4900">
        <v>209901441.54082394</v>
      </c>
    </row>
    <row r="4901" spans="1:2" x14ac:dyDescent="0.25">
      <c r="A4901">
        <f ca="1">29321.5026329117*((RANDBETWEEN(1587,2416)))</f>
        <v>54039529.352456287</v>
      </c>
      <c r="B4901">
        <v>243186154.25383818</v>
      </c>
    </row>
    <row r="4902" spans="1:2" x14ac:dyDescent="0.25">
      <c r="A4902">
        <f ca="1">31574.3540795873*((RANDBETWEEN(1587,2416)))</f>
        <v>69810896.869967505</v>
      </c>
      <c r="B4902">
        <v>262821667.13198698</v>
      </c>
    </row>
    <row r="4903" spans="1:2" x14ac:dyDescent="0.25">
      <c r="A4903">
        <f ca="1">26890.6714029359*((RANDBETWEEN(1587,2416)))</f>
        <v>51065384.99417524</v>
      </c>
      <c r="B4903">
        <v>205352243.33006966</v>
      </c>
    </row>
    <row r="4904" spans="1:2" x14ac:dyDescent="0.25">
      <c r="A4904">
        <f ca="1">32480.5885298536*((RANDBETWEEN(1587,2416)))</f>
        <v>60381414.076997936</v>
      </c>
      <c r="B4904">
        <v>266809338.83455133</v>
      </c>
    </row>
    <row r="4905" spans="1:2" x14ac:dyDescent="0.25">
      <c r="A4905">
        <f ca="1">27185.4641204237*((RANDBETWEEN(1587,2416)))</f>
        <v>53120396.891307913</v>
      </c>
      <c r="B4905">
        <v>262121914.44766766</v>
      </c>
    </row>
    <row r="4906" spans="1:2" x14ac:dyDescent="0.25">
      <c r="A4906">
        <f ca="1">30719.4711732458*((RANDBETWEEN(1587,2416)))</f>
        <v>55571523.352401569</v>
      </c>
      <c r="B4906">
        <v>215491869.25067478</v>
      </c>
    </row>
    <row r="4907" spans="1:2" x14ac:dyDescent="0.25">
      <c r="A4907">
        <f ca="1">30096.3416305422*((RANDBETWEEN(1587,2416)))</f>
        <v>57213145.43966081</v>
      </c>
      <c r="B4907">
        <v>212273609.6359033</v>
      </c>
    </row>
    <row r="4908" spans="1:2" x14ac:dyDescent="0.25">
      <c r="A4908">
        <f ca="1">28056.2486045622*((RANDBETWEEN(1587,2416)))</f>
        <v>58833953.323766895</v>
      </c>
      <c r="B4908">
        <v>245806291.6990231</v>
      </c>
    </row>
    <row r="4909" spans="1:2" x14ac:dyDescent="0.25">
      <c r="A4909">
        <f ca="1">29792.7862900725*((RANDBETWEEN(1587,2416)))</f>
        <v>63726769.874465086</v>
      </c>
      <c r="B4909">
        <v>219260549.68652898</v>
      </c>
    </row>
    <row r="4910" spans="1:2" x14ac:dyDescent="0.25">
      <c r="A4910">
        <f ca="1">27748.9189628056*((RANDBETWEEN(1587,2416)))</f>
        <v>58439223.335668549</v>
      </c>
      <c r="B4910">
        <v>239693953.53739262</v>
      </c>
    </row>
    <row r="4911" spans="1:2" x14ac:dyDescent="0.25">
      <c r="A4911">
        <f ca="1">30327.3305417585*((RANDBETWEEN(1587,2416)))</f>
        <v>61898081.635729037</v>
      </c>
      <c r="B4911">
        <v>252158372.72845823</v>
      </c>
    </row>
    <row r="4912" spans="1:2" x14ac:dyDescent="0.25">
      <c r="A4912">
        <f ca="1">30927.9194840742*((RANDBETWEEN(1587,2416)))</f>
        <v>54309426.61403425</v>
      </c>
      <c r="B4912">
        <v>225123551.74172091</v>
      </c>
    </row>
    <row r="4913" spans="1:2" x14ac:dyDescent="0.25">
      <c r="A4913">
        <f ca="1">30857.3395189757*((RANDBETWEEN(1587,2416)))</f>
        <v>49402600.569880038</v>
      </c>
      <c r="B4913">
        <v>205160433.35735744</v>
      </c>
    </row>
    <row r="4914" spans="1:2" x14ac:dyDescent="0.25">
      <c r="A4914">
        <f ca="1">31595.6194737378*((RANDBETWEEN(1587,2416)))</f>
        <v>66256014.036428235</v>
      </c>
      <c r="B4914">
        <v>259930110.03089055</v>
      </c>
    </row>
    <row r="4915" spans="1:2" x14ac:dyDescent="0.25">
      <c r="A4915">
        <f ca="1">31700.2525533972*((RANDBETWEEN(1587,2416)))</f>
        <v>62227595.762318701</v>
      </c>
      <c r="B4915">
        <v>261569434.46663082</v>
      </c>
    </row>
    <row r="4916" spans="1:2" x14ac:dyDescent="0.25">
      <c r="A4916">
        <f ca="1">31799.7934509644*((RANDBETWEEN(1587,2416)))</f>
        <v>61373601.360361338</v>
      </c>
      <c r="B4916">
        <v>227973152.36246955</v>
      </c>
    </row>
    <row r="4917" spans="1:2" x14ac:dyDescent="0.25">
      <c r="A4917">
        <f ca="1">34432.5919827276*((RANDBETWEEN(1587,2416)))</f>
        <v>71103302.444332421</v>
      </c>
      <c r="B4917">
        <v>259081781.43850705</v>
      </c>
    </row>
    <row r="4918" spans="1:2" x14ac:dyDescent="0.25">
      <c r="A4918">
        <f ca="1">33329.3083285994*((RANDBETWEEN(1587,2416)))</f>
        <v>64725516.774140038</v>
      </c>
      <c r="B4918">
        <v>251677779.62511748</v>
      </c>
    </row>
    <row r="4919" spans="1:2" x14ac:dyDescent="0.25">
      <c r="A4919">
        <f ca="1">30059.1234203114*((RANDBETWEEN(1587,2416)))</f>
        <v>49807967.50745593</v>
      </c>
      <c r="B4919">
        <v>228349196.02522409</v>
      </c>
    </row>
    <row r="4920" spans="1:2" x14ac:dyDescent="0.25">
      <c r="A4920">
        <f ca="1">30729.9208443814*((RANDBETWEEN(1587,2416)))</f>
        <v>63027067.651826307</v>
      </c>
      <c r="B4920">
        <v>255507363.91677839</v>
      </c>
    </row>
    <row r="4921" spans="1:2" x14ac:dyDescent="0.25">
      <c r="A4921">
        <f ca="1">25585.4431069371*((RANDBETWEEN(1587,2416)))</f>
        <v>51426740.644943602</v>
      </c>
      <c r="B4921">
        <v>234616004.12783289</v>
      </c>
    </row>
    <row r="4922" spans="1:2" x14ac:dyDescent="0.25">
      <c r="A4922">
        <f ca="1">30499.9425156067*((RANDBETWEEN(1587,2416)))</f>
        <v>58468389.802418098</v>
      </c>
      <c r="B4922">
        <v>265558625.93743259</v>
      </c>
    </row>
    <row r="4923" spans="1:2" x14ac:dyDescent="0.25">
      <c r="A4923">
        <f ca="1">27570.6086675749*((RANDBETWEEN(1587,2416)))</f>
        <v>54314099.075122572</v>
      </c>
      <c r="B4923">
        <v>260117905.5840638</v>
      </c>
    </row>
    <row r="4924" spans="1:2" x14ac:dyDescent="0.25">
      <c r="A4924">
        <f ca="1">27317.1308117427*((RANDBETWEEN(1587,2416)))</f>
        <v>50509374.870912246</v>
      </c>
      <c r="B4924">
        <v>266465069.13806891</v>
      </c>
    </row>
    <row r="4925" spans="1:2" x14ac:dyDescent="0.25">
      <c r="A4925">
        <f ca="1">33772.876693516*((RANDBETWEEN(1587,2416)))</f>
        <v>77508752.011619255</v>
      </c>
      <c r="B4925">
        <v>211900576.74175102</v>
      </c>
    </row>
    <row r="4926" spans="1:2" x14ac:dyDescent="0.25">
      <c r="A4926">
        <f ca="1">28700.7614709247*((RANDBETWEEN(1587,2416)))</f>
        <v>48360783.078508079</v>
      </c>
      <c r="B4926">
        <v>253226770.7529369</v>
      </c>
    </row>
    <row r="4927" spans="1:2" x14ac:dyDescent="0.25">
      <c r="A4927">
        <f ca="1">27361.0425074699*((RANDBETWEEN(1587,2416)))</f>
        <v>45391969.519892626</v>
      </c>
      <c r="B4927">
        <v>248486248.91815367</v>
      </c>
    </row>
    <row r="4928" spans="1:2" x14ac:dyDescent="0.25">
      <c r="A4928">
        <f ca="1">26201.1705140996*((RANDBETWEEN(1587,2416)))</f>
        <v>45301823.818878263</v>
      </c>
      <c r="B4928">
        <v>241804651.68976337</v>
      </c>
    </row>
    <row r="4929" spans="1:2" x14ac:dyDescent="0.25">
      <c r="A4929">
        <f ca="1">27349.2409510451*((RANDBETWEEN(1587,2416)))</f>
        <v>65009145.74063424</v>
      </c>
      <c r="B4929">
        <v>247162345.02286696</v>
      </c>
    </row>
    <row r="4930" spans="1:2" x14ac:dyDescent="0.25">
      <c r="A4930">
        <f ca="1">31639.1415067978*((RANDBETWEEN(1587,2416)))</f>
        <v>54798993.089773759</v>
      </c>
      <c r="B4930">
        <v>230606541.96719098</v>
      </c>
    </row>
    <row r="4931" spans="1:2" x14ac:dyDescent="0.25">
      <c r="A4931">
        <f ca="1">29163.4995009013*((RANDBETWEEN(1587,2416)))</f>
        <v>48761371.165507056</v>
      </c>
      <c r="B4931">
        <v>206001409.92888445</v>
      </c>
    </row>
    <row r="4932" spans="1:2" x14ac:dyDescent="0.25">
      <c r="A4932">
        <f ca="1">27639.7844229086*((RANDBETWEEN(1587,2416)))</f>
        <v>50746644.200460181</v>
      </c>
      <c r="B4932">
        <v>235908207.84475133</v>
      </c>
    </row>
    <row r="4933" spans="1:2" x14ac:dyDescent="0.25">
      <c r="A4933">
        <f ca="1">26742.4225652843*((RANDBETWEEN(1587,2416)))</f>
        <v>48163103.040076993</v>
      </c>
      <c r="B4933">
        <v>246638502.89773756</v>
      </c>
    </row>
    <row r="4934" spans="1:2" x14ac:dyDescent="0.25">
      <c r="A4934">
        <f ca="1">31642.8042690293*((RANDBETWEEN(1587,2416)))</f>
        <v>54995193.819572866</v>
      </c>
      <c r="B4934">
        <v>236076065.32853043</v>
      </c>
    </row>
    <row r="4935" spans="1:2" x14ac:dyDescent="0.25">
      <c r="A4935">
        <f ca="1">26543.7764440796*((RANDBETWEEN(1587,2416)))</f>
        <v>55821561.86189945</v>
      </c>
      <c r="B4935">
        <v>205711615.24767932</v>
      </c>
    </row>
    <row r="4936" spans="1:2" x14ac:dyDescent="0.25">
      <c r="A4936">
        <f ca="1">32888.3916332084*((RANDBETWEEN(1587,2416)))</f>
        <v>61040854.871234827</v>
      </c>
      <c r="B4936">
        <v>254214024.0984059</v>
      </c>
    </row>
    <row r="4937" spans="1:2" x14ac:dyDescent="0.25">
      <c r="A4937">
        <f ca="1">26010.2686688363*((RANDBETWEEN(1587,2416)))</f>
        <v>49445520.739457898</v>
      </c>
      <c r="B4937">
        <v>204801228.01432234</v>
      </c>
    </row>
    <row r="4938" spans="1:2" x14ac:dyDescent="0.25">
      <c r="A4938">
        <f ca="1">29656.7073164942*((RANDBETWEEN(1587,2416)))</f>
        <v>63702607.31582953</v>
      </c>
      <c r="B4938">
        <v>222448855.03332156</v>
      </c>
    </row>
    <row r="4939" spans="1:2" x14ac:dyDescent="0.25">
      <c r="A4939">
        <f ca="1">32005.4622515431*((RANDBETWEEN(1587,2416)))</f>
        <v>59882219.872637063</v>
      </c>
      <c r="B4939">
        <v>225966199.71391484</v>
      </c>
    </row>
    <row r="4940" spans="1:2" x14ac:dyDescent="0.25">
      <c r="A4940">
        <f ca="1">33555.1078446124*((RANDBETWEEN(1587,2416)))</f>
        <v>71640155.248247445</v>
      </c>
      <c r="B4940">
        <v>257644102.23662764</v>
      </c>
    </row>
    <row r="4941" spans="1:2" x14ac:dyDescent="0.25">
      <c r="A4941">
        <f ca="1">29162.7871601984*((RANDBETWEEN(1587,2416)))</f>
        <v>54038644.607847646</v>
      </c>
      <c r="B4941">
        <v>232724300.54078907</v>
      </c>
    </row>
    <row r="4942" spans="1:2" x14ac:dyDescent="0.25">
      <c r="A4942">
        <f ca="1">26954.4711434996*((RANDBETWEEN(1587,2416)))</f>
        <v>63450825.071797989</v>
      </c>
      <c r="B4942">
        <v>224981964.03178403</v>
      </c>
    </row>
    <row r="4943" spans="1:2" x14ac:dyDescent="0.25">
      <c r="A4943">
        <f ca="1">25589.0267862281*((RANDBETWEEN(1587,2416)))</f>
        <v>55886434.501122072</v>
      </c>
      <c r="B4943">
        <v>219884761.67958033</v>
      </c>
    </row>
    <row r="4944" spans="1:2" x14ac:dyDescent="0.25">
      <c r="A4944">
        <f ca="1">28467.3987486911*((RANDBETWEEN(1587,2416)))</f>
        <v>50615034.97517284</v>
      </c>
      <c r="B4944">
        <v>222054097.84825227</v>
      </c>
    </row>
    <row r="4945" spans="1:2" x14ac:dyDescent="0.25">
      <c r="A4945">
        <f ca="1">31973.4429791757*((RANDBETWEEN(1587,2416)))</f>
        <v>64170700.059205711</v>
      </c>
      <c r="B4945">
        <v>225018369.22850704</v>
      </c>
    </row>
    <row r="4946" spans="1:2" x14ac:dyDescent="0.25">
      <c r="A4946">
        <f ca="1">27353.03785284*((RANDBETWEEN(1587,2416)))</f>
        <v>50548413.952048331</v>
      </c>
      <c r="B4946">
        <v>217727545.91711807</v>
      </c>
    </row>
    <row r="4947" spans="1:2" x14ac:dyDescent="0.25">
      <c r="A4947">
        <f ca="1">28815.3125738364*((RANDBETWEEN(1587,2416)))</f>
        <v>65093791.104296379</v>
      </c>
      <c r="B4947">
        <v>240743286.0643293</v>
      </c>
    </row>
    <row r="4948" spans="1:2" x14ac:dyDescent="0.25">
      <c r="A4948">
        <f ca="1">27999.9801923642*((RANDBETWEEN(1587,2416)))</f>
        <v>66835952.71917332</v>
      </c>
      <c r="B4948">
        <v>206498051.62604079</v>
      </c>
    </row>
    <row r="4949" spans="1:2" x14ac:dyDescent="0.25">
      <c r="A4949">
        <f ca="1">30574.4807645699*((RANDBETWEEN(1587,2416)))</f>
        <v>73531626.238790721</v>
      </c>
      <c r="B4949">
        <v>219437212.59407085</v>
      </c>
    </row>
    <row r="4950" spans="1:2" x14ac:dyDescent="0.25">
      <c r="A4950">
        <f ca="1">28337.8130526186*((RANDBETWEEN(1587,2416)))</f>
        <v>65318659.086285919</v>
      </c>
      <c r="B4950">
        <v>249453131.82143152</v>
      </c>
    </row>
    <row r="4951" spans="1:2" x14ac:dyDescent="0.25">
      <c r="A4951">
        <f ca="1">27648.6777337037*((RANDBETWEEN(1587,2416)))</f>
        <v>46505075.948089659</v>
      </c>
      <c r="B4951">
        <v>265933664.77640781</v>
      </c>
    </row>
    <row r="4952" spans="1:2" x14ac:dyDescent="0.25">
      <c r="A4952">
        <f ca="1">28393.5225971826*((RANDBETWEEN(1587,2416)))</f>
        <v>47275215.124309018</v>
      </c>
      <c r="B4952">
        <v>232265716.18102115</v>
      </c>
    </row>
    <row r="4953" spans="1:2" x14ac:dyDescent="0.25">
      <c r="A4953">
        <f ca="1">30236.541452693*((RANDBETWEEN(1587,2416)))</f>
        <v>57147063.345589787</v>
      </c>
      <c r="B4953">
        <v>206705001.8971442</v>
      </c>
    </row>
    <row r="4954" spans="1:2" x14ac:dyDescent="0.25">
      <c r="A4954">
        <f ca="1">28490.5314566867*((RANDBETWEEN(1587,2416)))</f>
        <v>51339937.684949405</v>
      </c>
      <c r="B4954">
        <v>229906347.92395082</v>
      </c>
    </row>
    <row r="4955" spans="1:2" x14ac:dyDescent="0.25">
      <c r="A4955">
        <f ca="1">33550.9974623058*((RANDBETWEEN(1587,2416)))</f>
        <v>73342480.452600449</v>
      </c>
      <c r="B4955">
        <v>256213390.24754387</v>
      </c>
    </row>
    <row r="4956" spans="1:2" x14ac:dyDescent="0.25">
      <c r="A4956">
        <f ca="1">28502.6116353258*((RANDBETWEEN(1587,2416)))</f>
        <v>57290249.387004904</v>
      </c>
      <c r="B4956">
        <v>203992146.20394996</v>
      </c>
    </row>
    <row r="4957" spans="1:2" x14ac:dyDescent="0.25">
      <c r="A4957">
        <f ca="1">31367.0742687063*((RANDBETWEEN(1587,2416)))</f>
        <v>73587156.234385088</v>
      </c>
      <c r="B4957">
        <v>204017649.93359652</v>
      </c>
    </row>
    <row r="4958" spans="1:2" x14ac:dyDescent="0.25">
      <c r="A4958">
        <f ca="1">29728.3561917775*((RANDBETWEEN(1587,2416)))</f>
        <v>55592026.078624003</v>
      </c>
      <c r="B4958">
        <v>227754400.18594721</v>
      </c>
    </row>
    <row r="4959" spans="1:2" x14ac:dyDescent="0.25">
      <c r="A4959">
        <f ca="1">28406.9216553896*((RANDBETWEEN(1587,2416)))</f>
        <v>46700979.201460533</v>
      </c>
      <c r="B4959">
        <v>227170509.21940926</v>
      </c>
    </row>
    <row r="4960" spans="1:2" x14ac:dyDescent="0.25">
      <c r="A4960">
        <f ca="1">28903.8549107258*((RANDBETWEEN(1587,2416)))</f>
        <v>46303975.566982709</v>
      </c>
      <c r="B4960">
        <v>250266102.59110531</v>
      </c>
    </row>
    <row r="4961" spans="1:2" x14ac:dyDescent="0.25">
      <c r="A4961">
        <f ca="1">27653.3656649891*((RANDBETWEEN(1587,2416)))</f>
        <v>52569048.129144341</v>
      </c>
      <c r="B4961">
        <v>233054826.7837162</v>
      </c>
    </row>
    <row r="4962" spans="1:2" x14ac:dyDescent="0.25">
      <c r="A4962">
        <f ca="1">35076.5437162418*((RANDBETWEEN(1587,2416)))</f>
        <v>56508311.926865555</v>
      </c>
      <c r="B4962">
        <v>242420399.77237689</v>
      </c>
    </row>
    <row r="4963" spans="1:2" x14ac:dyDescent="0.25">
      <c r="A4963">
        <f ca="1">32099.6061393803*((RANDBETWEEN(1587,2416)))</f>
        <v>70330237.051382273</v>
      </c>
      <c r="B4963">
        <v>247613145.48108274</v>
      </c>
    </row>
    <row r="4964" spans="1:2" x14ac:dyDescent="0.25">
      <c r="A4964">
        <f ca="1">27960.6500608589*((RANDBETWEEN(1587,2416)))</f>
        <v>61149941.683098406</v>
      </c>
      <c r="B4964">
        <v>260846957.46301693</v>
      </c>
    </row>
    <row r="4965" spans="1:2" x14ac:dyDescent="0.25">
      <c r="A4965">
        <f ca="1">31854.6170823851*((RANDBETWEEN(1587,2416)))</f>
        <v>69188228.302940533</v>
      </c>
      <c r="B4965">
        <v>205905269.2576513</v>
      </c>
    </row>
    <row r="4966" spans="1:2" x14ac:dyDescent="0.25">
      <c r="A4966">
        <f ca="1">30370.4554120007*((RANDBETWEEN(1587,2416)))</f>
        <v>57977199.381509371</v>
      </c>
      <c r="B4966">
        <v>223694182.79394254</v>
      </c>
    </row>
    <row r="4967" spans="1:2" x14ac:dyDescent="0.25">
      <c r="A4967">
        <f ca="1">29312.3943932627*((RANDBETWEEN(1587,2416)))</f>
        <v>60266282.872548036</v>
      </c>
      <c r="B4967">
        <v>245036552.43168452</v>
      </c>
    </row>
    <row r="4968" spans="1:2" x14ac:dyDescent="0.25">
      <c r="A4968">
        <f ca="1">28190.2742891916*((RANDBETWEEN(1587,2416)))</f>
        <v>64894011.41371911</v>
      </c>
      <c r="B4968">
        <v>204938522.39922509</v>
      </c>
    </row>
    <row r="4969" spans="1:2" x14ac:dyDescent="0.25">
      <c r="A4969">
        <f ca="1">32805.0234973*((RANDBETWEEN(1587,2416)))</f>
        <v>66528587.652524337</v>
      </c>
      <c r="B4969">
        <v>237145057.43919051</v>
      </c>
    </row>
    <row r="4970" spans="1:2" x14ac:dyDescent="0.25">
      <c r="A4970">
        <f ca="1">29697.6669588527*((RANDBETWEEN(1587,2416)))</f>
        <v>67710680.666184202</v>
      </c>
      <c r="B4970">
        <v>267409153.53374794</v>
      </c>
    </row>
    <row r="4971" spans="1:2" x14ac:dyDescent="0.25">
      <c r="A4971">
        <f ca="1">31290.4075697548*((RANDBETWEEN(1587,2416)))</f>
        <v>63832431.442299768</v>
      </c>
      <c r="B4971">
        <v>220146642.22251087</v>
      </c>
    </row>
    <row r="4972" spans="1:2" x14ac:dyDescent="0.25">
      <c r="A4972">
        <f ca="1">29513.752149837*((RANDBETWEEN(1587,2416)))</f>
        <v>61713255.745309241</v>
      </c>
      <c r="B4972">
        <v>265397532.33070022</v>
      </c>
    </row>
    <row r="4973" spans="1:2" x14ac:dyDescent="0.25">
      <c r="A4973">
        <f ca="1">27232.0252168315*((RANDBETWEEN(1587,2416)))</f>
        <v>45858730.465144217</v>
      </c>
      <c r="B4973">
        <v>218320993.30422366</v>
      </c>
    </row>
    <row r="4974" spans="1:2" x14ac:dyDescent="0.25">
      <c r="A4974">
        <f ca="1">31578.8067756589*((RANDBETWEEN(1587,2416)))</f>
        <v>71557576.153643072</v>
      </c>
      <c r="B4974">
        <v>222821383.14037985</v>
      </c>
    </row>
    <row r="4975" spans="1:2" x14ac:dyDescent="0.25">
      <c r="A4975">
        <f ca="1">33247.8640423391*((RANDBETWEEN(1587,2416)))</f>
        <v>53462565.380081244</v>
      </c>
      <c r="B4975">
        <v>216803123.41590753</v>
      </c>
    </row>
    <row r="4976" spans="1:2" x14ac:dyDescent="0.25">
      <c r="A4976">
        <f ca="1">27278.0308786848*((RANDBETWEEN(1587,2416)))</f>
        <v>54174169.325068071</v>
      </c>
      <c r="B4976">
        <v>213129738.3225984</v>
      </c>
    </row>
    <row r="4977" spans="1:2" x14ac:dyDescent="0.25">
      <c r="A4977">
        <f ca="1">26057.6719613223*((RANDBETWEEN(1587,2416)))</f>
        <v>53444285.192672059</v>
      </c>
      <c r="B4977">
        <v>204197324.87887585</v>
      </c>
    </row>
    <row r="4978" spans="1:2" x14ac:dyDescent="0.25">
      <c r="A4978">
        <f ca="1">28265.706422088*((RANDBETWEEN(1587,2416)))</f>
        <v>57379384.036838569</v>
      </c>
      <c r="B4978">
        <v>263984957.08936194</v>
      </c>
    </row>
    <row r="4979" spans="1:2" x14ac:dyDescent="0.25">
      <c r="A4979">
        <f ca="1">27361.4139237254*((RANDBETWEEN(1587,2416)))</f>
        <v>44872718.834909678</v>
      </c>
      <c r="B4979">
        <v>230063885.3154183</v>
      </c>
    </row>
    <row r="4980" spans="1:2" x14ac:dyDescent="0.25">
      <c r="A4980">
        <f ca="1">28994.5633018837*((RANDBETWEEN(1587,2416)))</f>
        <v>50189589.075560622</v>
      </c>
      <c r="B4980">
        <v>267875898.66551822</v>
      </c>
    </row>
    <row r="4981" spans="1:2" x14ac:dyDescent="0.25">
      <c r="A4981">
        <f ca="1">32634.1576538651*((RANDBETWEEN(1587,2416)))</f>
        <v>69543389.960386515</v>
      </c>
      <c r="B4981">
        <v>256863368.86960769</v>
      </c>
    </row>
    <row r="4982" spans="1:2" x14ac:dyDescent="0.25">
      <c r="A4982">
        <f ca="1">31830.9968699123*((RANDBETWEEN(1587,2416)))</f>
        <v>51598045.926127873</v>
      </c>
      <c r="B4982">
        <v>235432215.48425692</v>
      </c>
    </row>
    <row r="4983" spans="1:2" x14ac:dyDescent="0.25">
      <c r="A4983">
        <f ca="1">31767.785533246*((RANDBETWEEN(1587,2416)))</f>
        <v>51940329.346857145</v>
      </c>
      <c r="B4983">
        <v>261589688.98933199</v>
      </c>
    </row>
    <row r="4984" spans="1:2" x14ac:dyDescent="0.25">
      <c r="A4984">
        <f ca="1">34014.4656969732*((RANDBETWEEN(1587,2416)))</f>
        <v>80784356.030311331</v>
      </c>
      <c r="B4984">
        <v>263214276.01637897</v>
      </c>
    </row>
    <row r="4985" spans="1:2" x14ac:dyDescent="0.25">
      <c r="A4985">
        <f ca="1">31280.2380538963*((RANDBETWEEN(1587,2416)))</f>
        <v>53145124.453569874</v>
      </c>
      <c r="B4985">
        <v>221009208.16381168</v>
      </c>
    </row>
    <row r="4986" spans="1:2" x14ac:dyDescent="0.25">
      <c r="A4986">
        <f ca="1">31226.4804741104*((RANDBETWEEN(1587,2416)))</f>
        <v>72226849.336617321</v>
      </c>
      <c r="B4986">
        <v>246127738.86827585</v>
      </c>
    </row>
    <row r="4987" spans="1:2" x14ac:dyDescent="0.25">
      <c r="A4987">
        <f ca="1">29324.278309707*((RANDBETWEEN(1587,2416)))</f>
        <v>50379110.136076637</v>
      </c>
      <c r="B4987">
        <v>223485274.97395957</v>
      </c>
    </row>
    <row r="4988" spans="1:2" x14ac:dyDescent="0.25">
      <c r="A4988">
        <f ca="1">32144.3586230793*((RANDBETWEEN(1587,2416)))</f>
        <v>66185234.40492034</v>
      </c>
      <c r="B4988">
        <v>238273815.70564035</v>
      </c>
    </row>
    <row r="4989" spans="1:2" x14ac:dyDescent="0.25">
      <c r="A4989">
        <f ca="1">28450.3448257546*((RANDBETWEEN(1587,2416)))</f>
        <v>60513883.444380067</v>
      </c>
      <c r="B4989">
        <v>239953005.35762796</v>
      </c>
    </row>
    <row r="4990" spans="1:2" x14ac:dyDescent="0.25">
      <c r="A4990">
        <f ca="1">27466.3404323282*((RANDBETWEEN(1587,2416)))</f>
        <v>47461836.2670632</v>
      </c>
      <c r="B4990">
        <v>263468848.51578826</v>
      </c>
    </row>
    <row r="4991" spans="1:2" x14ac:dyDescent="0.25">
      <c r="A4991">
        <f ca="1">27832.0716345352*((RANDBETWEEN(1587,2416)))</f>
        <v>57473227.925315253</v>
      </c>
      <c r="B4991">
        <v>217794205.51148391</v>
      </c>
    </row>
    <row r="4992" spans="1:2" x14ac:dyDescent="0.25">
      <c r="A4992">
        <f ca="1">30993.3993086787*((RANDBETWEEN(1587,2416)))</f>
        <v>53866527.998483531</v>
      </c>
      <c r="B4992">
        <v>248191430.25594747</v>
      </c>
    </row>
    <row r="4993" spans="1:2" x14ac:dyDescent="0.25">
      <c r="A4993">
        <f ca="1">31440.7822326751*((RANDBETWEEN(1587,2416)))</f>
        <v>57096460.534538046</v>
      </c>
      <c r="B4993">
        <v>255519972.41016752</v>
      </c>
    </row>
    <row r="4994" spans="1:2" x14ac:dyDescent="0.25">
      <c r="A4994">
        <f ca="1">31349.7967688596*((RANDBETWEEN(1587,2416)))</f>
        <v>68875503.501184613</v>
      </c>
      <c r="B4994">
        <v>245762834.03338617</v>
      </c>
    </row>
    <row r="4995" spans="1:2" x14ac:dyDescent="0.25">
      <c r="A4995">
        <f ca="1">26586.9810528284*((RANDBETWEEN(1587,2416)))</f>
        <v>51206525.507747516</v>
      </c>
      <c r="B4995">
        <v>259424200.61394942</v>
      </c>
    </row>
    <row r="4996" spans="1:2" x14ac:dyDescent="0.25">
      <c r="A4996">
        <f ca="1">28348.6613146607*((RANDBETWEEN(1587,2416)))</f>
        <v>67895043.848612279</v>
      </c>
      <c r="B4996">
        <v>217813353.79793984</v>
      </c>
    </row>
    <row r="4997" spans="1:2" x14ac:dyDescent="0.25">
      <c r="A4997">
        <f ca="1">30650.1048219135*((RANDBETWEEN(1587,2416)))</f>
        <v>49561219.497034073</v>
      </c>
      <c r="B4997">
        <v>239351871.65660769</v>
      </c>
    </row>
    <row r="4998" spans="1:2" x14ac:dyDescent="0.25">
      <c r="A4998">
        <f ca="1">28724.7993033473*((RANDBETWEEN(1587,2416)))</f>
        <v>64889321.626261517</v>
      </c>
      <c r="B4998">
        <v>230458891.4590348</v>
      </c>
    </row>
    <row r="4999" spans="1:2" x14ac:dyDescent="0.25">
      <c r="A4999">
        <f ca="1">30278.1283574798*((RANDBETWEEN(1587,2416)))</f>
        <v>55197027.995685734</v>
      </c>
      <c r="B4999">
        <v>251251443.84984818</v>
      </c>
    </row>
    <row r="5000" spans="1:2" x14ac:dyDescent="0.25">
      <c r="A5000">
        <f ca="1">28456.697785461*((RANDBETWEEN(1587,2416)))</f>
        <v>58364687.157980606</v>
      </c>
      <c r="B5000">
        <v>223597936.54643202</v>
      </c>
    </row>
    <row r="5001" spans="1:2" x14ac:dyDescent="0.25">
      <c r="A5001">
        <f ca="1">29849.5484435007*((RANDBETWEEN(1587,2416)))</f>
        <v>48415967.575358197</v>
      </c>
      <c r="B5001">
        <v>245538927.5805921</v>
      </c>
    </row>
    <row r="5002" spans="1:2" x14ac:dyDescent="0.25">
      <c r="A5002">
        <f ca="1">31057.4507488927*((RANDBETWEEN(1587,2416)))</f>
        <v>61586924.835054152</v>
      </c>
      <c r="B5002">
        <v>223942583.84336662</v>
      </c>
    </row>
    <row r="5003" spans="1:2" x14ac:dyDescent="0.25">
      <c r="A5003">
        <f ca="1">29308.7907801735*((RANDBETWEEN(1587,2416)))</f>
        <v>66091323.209291205</v>
      </c>
      <c r="B5003">
        <v>233441192.15798217</v>
      </c>
    </row>
    <row r="5004" spans="1:2" x14ac:dyDescent="0.25">
      <c r="A5004">
        <f ca="1">31534.8971995954*((RANDBETWEEN(1587,2416)))</f>
        <v>53388580.958914988</v>
      </c>
      <c r="B5004">
        <v>259640659.25011897</v>
      </c>
    </row>
    <row r="5005" spans="1:2" x14ac:dyDescent="0.25">
      <c r="A5005">
        <f ca="1">30690.5315424581*((RANDBETWEEN(1587,2416)))</f>
        <v>53370834.352334678</v>
      </c>
      <c r="B5005">
        <v>216337567.411082</v>
      </c>
    </row>
    <row r="5006" spans="1:2" x14ac:dyDescent="0.25">
      <c r="A5006">
        <f ca="1">32023.0161760803*((RANDBETWEEN(1587,2416)))</f>
        <v>63789848.222751953</v>
      </c>
      <c r="B5006">
        <v>235863530.86033204</v>
      </c>
    </row>
    <row r="5007" spans="1:2" x14ac:dyDescent="0.25">
      <c r="A5007">
        <f ca="1">26880.5851641522*((RANDBETWEEN(1587,2416)))</f>
        <v>59056645.605642483</v>
      </c>
      <c r="B5007">
        <v>227593790.92676803</v>
      </c>
    </row>
    <row r="5008" spans="1:2" x14ac:dyDescent="0.25">
      <c r="A5008">
        <f ca="1">33051.6980454802*((RANDBETWEEN(1587,2416)))</f>
        <v>64913534.961323202</v>
      </c>
      <c r="B5008">
        <v>246791504.54738745</v>
      </c>
    </row>
    <row r="5009" spans="1:2" x14ac:dyDescent="0.25">
      <c r="A5009">
        <f ca="1">31614.3161766181*((RANDBETWEEN(1587,2416)))</f>
        <v>59592985.99292513</v>
      </c>
      <c r="B5009">
        <v>233845269.13437098</v>
      </c>
    </row>
    <row r="5010" spans="1:2" x14ac:dyDescent="0.25">
      <c r="A5010">
        <f ca="1">30014.1589300605*((RANDBETWEEN(1587,2416)))</f>
        <v>70143089.419551328</v>
      </c>
      <c r="B5010">
        <v>244966379.44394675</v>
      </c>
    </row>
    <row r="5011" spans="1:2" x14ac:dyDescent="0.25">
      <c r="A5011">
        <f ca="1">27778.771580426*((RANDBETWEEN(1587,2416)))</f>
        <v>65057883.041357741</v>
      </c>
      <c r="B5011">
        <v>243654561.82372442</v>
      </c>
    </row>
    <row r="5012" spans="1:2" x14ac:dyDescent="0.25">
      <c r="A5012">
        <f ca="1">32147.8025391322*((RANDBETWEEN(1587,2416)))</f>
        <v>55583550.590159647</v>
      </c>
      <c r="B5012">
        <v>253966629.5569188</v>
      </c>
    </row>
    <row r="5013" spans="1:2" x14ac:dyDescent="0.25">
      <c r="A5013">
        <f ca="1">28830.5009363776*((RANDBETWEEN(1587,2416)))</f>
        <v>45984648.993522197</v>
      </c>
      <c r="B5013">
        <v>224599243.25780523</v>
      </c>
    </row>
    <row r="5014" spans="1:2" x14ac:dyDescent="0.25">
      <c r="A5014">
        <f ca="1">26861.3685556008*((RANDBETWEEN(1587,2416)))</f>
        <v>47678929.186191373</v>
      </c>
      <c r="B5014">
        <v>218425374.0327</v>
      </c>
    </row>
    <row r="5015" spans="1:2" x14ac:dyDescent="0.25">
      <c r="A5015">
        <f ca="1">31658.2085040726*((RANDBETWEEN(1587,2416)))</f>
        <v>60087279.740729734</v>
      </c>
      <c r="B5015">
        <v>260198763.38830143</v>
      </c>
    </row>
    <row r="5016" spans="1:2" x14ac:dyDescent="0.25">
      <c r="A5016">
        <f ca="1">29960.2403135984*((RANDBETWEEN(1587,2416)))</f>
        <v>57014337.316777684</v>
      </c>
      <c r="B5016">
        <v>216998258.20237118</v>
      </c>
    </row>
    <row r="5017" spans="1:2" x14ac:dyDescent="0.25">
      <c r="A5017">
        <f ca="1">30335.5384831551*((RANDBETWEEN(1587,2416)))</f>
        <v>55999404.039904259</v>
      </c>
      <c r="B5017">
        <v>262535509.81126481</v>
      </c>
    </row>
    <row r="5018" spans="1:2" x14ac:dyDescent="0.25">
      <c r="A5018">
        <f ca="1">33540.5379345762*((RANDBETWEEN(1587,2416)))</f>
        <v>53564239.081518255</v>
      </c>
      <c r="B5018">
        <v>257327849.08664519</v>
      </c>
    </row>
    <row r="5019" spans="1:2" x14ac:dyDescent="0.25">
      <c r="A5019">
        <f ca="1">28546.649101004*((RANDBETWEEN(1587,2416)))</f>
        <v>49614076.137544878</v>
      </c>
      <c r="B5019">
        <v>229810736.53280407</v>
      </c>
    </row>
    <row r="5020" spans="1:2" x14ac:dyDescent="0.25">
      <c r="A5020">
        <f ca="1">29548.2295419771*((RANDBETWEEN(1587,2416)))</f>
        <v>61164835.15189258</v>
      </c>
      <c r="B5020">
        <v>205536322.27837154</v>
      </c>
    </row>
    <row r="5021" spans="1:2" x14ac:dyDescent="0.25">
      <c r="A5021">
        <f ca="1">30705.5416240027*((RANDBETWEEN(1587,2416)))</f>
        <v>48975338.890284233</v>
      </c>
      <c r="B5021">
        <v>238684256.80566871</v>
      </c>
    </row>
    <row r="5022" spans="1:2" x14ac:dyDescent="0.25">
      <c r="A5022">
        <f ca="1">28678.8023135194*((RANDBETWEEN(1587,2416)))</f>
        <v>63265437.903623715</v>
      </c>
      <c r="B5022">
        <v>206513146.19341159</v>
      </c>
    </row>
    <row r="5023" spans="1:2" x14ac:dyDescent="0.25">
      <c r="A5023">
        <f ca="1">30152.3148096939*((RANDBETWEEN(1587,2416)))</f>
        <v>69410628.691915348</v>
      </c>
      <c r="B5023">
        <v>265447658.36197326</v>
      </c>
    </row>
    <row r="5024" spans="1:2" x14ac:dyDescent="0.25">
      <c r="A5024">
        <f ca="1">30113.6736316637*((RANDBETWEEN(1587,2416)))</f>
        <v>65708035.864290193</v>
      </c>
      <c r="B5024">
        <v>253337576.00684503</v>
      </c>
    </row>
    <row r="5025" spans="1:2" x14ac:dyDescent="0.25">
      <c r="A5025">
        <f ca="1">27413.119800096*((RANDBETWEEN(1587,2416)))</f>
        <v>49316202.520372696</v>
      </c>
      <c r="B5025">
        <v>205705731.08958149</v>
      </c>
    </row>
    <row r="5026" spans="1:2" x14ac:dyDescent="0.25">
      <c r="A5026">
        <f ca="1">30742.7195086043*((RANDBETWEEN(1587,2416)))</f>
        <v>49710977.445413165</v>
      </c>
      <c r="B5026">
        <v>233102497.60389453</v>
      </c>
    </row>
    <row r="5027" spans="1:2" x14ac:dyDescent="0.25">
      <c r="A5027">
        <f ca="1">30730.2119093902*((RANDBETWEEN(1587,2416)))</f>
        <v>73752508.582536578</v>
      </c>
      <c r="B5027">
        <v>261749082.86224148</v>
      </c>
    </row>
    <row r="5028" spans="1:2" x14ac:dyDescent="0.25">
      <c r="A5028">
        <f ca="1">32775.6366258103*((RANDBETWEEN(1587,2416)))</f>
        <v>57390139.731793903</v>
      </c>
      <c r="B5028">
        <v>211720683.20616874</v>
      </c>
    </row>
    <row r="5029" spans="1:2" x14ac:dyDescent="0.25">
      <c r="A5029">
        <f ca="1">33993.8036000278*((RANDBETWEEN(1587,2416)))</f>
        <v>68667483.272056207</v>
      </c>
      <c r="B5029">
        <v>223513822.44499141</v>
      </c>
    </row>
    <row r="5030" spans="1:2" x14ac:dyDescent="0.25">
      <c r="A5030">
        <f ca="1">28848.1103458299*((RANDBETWEEN(1587,2416)))</f>
        <v>49272572.470677547</v>
      </c>
      <c r="B5030">
        <v>244908239.58916816</v>
      </c>
    </row>
    <row r="5031" spans="1:2" x14ac:dyDescent="0.25">
      <c r="A5031">
        <f ca="1">29267.6497915534*((RANDBETWEEN(1587,2416)))</f>
        <v>51481795.983342513</v>
      </c>
      <c r="B5031">
        <v>257369806.53655431</v>
      </c>
    </row>
    <row r="5032" spans="1:2" x14ac:dyDescent="0.25">
      <c r="A5032">
        <f ca="1">30881.6783329475*((RANDBETWEEN(1587,2416)))</f>
        <v>71058741.844112232</v>
      </c>
      <c r="B5032">
        <v>258550304.76514071</v>
      </c>
    </row>
    <row r="5033" spans="1:2" x14ac:dyDescent="0.25">
      <c r="A5033">
        <f ca="1">30854.3011280749*((RANDBETWEEN(1587,2416)))</f>
        <v>72816150.662256822</v>
      </c>
      <c r="B5033">
        <v>224000202.45241225</v>
      </c>
    </row>
    <row r="5034" spans="1:2" x14ac:dyDescent="0.25">
      <c r="A5034">
        <f ca="1">33688.4918491835*((RANDBETWEEN(1587,2416)))</f>
        <v>57708386.537651293</v>
      </c>
      <c r="B5034">
        <v>235242577.06428564</v>
      </c>
    </row>
    <row r="5035" spans="1:2" x14ac:dyDescent="0.25">
      <c r="A5035">
        <f ca="1">28024.0924488839*((RANDBETWEEN(1587,2416)))</f>
        <v>50835703.70227541</v>
      </c>
      <c r="B5035">
        <v>248959566.84972003</v>
      </c>
    </row>
    <row r="5036" spans="1:2" x14ac:dyDescent="0.25">
      <c r="A5036">
        <f ca="1">29245.8906143703*((RANDBETWEEN(1587,2416)))</f>
        <v>63726795.648712978</v>
      </c>
      <c r="B5036">
        <v>256043862.73360592</v>
      </c>
    </row>
    <row r="5037" spans="1:2" x14ac:dyDescent="0.25">
      <c r="A5037">
        <f ca="1">30864.61628756*((RANDBETWEEN(1587,2416)))</f>
        <v>73704703.694693401</v>
      </c>
      <c r="B5037">
        <v>254263419.98422077</v>
      </c>
    </row>
    <row r="5038" spans="1:2" x14ac:dyDescent="0.25">
      <c r="A5038">
        <f ca="1">29729.8033030887*((RANDBETWEEN(1587,2416)))</f>
        <v>48429849.580731571</v>
      </c>
      <c r="B5038">
        <v>209203878.63730365</v>
      </c>
    </row>
    <row r="5039" spans="1:2" x14ac:dyDescent="0.25">
      <c r="A5039">
        <f ca="1">30765.1719761616*((RANDBETWEEN(1587,2416)))</f>
        <v>51870079.951808438</v>
      </c>
      <c r="B5039">
        <v>255313077.51733625</v>
      </c>
    </row>
    <row r="5040" spans="1:2" x14ac:dyDescent="0.25">
      <c r="A5040">
        <f ca="1">28111.689115079*((RANDBETWEEN(1587,2416)))</f>
        <v>50095030.003070787</v>
      </c>
      <c r="B5040">
        <v>226326122.97282469</v>
      </c>
    </row>
    <row r="5041" spans="1:2" x14ac:dyDescent="0.25">
      <c r="A5041">
        <f ca="1">34427.554289629*((RANDBETWEEN(1587,2416)))</f>
        <v>64930367.390240237</v>
      </c>
      <c r="B5041">
        <v>248837822.74296999</v>
      </c>
    </row>
    <row r="5042" spans="1:2" x14ac:dyDescent="0.25">
      <c r="A5042">
        <f ca="1">27795.094354028*((RANDBETWEEN(1587,2416)))</f>
        <v>64818160.033593372</v>
      </c>
      <c r="B5042">
        <v>254969535.04796538</v>
      </c>
    </row>
    <row r="5043" spans="1:2" x14ac:dyDescent="0.25">
      <c r="A5043">
        <f ca="1">34381.7956894123*((RANDBETWEEN(1587,2416)))</f>
        <v>80900365.257187083</v>
      </c>
      <c r="B5043">
        <v>215249548.47074813</v>
      </c>
    </row>
    <row r="5044" spans="1:2" x14ac:dyDescent="0.25">
      <c r="A5044">
        <f ca="1">31438.3573529263*((RANDBETWEEN(1587,2416)))</f>
        <v>63096783.207323141</v>
      </c>
      <c r="B5044">
        <v>219291518.33197516</v>
      </c>
    </row>
    <row r="5045" spans="1:2" x14ac:dyDescent="0.25">
      <c r="A5045">
        <f ca="1">31743.1637981563*((RANDBETWEEN(1587,2416)))</f>
        <v>60216781.725102514</v>
      </c>
      <c r="B5045">
        <v>237661055.32950133</v>
      </c>
    </row>
    <row r="5046" spans="1:2" x14ac:dyDescent="0.25">
      <c r="A5046">
        <f ca="1">26495.1087881737*((RANDBETWEEN(1587,2416)))</f>
        <v>60435343.145824224</v>
      </c>
      <c r="B5046">
        <v>244119731.47691593</v>
      </c>
    </row>
    <row r="5047" spans="1:2" x14ac:dyDescent="0.25">
      <c r="A5047">
        <f ca="1">27693.3796092048*((RANDBETWEEN(1587,2416)))</f>
        <v>55719079.773720086</v>
      </c>
      <c r="B5047">
        <v>246296362.50099936</v>
      </c>
    </row>
    <row r="5048" spans="1:2" x14ac:dyDescent="0.25">
      <c r="A5048">
        <f ca="1">28583.5985400713*((RANDBETWEEN(1587,2416)))</f>
        <v>58167623.029045157</v>
      </c>
      <c r="B5048">
        <v>261657587.00769898</v>
      </c>
    </row>
    <row r="5049" spans="1:2" x14ac:dyDescent="0.25">
      <c r="A5049">
        <f ca="1">30364.5661140654*((RANDBETWEEN(1587,2416)))</f>
        <v>52044866.319508076</v>
      </c>
      <c r="B5049">
        <v>266635978.18066853</v>
      </c>
    </row>
    <row r="5050" spans="1:2" x14ac:dyDescent="0.25">
      <c r="A5050">
        <f ca="1">30443.8780908938*((RANDBETWEEN(1587,2416)))</f>
        <v>62501281.720604956</v>
      </c>
      <c r="B5050">
        <v>243614374.68575025</v>
      </c>
    </row>
    <row r="5051" spans="1:2" x14ac:dyDescent="0.25">
      <c r="A5051">
        <f ca="1">27789.3156163173*((RANDBETWEEN(1587,2416)))</f>
        <v>62553749.452330202</v>
      </c>
      <c r="B5051">
        <v>261252250.32089907</v>
      </c>
    </row>
    <row r="5052" spans="1:2" x14ac:dyDescent="0.25">
      <c r="A5052">
        <f ca="1">28667.9093745018*((RANDBETWEEN(1587,2416)))</f>
        <v>59113229.130222715</v>
      </c>
      <c r="B5052">
        <v>214264612.49907687</v>
      </c>
    </row>
    <row r="5053" spans="1:2" x14ac:dyDescent="0.25">
      <c r="A5053">
        <f ca="1">27842.5463611575*((RANDBETWEEN(1587,2416)))</f>
        <v>49030724.141998276</v>
      </c>
      <c r="B5053">
        <v>213405471.13843927</v>
      </c>
    </row>
    <row r="5054" spans="1:2" x14ac:dyDescent="0.25">
      <c r="A5054">
        <f ca="1">28835.2326679502*((RANDBETWEEN(1587,2416)))</f>
        <v>62341773.028108291</v>
      </c>
      <c r="B5054">
        <v>252855661.66293755</v>
      </c>
    </row>
    <row r="5055" spans="1:2" x14ac:dyDescent="0.25">
      <c r="A5055">
        <f ca="1">28441.1524954155*((RANDBETWEEN(1587,2416)))</f>
        <v>61432889.390097402</v>
      </c>
      <c r="B5055">
        <v>232991271.96513936</v>
      </c>
    </row>
    <row r="5056" spans="1:2" x14ac:dyDescent="0.25">
      <c r="A5056">
        <f ca="1">26539.7476249741*((RANDBETWEEN(1587,2416)))</f>
        <v>52867177.268948369</v>
      </c>
      <c r="B5056">
        <v>232949513.32480913</v>
      </c>
    </row>
    <row r="5057" spans="1:2" x14ac:dyDescent="0.25">
      <c r="A5057">
        <f ca="1">31218.8259274596*((RANDBETWEEN(1587,2416)))</f>
        <v>57317764.402815871</v>
      </c>
      <c r="B5057">
        <v>228741114.79795751</v>
      </c>
    </row>
    <row r="5058" spans="1:2" x14ac:dyDescent="0.25">
      <c r="A5058">
        <f ca="1">28578.2013713023*((RANDBETWEEN(1587,2416)))</f>
        <v>61728914.962012894</v>
      </c>
      <c r="B5058">
        <v>209322348.5709852</v>
      </c>
    </row>
    <row r="5059" spans="1:2" x14ac:dyDescent="0.25">
      <c r="A5059">
        <f ca="1">29703.4318630363*((RANDBETWEEN(1587,2416)))</f>
        <v>52337446.942669883</v>
      </c>
      <c r="B5059">
        <v>227908266.43734303</v>
      </c>
    </row>
    <row r="5060" spans="1:2" x14ac:dyDescent="0.25">
      <c r="A5060">
        <f ca="1">33868.002001211*((RANDBETWEEN(1587,2416)))</f>
        <v>79996220.726860389</v>
      </c>
      <c r="B5060">
        <v>248902022.06040299</v>
      </c>
    </row>
    <row r="5061" spans="1:2" x14ac:dyDescent="0.25">
      <c r="A5061">
        <f ca="1">28013.7921743984*((RANDBETWEEN(1587,2416)))</f>
        <v>67429197.763776913</v>
      </c>
      <c r="B5061">
        <v>253508343.34002078</v>
      </c>
    </row>
    <row r="5062" spans="1:2" x14ac:dyDescent="0.25">
      <c r="A5062">
        <f ca="1">30259.7146779599*((RANDBETWEEN(1587,2416)))</f>
        <v>61548259.654970512</v>
      </c>
      <c r="B5062">
        <v>228106777.89670914</v>
      </c>
    </row>
    <row r="5063" spans="1:2" x14ac:dyDescent="0.25">
      <c r="A5063">
        <f ca="1">28728.4777285627*((RANDBETWEEN(1587,2416)))</f>
        <v>57140942.202111192</v>
      </c>
      <c r="B5063">
        <v>229911515.26649046</v>
      </c>
    </row>
    <row r="5064" spans="1:2" x14ac:dyDescent="0.25">
      <c r="A5064">
        <f ca="1">32290.2698407219*((RANDBETWEEN(1587,2416)))</f>
        <v>56088198.713334017</v>
      </c>
      <c r="B5064">
        <v>231737637.11452556</v>
      </c>
    </row>
    <row r="5065" spans="1:2" x14ac:dyDescent="0.25">
      <c r="A5065">
        <f ca="1">32169.7633088882*((RANDBETWEEN(1587,2416)))</f>
        <v>69325839.930654153</v>
      </c>
      <c r="B5065">
        <v>212456402.6013357</v>
      </c>
    </row>
    <row r="5066" spans="1:2" x14ac:dyDescent="0.25">
      <c r="A5066">
        <f ca="1">27263.0314640123*((RANDBETWEEN(1587,2416)))</f>
        <v>51281762.183807142</v>
      </c>
      <c r="B5066">
        <v>233970830.79482746</v>
      </c>
    </row>
    <row r="5067" spans="1:2" x14ac:dyDescent="0.25">
      <c r="A5067">
        <f ca="1">27459.0243497932*((RANDBETWEEN(1587,2416)))</f>
        <v>44648373.592763752</v>
      </c>
      <c r="B5067">
        <v>210502259.24268103</v>
      </c>
    </row>
    <row r="5068" spans="1:2" x14ac:dyDescent="0.25">
      <c r="A5068">
        <f ca="1">30944.4611933026*((RANDBETWEEN(1587,2416)))</f>
        <v>73245539.644547299</v>
      </c>
      <c r="B5068">
        <v>232692781.91433424</v>
      </c>
    </row>
    <row r="5069" spans="1:2" x14ac:dyDescent="0.25">
      <c r="A5069">
        <f ca="1">29038.5907311669*((RANDBETWEEN(1587,2416)))</f>
        <v>58832184.821344085</v>
      </c>
      <c r="B5069">
        <v>218303457.75902897</v>
      </c>
    </row>
    <row r="5070" spans="1:2" x14ac:dyDescent="0.25">
      <c r="A5070">
        <f ca="1">32685.5432176031*((RANDBETWEEN(1587,2416)))</f>
        <v>66482394.904604666</v>
      </c>
      <c r="B5070">
        <v>220077824.99907851</v>
      </c>
    </row>
    <row r="5071" spans="1:2" x14ac:dyDescent="0.25">
      <c r="A5071">
        <f ca="1">28078.2277100245*((RANDBETWEEN(1587,2416)))</f>
        <v>49642306.591323294</v>
      </c>
      <c r="B5071">
        <v>246917410.15357047</v>
      </c>
    </row>
    <row r="5072" spans="1:2" x14ac:dyDescent="0.25">
      <c r="A5072">
        <f ca="1">29269.5171699778*((RANDBETWEEN(1587,2416)))</f>
        <v>68666287.280767933</v>
      </c>
      <c r="B5072">
        <v>226640344.1946522</v>
      </c>
    </row>
    <row r="5073" spans="1:2" x14ac:dyDescent="0.25">
      <c r="A5073">
        <f ca="1">29200.5890893007*((RANDBETWEEN(1587,2416)))</f>
        <v>64854508.367336825</v>
      </c>
      <c r="B5073">
        <v>267042896.64054519</v>
      </c>
    </row>
    <row r="5074" spans="1:2" x14ac:dyDescent="0.25">
      <c r="A5074">
        <f ca="1">26240.4946291047*((RANDBETWEEN(1587,2416)))</f>
        <v>43218094.654135406</v>
      </c>
      <c r="B5074">
        <v>219544558.84680867</v>
      </c>
    </row>
    <row r="5075" spans="1:2" x14ac:dyDescent="0.25">
      <c r="A5075">
        <f ca="1">32680.8440592354*((RANDBETWEEN(1587,2416)))</f>
        <v>59773263.784341574</v>
      </c>
      <c r="B5075">
        <v>245628484.90716714</v>
      </c>
    </row>
    <row r="5076" spans="1:2" x14ac:dyDescent="0.25">
      <c r="A5076">
        <f ca="1">31032.886878422*((RANDBETWEEN(1587,2416)))</f>
        <v>67031035.657391623</v>
      </c>
      <c r="B5076">
        <v>205812721.91663587</v>
      </c>
    </row>
    <row r="5077" spans="1:2" x14ac:dyDescent="0.25">
      <c r="A5077">
        <f ca="1">29387.4383299459*((RANDBETWEEN(1587,2416)))</f>
        <v>54219823.718750276</v>
      </c>
      <c r="B5077">
        <v>204168098.44345221</v>
      </c>
    </row>
    <row r="5078" spans="1:2" x14ac:dyDescent="0.25">
      <c r="A5078">
        <f ca="1">27882.097107618*((RANDBETWEEN(1587,2416)))</f>
        <v>49239783.492053337</v>
      </c>
      <c r="B5078">
        <v>212962398.08265811</v>
      </c>
    </row>
    <row r="5079" spans="1:2" x14ac:dyDescent="0.25">
      <c r="A5079">
        <f ca="1">25601.1735381131*((RANDBETWEEN(1587,2416)))</f>
        <v>49256657.887329668</v>
      </c>
      <c r="B5079">
        <v>251303386.17236423</v>
      </c>
    </row>
    <row r="5080" spans="1:2" x14ac:dyDescent="0.25">
      <c r="A5080">
        <f ca="1">30536.3390696839*((RANDBETWEEN(1587,2416)))</f>
        <v>49132969.563121423</v>
      </c>
      <c r="B5080">
        <v>229831897.21520823</v>
      </c>
    </row>
    <row r="5081" spans="1:2" x14ac:dyDescent="0.25">
      <c r="A5081">
        <f ca="1">29039.972363699*((RANDBETWEEN(1587,2416)))</f>
        <v>49396992.990652055</v>
      </c>
      <c r="B5081">
        <v>254681641.48457575</v>
      </c>
    </row>
    <row r="5082" spans="1:2" x14ac:dyDescent="0.25">
      <c r="A5082">
        <f ca="1">28153.0084826004*((RANDBETWEEN(1587,2416)))</f>
        <v>47381513.276216514</v>
      </c>
      <c r="B5082">
        <v>215751209.67764056</v>
      </c>
    </row>
    <row r="5083" spans="1:2" x14ac:dyDescent="0.25">
      <c r="A5083">
        <f ca="1">28983.0487314894*((RANDBETWEEN(1587,2416)))</f>
        <v>49792877.720698826</v>
      </c>
      <c r="B5083">
        <v>238940360.44119018</v>
      </c>
    </row>
    <row r="5084" spans="1:2" x14ac:dyDescent="0.25">
      <c r="A5084">
        <f ca="1">30158.5897196307*((RANDBETWEEN(1587,2416)))</f>
        <v>55823549.571036369</v>
      </c>
      <c r="B5084">
        <v>219780417.6899513</v>
      </c>
    </row>
    <row r="5085" spans="1:2" x14ac:dyDescent="0.25">
      <c r="A5085">
        <f ca="1">26035.9716080121*((RANDBETWEEN(1587,2416)))</f>
        <v>47437540.269798122</v>
      </c>
      <c r="B5085">
        <v>224338459.41097376</v>
      </c>
    </row>
    <row r="5086" spans="1:2" x14ac:dyDescent="0.25">
      <c r="A5086">
        <f ca="1">28407.4785562513*((RANDBETWEEN(1587,2416)))</f>
        <v>63348677.180440374</v>
      </c>
      <c r="B5086">
        <v>207916479.30732685</v>
      </c>
    </row>
    <row r="5087" spans="1:2" x14ac:dyDescent="0.25">
      <c r="A5087">
        <f ca="1">28557.5633211732*((RANDBETWEEN(1587,2416)))</f>
        <v>52574474.07427977</v>
      </c>
      <c r="B5087">
        <v>260381266.32077229</v>
      </c>
    </row>
    <row r="5088" spans="1:2" x14ac:dyDescent="0.25">
      <c r="A5088">
        <f ca="1">31576.8857133646*((RANDBETWEEN(1587,2416)))</f>
        <v>53333359.969872728</v>
      </c>
      <c r="B5088">
        <v>226131182.08055988</v>
      </c>
    </row>
    <row r="5089" spans="1:2" x14ac:dyDescent="0.25">
      <c r="A5089">
        <f ca="1">29394.9115098243*((RANDBETWEEN(1587,2416)))</f>
        <v>66579474.569752134</v>
      </c>
      <c r="B5089">
        <v>232602903.55421254</v>
      </c>
    </row>
    <row r="5090" spans="1:2" x14ac:dyDescent="0.25">
      <c r="A5090">
        <f ca="1">30412.6018590452*((RANDBETWEEN(1587,2416)))</f>
        <v>52127199.586403474</v>
      </c>
      <c r="B5090">
        <v>256418610.01555651</v>
      </c>
    </row>
    <row r="5091" spans="1:2" x14ac:dyDescent="0.25">
      <c r="A5091">
        <f ca="1">28997.6768713819*((RANDBETWEEN(1587,2416)))</f>
        <v>60547149.30744531</v>
      </c>
      <c r="B5091">
        <v>236077225.76035738</v>
      </c>
    </row>
    <row r="5092" spans="1:2" x14ac:dyDescent="0.25">
      <c r="A5092">
        <f ca="1">26439.1275193777*((RANDBETWEEN(1587,2416)))</f>
        <v>52508107.253484145</v>
      </c>
      <c r="B5092">
        <v>231741376.93268776</v>
      </c>
    </row>
    <row r="5093" spans="1:2" x14ac:dyDescent="0.25">
      <c r="A5093">
        <f ca="1">27743.499663993*((RANDBETWEEN(1587,2416)))</f>
        <v>47136205.929124072</v>
      </c>
      <c r="B5093">
        <v>237136094.77017346</v>
      </c>
    </row>
    <row r="5094" spans="1:2" x14ac:dyDescent="0.25">
      <c r="A5094">
        <f ca="1">28002.4239509885*((RANDBETWEEN(1587,2416)))</f>
        <v>67261822.330274478</v>
      </c>
      <c r="B5094">
        <v>267792003.45022684</v>
      </c>
    </row>
    <row r="5095" spans="1:2" x14ac:dyDescent="0.25">
      <c r="A5095">
        <f ca="1">29821.8562741187*((RANDBETWEEN(1587,2416)))</f>
        <v>50279649.67816405</v>
      </c>
      <c r="B5095">
        <v>239381370.46889448</v>
      </c>
    </row>
    <row r="5096" spans="1:2" x14ac:dyDescent="0.25">
      <c r="A5096">
        <f ca="1">29437.6323772489*((RANDBETWEEN(1587,2416)))</f>
        <v>66058047.054546535</v>
      </c>
      <c r="B5096">
        <v>215133575.39522374</v>
      </c>
    </row>
    <row r="5097" spans="1:2" x14ac:dyDescent="0.25">
      <c r="A5097">
        <f ca="1">29260.8097028313*((RANDBETWEEN(1587,2416)))</f>
        <v>60072442.319912642</v>
      </c>
      <c r="B5097">
        <v>247934914.94937587</v>
      </c>
    </row>
    <row r="5098" spans="1:2" x14ac:dyDescent="0.25">
      <c r="A5098">
        <f ca="1">27596.0264911639*((RANDBETWEEN(1587,2416)))</f>
        <v>53260331.127946369</v>
      </c>
      <c r="B5098">
        <v>206934689.31183705</v>
      </c>
    </row>
    <row r="5099" spans="1:2" x14ac:dyDescent="0.25">
      <c r="A5099">
        <f ca="1">30195.6195492686*((RANDBETWEEN(1587,2416)))</f>
        <v>67758970.268558845</v>
      </c>
      <c r="B5099">
        <v>243960188.80160028</v>
      </c>
    </row>
    <row r="5100" spans="1:2" x14ac:dyDescent="0.25">
      <c r="A5100">
        <f ca="1">31110.9198755507*((RANDBETWEEN(1587,2416)))</f>
        <v>51177463.195280954</v>
      </c>
      <c r="B5100">
        <v>262274186.32562003</v>
      </c>
    </row>
    <row r="5101" spans="1:2" x14ac:dyDescent="0.25">
      <c r="A5101">
        <f ca="1">30534.4152039399*((RANDBETWEEN(1587,2416)))</f>
        <v>49923768.858441755</v>
      </c>
      <c r="B5101">
        <v>236335745.6874519</v>
      </c>
    </row>
    <row r="5102" spans="1:2" x14ac:dyDescent="0.25">
      <c r="A5102">
        <f ca="1">29627.6537964974*((RANDBETWEEN(1587,2416)))</f>
        <v>66188178.581375092</v>
      </c>
      <c r="B5102">
        <v>249308104.06616879</v>
      </c>
    </row>
    <row r="5103" spans="1:2" x14ac:dyDescent="0.25">
      <c r="A5103">
        <f ca="1">30581.1423791208*((RANDBETWEEN(1587,2416)))</f>
        <v>66361078.962692127</v>
      </c>
      <c r="B5103">
        <v>220852620.82844031</v>
      </c>
    </row>
    <row r="5104" spans="1:2" x14ac:dyDescent="0.25">
      <c r="A5104">
        <f ca="1">30206.9941326284*((RANDBETWEEN(1587,2416)))</f>
        <v>65096072.3558143</v>
      </c>
      <c r="B5104">
        <v>235637966.5317561</v>
      </c>
    </row>
    <row r="5105" spans="1:2" x14ac:dyDescent="0.25">
      <c r="A5105">
        <f ca="1">31753.9360848021*((RANDBETWEEN(1587,2416)))</f>
        <v>57315854.633067824</v>
      </c>
      <c r="B5105">
        <v>231896907.48565111</v>
      </c>
    </row>
    <row r="5106" spans="1:2" x14ac:dyDescent="0.25">
      <c r="A5106">
        <f ca="1">30384.328200965*((RANDBETWEEN(1587,2416)))</f>
        <v>67331671.293338403</v>
      </c>
      <c r="B5106">
        <v>237837454.92367828</v>
      </c>
    </row>
    <row r="5107" spans="1:2" x14ac:dyDescent="0.25">
      <c r="A5107">
        <f ca="1">28625.3709749212*((RANDBETWEEN(1587,2416)))</f>
        <v>54216452.626500696</v>
      </c>
      <c r="B5107">
        <v>224938066.19442445</v>
      </c>
    </row>
    <row r="5108" spans="1:2" x14ac:dyDescent="0.25">
      <c r="A5108">
        <f ca="1">25967.4318667115*((RANDBETWEEN(1587,2416)))</f>
        <v>54453704.624493994</v>
      </c>
      <c r="B5108">
        <v>252631308.56014699</v>
      </c>
    </row>
    <row r="5109" spans="1:2" x14ac:dyDescent="0.25">
      <c r="A5109">
        <f ca="1">26758.1548966731*((RANDBETWEEN(1587,2416)))</f>
        <v>55576687.720390126</v>
      </c>
      <c r="B5109">
        <v>250428734.25013578</v>
      </c>
    </row>
    <row r="5110" spans="1:2" x14ac:dyDescent="0.25">
      <c r="A5110">
        <f ca="1">27246.442018493*((RANDBETWEEN(1587,2416)))</f>
        <v>54574623.363041416</v>
      </c>
      <c r="B5110">
        <v>222923660.93868816</v>
      </c>
    </row>
    <row r="5111" spans="1:2" x14ac:dyDescent="0.25">
      <c r="A5111">
        <f ca="1">32359.4045221227*((RANDBETWEEN(1587,2416)))</f>
        <v>75170896.704890981</v>
      </c>
      <c r="B5111">
        <v>206380324.04903641</v>
      </c>
    </row>
    <row r="5112" spans="1:2" x14ac:dyDescent="0.25">
      <c r="A5112">
        <f ca="1">30823.743789186*((RANDBETWEEN(1587,2416)))</f>
        <v>70524725.789657682</v>
      </c>
      <c r="B5112">
        <v>233049998.01051849</v>
      </c>
    </row>
    <row r="5113" spans="1:2" x14ac:dyDescent="0.25">
      <c r="A5113">
        <f ca="1">27692.1262400037*((RANDBETWEEN(1587,2416)))</f>
        <v>59454995.037287846</v>
      </c>
      <c r="B5113">
        <v>205653534.49944538</v>
      </c>
    </row>
    <row r="5114" spans="1:2" x14ac:dyDescent="0.25">
      <c r="A5114">
        <f ca="1">25813.5382038291*((RANDBETWEEN(1587,2416)))</f>
        <v>46025538.617427275</v>
      </c>
      <c r="B5114">
        <v>243130490.54712886</v>
      </c>
    </row>
    <row r="5115" spans="1:2" x14ac:dyDescent="0.25">
      <c r="A5115">
        <f ca="1">29659.9283705265*((RANDBETWEEN(1587,2416)))</f>
        <v>55137806.840808794</v>
      </c>
      <c r="B5115">
        <v>246025083.11410123</v>
      </c>
    </row>
    <row r="5116" spans="1:2" x14ac:dyDescent="0.25">
      <c r="A5116">
        <f ca="1">29886.2041366814*((RANDBETWEEN(1587,2416)))</f>
        <v>56933218.880377993</v>
      </c>
      <c r="B5116">
        <v>229264462.26736498</v>
      </c>
    </row>
    <row r="5117" spans="1:2" x14ac:dyDescent="0.25">
      <c r="A5117">
        <f ca="1">32228.6833641009*((RANDBETWEEN(1587,2416)))</f>
        <v>58946261.872940533</v>
      </c>
      <c r="B5117">
        <v>237264084.24852902</v>
      </c>
    </row>
    <row r="5118" spans="1:2" x14ac:dyDescent="0.25">
      <c r="A5118">
        <f ca="1">27129.2225202583*((RANDBETWEEN(1587,2416)))</f>
        <v>64893100.268457964</v>
      </c>
      <c r="B5118">
        <v>243264760.57989568</v>
      </c>
    </row>
    <row r="5119" spans="1:2" x14ac:dyDescent="0.25">
      <c r="A5119">
        <f ca="1">32854.9853580654*((RANDBETWEEN(1587,2416)))</f>
        <v>76847810.752515078</v>
      </c>
      <c r="B5119">
        <v>220643296.82268259</v>
      </c>
    </row>
    <row r="5120" spans="1:2" x14ac:dyDescent="0.25">
      <c r="A5120">
        <f ca="1">29927.4464921682*((RANDBETWEEN(1587,2416)))</f>
        <v>50996368.822654694</v>
      </c>
      <c r="B5120">
        <v>236988358.04098386</v>
      </c>
    </row>
    <row r="5121" spans="1:2" x14ac:dyDescent="0.25">
      <c r="A5121">
        <f ca="1">28197.6106318398*((RANDBETWEEN(1587,2416)))</f>
        <v>67617870.295151919</v>
      </c>
      <c r="B5121">
        <v>229529394.17227334</v>
      </c>
    </row>
    <row r="5122" spans="1:2" x14ac:dyDescent="0.25">
      <c r="A5122">
        <f ca="1">33322.1574467227*((RANDBETWEEN(1587,2416)))</f>
        <v>76341062.710441604</v>
      </c>
      <c r="B5122">
        <v>209277185.19667703</v>
      </c>
    </row>
    <row r="5123" spans="1:2" x14ac:dyDescent="0.25">
      <c r="A5123">
        <f ca="1">27309.8614516002*((RANDBETWEEN(1587,2416)))</f>
        <v>59508188.10303691</v>
      </c>
      <c r="B5123">
        <v>247364687.10661662</v>
      </c>
    </row>
    <row r="5124" spans="1:2" x14ac:dyDescent="0.25">
      <c r="A5124">
        <f ca="1">29859.8550092673*((RANDBETWEEN(1587,2416)))</f>
        <v>67841590.581055328</v>
      </c>
      <c r="B5124">
        <v>234787752.46273458</v>
      </c>
    </row>
    <row r="5125" spans="1:2" x14ac:dyDescent="0.25">
      <c r="A5125">
        <f ca="1">32727.5598279968*((RANDBETWEEN(1587,2416)))</f>
        <v>78611598.706848323</v>
      </c>
      <c r="B5125">
        <v>244560170.45980746</v>
      </c>
    </row>
    <row r="5126" spans="1:2" x14ac:dyDescent="0.25">
      <c r="A5126">
        <f ca="1">28384.1039774657*((RANDBETWEEN(1587,2416)))</f>
        <v>52482208.25433401</v>
      </c>
      <c r="B5126">
        <v>215860887.22483602</v>
      </c>
    </row>
    <row r="5127" spans="1:2" x14ac:dyDescent="0.25">
      <c r="A5127">
        <f ca="1">27342.6053168769*((RANDBETWEEN(1587,2416)))</f>
        <v>50665847.652172819</v>
      </c>
      <c r="B5127">
        <v>239244175.13359222</v>
      </c>
    </row>
    <row r="5128" spans="1:2" x14ac:dyDescent="0.25">
      <c r="A5128">
        <f ca="1">33607.6489906672*((RANDBETWEEN(1587,2416)))</f>
        <v>72693344.766813099</v>
      </c>
      <c r="B5128">
        <v>264676011.33037636</v>
      </c>
    </row>
    <row r="5129" spans="1:2" x14ac:dyDescent="0.25">
      <c r="A5129">
        <f ca="1">28550.0189757266*((RANDBETWEEN(1587,2416)))</f>
        <v>53017385.23792427</v>
      </c>
      <c r="B5129">
        <v>231487425.38957146</v>
      </c>
    </row>
    <row r="5130" spans="1:2" x14ac:dyDescent="0.25">
      <c r="A5130">
        <f ca="1">30689.7110524454*((RANDBETWEEN(1587,2416)))</f>
        <v>54474237.118090525</v>
      </c>
      <c r="B5130">
        <v>263490656.28874621</v>
      </c>
    </row>
    <row r="5131" spans="1:2" x14ac:dyDescent="0.25">
      <c r="A5131">
        <f ca="1">29553.2815928554*((RANDBETWEEN(1587,2416)))</f>
        <v>48201402.27794724</v>
      </c>
      <c r="B5131">
        <v>251953956.46787238</v>
      </c>
    </row>
    <row r="5132" spans="1:2" x14ac:dyDescent="0.25">
      <c r="A5132">
        <f ca="1">25920.6113431713*((RANDBETWEEN(1587,2416)))</f>
        <v>59228596.919146463</v>
      </c>
      <c r="B5132">
        <v>208026986.86834508</v>
      </c>
    </row>
    <row r="5133" spans="1:2" x14ac:dyDescent="0.25">
      <c r="A5133">
        <f ca="1">30063.803811467*((RANDBETWEEN(1587,2416)))</f>
        <v>49845786.719412312</v>
      </c>
      <c r="B5133">
        <v>266288633.7497862</v>
      </c>
    </row>
    <row r="5134" spans="1:2" x14ac:dyDescent="0.25">
      <c r="A5134">
        <f ca="1">28866.4703889605*((RANDBETWEEN(1587,2416)))</f>
        <v>55221557.854081504</v>
      </c>
      <c r="B5134">
        <v>242210689.71172392</v>
      </c>
    </row>
    <row r="5135" spans="1:2" x14ac:dyDescent="0.25">
      <c r="A5135">
        <f ca="1">25720.1400557448*((RANDBETWEEN(1587,2416)))</f>
        <v>59773605.489551008</v>
      </c>
      <c r="B5135">
        <v>204998085.43404236</v>
      </c>
    </row>
    <row r="5136" spans="1:2" x14ac:dyDescent="0.25">
      <c r="A5136">
        <f ca="1">34476.0157002359*((RANDBETWEEN(1587,2416)))</f>
        <v>66400806.238654338</v>
      </c>
      <c r="B5136">
        <v>213922798.43509826</v>
      </c>
    </row>
    <row r="5137" spans="1:2" x14ac:dyDescent="0.25">
      <c r="A5137">
        <f ca="1">31447.1515954522*((RANDBETWEEN(1587,2416)))</f>
        <v>62045230.097827271</v>
      </c>
      <c r="B5137">
        <v>208425500.46448299</v>
      </c>
    </row>
    <row r="5138" spans="1:2" x14ac:dyDescent="0.25">
      <c r="A5138">
        <f ca="1">30263.6998964381*((RANDBETWEEN(1587,2416)))</f>
        <v>67276204.869782001</v>
      </c>
      <c r="B5138">
        <v>231974486.27305734</v>
      </c>
    </row>
    <row r="5139" spans="1:2" x14ac:dyDescent="0.25">
      <c r="A5139">
        <f ca="1">30628.9201744863*((RANDBETWEEN(1587,2416)))</f>
        <v>59757023.260422848</v>
      </c>
      <c r="B5139">
        <v>260146628.54025814</v>
      </c>
    </row>
    <row r="5140" spans="1:2" x14ac:dyDescent="0.25">
      <c r="A5140">
        <f ca="1">29735.0445534518*((RANDBETWEEN(1587,2416)))</f>
        <v>54474601.621923648</v>
      </c>
      <c r="B5140">
        <v>255803415.36400607</v>
      </c>
    </row>
    <row r="5141" spans="1:2" x14ac:dyDescent="0.25">
      <c r="A5141">
        <f ca="1">27066.8836192844*((RANDBETWEEN(1587,2416)))</f>
        <v>54458569.842000283</v>
      </c>
      <c r="B5141">
        <v>252744977.41798529</v>
      </c>
    </row>
    <row r="5142" spans="1:2" x14ac:dyDescent="0.25">
      <c r="A5142">
        <f ca="1">32428.3735505561*((RANDBETWEEN(1587,2416)))</f>
        <v>77957810.015536815</v>
      </c>
      <c r="B5142">
        <v>211573008.53724983</v>
      </c>
    </row>
    <row r="5143" spans="1:2" x14ac:dyDescent="0.25">
      <c r="A5143">
        <f ca="1">28552.1098771077*((RANDBETWEEN(1587,2416)))</f>
        <v>54991363.623309411</v>
      </c>
      <c r="B5143">
        <v>248839012.26010543</v>
      </c>
    </row>
    <row r="5144" spans="1:2" x14ac:dyDescent="0.25">
      <c r="A5144">
        <f ca="1">30755.2715202222*((RANDBETWEEN(1587,2416)))</f>
        <v>57881421.001058273</v>
      </c>
      <c r="B5144">
        <v>234391040.82593584</v>
      </c>
    </row>
    <row r="5145" spans="1:2" x14ac:dyDescent="0.25">
      <c r="A5145">
        <f ca="1">27830.4866066718*((RANDBETWEEN(1587,2416)))</f>
        <v>62284629.025731459</v>
      </c>
      <c r="B5145">
        <v>227888899.15279174</v>
      </c>
    </row>
    <row r="5146" spans="1:2" x14ac:dyDescent="0.25">
      <c r="A5146">
        <f ca="1">31978.1537366756*((RANDBETWEEN(1587,2416)))</f>
        <v>71087435.756629959</v>
      </c>
      <c r="B5146">
        <v>225187216.72319943</v>
      </c>
    </row>
    <row r="5147" spans="1:2" x14ac:dyDescent="0.25">
      <c r="A5147">
        <f ca="1">28542.9706210334*((RANDBETWEEN(1587,2416)))</f>
        <v>50663772.852334231</v>
      </c>
      <c r="B5147">
        <v>211672281.25573611</v>
      </c>
    </row>
    <row r="5148" spans="1:2" x14ac:dyDescent="0.25">
      <c r="A5148">
        <f ca="1">31171.4847598962*((RANDBETWEEN(1587,2416)))</f>
        <v>72161987.219159737</v>
      </c>
      <c r="B5148">
        <v>248905579.7072663</v>
      </c>
    </row>
    <row r="5149" spans="1:2" x14ac:dyDescent="0.25">
      <c r="A5149">
        <f ca="1">29898.3115521281*((RANDBETWEEN(1587,2416)))</f>
        <v>69842455.785771161</v>
      </c>
      <c r="B5149">
        <v>259766979.25292134</v>
      </c>
    </row>
    <row r="5150" spans="1:2" x14ac:dyDescent="0.25">
      <c r="A5150">
        <f ca="1">27271.913215089*((RANDBETWEEN(1587,2416)))</f>
        <v>61034541.775369167</v>
      </c>
      <c r="B5150">
        <v>211624188.32843554</v>
      </c>
    </row>
    <row r="5151" spans="1:2" x14ac:dyDescent="0.25">
      <c r="A5151">
        <f ca="1">27706.6829427334*((RANDBETWEEN(1587,2416)))</f>
        <v>47378427.832074091</v>
      </c>
      <c r="B5151">
        <v>250423397.20394874</v>
      </c>
    </row>
    <row r="5152" spans="1:2" x14ac:dyDescent="0.25">
      <c r="A5152">
        <f ca="1">29048.7861913041*((RANDBETWEEN(1587,2416)))</f>
        <v>49179595.021877788</v>
      </c>
      <c r="B5152">
        <v>210057644.11396605</v>
      </c>
    </row>
    <row r="5153" spans="1:2" x14ac:dyDescent="0.25">
      <c r="A5153">
        <f ca="1">27660.6224452234*((RANDBETWEEN(1587,2416)))</f>
        <v>44920850.851042747</v>
      </c>
      <c r="B5153">
        <v>248566151.17846927</v>
      </c>
    </row>
    <row r="5154" spans="1:2" x14ac:dyDescent="0.25">
      <c r="A5154">
        <f ca="1">30586.3421241947*((RANDBETWEEN(1587,2416)))</f>
        <v>69247478.569176883</v>
      </c>
      <c r="B5154">
        <v>219309874.42188656</v>
      </c>
    </row>
    <row r="5155" spans="1:2" x14ac:dyDescent="0.25">
      <c r="A5155">
        <f ca="1">30448.3530169943*((RANDBETWEEN(1587,2416)))</f>
        <v>60318187.326665655</v>
      </c>
      <c r="B5155">
        <v>215788619.34275436</v>
      </c>
    </row>
    <row r="5156" spans="1:2" x14ac:dyDescent="0.25">
      <c r="A5156">
        <f ca="1">28904.9584692878*((RANDBETWEEN(1587,2416)))</f>
        <v>63475288.798556097</v>
      </c>
      <c r="B5156">
        <v>247170800.67153296</v>
      </c>
    </row>
    <row r="5157" spans="1:2" x14ac:dyDescent="0.25">
      <c r="A5157">
        <f ca="1">27870.9789125664*((RANDBETWEEN(1587,2416)))</f>
        <v>66137832.95951996</v>
      </c>
      <c r="B5157">
        <v>230460289.26207715</v>
      </c>
    </row>
    <row r="5158" spans="1:2" x14ac:dyDescent="0.25">
      <c r="A5158">
        <f ca="1">30966.250774218*((RANDBETWEEN(1587,2416)))</f>
        <v>70262423.00670062</v>
      </c>
      <c r="B5158">
        <v>259945094.22048295</v>
      </c>
    </row>
    <row r="5159" spans="1:2" x14ac:dyDescent="0.25">
      <c r="A5159">
        <f ca="1">26974.4892013051*((RANDBETWEEN(1587,2416)))</f>
        <v>49390289.727589674</v>
      </c>
      <c r="B5159">
        <v>222071025.22586295</v>
      </c>
    </row>
    <row r="5160" spans="1:2" x14ac:dyDescent="0.25">
      <c r="A5160">
        <f ca="1">26569.1372408669*((RANDBETWEEN(1587,2416)))</f>
        <v>54387023.932054535</v>
      </c>
      <c r="B5160">
        <v>209321873.85191905</v>
      </c>
    </row>
    <row r="5161" spans="1:2" x14ac:dyDescent="0.25">
      <c r="A5161">
        <f ca="1">29716.9795548601*((RANDBETWEEN(1587,2416)))</f>
        <v>47933488.021989278</v>
      </c>
      <c r="B5161">
        <v>241892882.99916503</v>
      </c>
    </row>
    <row r="5162" spans="1:2" x14ac:dyDescent="0.25">
      <c r="A5162">
        <f ca="1">27722.1312635617*((RANDBETWEEN(1587,2416)))</f>
        <v>64814342.894207269</v>
      </c>
      <c r="B5162">
        <v>241556875.43310988</v>
      </c>
    </row>
    <row r="5163" spans="1:2" x14ac:dyDescent="0.25">
      <c r="A5163">
        <f ca="1">30114.6793156176*((RANDBETWEEN(1587,2416)))</f>
        <v>50381858.495028257</v>
      </c>
      <c r="B5163">
        <v>231406856.2581737</v>
      </c>
    </row>
    <row r="5164" spans="1:2" x14ac:dyDescent="0.25">
      <c r="A5164">
        <f ca="1">28741.4776148949*((RANDBETWEEN(1587,2416)))</f>
        <v>62771387.110930532</v>
      </c>
      <c r="B5164">
        <v>205748795.36474067</v>
      </c>
    </row>
    <row r="5165" spans="1:2" x14ac:dyDescent="0.25">
      <c r="A5165">
        <f ca="1">26616.6773633457*((RANDBETWEEN(1587,2416)))</f>
        <v>49054536.380646057</v>
      </c>
      <c r="B5165">
        <v>209334619.82573009</v>
      </c>
    </row>
    <row r="5166" spans="1:2" x14ac:dyDescent="0.25">
      <c r="A5166">
        <f ca="1">28976.8874335918*((RANDBETWEEN(1587,2416)))</f>
        <v>56186184.733734436</v>
      </c>
      <c r="B5166">
        <v>243675684.73100495</v>
      </c>
    </row>
    <row r="5167" spans="1:2" x14ac:dyDescent="0.25">
      <c r="A5167">
        <f ca="1">29697.0920217968*((RANDBETWEEN(1587,2416)))</f>
        <v>68184523.282045335</v>
      </c>
      <c r="B5167">
        <v>233843406.84707806</v>
      </c>
    </row>
    <row r="5168" spans="1:2" x14ac:dyDescent="0.25">
      <c r="A5168">
        <f ca="1">27478.4184970352*((RANDBETWEEN(1587,2416)))</f>
        <v>49131412.272698961</v>
      </c>
      <c r="B5168">
        <v>258521693.25358802</v>
      </c>
    </row>
    <row r="5169" spans="1:2" x14ac:dyDescent="0.25">
      <c r="A5169">
        <f ca="1">29077.883172946*((RANDBETWEEN(1587,2416)))</f>
        <v>69903231.14776209</v>
      </c>
      <c r="B5169">
        <v>240395028.841299</v>
      </c>
    </row>
    <row r="5170" spans="1:2" x14ac:dyDescent="0.25">
      <c r="A5170">
        <f ca="1">28899.292506251*((RANDBETWEEN(1587,2416)))</f>
        <v>52076525.096264318</v>
      </c>
      <c r="B5170">
        <v>207475964.3137112</v>
      </c>
    </row>
    <row r="5171" spans="1:2" x14ac:dyDescent="0.25">
      <c r="A5171">
        <f ca="1">30760.4320515924*((RANDBETWEEN(1587,2416)))</f>
        <v>60813374.165998228</v>
      </c>
      <c r="B5171">
        <v>249070356.40933752</v>
      </c>
    </row>
    <row r="5172" spans="1:2" x14ac:dyDescent="0.25">
      <c r="A5172">
        <f ca="1">30357.0243283084*((RANDBETWEEN(1587,2416)))</f>
        <v>69639013.809139535</v>
      </c>
      <c r="B5172">
        <v>226408227.09785026</v>
      </c>
    </row>
    <row r="5173" spans="1:2" x14ac:dyDescent="0.25">
      <c r="A5173">
        <f ca="1">30499.6051133358*((RANDBETWEEN(1587,2416)))</f>
        <v>73626046.74359265</v>
      </c>
      <c r="B5173">
        <v>267037744.32607341</v>
      </c>
    </row>
    <row r="5174" spans="1:2" x14ac:dyDescent="0.25">
      <c r="A5174">
        <f ca="1">27234.0397786291*((RANDBETWEEN(1587,2416)))</f>
        <v>63482546.723984368</v>
      </c>
      <c r="B5174">
        <v>237526822.42633441</v>
      </c>
    </row>
    <row r="5175" spans="1:2" x14ac:dyDescent="0.25">
      <c r="A5175">
        <f ca="1">27876.2617387477*((RANDBETWEEN(1587,2416)))</f>
        <v>46525480.841969848</v>
      </c>
      <c r="B5175">
        <v>232141348.94759831</v>
      </c>
    </row>
    <row r="5176" spans="1:2" x14ac:dyDescent="0.25">
      <c r="A5176">
        <f ca="1">25834.9431809425*((RANDBETWEEN(1587,2416)))</f>
        <v>49189731.816514552</v>
      </c>
      <c r="B5176">
        <v>217688650.74244452</v>
      </c>
    </row>
    <row r="5177" spans="1:2" x14ac:dyDescent="0.25">
      <c r="A5177">
        <f ca="1">30500.6332206179*((RANDBETWEEN(1587,2416)))</f>
        <v>61794282.904971898</v>
      </c>
      <c r="B5177">
        <v>247326525.82184309</v>
      </c>
    </row>
    <row r="5178" spans="1:2" x14ac:dyDescent="0.25">
      <c r="A5178">
        <f ca="1">29359.3305242509*((RANDBETWEEN(1587,2416)))</f>
        <v>58219552.429589443</v>
      </c>
      <c r="B5178">
        <v>243818203.71278843</v>
      </c>
    </row>
    <row r="5179" spans="1:2" x14ac:dyDescent="0.25">
      <c r="A5179">
        <f ca="1">26611.6249862977*((RANDBETWEEN(1587,2416)))</f>
        <v>47821090.100377016</v>
      </c>
      <c r="B5179">
        <v>204798659.5549534</v>
      </c>
    </row>
    <row r="5180" spans="1:2" x14ac:dyDescent="0.25">
      <c r="A5180">
        <f ca="1">29647.174279314*((RANDBETWEEN(1587,2416)))</f>
        <v>63711777.526245832</v>
      </c>
      <c r="B5180">
        <v>247842823.58095706</v>
      </c>
    </row>
    <row r="5181" spans="1:2" x14ac:dyDescent="0.25">
      <c r="A5181">
        <f ca="1">28665.2767951903*((RANDBETWEEN(1587,2416)))</f>
        <v>67019417.147155009</v>
      </c>
      <c r="B5181">
        <v>217832968.92561078</v>
      </c>
    </row>
    <row r="5182" spans="1:2" x14ac:dyDescent="0.25">
      <c r="A5182">
        <f ca="1">27449.6491826236*((RANDBETWEEN(1587,2416)))</f>
        <v>58165806.617979407</v>
      </c>
      <c r="B5182">
        <v>218615223.81746638</v>
      </c>
    </row>
    <row r="5183" spans="1:2" x14ac:dyDescent="0.25">
      <c r="A5183">
        <f ca="1">30374.1239922687*((RANDBETWEEN(1587,2416)))</f>
        <v>71439939.62981604</v>
      </c>
      <c r="B5183">
        <v>204145423.42003143</v>
      </c>
    </row>
    <row r="5184" spans="1:2" x14ac:dyDescent="0.25">
      <c r="A5184">
        <f ca="1">30091.738911533*((RANDBETWEEN(1587,2416)))</f>
        <v>63794486.492449999</v>
      </c>
      <c r="B5184">
        <v>261832675.24865866</v>
      </c>
    </row>
    <row r="5185" spans="1:2" x14ac:dyDescent="0.25">
      <c r="A5185">
        <f ca="1">27999.6796185982*((RANDBETWEEN(1587,2416)))</f>
        <v>56727350.907279901</v>
      </c>
      <c r="B5185">
        <v>206557005.23060986</v>
      </c>
    </row>
    <row r="5186" spans="1:2" x14ac:dyDescent="0.25">
      <c r="A5186">
        <f ca="1">27361.9836811855*((RANDBETWEEN(1587,2416)))</f>
        <v>54505071.492921419</v>
      </c>
      <c r="B5186">
        <v>253877336.89424729</v>
      </c>
    </row>
    <row r="5187" spans="1:2" x14ac:dyDescent="0.25">
      <c r="A5187">
        <f ca="1">33867.2279067242*((RANDBETWEEN(1587,2416)))</f>
        <v>67158712.939034</v>
      </c>
      <c r="B5187">
        <v>214909540.22652391</v>
      </c>
    </row>
    <row r="5188" spans="1:2" x14ac:dyDescent="0.25">
      <c r="A5188">
        <f ca="1">31846.2900572663*((RANDBETWEEN(1587,2416)))</f>
        <v>71049073.117761061</v>
      </c>
      <c r="B5188">
        <v>248232701.63220957</v>
      </c>
    </row>
    <row r="5189" spans="1:2" x14ac:dyDescent="0.25">
      <c r="A5189">
        <f ca="1">31202.4713142091*((RANDBETWEEN(1587,2416)))</f>
        <v>73450617.473648295</v>
      </c>
      <c r="B5189">
        <v>205433593.55438241</v>
      </c>
    </row>
    <row r="5190" spans="1:2" x14ac:dyDescent="0.25">
      <c r="A5190">
        <f ca="1">27303.484249553*((RANDBETWEEN(1587,2416)))</f>
        <v>47426152.141473487</v>
      </c>
      <c r="B5190">
        <v>220650172.45476002</v>
      </c>
    </row>
    <row r="5191" spans="1:2" x14ac:dyDescent="0.25">
      <c r="A5191">
        <f ca="1">28605.9432574978*((RANDBETWEEN(1587,2416)))</f>
        <v>54208262.472958378</v>
      </c>
      <c r="B5191">
        <v>214103244.70406523</v>
      </c>
    </row>
    <row r="5192" spans="1:2" x14ac:dyDescent="0.25">
      <c r="A5192">
        <f ca="1">26939.9378578388*((RANDBETWEEN(1587,2416)))</f>
        <v>48491888.144109808</v>
      </c>
      <c r="B5192">
        <v>227245036.22974563</v>
      </c>
    </row>
    <row r="5193" spans="1:2" x14ac:dyDescent="0.25">
      <c r="A5193">
        <f ca="1">27245.8195322992*((RANDBETWEEN(1587,2416)))</f>
        <v>55608717.665422715</v>
      </c>
      <c r="B5193">
        <v>245768756.84752116</v>
      </c>
    </row>
    <row r="5194" spans="1:2" x14ac:dyDescent="0.25">
      <c r="A5194">
        <f ca="1">30572.1653778814*((RANDBETWEEN(1587,2416)))</f>
        <v>56680794.610592119</v>
      </c>
      <c r="B5194">
        <v>266848577.57140821</v>
      </c>
    </row>
    <row r="5195" spans="1:2" x14ac:dyDescent="0.25">
      <c r="A5195">
        <f ca="1">27509.8112031278*((RANDBETWEEN(1587,2416)))</f>
        <v>54304367.314974286</v>
      </c>
      <c r="B5195">
        <v>242838952.60714811</v>
      </c>
    </row>
    <row r="5196" spans="1:2" x14ac:dyDescent="0.25">
      <c r="A5196">
        <f ca="1">26752.3566009783*((RANDBETWEEN(1587,2416)))</f>
        <v>46950385.834716894</v>
      </c>
      <c r="B5196">
        <v>205559771.64475042</v>
      </c>
    </row>
    <row r="5197" spans="1:2" x14ac:dyDescent="0.25">
      <c r="A5197">
        <f ca="1">29100.5875061555*((RANDBETWEEN(1587,2416)))</f>
        <v>48743484.072810426</v>
      </c>
      <c r="B5197">
        <v>213571957.07927233</v>
      </c>
    </row>
    <row r="5198" spans="1:2" x14ac:dyDescent="0.25">
      <c r="A5198">
        <f ca="1">31858.05194867*((RANDBETWEEN(1587,2416)))</f>
        <v>55241862.078993775</v>
      </c>
      <c r="B5198">
        <v>210637927.79635689</v>
      </c>
    </row>
    <row r="5199" spans="1:2" x14ac:dyDescent="0.25">
      <c r="A5199">
        <f ca="1">32563.4926435099*((RANDBETWEEN(1587,2416)))</f>
        <v>62261397.934390947</v>
      </c>
      <c r="B5199">
        <v>247267555.85170302</v>
      </c>
    </row>
    <row r="5200" spans="1:2" x14ac:dyDescent="0.25">
      <c r="A5200">
        <f ca="1">30172.8346422719*((RANDBETWEEN(1587,2416)))</f>
        <v>63574162.591266967</v>
      </c>
      <c r="B5200">
        <v>252396800.24285775</v>
      </c>
    </row>
    <row r="5201" spans="1:2" x14ac:dyDescent="0.25">
      <c r="A5201">
        <f ca="1">30510.0748940554*((RANDBETWEEN(1587,2416)))</f>
        <v>64559318.475821249</v>
      </c>
      <c r="B5201">
        <v>251737820.27963096</v>
      </c>
    </row>
    <row r="5202" spans="1:2" x14ac:dyDescent="0.25">
      <c r="A5202">
        <f ca="1">30367.8713220867*((RANDBETWEEN(1587,2416)))</f>
        <v>53781500.11141555</v>
      </c>
      <c r="B5202">
        <v>253425041.99776459</v>
      </c>
    </row>
    <row r="5203" spans="1:2" x14ac:dyDescent="0.25">
      <c r="A5203">
        <f ca="1">29068.9710188263*((RANDBETWEEN(1587,2416)))</f>
        <v>59329769.849424459</v>
      </c>
      <c r="B5203">
        <v>238206088.98469371</v>
      </c>
    </row>
    <row r="5204" spans="1:2" x14ac:dyDescent="0.25">
      <c r="A5204">
        <f ca="1">29842.9281913641*((RANDBETWEEN(1587,2416)))</f>
        <v>53508370.247115798</v>
      </c>
      <c r="B5204">
        <v>227616634.48382625</v>
      </c>
    </row>
    <row r="5205" spans="1:2" x14ac:dyDescent="0.25">
      <c r="A5205">
        <f ca="1">30997.3777879165*((RANDBETWEEN(1587,2416)))</f>
        <v>59917931.264042675</v>
      </c>
      <c r="B5205">
        <v>241399118.96447352</v>
      </c>
    </row>
    <row r="5206" spans="1:2" x14ac:dyDescent="0.25">
      <c r="A5206">
        <f ca="1">27990.3351316067*((RANDBETWEEN(1587,2416)))</f>
        <v>44672574.870044224</v>
      </c>
      <c r="B5206">
        <v>223428596.65997764</v>
      </c>
    </row>
    <row r="5207" spans="1:2" x14ac:dyDescent="0.25">
      <c r="A5207">
        <f ca="1">32733.2412976561*((RANDBETWEEN(1587,2416)))</f>
        <v>64353552.391191967</v>
      </c>
      <c r="B5207">
        <v>220274324.16527173</v>
      </c>
    </row>
    <row r="5208" spans="1:2" x14ac:dyDescent="0.25">
      <c r="A5208">
        <f ca="1">33082.082907353*((RANDBETWEEN(1587,2416)))</f>
        <v>65701016.654003054</v>
      </c>
      <c r="B5208">
        <v>229801962.73918179</v>
      </c>
    </row>
    <row r="5209" spans="1:2" x14ac:dyDescent="0.25">
      <c r="A5209">
        <f ca="1">30667.4258756384*((RANDBETWEEN(1587,2416)))</f>
        <v>49987904.177290618</v>
      </c>
      <c r="B5209">
        <v>225543683.37623644</v>
      </c>
    </row>
    <row r="5210" spans="1:2" x14ac:dyDescent="0.25">
      <c r="A5210">
        <f ca="1">29777.9508066855*((RANDBETWEEN(1587,2416)))</f>
        <v>56310104.975442335</v>
      </c>
      <c r="B5210">
        <v>250450963.40108806</v>
      </c>
    </row>
    <row r="5211" spans="1:2" x14ac:dyDescent="0.25">
      <c r="A5211">
        <f ca="1">27490.3687967946*((RANDBETWEEN(1587,2416)))</f>
        <v>56217804.189445041</v>
      </c>
      <c r="B5211">
        <v>255791655.3908813</v>
      </c>
    </row>
    <row r="5212" spans="1:2" x14ac:dyDescent="0.25">
      <c r="A5212">
        <f ca="1">28893.3367503738*((RANDBETWEEN(1587,2416)))</f>
        <v>54608406.458206497</v>
      </c>
      <c r="B5212">
        <v>246616040.469302</v>
      </c>
    </row>
    <row r="5213" spans="1:2" x14ac:dyDescent="0.25">
      <c r="A5213">
        <f ca="1">26727.8021791774*((RANDBETWEEN(1587,2416)))</f>
        <v>43165400.519371517</v>
      </c>
      <c r="B5213">
        <v>215510183.46943259</v>
      </c>
    </row>
    <row r="5214" spans="1:2" x14ac:dyDescent="0.25">
      <c r="A5214">
        <f ca="1">29932.9202282666*((RANDBETWEEN(1587,2416)))</f>
        <v>53340463.846771151</v>
      </c>
      <c r="B5214">
        <v>211799321.24595875</v>
      </c>
    </row>
    <row r="5215" spans="1:2" x14ac:dyDescent="0.25">
      <c r="A5215">
        <f ca="1">27142.9415287194*((RANDBETWEEN(1587,2416)))</f>
        <v>61668763.153250501</v>
      </c>
      <c r="B5215">
        <v>254817068.10154951</v>
      </c>
    </row>
    <row r="5216" spans="1:2" x14ac:dyDescent="0.25">
      <c r="A5216">
        <f ca="1">30147.5180634052*((RANDBETWEEN(1587,2416)))</f>
        <v>52547123.984515272</v>
      </c>
      <c r="B5216">
        <v>229022856.87138188</v>
      </c>
    </row>
    <row r="5217" spans="1:2" x14ac:dyDescent="0.25">
      <c r="A5217">
        <f ca="1">31704.761782345*((RANDBETWEEN(1587,2416)))</f>
        <v>57195390.255350336</v>
      </c>
      <c r="B5217">
        <v>262565394.84343541</v>
      </c>
    </row>
    <row r="5218" spans="1:2" x14ac:dyDescent="0.25">
      <c r="A5218">
        <f ca="1">33390.0411997979*((RANDBETWEEN(1587,2416)))</f>
        <v>67013812.687994301</v>
      </c>
      <c r="B5218">
        <v>259837922.3854785</v>
      </c>
    </row>
    <row r="5219" spans="1:2" x14ac:dyDescent="0.25">
      <c r="A5219">
        <f ca="1">33362.3619860847*((RANDBETWEEN(1587,2416)))</f>
        <v>57083001.358190902</v>
      </c>
      <c r="B5219">
        <v>255972898.2891334</v>
      </c>
    </row>
    <row r="5220" spans="1:2" x14ac:dyDescent="0.25">
      <c r="A5220">
        <f ca="1">32701.0120675942*((RANDBETWEEN(1587,2416)))</f>
        <v>68247012.185069069</v>
      </c>
      <c r="B5220">
        <v>234851813.81403068</v>
      </c>
    </row>
    <row r="5221" spans="1:2" x14ac:dyDescent="0.25">
      <c r="A5221">
        <f ca="1">34501.0704855973*((RANDBETWEEN(1587,2416)))</f>
        <v>60928890.477564886</v>
      </c>
      <c r="B5221">
        <v>267770148.3380962</v>
      </c>
    </row>
    <row r="5222" spans="1:2" x14ac:dyDescent="0.25">
      <c r="A5222">
        <f ca="1">29850.5638827092*((RANDBETWEEN(1587,2416)))</f>
        <v>59999633.404245399</v>
      </c>
      <c r="B5222">
        <v>204981203.63660288</v>
      </c>
    </row>
    <row r="5223" spans="1:2" x14ac:dyDescent="0.25">
      <c r="A5223">
        <f ca="1">27808.431698262*((RANDBETWEEN(1587,2416)))</f>
        <v>55005077.899162203</v>
      </c>
      <c r="B5223">
        <v>265276299.95361203</v>
      </c>
    </row>
    <row r="5224" spans="1:2" x14ac:dyDescent="0.25">
      <c r="A5224">
        <f ca="1">31614.9920402259*((RANDBETWEEN(1587,2416)))</f>
        <v>55895305.927119404</v>
      </c>
      <c r="B5224">
        <v>249999400.46121818</v>
      </c>
    </row>
    <row r="5225" spans="1:2" x14ac:dyDescent="0.25">
      <c r="A5225">
        <f ca="1">30125.9212173885*((RANDBETWEEN(1587,2416)))</f>
        <v>65825137.85999395</v>
      </c>
      <c r="B5225">
        <v>205084497.09060463</v>
      </c>
    </row>
    <row r="5226" spans="1:2" x14ac:dyDescent="0.25">
      <c r="A5226">
        <f ca="1">25838.0027442541*((RANDBETWEEN(1587,2416)))</f>
        <v>49092205.214082874</v>
      </c>
      <c r="B5226">
        <v>253546624.12212956</v>
      </c>
    </row>
    <row r="5227" spans="1:2" x14ac:dyDescent="0.25">
      <c r="A5227">
        <f ca="1">31152.1099794773*((RANDBETWEEN(1587,2416)))</f>
        <v>55980341.633120656</v>
      </c>
      <c r="B5227">
        <v>229122817.54285991</v>
      </c>
    </row>
    <row r="5228" spans="1:2" x14ac:dyDescent="0.25">
      <c r="A5228">
        <f ca="1">28167.078741233*((RANDBETWEEN(1587,2416)))</f>
        <v>60277548.506238714</v>
      </c>
      <c r="B5228">
        <v>244932835.9866685</v>
      </c>
    </row>
    <row r="5229" spans="1:2" x14ac:dyDescent="0.25">
      <c r="A5229">
        <f ca="1">27497.8085257747*((RANDBETWEEN(1587,2416)))</f>
        <v>47158741.62170364</v>
      </c>
      <c r="B5229">
        <v>242935578.5840742</v>
      </c>
    </row>
    <row r="5230" spans="1:2" x14ac:dyDescent="0.25">
      <c r="A5230">
        <f ca="1">28335.1458879816*((RANDBETWEEN(1587,2416)))</f>
        <v>55735231.961659729</v>
      </c>
      <c r="B5230">
        <v>240665052.85466218</v>
      </c>
    </row>
    <row r="5231" spans="1:2" x14ac:dyDescent="0.25">
      <c r="A5231">
        <f ca="1">28800.4063045863*((RANDBETWEEN(1587,2416)))</f>
        <v>56794401.232644163</v>
      </c>
      <c r="B5231">
        <v>233885289.56858355</v>
      </c>
    </row>
    <row r="5232" spans="1:2" x14ac:dyDescent="0.25">
      <c r="A5232">
        <f ca="1">28499.4443443603*((RANDBETWEEN(1587,2416)))</f>
        <v>67059192.542279817</v>
      </c>
      <c r="B5232">
        <v>234083026.15102431</v>
      </c>
    </row>
    <row r="5233" spans="1:2" x14ac:dyDescent="0.25">
      <c r="A5233">
        <f ca="1">33985.1413282483*((RANDBETWEEN(1587,2416)))</f>
        <v>61818972.076083705</v>
      </c>
      <c r="B5233">
        <v>214047773.19950756</v>
      </c>
    </row>
    <row r="5234" spans="1:2" x14ac:dyDescent="0.25">
      <c r="A5234">
        <f ca="1">28272.8935041313*((RANDBETWEEN(1587,2416)))</f>
        <v>52135215.62161804</v>
      </c>
      <c r="B5234">
        <v>222175172.18800747</v>
      </c>
    </row>
    <row r="5235" spans="1:2" x14ac:dyDescent="0.25">
      <c r="A5235">
        <f ca="1">27285.278771494*((RANDBETWEEN(1587,2416)))</f>
        <v>52578732.192668915</v>
      </c>
      <c r="B5235">
        <v>227098537.20754418</v>
      </c>
    </row>
    <row r="5236" spans="1:2" x14ac:dyDescent="0.25">
      <c r="A5236">
        <f ca="1">26760.5878841357*((RANDBETWEEN(1587,2416)))</f>
        <v>50764835.216205359</v>
      </c>
      <c r="B5236">
        <v>204561377.88489556</v>
      </c>
    </row>
    <row r="5237" spans="1:2" x14ac:dyDescent="0.25">
      <c r="A5237">
        <f ca="1">31744.647293335*((RANDBETWEEN(1587,2416)))</f>
        <v>73425369.189483806</v>
      </c>
      <c r="B5237">
        <v>267446487.89429376</v>
      </c>
    </row>
    <row r="5238" spans="1:2" x14ac:dyDescent="0.25">
      <c r="A5238">
        <f ca="1">28899.1371227754*((RANDBETWEEN(1587,2416)))</f>
        <v>46556509.904791228</v>
      </c>
      <c r="B5238">
        <v>234420737.05736113</v>
      </c>
    </row>
    <row r="5239" spans="1:2" x14ac:dyDescent="0.25">
      <c r="A5239">
        <f ca="1">27504.441742864*((RANDBETWEEN(1587,2416)))</f>
        <v>49590508.462383792</v>
      </c>
      <c r="B5239">
        <v>228572366.76981729</v>
      </c>
    </row>
    <row r="5240" spans="1:2" x14ac:dyDescent="0.25">
      <c r="A5240">
        <f ca="1">31647.847463941*((RANDBETWEEN(1587,2416)))</f>
        <v>67156732.318482757</v>
      </c>
      <c r="B5240">
        <v>235437534.15517351</v>
      </c>
    </row>
    <row r="5241" spans="1:2" x14ac:dyDescent="0.25">
      <c r="A5241">
        <f ca="1">32553.8333935806*((RANDBETWEEN(1587,2416)))</f>
        <v>56025147.270352297</v>
      </c>
      <c r="B5241">
        <v>219900468.45296848</v>
      </c>
    </row>
    <row r="5242" spans="1:2" x14ac:dyDescent="0.25">
      <c r="A5242">
        <f ca="1">29370.3610515832*((RANDBETWEEN(1587,2416)))</f>
        <v>64849757.201895766</v>
      </c>
      <c r="B5242">
        <v>235816571.47577393</v>
      </c>
    </row>
    <row r="5243" spans="1:2" x14ac:dyDescent="0.25">
      <c r="A5243">
        <f ca="1">29740.7969603578*((RANDBETWEEN(1587,2416)))</f>
        <v>50291687.659965068</v>
      </c>
      <c r="B5243">
        <v>238871733.10984549</v>
      </c>
    </row>
    <row r="5244" spans="1:2" x14ac:dyDescent="0.25">
      <c r="A5244">
        <f ca="1">28331.0750032691*((RANDBETWEEN(1587,2416)))</f>
        <v>56038866.356466219</v>
      </c>
      <c r="B5244">
        <v>247673820.31302732</v>
      </c>
    </row>
    <row r="5245" spans="1:2" x14ac:dyDescent="0.25">
      <c r="A5245">
        <f ca="1">30542.2905257942*((RANDBETWEEN(1587,2416)))</f>
        <v>72415770.83665815</v>
      </c>
      <c r="B5245">
        <v>217533027.40332949</v>
      </c>
    </row>
    <row r="5246" spans="1:2" x14ac:dyDescent="0.25">
      <c r="A5246">
        <f ca="1">31705.1775926123*((RANDBETWEEN(1587,2416)))</f>
        <v>73999884.50115715</v>
      </c>
      <c r="B5246">
        <v>261531633.93509883</v>
      </c>
    </row>
    <row r="5247" spans="1:2" x14ac:dyDescent="0.25">
      <c r="A5247">
        <f ca="1">28114.8388793622*((RANDBETWEEN(1587,2416)))</f>
        <v>61908875.212355666</v>
      </c>
      <c r="B5247">
        <v>213288417.72643337</v>
      </c>
    </row>
    <row r="5248" spans="1:2" x14ac:dyDescent="0.25">
      <c r="A5248">
        <f ca="1">28001.461566433*((RANDBETWEEN(1587,2416)))</f>
        <v>50570639.58897794</v>
      </c>
      <c r="B5248">
        <v>257329947.02876139</v>
      </c>
    </row>
    <row r="5249" spans="1:2" x14ac:dyDescent="0.25">
      <c r="A5249">
        <f ca="1">30139.2970440458*((RANDBETWEEN(1587,2416)))</f>
        <v>59012743.612241775</v>
      </c>
      <c r="B5249">
        <v>231231436.44988203</v>
      </c>
    </row>
    <row r="5250" spans="1:2" x14ac:dyDescent="0.25">
      <c r="A5250">
        <f ca="1">32406.3724963821*((RANDBETWEEN(1587,2416)))</f>
        <v>72590274.39189598</v>
      </c>
      <c r="B5250">
        <v>246634862.66977319</v>
      </c>
    </row>
    <row r="5251" spans="1:2" x14ac:dyDescent="0.25">
      <c r="A5251">
        <f ca="1">29162.0935259272*((RANDBETWEEN(1587,2416)))</f>
        <v>63194256.670684159</v>
      </c>
      <c r="B5251">
        <v>260287777.68338847</v>
      </c>
    </row>
    <row r="5252" spans="1:2" x14ac:dyDescent="0.25">
      <c r="A5252">
        <f ca="1">31905.6716451947*((RANDBETWEEN(1587,2416)))</f>
        <v>55930642.394026324</v>
      </c>
      <c r="B5252">
        <v>226681339.66100359</v>
      </c>
    </row>
    <row r="5253" spans="1:2" x14ac:dyDescent="0.25">
      <c r="A5253">
        <f ca="1">29515.1079598768*((RANDBETWEEN(1587,2416)))</f>
        <v>51621923.821824536</v>
      </c>
      <c r="B5253">
        <v>203903678.85459831</v>
      </c>
    </row>
    <row r="5254" spans="1:2" x14ac:dyDescent="0.25">
      <c r="A5254">
        <f ca="1">32764.7014802848*((RANDBETWEEN(1587,2416)))</f>
        <v>61532109.379974775</v>
      </c>
      <c r="B5254">
        <v>256311483.16569161</v>
      </c>
    </row>
    <row r="5255" spans="1:2" x14ac:dyDescent="0.25">
      <c r="A5255">
        <f ca="1">31061.7528323266*((RANDBETWEEN(1587,2416)))</f>
        <v>68801782.52360341</v>
      </c>
      <c r="B5255">
        <v>244707369.55040422</v>
      </c>
    </row>
    <row r="5256" spans="1:2" x14ac:dyDescent="0.25">
      <c r="A5256">
        <f ca="1">30655.5315101107*((RANDBETWEEN(1587,2416)))</f>
        <v>49355405.731278196</v>
      </c>
      <c r="B5256">
        <v>258822078.03895536</v>
      </c>
    </row>
    <row r="5257" spans="1:2" x14ac:dyDescent="0.25">
      <c r="A5257">
        <f ca="1">31899.5344044659*((RANDBETWEEN(1587,2416)))</f>
        <v>59141736.785879783</v>
      </c>
      <c r="B5257">
        <v>260332330.88558528</v>
      </c>
    </row>
    <row r="5258" spans="1:2" x14ac:dyDescent="0.25">
      <c r="A5258">
        <f ca="1">30913.0450396298*((RANDBETWEEN(1587,2416)))</f>
        <v>66834003.37567959</v>
      </c>
      <c r="B5258">
        <v>240227944.4758037</v>
      </c>
    </row>
    <row r="5259" spans="1:2" x14ac:dyDescent="0.25">
      <c r="A5259">
        <f ca="1">28760.2419343636*((RANDBETWEEN(1587,2416)))</f>
        <v>56858998.30423677</v>
      </c>
      <c r="B5259">
        <v>253791537.74754637</v>
      </c>
    </row>
    <row r="5260" spans="1:2" x14ac:dyDescent="0.25">
      <c r="A5260">
        <f ca="1">28237.5162120931*((RANDBETWEEN(1587,2416)))</f>
        <v>53538330.738128461</v>
      </c>
      <c r="B5260">
        <v>227619966.48642603</v>
      </c>
    </row>
    <row r="5261" spans="1:2" x14ac:dyDescent="0.25">
      <c r="A5261">
        <f ca="1">28267.3292848775*((RANDBETWEEN(1587,2416)))</f>
        <v>57637084.411865242</v>
      </c>
      <c r="B5261">
        <v>263909025.62105575</v>
      </c>
    </row>
    <row r="5262" spans="1:2" x14ac:dyDescent="0.25">
      <c r="A5262">
        <f ca="1">35507.3489953438*((RANDBETWEEN(1587,2416)))</f>
        <v>75737175.407068342</v>
      </c>
      <c r="B5262">
        <v>214840437.46728665</v>
      </c>
    </row>
    <row r="5263" spans="1:2" x14ac:dyDescent="0.25">
      <c r="A5263">
        <f ca="1">33091.917939305*((RANDBETWEEN(1587,2416)))</f>
        <v>71412358.913020089</v>
      </c>
      <c r="B5263">
        <v>259335312.18075991</v>
      </c>
    </row>
    <row r="5264" spans="1:2" x14ac:dyDescent="0.25">
      <c r="A5264">
        <f ca="1">30456.6996731502*((RANDBETWEEN(1587,2416)))</f>
        <v>55766217.101538017</v>
      </c>
      <c r="B5264">
        <v>239629873.56472179</v>
      </c>
    </row>
    <row r="5265" spans="1:2" x14ac:dyDescent="0.25">
      <c r="A5265">
        <f ca="1">26525.2629759066*((RANDBETWEEN(1587,2416)))</f>
        <v>46021331.263198018</v>
      </c>
      <c r="B5265">
        <v>223793029.14237899</v>
      </c>
    </row>
    <row r="5266" spans="1:2" x14ac:dyDescent="0.25">
      <c r="A5266">
        <f ca="1">29340.2578451028*((RANDBETWEEN(1587,2416)))</f>
        <v>53868713.403608665</v>
      </c>
      <c r="B5266">
        <v>225077964.27003798</v>
      </c>
    </row>
    <row r="5267" spans="1:2" x14ac:dyDescent="0.25">
      <c r="A5267">
        <f ca="1">32909.5578393515*((RANDBETWEEN(1587,2416)))</f>
        <v>57394268.871829048</v>
      </c>
      <c r="B5267">
        <v>249629694.25286072</v>
      </c>
    </row>
    <row r="5268" spans="1:2" x14ac:dyDescent="0.25">
      <c r="A5268">
        <f ca="1">24942.2878366956*((RANDBETWEEN(1587,2416)))</f>
        <v>44546926.076338291</v>
      </c>
      <c r="B5268">
        <v>207036713.28554872</v>
      </c>
    </row>
    <row r="5269" spans="1:2" x14ac:dyDescent="0.25">
      <c r="A5269">
        <f ca="1">28835.9577019177*((RANDBETWEEN(1587,2416)))</f>
        <v>65082756.533228144</v>
      </c>
      <c r="B5269">
        <v>258582773.31416425</v>
      </c>
    </row>
    <row r="5270" spans="1:2" x14ac:dyDescent="0.25">
      <c r="A5270">
        <f ca="1">29958.6411339613*((RANDBETWEEN(1587,2416)))</f>
        <v>63482360.562864095</v>
      </c>
      <c r="B5270">
        <v>225741307.78150523</v>
      </c>
    </row>
    <row r="5271" spans="1:2" x14ac:dyDescent="0.25">
      <c r="A5271">
        <f ca="1">26553.0931432474*((RANDBETWEEN(1587,2416)))</f>
        <v>60700370.925463624</v>
      </c>
      <c r="B5271">
        <v>213299161.04141623</v>
      </c>
    </row>
    <row r="5272" spans="1:2" x14ac:dyDescent="0.25">
      <c r="A5272">
        <f ca="1">28883.7714594526*((RANDBETWEEN(1587,2416)))</f>
        <v>51182043.026150048</v>
      </c>
      <c r="B5272">
        <v>223231749.30459973</v>
      </c>
    </row>
    <row r="5273" spans="1:2" x14ac:dyDescent="0.25">
      <c r="A5273">
        <f ca="1">31750.1339115036*((RANDBETWEEN(1587,2416)))</f>
        <v>61785760.591785967</v>
      </c>
      <c r="B5273">
        <v>205712396.23991793</v>
      </c>
    </row>
    <row r="5274" spans="1:2" x14ac:dyDescent="0.25">
      <c r="A5274">
        <f ca="1">29893.1462877062*((RANDBETWEEN(1587,2416)))</f>
        <v>60802659.549194343</v>
      </c>
      <c r="B5274">
        <v>255121874.13773564</v>
      </c>
    </row>
    <row r="5275" spans="1:2" x14ac:dyDescent="0.25">
      <c r="A5275">
        <f ca="1">26389.6966444916*((RANDBETWEEN(1587,2416)))</f>
        <v>62147735.597777754</v>
      </c>
      <c r="B5275">
        <v>204494796.00106588</v>
      </c>
    </row>
    <row r="5276" spans="1:2" x14ac:dyDescent="0.25">
      <c r="A5276">
        <f ca="1">31679.9541284284*((RANDBETWEEN(1587,2416)))</f>
        <v>59780073.440344371</v>
      </c>
      <c r="B5276">
        <v>255619863.68081942</v>
      </c>
    </row>
    <row r="5277" spans="1:2" x14ac:dyDescent="0.25">
      <c r="A5277">
        <f ca="1">31384.4593355624*((RANDBETWEEN(1587,2416)))</f>
        <v>69767653.102955312</v>
      </c>
      <c r="B5277">
        <v>263974444.35593516</v>
      </c>
    </row>
    <row r="5278" spans="1:2" x14ac:dyDescent="0.25">
      <c r="A5278">
        <f ca="1">30683.1490037759*((RANDBETWEEN(1587,2416)))</f>
        <v>70601925.857688352</v>
      </c>
      <c r="B5278">
        <v>243292186.42792332</v>
      </c>
    </row>
    <row r="5279" spans="1:2" x14ac:dyDescent="0.25">
      <c r="A5279">
        <f ca="1">31060.5627098021*((RANDBETWEEN(1587,2416)))</f>
        <v>74048381.50016816</v>
      </c>
      <c r="B5279">
        <v>212026677.66413718</v>
      </c>
    </row>
    <row r="5280" spans="1:2" x14ac:dyDescent="0.25">
      <c r="A5280">
        <f ca="1">29946.7138065019*((RANDBETWEEN(1587,2416)))</f>
        <v>70464617.586699069</v>
      </c>
      <c r="B5280">
        <v>241879090.94210315</v>
      </c>
    </row>
    <row r="5281" spans="1:2" x14ac:dyDescent="0.25">
      <c r="A5281">
        <f ca="1">27825.0694372946*((RANDBETWEEN(1587,2416)))</f>
        <v>61994254.706292406</v>
      </c>
      <c r="B5281">
        <v>223912566.65488157</v>
      </c>
    </row>
    <row r="5282" spans="1:2" x14ac:dyDescent="0.25">
      <c r="A5282">
        <f ca="1">27644.810292155*((RANDBETWEEN(1587,2416)))</f>
        <v>47466139.271630079</v>
      </c>
      <c r="B5282">
        <v>240374550.18958989</v>
      </c>
    </row>
    <row r="5283" spans="1:2" x14ac:dyDescent="0.25">
      <c r="A5283">
        <f ca="1">29042.7361044378*((RANDBETWEEN(1587,2416)))</f>
        <v>69179797.400770724</v>
      </c>
      <c r="B5283">
        <v>238690396.95783183</v>
      </c>
    </row>
    <row r="5284" spans="1:2" x14ac:dyDescent="0.25">
      <c r="A5284">
        <f ca="1">26068.9991078829*((RANDBETWEEN(1587,2416)))</f>
        <v>56543659.064997986</v>
      </c>
      <c r="B5284">
        <v>261174608.22556967</v>
      </c>
    </row>
    <row r="5285" spans="1:2" x14ac:dyDescent="0.25">
      <c r="A5285">
        <f ca="1">26443.7543440148*((RANDBETWEEN(1587,2416)))</f>
        <v>57885378.259048432</v>
      </c>
      <c r="B5285">
        <v>208833647.40791544</v>
      </c>
    </row>
    <row r="5286" spans="1:2" x14ac:dyDescent="0.25">
      <c r="A5286">
        <f ca="1">31748.6190441435*((RANDBETWEEN(1587,2416)))</f>
        <v>62544779.516962633</v>
      </c>
      <c r="B5286">
        <v>238274091.66264793</v>
      </c>
    </row>
    <row r="5287" spans="1:2" x14ac:dyDescent="0.25">
      <c r="A5287">
        <f ca="1">27910.6498446238*((RANDBETWEEN(1587,2416)))</f>
        <v>65980776.232690617</v>
      </c>
      <c r="B5287">
        <v>213361346.21005359</v>
      </c>
    </row>
    <row r="5288" spans="1:2" x14ac:dyDescent="0.25">
      <c r="A5288">
        <f ca="1">27804.4271566261*((RANDBETWEEN(1587,2416)))</f>
        <v>56359573.846481137</v>
      </c>
      <c r="B5288">
        <v>260390458.52573067</v>
      </c>
    </row>
    <row r="5289" spans="1:2" x14ac:dyDescent="0.25">
      <c r="A5289">
        <f ca="1">29626.6222734615*((RANDBETWEEN(1587,2416)))</f>
        <v>52409494.801753402</v>
      </c>
      <c r="B5289">
        <v>220035621.0619086</v>
      </c>
    </row>
    <row r="5290" spans="1:2" x14ac:dyDescent="0.25">
      <c r="A5290">
        <f ca="1">29939.8060747112*((RANDBETWEEN(1587,2416)))</f>
        <v>58682019.906433992</v>
      </c>
      <c r="B5290">
        <v>211714622.92475384</v>
      </c>
    </row>
    <row r="5291" spans="1:2" x14ac:dyDescent="0.25">
      <c r="A5291">
        <f ca="1">27493.0345297155*((RANDBETWEEN(1587,2416)))</f>
        <v>51137044.225270905</v>
      </c>
      <c r="B5291">
        <v>225868098.73473468</v>
      </c>
    </row>
    <row r="5292" spans="1:2" x14ac:dyDescent="0.25">
      <c r="A5292">
        <f ca="1">28019.8208744276*((RANDBETWEEN(1587,2416)))</f>
        <v>64613706.936430119</v>
      </c>
      <c r="B5292">
        <v>210228436.49222252</v>
      </c>
    </row>
    <row r="5293" spans="1:2" x14ac:dyDescent="0.25">
      <c r="A5293">
        <f ca="1">31613.9353018614*((RANDBETWEEN(1587,2416)))</f>
        <v>63101414.862515435</v>
      </c>
      <c r="B5293">
        <v>204860872.05645669</v>
      </c>
    </row>
    <row r="5294" spans="1:2" x14ac:dyDescent="0.25">
      <c r="A5294">
        <f ca="1">28964.2406893784*((RANDBETWEEN(1587,2416)))</f>
        <v>49355066.13470085</v>
      </c>
      <c r="B5294">
        <v>224718901.25117499</v>
      </c>
    </row>
    <row r="5295" spans="1:2" x14ac:dyDescent="0.25">
      <c r="A5295">
        <f ca="1">26580.5041412867*((RANDBETWEEN(1587,2416)))</f>
        <v>58370787.09426567</v>
      </c>
      <c r="B5295">
        <v>259957705.88289544</v>
      </c>
    </row>
    <row r="5296" spans="1:2" x14ac:dyDescent="0.25">
      <c r="A5296">
        <f ca="1">26754.8586336106*((RANDBETWEEN(1587,2416)))</f>
        <v>61455910.281403594</v>
      </c>
      <c r="B5296">
        <v>250264191.43622708</v>
      </c>
    </row>
    <row r="5297" spans="1:2" x14ac:dyDescent="0.25">
      <c r="A5297">
        <f ca="1">32738.545340738*((RANDBETWEEN(1587,2416)))</f>
        <v>63480039.415690944</v>
      </c>
      <c r="B5297">
        <v>206205254.46635747</v>
      </c>
    </row>
    <row r="5298" spans="1:2" x14ac:dyDescent="0.25">
      <c r="A5298">
        <f ca="1">31145.5697100829*((RANDBETWEEN(1587,2416)))</f>
        <v>49614892.548162036</v>
      </c>
      <c r="B5298">
        <v>257660916.28945321</v>
      </c>
    </row>
    <row r="5299" spans="1:2" x14ac:dyDescent="0.25">
      <c r="A5299">
        <f ca="1">32740.8917311518*((RANDBETWEEN(1587,2416)))</f>
        <v>69116022.444461405</v>
      </c>
      <c r="B5299">
        <v>216087548.61181974</v>
      </c>
    </row>
    <row r="5300" spans="1:2" x14ac:dyDescent="0.25">
      <c r="A5300">
        <f ca="1">29332.5936506815*((RANDBETWEEN(1587,2416)))</f>
        <v>67582295.771170199</v>
      </c>
      <c r="B5300">
        <v>245526059.36126143</v>
      </c>
    </row>
    <row r="5301" spans="1:2" x14ac:dyDescent="0.25">
      <c r="A5301">
        <f ca="1">33333.486896733*((RANDBETWEEN(1587,2416)))</f>
        <v>57833599.765831761</v>
      </c>
      <c r="B5301">
        <v>226194761.27715087</v>
      </c>
    </row>
    <row r="5302" spans="1:2" x14ac:dyDescent="0.25">
      <c r="A5302">
        <f ca="1">30488.1782737228*((RANDBETWEEN(1587,2416)))</f>
        <v>56464106.162934594</v>
      </c>
      <c r="B5302">
        <v>248049465.24837136</v>
      </c>
    </row>
    <row r="5303" spans="1:2" x14ac:dyDescent="0.25">
      <c r="A5303">
        <f ca="1">29035.5184406413*((RANDBETWEEN(1587,2416)))</f>
        <v>68959356.296523124</v>
      </c>
      <c r="B5303">
        <v>229525918.70533422</v>
      </c>
    </row>
    <row r="5304" spans="1:2" x14ac:dyDescent="0.25">
      <c r="A5304">
        <f ca="1">30391.1308515226*((RANDBETWEEN(1587,2416)))</f>
        <v>57135326.000862524</v>
      </c>
      <c r="B5304">
        <v>249182890.69445273</v>
      </c>
    </row>
    <row r="5305" spans="1:2" x14ac:dyDescent="0.25">
      <c r="A5305">
        <f ca="1">32454.8646032157*((RANDBETWEEN(1587,2416)))</f>
        <v>57217926.295469299</v>
      </c>
      <c r="B5305">
        <v>256134457.01320821</v>
      </c>
    </row>
    <row r="5306" spans="1:2" x14ac:dyDescent="0.25">
      <c r="A5306">
        <f ca="1">26887.2604236908*((RANDBETWEEN(1587,2416)))</f>
        <v>54876898.52475284</v>
      </c>
      <c r="B5306">
        <v>258271676.49557012</v>
      </c>
    </row>
    <row r="5307" spans="1:2" x14ac:dyDescent="0.25">
      <c r="A5307">
        <f ca="1">29729.6334281896*((RANDBETWEEN(1587,2416)))</f>
        <v>49232272.957081936</v>
      </c>
      <c r="B5307">
        <v>209619206.02971905</v>
      </c>
    </row>
    <row r="5308" spans="1:2" x14ac:dyDescent="0.25">
      <c r="A5308">
        <f ca="1">29457.8475416699*((RANDBETWEEN(1587,2416)))</f>
        <v>62362263.245715231</v>
      </c>
      <c r="B5308">
        <v>223248467.84140408</v>
      </c>
    </row>
    <row r="5309" spans="1:2" x14ac:dyDescent="0.25">
      <c r="A5309">
        <f ca="1">33051.5023824713*((RANDBETWEEN(1587,2416)))</f>
        <v>78629524.167899206</v>
      </c>
      <c r="B5309">
        <v>232502056.21055517</v>
      </c>
    </row>
    <row r="5310" spans="1:2" x14ac:dyDescent="0.25">
      <c r="A5310">
        <f ca="1">31595.6849202772*((RANDBETWEEN(1587,2416)))</f>
        <v>63918070.593720794</v>
      </c>
      <c r="B5310">
        <v>260816598.35187805</v>
      </c>
    </row>
    <row r="5311" spans="1:2" x14ac:dyDescent="0.25">
      <c r="A5311">
        <f ca="1">26844.4725432387*((RANDBETWEEN(1587,2416)))</f>
        <v>59621573.518533058</v>
      </c>
      <c r="B5311">
        <v>265149465.65087244</v>
      </c>
    </row>
    <row r="5312" spans="1:2" x14ac:dyDescent="0.25">
      <c r="A5312">
        <f ca="1">29287.3458863167*((RANDBETWEEN(1587,2416)))</f>
        <v>67565906.959732682</v>
      </c>
      <c r="B5312">
        <v>244058935.38418597</v>
      </c>
    </row>
    <row r="5313" spans="1:2" x14ac:dyDescent="0.25">
      <c r="A5313">
        <f ca="1">31762.4796294836*((RANDBETWEEN(1587,2416)))</f>
        <v>73021940.668182686</v>
      </c>
      <c r="B5313">
        <v>206184821.70127758</v>
      </c>
    </row>
    <row r="5314" spans="1:2" x14ac:dyDescent="0.25">
      <c r="A5314">
        <f ca="1">29595.1153761252*((RANDBETWEEN(1587,2416)))</f>
        <v>57769665.214196488</v>
      </c>
      <c r="B5314">
        <v>246853501.74833086</v>
      </c>
    </row>
    <row r="5315" spans="1:2" x14ac:dyDescent="0.25">
      <c r="A5315">
        <f ca="1">29336.9658667956*((RANDBETWEEN(1587,2416)))</f>
        <v>66066847.1320237</v>
      </c>
      <c r="B5315">
        <v>227609582.27436486</v>
      </c>
    </row>
    <row r="5316" spans="1:2" x14ac:dyDescent="0.25">
      <c r="A5316">
        <f ca="1">27535.7937738443*((RANDBETWEEN(1587,2416)))</f>
        <v>44800736.470044754</v>
      </c>
      <c r="B5316">
        <v>220682390.08724725</v>
      </c>
    </row>
    <row r="5317" spans="1:2" x14ac:dyDescent="0.25">
      <c r="A5317">
        <f ca="1">32378.6447160511*((RANDBETWEEN(1587,2416)))</f>
        <v>66149571.154892482</v>
      </c>
      <c r="B5317">
        <v>237554353.95062459</v>
      </c>
    </row>
    <row r="5318" spans="1:2" x14ac:dyDescent="0.25">
      <c r="A5318">
        <f ca="1">29278.0175276009*((RANDBETWEEN(1587,2416)))</f>
        <v>46639881.921468265</v>
      </c>
      <c r="B5318">
        <v>259074600.0543001</v>
      </c>
    </row>
    <row r="5319" spans="1:2" x14ac:dyDescent="0.25">
      <c r="A5319">
        <f ca="1">33014.5392331441*((RANDBETWEEN(1587,2416)))</f>
        <v>65170700.446226463</v>
      </c>
      <c r="B5319">
        <v>260810987.7627466</v>
      </c>
    </row>
    <row r="5320" spans="1:2" x14ac:dyDescent="0.25">
      <c r="A5320">
        <f ca="1">28759.1862916132*((RANDBETWEEN(1587,2416)))</f>
        <v>47280102.263412088</v>
      </c>
      <c r="B5320">
        <v>252761966.00324038</v>
      </c>
    </row>
    <row r="5321" spans="1:2" x14ac:dyDescent="0.25">
      <c r="A5321">
        <f ca="1">32463.9511941076*((RANDBETWEEN(1587,2416)))</f>
        <v>53046096.251171887</v>
      </c>
      <c r="B5321">
        <v>242316173.81630462</v>
      </c>
    </row>
    <row r="5322" spans="1:2" x14ac:dyDescent="0.25">
      <c r="A5322">
        <f ca="1">26791.8179256445*((RANDBETWEEN(1587,2416)))</f>
        <v>62960772.12526457</v>
      </c>
      <c r="B5322">
        <v>228797728.78436488</v>
      </c>
    </row>
    <row r="5323" spans="1:2" x14ac:dyDescent="0.25">
      <c r="A5323">
        <f ca="1">27020.8476713173*((RANDBETWEEN(1587,2416)))</f>
        <v>56689738.414423771</v>
      </c>
      <c r="B5323">
        <v>266880044.11881837</v>
      </c>
    </row>
    <row r="5324" spans="1:2" x14ac:dyDescent="0.25">
      <c r="A5324">
        <f ca="1">30840.2031293493*((RANDBETWEEN(1587,2416)))</f>
        <v>58873947.773927785</v>
      </c>
      <c r="B5324">
        <v>220301478.27984792</v>
      </c>
    </row>
    <row r="5325" spans="1:2" x14ac:dyDescent="0.25">
      <c r="A5325">
        <f ca="1">32216.1229021018*((RANDBETWEEN(1587,2416)))</f>
        <v>56249350.587069765</v>
      </c>
      <c r="B5325">
        <v>255676201.68214226</v>
      </c>
    </row>
    <row r="5326" spans="1:2" x14ac:dyDescent="0.25">
      <c r="A5326">
        <f ca="1">26760.3087952676*((RANDBETWEEN(1587,2416)))</f>
        <v>55474120.132589668</v>
      </c>
      <c r="B5326">
        <v>230880522.33059168</v>
      </c>
    </row>
    <row r="5327" spans="1:2" x14ac:dyDescent="0.25">
      <c r="A5327">
        <f ca="1">26583.2746561021*((RANDBETWEEN(1587,2416)))</f>
        <v>45032067.267437018</v>
      </c>
      <c r="B5327">
        <v>206032750.41671857</v>
      </c>
    </row>
    <row r="5328" spans="1:2" x14ac:dyDescent="0.25">
      <c r="A5328">
        <f ca="1">32587.6236949781*((RANDBETWEEN(1587,2416)))</f>
        <v>69476813.717693254</v>
      </c>
      <c r="B5328">
        <v>237878443.01583844</v>
      </c>
    </row>
    <row r="5329" spans="1:2" x14ac:dyDescent="0.25">
      <c r="A5329">
        <f ca="1">28815.072206634*((RANDBETWEEN(1587,2416)))</f>
        <v>58782747.301533297</v>
      </c>
      <c r="B5329">
        <v>266038133.24495482</v>
      </c>
    </row>
    <row r="5330" spans="1:2" x14ac:dyDescent="0.25">
      <c r="A5330">
        <f ca="1">29629.1429024058*((RANDBETWEEN(1587,2416)))</f>
        <v>56028709.228449397</v>
      </c>
      <c r="B5330">
        <v>258748795.89712515</v>
      </c>
    </row>
    <row r="5331" spans="1:2" x14ac:dyDescent="0.25">
      <c r="A5331">
        <f ca="1">29733.5705981471*((RANDBETWEEN(1587,2416)))</f>
        <v>56493784.136479512</v>
      </c>
      <c r="B5331">
        <v>225012729.37432462</v>
      </c>
    </row>
    <row r="5332" spans="1:2" x14ac:dyDescent="0.25">
      <c r="A5332">
        <f ca="1">26142.8689933428*((RANDBETWEEN(1587,2416)))</f>
        <v>58612312.283074491</v>
      </c>
      <c r="B5332">
        <v>213334275.0751828</v>
      </c>
    </row>
    <row r="5333" spans="1:2" x14ac:dyDescent="0.25">
      <c r="A5333">
        <f ca="1">26014.6630647929*((RANDBETWEEN(1587,2416)))</f>
        <v>45005367.102091663</v>
      </c>
      <c r="B5333">
        <v>240322451.49128592</v>
      </c>
    </row>
    <row r="5334" spans="1:2" x14ac:dyDescent="0.25">
      <c r="A5334">
        <f ca="1">30863.7842581816*((RANDBETWEEN(1587,2416)))</f>
        <v>60493017.146035872</v>
      </c>
      <c r="B5334">
        <v>236199344.36726937</v>
      </c>
    </row>
    <row r="5335" spans="1:2" x14ac:dyDescent="0.25">
      <c r="A5335">
        <f ca="1">26876.9784001688*((RANDBETWEEN(1587,2416)))</f>
        <v>53135786.297133692</v>
      </c>
      <c r="B5335">
        <v>232092830.16692311</v>
      </c>
    </row>
    <row r="5336" spans="1:2" x14ac:dyDescent="0.25">
      <c r="A5336">
        <f ca="1">31155.3765337176*((RANDBETWEEN(1587,2416)))</f>
        <v>73620154.749174684</v>
      </c>
      <c r="B5336">
        <v>252068749.38713014</v>
      </c>
    </row>
    <row r="5337" spans="1:2" x14ac:dyDescent="0.25">
      <c r="A5337">
        <f ca="1">31606.6971301631*((RANDBETWEEN(1587,2416)))</f>
        <v>63529461.23162774</v>
      </c>
      <c r="B5337">
        <v>246587795.68071288</v>
      </c>
    </row>
    <row r="5338" spans="1:2" x14ac:dyDescent="0.25">
      <c r="A5338">
        <f ca="1">30899.8001824898*((RANDBETWEEN(1587,2416)))</f>
        <v>57689926.940708369</v>
      </c>
      <c r="B5338">
        <v>252789015.1366863</v>
      </c>
    </row>
    <row r="5339" spans="1:2" x14ac:dyDescent="0.25">
      <c r="A5339">
        <f ca="1">28865.9618228202*((RANDBETWEEN(1587,2416)))</f>
        <v>47571105.084007747</v>
      </c>
      <c r="B5339">
        <v>232094502.60057947</v>
      </c>
    </row>
    <row r="5340" spans="1:2" x14ac:dyDescent="0.25">
      <c r="A5340">
        <f ca="1">27483.6711832231*((RANDBETWEEN(1587,2416)))</f>
        <v>54912375.024079747</v>
      </c>
      <c r="B5340">
        <v>246068056.44765565</v>
      </c>
    </row>
    <row r="5341" spans="1:2" x14ac:dyDescent="0.25">
      <c r="A5341">
        <f ca="1">27167.8215834901*((RANDBETWEEN(1587,2416)))</f>
        <v>61752458.459272966</v>
      </c>
      <c r="B5341">
        <v>237568565.68036836</v>
      </c>
    </row>
    <row r="5342" spans="1:2" x14ac:dyDescent="0.25">
      <c r="A5342">
        <f ca="1">31885.2330553334*((RANDBETWEEN(1587,2416)))</f>
        <v>70306938.887010172</v>
      </c>
      <c r="B5342">
        <v>231947089.44233614</v>
      </c>
    </row>
    <row r="5343" spans="1:2" x14ac:dyDescent="0.25">
      <c r="A5343">
        <f ca="1">31560.0197080674*((RANDBETWEEN(1587,2416)))</f>
        <v>61384238.332191125</v>
      </c>
      <c r="B5343">
        <v>267734735.76949939</v>
      </c>
    </row>
    <row r="5344" spans="1:2" x14ac:dyDescent="0.25">
      <c r="A5344">
        <f ca="1">29189.752701122*((RANDBETWEEN(1587,2416)))</f>
        <v>53388057.690352149</v>
      </c>
      <c r="B5344">
        <v>220782916.64036301</v>
      </c>
    </row>
    <row r="5345" spans="1:2" x14ac:dyDescent="0.25">
      <c r="A5345">
        <f ca="1">31014.9962268902*((RANDBETWEEN(1587,2416)))</f>
        <v>67116451.834990427</v>
      </c>
      <c r="B5345">
        <v>225691881.75413874</v>
      </c>
    </row>
    <row r="5346" spans="1:2" x14ac:dyDescent="0.25">
      <c r="A5346">
        <f ca="1">28695.134340537*((RANDBETWEEN(1587,2416)))</f>
        <v>58624159.457717016</v>
      </c>
      <c r="B5346">
        <v>212720631.2131373</v>
      </c>
    </row>
    <row r="5347" spans="1:2" x14ac:dyDescent="0.25">
      <c r="A5347">
        <f ca="1">32840.201129192*((RANDBETWEEN(1587,2416)))</f>
        <v>68406138.952106953</v>
      </c>
      <c r="B5347">
        <v>260624077.84365973</v>
      </c>
    </row>
    <row r="5348" spans="1:2" x14ac:dyDescent="0.25">
      <c r="A5348">
        <f ca="1">27502.3959236093*((RANDBETWEEN(1587,2416)))</f>
        <v>56159892.476010203</v>
      </c>
      <c r="B5348">
        <v>263134541.04698914</v>
      </c>
    </row>
    <row r="5349" spans="1:2" x14ac:dyDescent="0.25">
      <c r="A5349">
        <f ca="1">32766.6451578232*((RANDBETWEEN(1587,2416)))</f>
        <v>73298985.21805045</v>
      </c>
      <c r="B5349">
        <v>259686716.5258975</v>
      </c>
    </row>
    <row r="5350" spans="1:2" x14ac:dyDescent="0.25">
      <c r="A5350">
        <f ca="1">28931.9233555423*((RANDBETWEEN(1587,2416)))</f>
        <v>64402461.389437072</v>
      </c>
      <c r="B5350">
        <v>221391521.62331694</v>
      </c>
    </row>
    <row r="5351" spans="1:2" x14ac:dyDescent="0.25">
      <c r="A5351">
        <f ca="1">31333.9571236835*((RANDBETWEEN(1587,2416)))</f>
        <v>66741328.673445769</v>
      </c>
      <c r="B5351">
        <v>255881638.9038673</v>
      </c>
    </row>
    <row r="5352" spans="1:2" x14ac:dyDescent="0.25">
      <c r="A5352">
        <f ca="1">29425.19512098*((RANDBETWEEN(1587,2416)))</f>
        <v>65471059.144180454</v>
      </c>
      <c r="B5352">
        <v>234406179.78007576</v>
      </c>
    </row>
    <row r="5353" spans="1:2" x14ac:dyDescent="0.25">
      <c r="A5353">
        <f ca="1">28297.1630454408*((RANDBETWEEN(1587,2416)))</f>
        <v>65762606.917604327</v>
      </c>
      <c r="B5353">
        <v>236340936.03951544</v>
      </c>
    </row>
    <row r="5354" spans="1:2" x14ac:dyDescent="0.25">
      <c r="A5354">
        <f ca="1">27286.4948841097*((RANDBETWEEN(1587,2416)))</f>
        <v>50534588.525371082</v>
      </c>
      <c r="B5354">
        <v>231257754.13374913</v>
      </c>
    </row>
    <row r="5355" spans="1:2" x14ac:dyDescent="0.25">
      <c r="A5355">
        <f ca="1">27360.5422210427*((RANDBETWEEN(1587,2416)))</f>
        <v>51601982.628886469</v>
      </c>
      <c r="B5355">
        <v>258386404.60657114</v>
      </c>
    </row>
    <row r="5356" spans="1:2" x14ac:dyDescent="0.25">
      <c r="A5356">
        <f ca="1">29677.8997457137*((RANDBETWEEN(1587,2416)))</f>
        <v>57871904.504141651</v>
      </c>
      <c r="B5356">
        <v>240426095.02549738</v>
      </c>
    </row>
    <row r="5357" spans="1:2" x14ac:dyDescent="0.25">
      <c r="A5357">
        <f ca="1">30233.4993628908*((RANDBETWEEN(1587,2416)))</f>
        <v>68660277.053124964</v>
      </c>
      <c r="B5357">
        <v>267407661.31633446</v>
      </c>
    </row>
    <row r="5358" spans="1:2" x14ac:dyDescent="0.25">
      <c r="A5358">
        <f ca="1">30709.8509650781*((RANDBETWEEN(1587,2416)))</f>
        <v>56199027.266092844</v>
      </c>
      <c r="B5358">
        <v>244462165.86688524</v>
      </c>
    </row>
    <row r="5359" spans="1:2" x14ac:dyDescent="0.25">
      <c r="A5359">
        <f ca="1">29653.5241708482*((RANDBETWEEN(1587,2416)))</f>
        <v>71642914.396769211</v>
      </c>
      <c r="B5359">
        <v>235612752.53890127</v>
      </c>
    </row>
    <row r="5360" spans="1:2" x14ac:dyDescent="0.25">
      <c r="A5360">
        <f ca="1">32325.9205588395*((RANDBETWEEN(1587,2416)))</f>
        <v>63520433.898119524</v>
      </c>
      <c r="B5360">
        <v>246942497.18169981</v>
      </c>
    </row>
    <row r="5361" spans="1:2" x14ac:dyDescent="0.25">
      <c r="A5361">
        <f ca="1">30344.7447642347*((RANDBETWEEN(1587,2416)))</f>
        <v>59809491.930306584</v>
      </c>
      <c r="B5361">
        <v>256476732.72614866</v>
      </c>
    </row>
    <row r="5362" spans="1:2" x14ac:dyDescent="0.25">
      <c r="A5362">
        <f ca="1">27463.6827837786*((RANDBETWEEN(1587,2416)))</f>
        <v>60337711.07596153</v>
      </c>
      <c r="B5362">
        <v>243867514.17361644</v>
      </c>
    </row>
    <row r="5363" spans="1:2" x14ac:dyDescent="0.25">
      <c r="A5363">
        <f ca="1">31701.9148415316*((RANDBETWEEN(1587,2416)))</f>
        <v>60011724.795019366</v>
      </c>
      <c r="B5363">
        <v>249262997.87870315</v>
      </c>
    </row>
    <row r="5364" spans="1:2" x14ac:dyDescent="0.25">
      <c r="A5364">
        <f ca="1">28535.6855224392*((RANDBETWEEN(1587,2416)))</f>
        <v>57527942.013237417</v>
      </c>
      <c r="B5364">
        <v>221940986.33112448</v>
      </c>
    </row>
    <row r="5365" spans="1:2" x14ac:dyDescent="0.25">
      <c r="A5365">
        <f ca="1">31727.9823177481*((RANDBETWEEN(1587,2416)))</f>
        <v>60854270.085440949</v>
      </c>
      <c r="B5365">
        <v>239614568.07795268</v>
      </c>
    </row>
    <row r="5366" spans="1:2" x14ac:dyDescent="0.25">
      <c r="A5366">
        <f ca="1">34111.3804654067*((RANDBETWEEN(1587,2416)))</f>
        <v>67949869.887090221</v>
      </c>
      <c r="B5366">
        <v>244956054.17755041</v>
      </c>
    </row>
    <row r="5367" spans="1:2" x14ac:dyDescent="0.25">
      <c r="A5367">
        <f ca="1">32675.1684034753*((RANDBETWEEN(1587,2416)))</f>
        <v>74760785.307151586</v>
      </c>
      <c r="B5367">
        <v>250146265.99768153</v>
      </c>
    </row>
    <row r="5368" spans="1:2" x14ac:dyDescent="0.25">
      <c r="A5368">
        <f ca="1">28807.6391514657*((RANDBETWEEN(1587,2416)))</f>
        <v>60467234.578926526</v>
      </c>
      <c r="B5368">
        <v>259202263.75775167</v>
      </c>
    </row>
    <row r="5369" spans="1:2" x14ac:dyDescent="0.25">
      <c r="A5369">
        <f ca="1">30748.3637132265*((RANDBETWEEN(1587,2416)))</f>
        <v>66324220.529429644</v>
      </c>
      <c r="B5369">
        <v>257001611.08218837</v>
      </c>
    </row>
    <row r="5370" spans="1:2" x14ac:dyDescent="0.25">
      <c r="A5370">
        <f ca="1">31515.250458192*((RANDBETWEEN(1587,2416)))</f>
        <v>59154125.110026419</v>
      </c>
      <c r="B5370">
        <v>264177517.90904394</v>
      </c>
    </row>
    <row r="5371" spans="1:2" x14ac:dyDescent="0.25">
      <c r="A5371">
        <f ca="1">31854.1137339656*((RANDBETWEEN(1587,2416)))</f>
        <v>52177038.296235703</v>
      </c>
      <c r="B5371">
        <v>259432915.26905245</v>
      </c>
    </row>
    <row r="5372" spans="1:2" x14ac:dyDescent="0.25">
      <c r="A5372">
        <f ca="1">32783.2242733396*((RANDBETWEEN(1587,2416)))</f>
        <v>68123540.039999709</v>
      </c>
      <c r="B5372">
        <v>262897252.92431915</v>
      </c>
    </row>
    <row r="5373" spans="1:2" x14ac:dyDescent="0.25">
      <c r="A5373">
        <f ca="1">26967.4800929425*((RANDBETWEEN(1587,2416)))</f>
        <v>44334537.272797503</v>
      </c>
      <c r="B5373">
        <v>224302640.98365584</v>
      </c>
    </row>
    <row r="5374" spans="1:2" x14ac:dyDescent="0.25">
      <c r="A5374">
        <f ca="1">33607.0944752599*((RANDBETWEEN(1587,2416)))</f>
        <v>69297828.807985961</v>
      </c>
      <c r="B5374">
        <v>233144570.13796526</v>
      </c>
    </row>
    <row r="5375" spans="1:2" x14ac:dyDescent="0.25">
      <c r="A5375">
        <f ca="1">27373.3564105704*((RANDBETWEEN(1587,2416)))</f>
        <v>51708270.259567499</v>
      </c>
      <c r="B5375">
        <v>219882013.18824634</v>
      </c>
    </row>
    <row r="5376" spans="1:2" x14ac:dyDescent="0.25">
      <c r="A5376">
        <f ca="1">29982.8659686838*((RANDBETWEEN(1587,2416)))</f>
        <v>54298970.269286446</v>
      </c>
      <c r="B5376">
        <v>225484396.2278432</v>
      </c>
    </row>
    <row r="5377" spans="1:2" x14ac:dyDescent="0.25">
      <c r="A5377">
        <f ca="1">29120.964388243*((RANDBETWEEN(1587,2416)))</f>
        <v>60163912.426110014</v>
      </c>
      <c r="B5377">
        <v>226183764.21499002</v>
      </c>
    </row>
    <row r="5378" spans="1:2" x14ac:dyDescent="0.25">
      <c r="A5378">
        <f ca="1">30251.7949116828*((RANDBETWEEN(1587,2416)))</f>
        <v>52849885.710709773</v>
      </c>
      <c r="B5378">
        <v>232816764.12049824</v>
      </c>
    </row>
    <row r="5379" spans="1:2" x14ac:dyDescent="0.25">
      <c r="A5379">
        <f ca="1">31016.9354175001*((RANDBETWEEN(1587,2416)))</f>
        <v>64887428.893410139</v>
      </c>
      <c r="B5379">
        <v>208429640.42781863</v>
      </c>
    </row>
    <row r="5380" spans="1:2" x14ac:dyDescent="0.25">
      <c r="A5380">
        <f ca="1">29018.0532122742*((RANDBETWEEN(1587,2416)))</f>
        <v>68801804.166302115</v>
      </c>
      <c r="B5380">
        <v>236424293.46947658</v>
      </c>
    </row>
    <row r="5381" spans="1:2" x14ac:dyDescent="0.25">
      <c r="A5381">
        <f ca="1">29289.6359322842*((RANDBETWEEN(1587,2416)))</f>
        <v>47449210.210300386</v>
      </c>
      <c r="B5381">
        <v>237088746.67252117</v>
      </c>
    </row>
    <row r="5382" spans="1:2" x14ac:dyDescent="0.25">
      <c r="A5382">
        <f ca="1">30843.3833763235*((RANDBETWEEN(1587,2416)))</f>
        <v>56320018.045166701</v>
      </c>
      <c r="B5382">
        <v>231888595.49321282</v>
      </c>
    </row>
    <row r="5383" spans="1:2" x14ac:dyDescent="0.25">
      <c r="A5383">
        <f ca="1">33180.3169826331*((RANDBETWEEN(1587,2416)))</f>
        <v>70939517.708869666</v>
      </c>
      <c r="B5383">
        <v>251534283.65763849</v>
      </c>
    </row>
    <row r="5384" spans="1:2" x14ac:dyDescent="0.25">
      <c r="A5384">
        <f ca="1">32065.131560536*((RANDBETWEEN(1587,2416)))</f>
        <v>58454734.834857129</v>
      </c>
      <c r="B5384">
        <v>237306266.79122818</v>
      </c>
    </row>
    <row r="5385" spans="1:2" x14ac:dyDescent="0.25">
      <c r="A5385">
        <f ca="1">32348.7484358918*((RANDBETWEEN(1587,2416)))</f>
        <v>73366961.452602714</v>
      </c>
      <c r="B5385">
        <v>246564422.87162995</v>
      </c>
    </row>
    <row r="5386" spans="1:2" x14ac:dyDescent="0.25">
      <c r="A5386">
        <f ca="1">27696.4095797429*((RANDBETWEEN(1587,2416)))</f>
        <v>52872445.887729108</v>
      </c>
      <c r="B5386">
        <v>205564192.87572461</v>
      </c>
    </row>
    <row r="5387" spans="1:2" x14ac:dyDescent="0.25">
      <c r="A5387">
        <f ca="1">30905.9422466273*((RANDBETWEEN(1587,2416)))</f>
        <v>66076904.523289107</v>
      </c>
      <c r="B5387">
        <v>242995651.79764086</v>
      </c>
    </row>
    <row r="5388" spans="1:2" x14ac:dyDescent="0.25">
      <c r="A5388">
        <f ca="1">28878.6587272337*((RANDBETWEEN(1587,2416)))</f>
        <v>66536429.707546331</v>
      </c>
      <c r="B5388">
        <v>234397110.68651792</v>
      </c>
    </row>
    <row r="5389" spans="1:2" x14ac:dyDescent="0.25">
      <c r="A5389">
        <f ca="1">26582.1605775162*((RANDBETWEEN(1587,2416)))</f>
        <v>58932650.000353478</v>
      </c>
      <c r="B5389">
        <v>217147909.02136633</v>
      </c>
    </row>
    <row r="5390" spans="1:2" x14ac:dyDescent="0.25">
      <c r="A5390">
        <f ca="1">29993.4064227592*((RANDBETWEEN(1587,2416)))</f>
        <v>55217861.224299662</v>
      </c>
      <c r="B5390">
        <v>234783685.02026629</v>
      </c>
    </row>
    <row r="5391" spans="1:2" x14ac:dyDescent="0.25">
      <c r="A5391">
        <f ca="1">31318.8073248393*((RANDBETWEEN(1587,2416)))</f>
        <v>64548061.896493897</v>
      </c>
      <c r="B5391">
        <v>215385208.7384842</v>
      </c>
    </row>
    <row r="5392" spans="1:2" x14ac:dyDescent="0.25">
      <c r="A5392">
        <f ca="1">28541.5115530574*((RANDBETWEEN(1587,2416)))</f>
        <v>64275484.017485157</v>
      </c>
      <c r="B5392">
        <v>204634235.97428936</v>
      </c>
    </row>
    <row r="5393" spans="1:2" x14ac:dyDescent="0.25">
      <c r="A5393">
        <f ca="1">28929.8764504058*((RANDBETWEEN(1587,2416)))</f>
        <v>52797024.52199053</v>
      </c>
      <c r="B5393">
        <v>212436611.02388674</v>
      </c>
    </row>
    <row r="5394" spans="1:2" x14ac:dyDescent="0.25">
      <c r="A5394">
        <f ca="1">28068.2342496524*((RANDBETWEEN(1587,2416)))</f>
        <v>55968059.09380696</v>
      </c>
      <c r="B5394">
        <v>206317296.38419163</v>
      </c>
    </row>
    <row r="5395" spans="1:2" x14ac:dyDescent="0.25">
      <c r="A5395">
        <f ca="1">28893.0892560707*((RANDBETWEEN(1587,2416)))</f>
        <v>68303263.001351058</v>
      </c>
      <c r="B5395">
        <v>257195040.24178138</v>
      </c>
    </row>
    <row r="5396" spans="1:2" x14ac:dyDescent="0.25">
      <c r="A5396">
        <f ca="1">29444.3741342114*((RANDBETWEEN(1587,2416)))</f>
        <v>52499319.081298895</v>
      </c>
      <c r="B5396">
        <v>219116890.57810542</v>
      </c>
    </row>
    <row r="5397" spans="1:2" x14ac:dyDescent="0.25">
      <c r="A5397">
        <f ca="1">28220.6594802381*((RANDBETWEEN(1587,2416)))</f>
        <v>63835131.744298659</v>
      </c>
      <c r="B5397">
        <v>265603291.29628316</v>
      </c>
    </row>
    <row r="5398" spans="1:2" x14ac:dyDescent="0.25">
      <c r="A5398">
        <f ca="1">27877.4789761691*((RANDBETWEEN(1587,2416)))</f>
        <v>67101091.89563898</v>
      </c>
      <c r="B5398">
        <v>237228809.83758742</v>
      </c>
    </row>
    <row r="5399" spans="1:2" x14ac:dyDescent="0.25">
      <c r="A5399">
        <f ca="1">30460.6863091009*((RANDBETWEEN(1587,2416)))</f>
        <v>62444406.933656789</v>
      </c>
      <c r="B5399">
        <v>236335014.24529502</v>
      </c>
    </row>
    <row r="5400" spans="1:2" x14ac:dyDescent="0.25">
      <c r="A5400">
        <f ca="1">27976.4386182778*((RANDBETWEEN(1587,2416)))</f>
        <v>53071304.058872961</v>
      </c>
      <c r="B5400">
        <v>206231926.85032105</v>
      </c>
    </row>
    <row r="5401" spans="1:2" x14ac:dyDescent="0.25">
      <c r="A5401">
        <f ca="1">27993.0125993199*((RANDBETWEEN(1587,2416)))</f>
        <v>47280198.280251317</v>
      </c>
      <c r="B5401">
        <v>242544678.24308252</v>
      </c>
    </row>
    <row r="5402" spans="1:2" x14ac:dyDescent="0.25">
      <c r="A5402">
        <f ca="1">32980.9516715837*((RANDBETWEEN(1587,2416)))</f>
        <v>62762751.031023726</v>
      </c>
      <c r="B5402">
        <v>228244134.93955868</v>
      </c>
    </row>
    <row r="5403" spans="1:2" x14ac:dyDescent="0.25">
      <c r="A5403">
        <f ca="1">28903.2862917588*((RANDBETWEEN(1587,2416)))</f>
        <v>68009432.644508421</v>
      </c>
      <c r="B5403">
        <v>261644374.38966626</v>
      </c>
    </row>
    <row r="5404" spans="1:2" x14ac:dyDescent="0.25">
      <c r="A5404">
        <f ca="1">27951.3281395935*((RANDBETWEEN(1587,2416)))</f>
        <v>53918111.981275856</v>
      </c>
      <c r="B5404">
        <v>253754595.90040803</v>
      </c>
    </row>
    <row r="5405" spans="1:2" x14ac:dyDescent="0.25">
      <c r="A5405">
        <f ca="1">32919.8623638852*((RANDBETWEEN(1587,2416)))</f>
        <v>61198024.134462588</v>
      </c>
      <c r="B5405">
        <v>254028136.68900627</v>
      </c>
    </row>
    <row r="5406" spans="1:2" x14ac:dyDescent="0.25">
      <c r="A5406">
        <f ca="1">28998.5872692631*((RANDBETWEEN(1587,2416)))</f>
        <v>66696750.719305091</v>
      </c>
      <c r="B5406">
        <v>225389187.36613756</v>
      </c>
    </row>
    <row r="5407" spans="1:2" x14ac:dyDescent="0.25">
      <c r="A5407">
        <f ca="1">27774.3262838707*((RANDBETWEEN(1587,2416)))</f>
        <v>51799118.519418769</v>
      </c>
      <c r="B5407">
        <v>215983364.10349244</v>
      </c>
    </row>
    <row r="5408" spans="1:2" x14ac:dyDescent="0.25">
      <c r="A5408">
        <f ca="1">27972.8866458158*((RANDBETWEEN(1587,2416)))</f>
        <v>58743061.956213154</v>
      </c>
      <c r="B5408">
        <v>246474711.84384757</v>
      </c>
    </row>
    <row r="5409" spans="1:2" x14ac:dyDescent="0.25">
      <c r="A5409">
        <f ca="1">27737.9040807045*((RANDBETWEEN(1587,2416)))</f>
        <v>59886134.910241082</v>
      </c>
      <c r="B5409">
        <v>219914967.17956454</v>
      </c>
    </row>
    <row r="5410" spans="1:2" x14ac:dyDescent="0.25">
      <c r="A5410">
        <f ca="1">29587.068319673*((RANDBETWEEN(1587,2416)))</f>
        <v>49972558.39192766</v>
      </c>
      <c r="B5410">
        <v>212824591.12362352</v>
      </c>
    </row>
    <row r="5411" spans="1:2" x14ac:dyDescent="0.25">
      <c r="A5411">
        <f ca="1">31208.778533921*((RANDBETWEEN(1587,2416)))</f>
        <v>50152507.104011066</v>
      </c>
      <c r="B5411">
        <v>225287474.67687839</v>
      </c>
    </row>
    <row r="5412" spans="1:2" x14ac:dyDescent="0.25">
      <c r="A5412">
        <f ca="1">35310.3202146073*((RANDBETWEEN(1587,2416)))</f>
        <v>64829747.914018966</v>
      </c>
      <c r="B5412">
        <v>215269243.05959672</v>
      </c>
    </row>
    <row r="5413" spans="1:2" x14ac:dyDescent="0.25">
      <c r="A5413">
        <f ca="1">32701.5745190435*((RANDBETWEEN(1587,2416)))</f>
        <v>62590813.6294493</v>
      </c>
      <c r="B5413">
        <v>235088332.32953358</v>
      </c>
    </row>
    <row r="5414" spans="1:2" x14ac:dyDescent="0.25">
      <c r="A5414">
        <f ca="1">32709.5882764852*((RANDBETWEEN(1587,2416)))</f>
        <v>54690431.598283187</v>
      </c>
      <c r="B5414">
        <v>253581692.86790949</v>
      </c>
    </row>
    <row r="5415" spans="1:2" x14ac:dyDescent="0.25">
      <c r="A5415">
        <f ca="1">29399.4297755885*((RANDBETWEEN(1587,2416)))</f>
        <v>68765266.245101497</v>
      </c>
      <c r="B5415">
        <v>235335785.05290356</v>
      </c>
    </row>
    <row r="5416" spans="1:2" x14ac:dyDescent="0.25">
      <c r="A5416">
        <f ca="1">30696.2288777525*((RANDBETWEEN(1587,2416)))</f>
        <v>63172839.030414611</v>
      </c>
      <c r="B5416">
        <v>240852953.67071319</v>
      </c>
    </row>
    <row r="5417" spans="1:2" x14ac:dyDescent="0.25">
      <c r="A5417">
        <f ca="1">27301.7861622986*((RANDBETWEEN(1587,2416)))</f>
        <v>54849288.400057949</v>
      </c>
      <c r="B5417">
        <v>225195190.83529875</v>
      </c>
    </row>
    <row r="5418" spans="1:2" x14ac:dyDescent="0.25">
      <c r="A5418">
        <f ca="1">26294.5063855584*((RANDBETWEEN(1587,2416)))</f>
        <v>54508511.737262458</v>
      </c>
      <c r="B5418">
        <v>231076871.88996381</v>
      </c>
    </row>
    <row r="5419" spans="1:2" x14ac:dyDescent="0.25">
      <c r="A5419">
        <f ca="1">26697.1423899548*((RANDBETWEEN(1587,2416)))</f>
        <v>64473598.871740922</v>
      </c>
      <c r="B5419">
        <v>238767552.03429529</v>
      </c>
    </row>
    <row r="5420" spans="1:2" x14ac:dyDescent="0.25">
      <c r="A5420">
        <f ca="1">31194.2403153533*((RANDBETWEEN(1587,2416)))</f>
        <v>65164768.018773139</v>
      </c>
      <c r="B5420">
        <v>255072370.13295284</v>
      </c>
    </row>
    <row r="5421" spans="1:2" x14ac:dyDescent="0.25">
      <c r="A5421">
        <f ca="1">27177.3415771354*((RANDBETWEEN(1587,2416)))</f>
        <v>60877245.132783338</v>
      </c>
      <c r="B5421">
        <v>264049555.77119246</v>
      </c>
    </row>
    <row r="5422" spans="1:2" x14ac:dyDescent="0.25">
      <c r="A5422">
        <f ca="1">29951.6244724441*((RANDBETWEEN(1587,2416)))</f>
        <v>57327409.24025806</v>
      </c>
      <c r="B5422">
        <v>232373684.97141808</v>
      </c>
    </row>
    <row r="5423" spans="1:2" x14ac:dyDescent="0.25">
      <c r="A5423">
        <f ca="1">27580.8293695381*((RANDBETWEEN(1587,2416)))</f>
        <v>64759787.35967546</v>
      </c>
      <c r="B5423">
        <v>215217272.0904071</v>
      </c>
    </row>
    <row r="5424" spans="1:2" x14ac:dyDescent="0.25">
      <c r="A5424">
        <f ca="1">26727.7589635851*((RANDBETWEEN(1587,2416)))</f>
        <v>43940435.736133866</v>
      </c>
      <c r="B5424">
        <v>257770997.03412426</v>
      </c>
    </row>
    <row r="5425" spans="1:2" x14ac:dyDescent="0.25">
      <c r="A5425">
        <f ca="1">30592.8930524689*((RANDBETWEEN(1587,2416)))</f>
        <v>54363570.954237223</v>
      </c>
      <c r="B5425">
        <v>232057519.0948689</v>
      </c>
    </row>
    <row r="5426" spans="1:2" x14ac:dyDescent="0.25">
      <c r="A5426">
        <f ca="1">26623.3570722142*((RANDBETWEEN(1587,2416)))</f>
        <v>59796059.984193094</v>
      </c>
      <c r="B5426">
        <v>238790756.694096</v>
      </c>
    </row>
    <row r="5427" spans="1:2" x14ac:dyDescent="0.25">
      <c r="A5427">
        <f ca="1">27596.6068472609*((RANDBETWEEN(1587,2416)))</f>
        <v>65348765.014313884</v>
      </c>
      <c r="B5427">
        <v>221034520.185572</v>
      </c>
    </row>
    <row r="5428" spans="1:2" x14ac:dyDescent="0.25">
      <c r="A5428">
        <f ca="1">26247.4372140596*((RANDBETWEEN(1587,2416)))</f>
        <v>59607929.913129263</v>
      </c>
      <c r="B5428">
        <v>221469118.5907639</v>
      </c>
    </row>
    <row r="5429" spans="1:2" x14ac:dyDescent="0.25">
      <c r="A5429">
        <f ca="1">29892.4015107781*((RANDBETWEEN(1587,2416)))</f>
        <v>65524144.111625656</v>
      </c>
      <c r="B5429">
        <v>253199156.03629482</v>
      </c>
    </row>
    <row r="5430" spans="1:2" x14ac:dyDescent="0.25">
      <c r="A5430">
        <f ca="1">32994.9949393156*((RANDBETWEEN(1587,2416)))</f>
        <v>76647373.244030252</v>
      </c>
      <c r="B5430">
        <v>219882406.67749581</v>
      </c>
    </row>
    <row r="5431" spans="1:2" x14ac:dyDescent="0.25">
      <c r="A5431">
        <f ca="1">31711.7248431362*((RANDBETWEEN(1587,2416)))</f>
        <v>74554265.106213316</v>
      </c>
      <c r="B5431">
        <v>254781567.79091901</v>
      </c>
    </row>
    <row r="5432" spans="1:2" x14ac:dyDescent="0.25">
      <c r="A5432">
        <f ca="1">29602.9311049429*((RANDBETWEEN(1587,2416)))</f>
        <v>62580596.355849333</v>
      </c>
      <c r="B5432">
        <v>240997618.79790881</v>
      </c>
    </row>
    <row r="5433" spans="1:2" x14ac:dyDescent="0.25">
      <c r="A5433">
        <f ca="1">30443.159564947*((RANDBETWEEN(1587,2416)))</f>
        <v>65909440.458110303</v>
      </c>
      <c r="B5433">
        <v>251967135.49349144</v>
      </c>
    </row>
    <row r="5434" spans="1:2" x14ac:dyDescent="0.25">
      <c r="A5434">
        <f ca="1">29930.2475054024*((RANDBETWEEN(1587,2416)))</f>
        <v>71533291.537911654</v>
      </c>
      <c r="B5434">
        <v>221989667.28057182</v>
      </c>
    </row>
    <row r="5435" spans="1:2" x14ac:dyDescent="0.25">
      <c r="A5435">
        <f ca="1">29641.4153508728*((RANDBETWEEN(1587,2416)))</f>
        <v>59608886.270605288</v>
      </c>
      <c r="B5435">
        <v>243580696.50044075</v>
      </c>
    </row>
    <row r="5436" spans="1:2" x14ac:dyDescent="0.25">
      <c r="A5436">
        <f ca="1">31183.7829629915*((RANDBETWEEN(1587,2416)))</f>
        <v>60247068.684499577</v>
      </c>
      <c r="B5436">
        <v>254594668.45258844</v>
      </c>
    </row>
    <row r="5437" spans="1:2" x14ac:dyDescent="0.25">
      <c r="A5437">
        <f ca="1">28145.0576635096*((RANDBETWEEN(1587,2416)))</f>
        <v>51224004.947587483</v>
      </c>
      <c r="B5437">
        <v>267464883.60723776</v>
      </c>
    </row>
    <row r="5438" spans="1:2" x14ac:dyDescent="0.25">
      <c r="A5438">
        <f ca="1">33068.6776218394*((RANDBETWEEN(1587,2416)))</f>
        <v>76686263.405045614</v>
      </c>
      <c r="B5438">
        <v>236754043.59292459</v>
      </c>
    </row>
    <row r="5439" spans="1:2" x14ac:dyDescent="0.25">
      <c r="A5439">
        <f ca="1">30316.7252570029*((RANDBETWEEN(1587,2416)))</f>
        <v>53357436.452325039</v>
      </c>
      <c r="B5439">
        <v>228254185.86665577</v>
      </c>
    </row>
    <row r="5440" spans="1:2" x14ac:dyDescent="0.25">
      <c r="A5440">
        <f ca="1">26833.9433218338*((RANDBETWEEN(1587,2416)))</f>
        <v>56512284.635782093</v>
      </c>
      <c r="B5440">
        <v>204728846.65819043</v>
      </c>
    </row>
    <row r="5441" spans="1:2" x14ac:dyDescent="0.25">
      <c r="A5441">
        <f ca="1">27115.9601794173*((RANDBETWEEN(1587,2416)))</f>
        <v>56238501.412111424</v>
      </c>
      <c r="B5441">
        <v>226724095.34139991</v>
      </c>
    </row>
    <row r="5442" spans="1:2" x14ac:dyDescent="0.25">
      <c r="A5442">
        <f ca="1">29915.3684091912*((RANDBETWEEN(1587,2416)))</f>
        <v>70121623.551144063</v>
      </c>
      <c r="B5442">
        <v>216213140.40117082</v>
      </c>
    </row>
    <row r="5443" spans="1:2" x14ac:dyDescent="0.25">
      <c r="A5443">
        <f ca="1">30550.4256261593*((RANDBETWEEN(1587,2416)))</f>
        <v>52852236.333255619</v>
      </c>
      <c r="B5443">
        <v>255173267.09486657</v>
      </c>
    </row>
    <row r="5444" spans="1:2" x14ac:dyDescent="0.25">
      <c r="A5444">
        <f ca="1">30386.3389407263*((RANDBETWEEN(1587,2416)))</f>
        <v>57460566.936913349</v>
      </c>
      <c r="B5444">
        <v>208274466.55387858</v>
      </c>
    </row>
    <row r="5445" spans="1:2" x14ac:dyDescent="0.25">
      <c r="A5445">
        <f ca="1">32470.3638294531*((RANDBETWEEN(1587,2416)))</f>
        <v>68512467.680145964</v>
      </c>
      <c r="B5445">
        <v>240937995.21093106</v>
      </c>
    </row>
    <row r="5446" spans="1:2" x14ac:dyDescent="0.25">
      <c r="A5446">
        <f ca="1">32896.2610710354*((RANDBETWEEN(1587,2416)))</f>
        <v>76845665.861938626</v>
      </c>
      <c r="B5446">
        <v>255835859.54687142</v>
      </c>
    </row>
    <row r="5447" spans="1:2" x14ac:dyDescent="0.25">
      <c r="A5447">
        <f ca="1">29898.6411280102*((RANDBETWEEN(1587,2416)))</f>
        <v>64341875.70747786</v>
      </c>
      <c r="B5447">
        <v>266462428.54270345</v>
      </c>
    </row>
    <row r="5448" spans="1:2" x14ac:dyDescent="0.25">
      <c r="A5448">
        <f ca="1">28373.9586420458*((RANDBETWEEN(1587,2416)))</f>
        <v>50193532.837778963</v>
      </c>
      <c r="B5448">
        <v>231969308.90500355</v>
      </c>
    </row>
    <row r="5449" spans="1:2" x14ac:dyDescent="0.25">
      <c r="A5449">
        <f ca="1">27998.9677256299*((RANDBETWEEN(1587,2416)))</f>
        <v>50398141.906133853</v>
      </c>
      <c r="B5449">
        <v>205364313.45345122</v>
      </c>
    </row>
    <row r="5450" spans="1:2" x14ac:dyDescent="0.25">
      <c r="A5450">
        <f ca="1">28886.9433297142*((RANDBETWEEN(1587,2416)))</f>
        <v>63031310.345436484</v>
      </c>
      <c r="B5450">
        <v>247546404.6687693</v>
      </c>
    </row>
    <row r="5451" spans="1:2" x14ac:dyDescent="0.25">
      <c r="A5451">
        <f ca="1">26724.0388990031*((RANDBETWEEN(1587,2416)))</f>
        <v>46793792.112154372</v>
      </c>
      <c r="B5451">
        <v>205106281.86142504</v>
      </c>
    </row>
    <row r="5452" spans="1:2" x14ac:dyDescent="0.25">
      <c r="A5452">
        <f ca="1">28520.2559470325*((RANDBETWEEN(1587,2416)))</f>
        <v>52905074.7817453</v>
      </c>
      <c r="B5452">
        <v>233737439.018572</v>
      </c>
    </row>
    <row r="5453" spans="1:2" x14ac:dyDescent="0.25">
      <c r="A5453">
        <f ca="1">31090.5429750091*((RANDBETWEEN(1587,2416)))</f>
        <v>58761126.222767159</v>
      </c>
      <c r="B5453">
        <v>251176874.14064914</v>
      </c>
    </row>
    <row r="5454" spans="1:2" x14ac:dyDescent="0.25">
      <c r="A5454">
        <f ca="1">29781.5345981423*((RANDBETWEEN(1587,2416)))</f>
        <v>67306268.191801652</v>
      </c>
      <c r="B5454">
        <v>250941774.98186731</v>
      </c>
    </row>
    <row r="5455" spans="1:2" x14ac:dyDescent="0.25">
      <c r="A5455">
        <f ca="1">31861.7455578882*((RANDBETWEEN(1587,2416)))</f>
        <v>54674755.377336085</v>
      </c>
      <c r="B5455">
        <v>233576348.32930362</v>
      </c>
    </row>
    <row r="5456" spans="1:2" x14ac:dyDescent="0.25">
      <c r="A5456">
        <f ca="1">29750.3662568953*((RANDBETWEEN(1587,2416)))</f>
        <v>69586106.67487812</v>
      </c>
      <c r="B5456">
        <v>205843638.54253381</v>
      </c>
    </row>
    <row r="5457" spans="1:2" x14ac:dyDescent="0.25">
      <c r="A5457">
        <f ca="1">30344.5118598255*((RANDBETWEEN(1587,2416)))</f>
        <v>68548252.291345716</v>
      </c>
      <c r="B5457">
        <v>236949611.06149665</v>
      </c>
    </row>
    <row r="5458" spans="1:2" x14ac:dyDescent="0.25">
      <c r="A5458">
        <f ca="1">33763.0135349926*((RANDBETWEEN(1587,2416)))</f>
        <v>74987653.061218679</v>
      </c>
      <c r="B5458">
        <v>206249944.19056809</v>
      </c>
    </row>
    <row r="5459" spans="1:2" x14ac:dyDescent="0.25">
      <c r="A5459">
        <f ca="1">28293.4962304054*((RANDBETWEEN(1587,2416)))</f>
        <v>57747025.806257457</v>
      </c>
      <c r="B5459">
        <v>224826590.36323738</v>
      </c>
    </row>
    <row r="5460" spans="1:2" x14ac:dyDescent="0.25">
      <c r="A5460">
        <f ca="1">29848.5217534383*((RANDBETWEEN(1587,2416)))</f>
        <v>66681597.597181216</v>
      </c>
      <c r="B5460">
        <v>245398122.49869436</v>
      </c>
    </row>
    <row r="5461" spans="1:2" x14ac:dyDescent="0.25">
      <c r="A5461">
        <f ca="1">27567.2786842823*((RANDBETWEEN(1587,2416)))</f>
        <v>46092489.960119933</v>
      </c>
      <c r="B5461">
        <v>262786881.62560433</v>
      </c>
    </row>
    <row r="5462" spans="1:2" x14ac:dyDescent="0.25">
      <c r="A5462">
        <f ca="1">28538.5483391232*((RANDBETWEEN(1587,2416)))</f>
        <v>49114841.691631064</v>
      </c>
      <c r="B5462">
        <v>215026272.51773944</v>
      </c>
    </row>
    <row r="5463" spans="1:2" x14ac:dyDescent="0.25">
      <c r="A5463">
        <f ca="1">29535.4754196763*((RANDBETWEEN(1587,2416)))</f>
        <v>53636423.36213208</v>
      </c>
      <c r="B5463">
        <v>245492405.94393003</v>
      </c>
    </row>
    <row r="5464" spans="1:2" x14ac:dyDescent="0.25">
      <c r="A5464">
        <f ca="1">33199.3526114562*((RANDBETWEEN(1587,2416)))</f>
        <v>63211567.372212559</v>
      </c>
      <c r="B5464">
        <v>258516294.7857191</v>
      </c>
    </row>
    <row r="5465" spans="1:2" x14ac:dyDescent="0.25">
      <c r="A5465">
        <f ca="1">30610.801122017*((RANDBETWEEN(1587,2416)))</f>
        <v>51303702.680500492</v>
      </c>
      <c r="B5465">
        <v>209123094.51358935</v>
      </c>
    </row>
    <row r="5466" spans="1:2" x14ac:dyDescent="0.25">
      <c r="A5466">
        <f ca="1">29277.6444017709*((RANDBETWEEN(1587,2416)))</f>
        <v>61863662.620941907</v>
      </c>
      <c r="B5466">
        <v>250908939.41528052</v>
      </c>
    </row>
    <row r="5467" spans="1:2" x14ac:dyDescent="0.25">
      <c r="A5467">
        <f ca="1">31191.6907919973*((RANDBETWEEN(1587,2416)))</f>
        <v>68840061.577938065</v>
      </c>
      <c r="B5467">
        <v>204127577.0051257</v>
      </c>
    </row>
    <row r="5468" spans="1:2" x14ac:dyDescent="0.25">
      <c r="A5468">
        <f ca="1">28518.0096669663*((RANDBETWEEN(1587,2416)))</f>
        <v>50448359.100863345</v>
      </c>
      <c r="B5468">
        <v>203974499.45000812</v>
      </c>
    </row>
    <row r="5469" spans="1:2" x14ac:dyDescent="0.25">
      <c r="A5469">
        <f ca="1">27968.1664228166*((RANDBETWEEN(1587,2416)))</f>
        <v>50706285.724566586</v>
      </c>
      <c r="B5469">
        <v>241254810.9096081</v>
      </c>
    </row>
    <row r="5470" spans="1:2" x14ac:dyDescent="0.25">
      <c r="A5470">
        <f ca="1">32054.34681455*((RANDBETWEEN(1587,2416)))</f>
        <v>66416606.59974768</v>
      </c>
      <c r="B5470">
        <v>267361467.14032328</v>
      </c>
    </row>
    <row r="5471" spans="1:2" x14ac:dyDescent="0.25">
      <c r="A5471">
        <f ca="1">27110.7414940949*((RANDBETWEEN(1587,2416)))</f>
        <v>59887627.960455604</v>
      </c>
      <c r="B5471">
        <v>215995504.49558002</v>
      </c>
    </row>
    <row r="5472" spans="1:2" x14ac:dyDescent="0.25">
      <c r="A5472">
        <f ca="1">30032.1709389114*((RANDBETWEEN(1587,2416)))</f>
        <v>58502668.98899933</v>
      </c>
      <c r="B5472">
        <v>242962451.43746918</v>
      </c>
    </row>
    <row r="5473" spans="1:2" x14ac:dyDescent="0.25">
      <c r="A5473">
        <f ca="1">27739.9007669157*((RANDBETWEEN(1587,2416)))</f>
        <v>59391127.54196649</v>
      </c>
      <c r="B5473">
        <v>246387743.89618397</v>
      </c>
    </row>
    <row r="5474" spans="1:2" x14ac:dyDescent="0.25">
      <c r="A5474">
        <f ca="1">32406.9660474349*((RANDBETWEEN(1587,2416)))</f>
        <v>72235127.319732428</v>
      </c>
      <c r="B5474">
        <v>257075990.82753855</v>
      </c>
    </row>
    <row r="5475" spans="1:2" x14ac:dyDescent="0.25">
      <c r="A5475">
        <f ca="1">26977.3022786462*((RANDBETWEEN(1587,2416)))</f>
        <v>58459814.037826233</v>
      </c>
      <c r="B5475">
        <v>207841135.57291853</v>
      </c>
    </row>
    <row r="5476" spans="1:2" x14ac:dyDescent="0.25">
      <c r="A5476">
        <f ca="1">31788.7206058397*((RANDBETWEEN(1587,2416)))</f>
        <v>72033240.892832756</v>
      </c>
      <c r="B5476">
        <v>251393747.73994103</v>
      </c>
    </row>
    <row r="5477" spans="1:2" x14ac:dyDescent="0.25">
      <c r="A5477">
        <f ca="1">32247.0865908789*((RANDBETWEEN(1587,2416)))</f>
        <v>74265040.418794036</v>
      </c>
      <c r="B5477">
        <v>241832957.20903349</v>
      </c>
    </row>
    <row r="5478" spans="1:2" x14ac:dyDescent="0.25">
      <c r="A5478">
        <f ca="1">32104.6202421209*((RANDBETWEEN(1587,2416)))</f>
        <v>76055845.353584513</v>
      </c>
      <c r="B5478">
        <v>248011344.34338796</v>
      </c>
    </row>
    <row r="5479" spans="1:2" x14ac:dyDescent="0.25">
      <c r="A5479">
        <f ca="1">29022.1026177994*((RANDBETWEEN(1587,2416)))</f>
        <v>51078900.607326888</v>
      </c>
      <c r="B5479">
        <v>260618185.64100671</v>
      </c>
    </row>
    <row r="5480" spans="1:2" x14ac:dyDescent="0.25">
      <c r="A5480">
        <f ca="1">32015.3151576167*((RANDBETWEEN(1587,2416)))</f>
        <v>65919533.909532726</v>
      </c>
      <c r="B5480">
        <v>234190985.19598827</v>
      </c>
    </row>
    <row r="5481" spans="1:2" x14ac:dyDescent="0.25">
      <c r="A5481">
        <f ca="1">29839.6059736927*((RANDBETWEEN(1587,2416)))</f>
        <v>70660186.945704401</v>
      </c>
      <c r="B5481">
        <v>212289388.06724152</v>
      </c>
    </row>
    <row r="5482" spans="1:2" x14ac:dyDescent="0.25">
      <c r="A5482">
        <f ca="1">30515.3594212061*((RANDBETWEEN(1587,2416)))</f>
        <v>52516933.563895673</v>
      </c>
      <c r="B5482">
        <v>232986283.7997846</v>
      </c>
    </row>
    <row r="5483" spans="1:2" x14ac:dyDescent="0.25">
      <c r="A5483">
        <f ca="1">29526.9993063796*((RANDBETWEEN(1587,2416)))</f>
        <v>51288397.795181438</v>
      </c>
      <c r="B5483">
        <v>223491828.10011426</v>
      </c>
    </row>
    <row r="5484" spans="1:2" x14ac:dyDescent="0.25">
      <c r="A5484">
        <f ca="1">31548.2602906999*((RANDBETWEEN(1587,2416)))</f>
        <v>74453894.28605184</v>
      </c>
      <c r="B5484">
        <v>211781110.50765958</v>
      </c>
    </row>
    <row r="5485" spans="1:2" x14ac:dyDescent="0.25">
      <c r="A5485">
        <f ca="1">31495.0457860304*((RANDBETWEEN(1587,2416)))</f>
        <v>76029040.527477324</v>
      </c>
      <c r="B5485">
        <v>216342912.51175496</v>
      </c>
    </row>
    <row r="5486" spans="1:2" x14ac:dyDescent="0.25">
      <c r="A5486">
        <f ca="1">31540.2034932461*((RANDBETWEEN(1587,2416)))</f>
        <v>57560871.375174053</v>
      </c>
      <c r="B5486">
        <v>252928069.68533704</v>
      </c>
    </row>
    <row r="5487" spans="1:2" x14ac:dyDescent="0.25">
      <c r="A5487">
        <f ca="1">31358.3389098539*((RANDBETWEEN(1587,2416)))</f>
        <v>74005679.8272551</v>
      </c>
      <c r="B5487">
        <v>216148154.18192059</v>
      </c>
    </row>
    <row r="5488" spans="1:2" x14ac:dyDescent="0.25">
      <c r="A5488">
        <f ca="1">30511.5770340715*((RANDBETWEEN(1587,2416)))</f>
        <v>50984845.223933563</v>
      </c>
      <c r="B5488">
        <v>247084462.22164109</v>
      </c>
    </row>
    <row r="5489" spans="1:2" x14ac:dyDescent="0.25">
      <c r="A5489">
        <f ca="1">28845.1893027356*((RANDBETWEEN(1587,2416)))</f>
        <v>52296328.205859713</v>
      </c>
      <c r="B5489">
        <v>215514873.93536934</v>
      </c>
    </row>
    <row r="5490" spans="1:2" x14ac:dyDescent="0.25">
      <c r="A5490">
        <f ca="1">32743.3897775785*((RANDBETWEEN(1587,2416)))</f>
        <v>69907137.175130144</v>
      </c>
      <c r="B5490">
        <v>247941358.25910941</v>
      </c>
    </row>
    <row r="5491" spans="1:2" x14ac:dyDescent="0.25">
      <c r="A5491">
        <f ca="1">31255.5591687489*((RANDBETWEEN(1587,2416)))</f>
        <v>64230174.091778889</v>
      </c>
      <c r="B5491">
        <v>243186480.84770596</v>
      </c>
    </row>
    <row r="5492" spans="1:2" x14ac:dyDescent="0.25">
      <c r="A5492">
        <f ca="1">31777.2038633574*((RANDBETWEEN(1587,2416)))</f>
        <v>75693299.602517232</v>
      </c>
      <c r="B5492">
        <v>259840558.64726734</v>
      </c>
    </row>
    <row r="5493" spans="1:2" x14ac:dyDescent="0.25">
      <c r="A5493">
        <f ca="1">31353.1587256998*((RANDBETWEEN(1587,2416)))</f>
        <v>67785529.164963022</v>
      </c>
      <c r="B5493">
        <v>212337847.80853331</v>
      </c>
    </row>
    <row r="5494" spans="1:2" x14ac:dyDescent="0.25">
      <c r="A5494">
        <f ca="1">34122.5443659116*((RANDBETWEEN(1587,2416)))</f>
        <v>76775724.823301181</v>
      </c>
      <c r="B5494">
        <v>230992717.59378189</v>
      </c>
    </row>
    <row r="5495" spans="1:2" x14ac:dyDescent="0.25">
      <c r="A5495">
        <f ca="1">32925.912209767*((RANDBETWEEN(1587,2416)))</f>
        <v>66971305.434665985</v>
      </c>
      <c r="B5495">
        <v>264452850.37034905</v>
      </c>
    </row>
    <row r="5496" spans="1:2" x14ac:dyDescent="0.25">
      <c r="A5496">
        <f ca="1">30603.7898635593*((RANDBETWEEN(1587,2416)))</f>
        <v>63594675.336476274</v>
      </c>
      <c r="B5496">
        <v>265415605.0059917</v>
      </c>
    </row>
    <row r="5497" spans="1:2" x14ac:dyDescent="0.25">
      <c r="A5497">
        <f ca="1">28178.6174903197*((RANDBETWEEN(1587,2416)))</f>
        <v>63289174.883258134</v>
      </c>
      <c r="B5497">
        <v>247104552.05857682</v>
      </c>
    </row>
    <row r="5498" spans="1:2" x14ac:dyDescent="0.25">
      <c r="A5498">
        <f ca="1">27241.3803608064*((RANDBETWEEN(1587,2416)))</f>
        <v>64207933.510420762</v>
      </c>
      <c r="B5498">
        <v>213764947.1871289</v>
      </c>
    </row>
    <row r="5499" spans="1:2" x14ac:dyDescent="0.25">
      <c r="A5499">
        <f ca="1">31228.2590138767*((RANDBETWEEN(1587,2416)))</f>
        <v>60051942.083684929</v>
      </c>
      <c r="B5499">
        <v>256709056.95751676</v>
      </c>
    </row>
    <row r="5500" spans="1:2" x14ac:dyDescent="0.25">
      <c r="A5500">
        <f ca="1">27789.152735282*((RANDBETWEEN(1587,2416)))</f>
        <v>47575029.482802756</v>
      </c>
      <c r="B5500">
        <v>243662903.66941261</v>
      </c>
    </row>
    <row r="5501" spans="1:2" x14ac:dyDescent="0.25">
      <c r="A5501">
        <f ca="1">31489.2327325525*((RANDBETWEEN(1587,2416)))</f>
        <v>65340157.920046344</v>
      </c>
      <c r="B5501">
        <v>267569268.69399583</v>
      </c>
    </row>
    <row r="5502" spans="1:2" x14ac:dyDescent="0.25">
      <c r="A5502">
        <f ca="1">27116.3275842526*((RANDBETWEEN(1587,2416)))</f>
        <v>51412557.099742897</v>
      </c>
      <c r="B5502">
        <v>235070382.05646259</v>
      </c>
    </row>
    <row r="5503" spans="1:2" x14ac:dyDescent="0.25">
      <c r="A5503">
        <f ca="1">26758.239273547*((RANDBETWEEN(1587,2416)))</f>
        <v>64005708.342324495</v>
      </c>
      <c r="B5503">
        <v>254164641.62157261</v>
      </c>
    </row>
    <row r="5504" spans="1:2" x14ac:dyDescent="0.25">
      <c r="A5504">
        <f ca="1">30608.0741393136*((RANDBETWEEN(1587,2416)))</f>
        <v>57206490.56637717</v>
      </c>
      <c r="B5504">
        <v>241016748.61342764</v>
      </c>
    </row>
    <row r="5505" spans="1:2" x14ac:dyDescent="0.25">
      <c r="A5505">
        <f ca="1">29176.2596107552*((RANDBETWEEN(1587,2416)))</f>
        <v>46390252.781100757</v>
      </c>
      <c r="B5505">
        <v>235454333.38884869</v>
      </c>
    </row>
    <row r="5506" spans="1:2" x14ac:dyDescent="0.25">
      <c r="A5506">
        <f ca="1">30229.9758812238*((RANDBETWEEN(1587,2416)))</f>
        <v>55683615.573214322</v>
      </c>
      <c r="B5506">
        <v>255223540.91356388</v>
      </c>
    </row>
    <row r="5507" spans="1:2" x14ac:dyDescent="0.25">
      <c r="A5507">
        <f ca="1">27175.8662099261*((RANDBETWEEN(1587,2416)))</f>
        <v>63129537.205658309</v>
      </c>
      <c r="B5507">
        <v>217429890.24631831</v>
      </c>
    </row>
    <row r="5508" spans="1:2" x14ac:dyDescent="0.25">
      <c r="A5508">
        <f ca="1">31276.3596478962*((RANDBETWEEN(1587,2416)))</f>
        <v>50323662.673465051</v>
      </c>
      <c r="B5508">
        <v>210662896.23718435</v>
      </c>
    </row>
    <row r="5509" spans="1:2" x14ac:dyDescent="0.25">
      <c r="A5509">
        <f ca="1">28531.0119452934*((RANDBETWEEN(1587,2416)))</f>
        <v>62996474.375207916</v>
      </c>
      <c r="B5509">
        <v>217291433.07663321</v>
      </c>
    </row>
    <row r="5510" spans="1:2" x14ac:dyDescent="0.25">
      <c r="A5510">
        <f ca="1">31620.1931303675*((RANDBETWEEN(1587,2416)))</f>
        <v>52141698.471976064</v>
      </c>
      <c r="B5510">
        <v>230197535.18336773</v>
      </c>
    </row>
    <row r="5511" spans="1:2" x14ac:dyDescent="0.25">
      <c r="A5511">
        <f ca="1">31561.8330182782*((RANDBETWEEN(1587,2416)))</f>
        <v>57789716.256467409</v>
      </c>
      <c r="B5511">
        <v>222797666.22111648</v>
      </c>
    </row>
    <row r="5512" spans="1:2" x14ac:dyDescent="0.25">
      <c r="A5512">
        <f ca="1">30794.6083689391*((RANDBETWEEN(1587,2416)))</f>
        <v>58047836.775450222</v>
      </c>
      <c r="B5512">
        <v>208691191.92492679</v>
      </c>
    </row>
    <row r="5513" spans="1:2" x14ac:dyDescent="0.25">
      <c r="A5513">
        <f ca="1">31239.5444764906*((RANDBETWEEN(1587,2416)))</f>
        <v>69945340.082862452</v>
      </c>
      <c r="B5513">
        <v>214679553.81315973</v>
      </c>
    </row>
    <row r="5514" spans="1:2" x14ac:dyDescent="0.25">
      <c r="A5514">
        <f ca="1">31402.3414800519*((RANDBETWEEN(1587,2416)))</f>
        <v>55236718.663411289</v>
      </c>
      <c r="B5514">
        <v>247530467.68459785</v>
      </c>
    </row>
    <row r="5515" spans="1:2" x14ac:dyDescent="0.25">
      <c r="A5515">
        <f ca="1">32341.2059905198*((RANDBETWEEN(1587,2416)))</f>
        <v>75710763.223806947</v>
      </c>
      <c r="B5515">
        <v>242337337.77157366</v>
      </c>
    </row>
    <row r="5516" spans="1:2" x14ac:dyDescent="0.25">
      <c r="A5516">
        <f ca="1">27299.728790194*((RANDBETWEEN(1587,2416)))</f>
        <v>47965623.484370887</v>
      </c>
      <c r="B5516">
        <v>248543791.21846622</v>
      </c>
    </row>
    <row r="5517" spans="1:2" x14ac:dyDescent="0.25">
      <c r="A5517">
        <f ca="1">33710.6015641736*((RANDBETWEEN(1587,2416)))</f>
        <v>80838022.550888225</v>
      </c>
      <c r="B5517">
        <v>242680689.81679404</v>
      </c>
    </row>
    <row r="5518" spans="1:2" x14ac:dyDescent="0.25">
      <c r="A5518">
        <f ca="1">30115.5187271952*((RANDBETWEEN(1587,2416)))</f>
        <v>50503724.90550635</v>
      </c>
      <c r="B5518">
        <v>243577416.1537526</v>
      </c>
    </row>
    <row r="5519" spans="1:2" x14ac:dyDescent="0.25">
      <c r="A5519">
        <f ca="1">32034.3894345052*((RANDBETWEEN(1587,2416)))</f>
        <v>67656630.485674948</v>
      </c>
      <c r="B5519">
        <v>241090076.88736567</v>
      </c>
    </row>
    <row r="5520" spans="1:2" x14ac:dyDescent="0.25">
      <c r="A5520">
        <f ca="1">28726.9915330045*((RANDBETWEEN(1587,2416)))</f>
        <v>49697695.352097757</v>
      </c>
      <c r="B5520">
        <v>236787524.89102241</v>
      </c>
    </row>
    <row r="5521" spans="1:2" x14ac:dyDescent="0.25">
      <c r="A5521">
        <f ca="1">27060.2552877081*((RANDBETWEEN(1587,2416)))</f>
        <v>52090991.428838164</v>
      </c>
      <c r="B5521">
        <v>255931745.17683405</v>
      </c>
    </row>
    <row r="5522" spans="1:2" x14ac:dyDescent="0.25">
      <c r="A5522">
        <f ca="1">28086.3522892316*((RANDBETWEEN(1587,2416)))</f>
        <v>58840908.045940183</v>
      </c>
      <c r="B5522">
        <v>227396050.94961625</v>
      </c>
    </row>
    <row r="5523" spans="1:2" x14ac:dyDescent="0.25">
      <c r="A5523">
        <f ca="1">35384.5702842454*((RANDBETWEEN(1587,2416)))</f>
        <v>84427584.698209435</v>
      </c>
      <c r="B5523">
        <v>225911892.2886253</v>
      </c>
    </row>
    <row r="5524" spans="1:2" x14ac:dyDescent="0.25">
      <c r="A5524">
        <f ca="1">25770.9336736898*((RANDBETWEEN(1587,2416)))</f>
        <v>42650895.22995659</v>
      </c>
      <c r="B5524">
        <v>235657116.86118922</v>
      </c>
    </row>
    <row r="5525" spans="1:2" x14ac:dyDescent="0.25">
      <c r="A5525">
        <f ca="1">29395.261340228*((RANDBETWEEN(1587,2416)))</f>
        <v>69314026.24025768</v>
      </c>
      <c r="B5525">
        <v>235556637.54480258</v>
      </c>
    </row>
    <row r="5526" spans="1:2" x14ac:dyDescent="0.25">
      <c r="A5526">
        <f ca="1">29449.469802189*((RANDBETWEEN(1587,2416)))</f>
        <v>66290756.524727464</v>
      </c>
      <c r="B5526">
        <v>208452937.90050024</v>
      </c>
    </row>
    <row r="5527" spans="1:2" x14ac:dyDescent="0.25">
      <c r="A5527">
        <f ca="1">28009.8197185351*((RANDBETWEEN(1587,2416)))</f>
        <v>47700722.980665237</v>
      </c>
      <c r="B5527">
        <v>244219853.12106186</v>
      </c>
    </row>
    <row r="5528" spans="1:2" x14ac:dyDescent="0.25">
      <c r="A5528">
        <f ca="1">32218.9110292318*((RANDBETWEEN(1587,2416)))</f>
        <v>73716868.434882298</v>
      </c>
      <c r="B5528">
        <v>267578733.8716031</v>
      </c>
    </row>
    <row r="5529" spans="1:2" x14ac:dyDescent="0.25">
      <c r="A5529">
        <f ca="1">26348.10257211*((RANDBETWEEN(1587,2416)))</f>
        <v>42710274.269390248</v>
      </c>
      <c r="B5529">
        <v>213135817.53203586</v>
      </c>
    </row>
    <row r="5530" spans="1:2" x14ac:dyDescent="0.25">
      <c r="A5530">
        <f ca="1">29961.6456349933*((RANDBETWEEN(1587,2416)))</f>
        <v>54650041.63822785</v>
      </c>
      <c r="B5530">
        <v>241097166.29270551</v>
      </c>
    </row>
    <row r="5531" spans="1:2" x14ac:dyDescent="0.25">
      <c r="A5531">
        <f ca="1">32596.367075929*((RANDBETWEEN(1587,2416)))</f>
        <v>55022667.624168076</v>
      </c>
      <c r="B5531">
        <v>249892564.65675777</v>
      </c>
    </row>
    <row r="5532" spans="1:2" x14ac:dyDescent="0.25">
      <c r="A5532">
        <f ca="1">30088.5647835199*((RANDBETWEEN(1587,2416)))</f>
        <v>70407241.593436584</v>
      </c>
      <c r="B5532">
        <v>266864303.56393793</v>
      </c>
    </row>
    <row r="5533" spans="1:2" x14ac:dyDescent="0.25">
      <c r="A5533">
        <f ca="1">29870.6239938483*((RANDBETWEEN(1587,2416)))</f>
        <v>62549086.643118411</v>
      </c>
      <c r="B5533">
        <v>236846140.46875226</v>
      </c>
    </row>
    <row r="5534" spans="1:2" x14ac:dyDescent="0.25">
      <c r="A5534">
        <f ca="1">26666.7534897617*((RANDBETWEEN(1587,2416)))</f>
        <v>42373471.295231365</v>
      </c>
      <c r="B5534">
        <v>206051425.61278921</v>
      </c>
    </row>
    <row r="5535" spans="1:2" x14ac:dyDescent="0.25">
      <c r="A5535">
        <f ca="1">27946.5185538573*((RANDBETWEEN(1587,2416)))</f>
        <v>64835923.04494895</v>
      </c>
      <c r="B5535">
        <v>223825424.0868105</v>
      </c>
    </row>
    <row r="5536" spans="1:2" x14ac:dyDescent="0.25">
      <c r="A5536">
        <f ca="1">31929.1319316564*((RANDBETWEEN(1587,2416)))</f>
        <v>76853420.559496999</v>
      </c>
      <c r="B5536">
        <v>216676383.90227783</v>
      </c>
    </row>
    <row r="5537" spans="1:2" x14ac:dyDescent="0.25">
      <c r="A5537">
        <f ca="1">26893.1556003487*((RANDBETWEEN(1587,2416)))</f>
        <v>48542145.858629376</v>
      </c>
      <c r="B5537">
        <v>219652309.3097918</v>
      </c>
    </row>
    <row r="5538" spans="1:2" x14ac:dyDescent="0.25">
      <c r="A5538">
        <f ca="1">29798.7785728315*((RANDBETWEEN(1587,2416)))</f>
        <v>68269001.710356861</v>
      </c>
      <c r="B5538">
        <v>249602979.22375387</v>
      </c>
    </row>
    <row r="5539" spans="1:2" x14ac:dyDescent="0.25">
      <c r="A5539">
        <f ca="1">32656.5345261047*((RANDBETWEEN(1587,2416)))</f>
        <v>59173640.561301775</v>
      </c>
      <c r="B5539">
        <v>207594929.48596326</v>
      </c>
    </row>
    <row r="5540" spans="1:2" x14ac:dyDescent="0.25">
      <c r="A5540">
        <f ca="1">31796.5514054676*((RANDBETWEEN(1587,2416)))</f>
        <v>66232216.577588975</v>
      </c>
      <c r="B5540">
        <v>221549221.43008485</v>
      </c>
    </row>
    <row r="5541" spans="1:2" x14ac:dyDescent="0.25">
      <c r="A5541">
        <f ca="1">31011.181039647*((RANDBETWEEN(1587,2416)))</f>
        <v>73372454.339804754</v>
      </c>
      <c r="B5541">
        <v>205065623.64059278</v>
      </c>
    </row>
    <row r="5542" spans="1:2" x14ac:dyDescent="0.25">
      <c r="A5542">
        <f ca="1">33220.4172078912*((RANDBETWEEN(1587,2416)))</f>
        <v>58567595.537512124</v>
      </c>
      <c r="B5542">
        <v>210073632.89338118</v>
      </c>
    </row>
    <row r="5543" spans="1:2" x14ac:dyDescent="0.25">
      <c r="A5543">
        <f ca="1">31039.6404239006*((RANDBETWEEN(1587,2416)))</f>
        <v>61613686.24144268</v>
      </c>
      <c r="B5543">
        <v>220970518.92886975</v>
      </c>
    </row>
    <row r="5544" spans="1:2" x14ac:dyDescent="0.25">
      <c r="A5544">
        <f ca="1">26984.7800661151*((RANDBETWEEN(1587,2416)))</f>
        <v>47007486.875172466</v>
      </c>
      <c r="B5544">
        <v>220837562.03316277</v>
      </c>
    </row>
    <row r="5545" spans="1:2" x14ac:dyDescent="0.25">
      <c r="A5545">
        <f ca="1">34380.6783531178*((RANDBETWEEN(1587,2416)))</f>
        <v>58068965.738416038</v>
      </c>
      <c r="B5545">
        <v>258777618.50223833</v>
      </c>
    </row>
    <row r="5546" spans="1:2" x14ac:dyDescent="0.25">
      <c r="A5546">
        <f ca="1">28500.1621068963*((RANDBETWEEN(1587,2416)))</f>
        <v>65977875.277464844</v>
      </c>
      <c r="B5546">
        <v>211834704.21157831</v>
      </c>
    </row>
    <row r="5547" spans="1:2" x14ac:dyDescent="0.25">
      <c r="A5547">
        <f ca="1">27299.9675857593*((RANDBETWEEN(1587,2416)))</f>
        <v>50122740.487454161</v>
      </c>
      <c r="B5547">
        <v>263000237.8825309</v>
      </c>
    </row>
    <row r="5548" spans="1:2" x14ac:dyDescent="0.25">
      <c r="A5548">
        <f ca="1">31162.2047856033*((RANDBETWEEN(1587,2416)))</f>
        <v>57868214.286865324</v>
      </c>
      <c r="B5548">
        <v>262704685.12217563</v>
      </c>
    </row>
    <row r="5549" spans="1:2" x14ac:dyDescent="0.25">
      <c r="A5549">
        <f ca="1">31202.8443204656*((RANDBETWEEN(1587,2416)))</f>
        <v>52233561.392459363</v>
      </c>
      <c r="B5549">
        <v>221519230.50420484</v>
      </c>
    </row>
    <row r="5550" spans="1:2" x14ac:dyDescent="0.25">
      <c r="A5550">
        <f ca="1">29212.1585051868*((RANDBETWEEN(1587,2416)))</f>
        <v>59592803.350581065</v>
      </c>
      <c r="B5550">
        <v>234320339.79062748</v>
      </c>
    </row>
    <row r="5551" spans="1:2" x14ac:dyDescent="0.25">
      <c r="A5551">
        <f ca="1">31568.0208729507*((RANDBETWEEN(1587,2416)))</f>
        <v>75984226.241192445</v>
      </c>
      <c r="B5551">
        <v>229935300.20607924</v>
      </c>
    </row>
    <row r="5552" spans="1:2" x14ac:dyDescent="0.25">
      <c r="A5552">
        <f ca="1">32151.8981177253*((RANDBETWEEN(1587,2416)))</f>
        <v>71570125.210056469</v>
      </c>
      <c r="B5552">
        <v>263312653.90230584</v>
      </c>
    </row>
    <row r="5553" spans="1:2" x14ac:dyDescent="0.25">
      <c r="A5553">
        <f ca="1">32183.0047164972*((RANDBETWEEN(1587,2416)))</f>
        <v>57414480.414231062</v>
      </c>
      <c r="B5553">
        <v>229772219.28173923</v>
      </c>
    </row>
    <row r="5554" spans="1:2" x14ac:dyDescent="0.25">
      <c r="A5554">
        <f ca="1">31057.5382457079*((RANDBETWEEN(1587,2416)))</f>
        <v>62580939.565101489</v>
      </c>
      <c r="B5554">
        <v>209470009.42102507</v>
      </c>
    </row>
    <row r="5555" spans="1:2" x14ac:dyDescent="0.25">
      <c r="A5555">
        <f ca="1">32809.3403180273*((RANDBETWEEN(1587,2416)))</f>
        <v>56366446.666370831</v>
      </c>
      <c r="B5555">
        <v>230543576.44071829</v>
      </c>
    </row>
    <row r="5556" spans="1:2" x14ac:dyDescent="0.25">
      <c r="A5556">
        <f ca="1">31052.9235885581*((RANDBETWEEN(1587,2416)))</f>
        <v>57820543.721895128</v>
      </c>
      <c r="B5556">
        <v>234658479.46029902</v>
      </c>
    </row>
    <row r="5557" spans="1:2" x14ac:dyDescent="0.25">
      <c r="A5557">
        <f ca="1">28684.4081982862*((RANDBETWEEN(1587,2416)))</f>
        <v>60495416.890185699</v>
      </c>
      <c r="B5557">
        <v>207059405.80742571</v>
      </c>
    </row>
    <row r="5558" spans="1:2" x14ac:dyDescent="0.25">
      <c r="A5558">
        <f ca="1">27930.0159537202*((RANDBETWEEN(1587,2416)))</f>
        <v>61725335.257721752</v>
      </c>
      <c r="B5558">
        <v>222614921.23030657</v>
      </c>
    </row>
    <row r="5559" spans="1:2" x14ac:dyDescent="0.25">
      <c r="A5559">
        <f ca="1">31682.974056404*((RANDBETWEEN(1587,2416)))</f>
        <v>52910566.674194738</v>
      </c>
      <c r="B5559">
        <v>250496199.59027541</v>
      </c>
    </row>
    <row r="5560" spans="1:2" x14ac:dyDescent="0.25">
      <c r="A5560">
        <f ca="1">28011.6130441335*((RANDBETWEEN(1587,2416)))</f>
        <v>52913937.040368244</v>
      </c>
      <c r="B5560">
        <v>247891654.69487065</v>
      </c>
    </row>
    <row r="5561" spans="1:2" x14ac:dyDescent="0.25">
      <c r="A5561">
        <f ca="1">30153.0361416239*((RANDBETWEEN(1587,2416)))</f>
        <v>61029745.150646806</v>
      </c>
      <c r="B5561">
        <v>254842618.07467613</v>
      </c>
    </row>
    <row r="5562" spans="1:2" x14ac:dyDescent="0.25">
      <c r="A5562">
        <f ca="1">30905.1412369583*((RANDBETWEEN(1587,2416)))</f>
        <v>51673396.148194231</v>
      </c>
      <c r="B5562">
        <v>223257152.11376143</v>
      </c>
    </row>
    <row r="5563" spans="1:2" x14ac:dyDescent="0.25">
      <c r="A5563">
        <f ca="1">26495.4188537011*((RANDBETWEEN(1587,2416)))</f>
        <v>51745553.021278195</v>
      </c>
      <c r="B5563">
        <v>209955096.41776472</v>
      </c>
    </row>
    <row r="5564" spans="1:2" x14ac:dyDescent="0.25">
      <c r="A5564">
        <f ca="1">30692.7236311421*((RANDBETWEEN(1587,2416)))</f>
        <v>67708148.330299377</v>
      </c>
      <c r="B5564">
        <v>211267223.34090275</v>
      </c>
    </row>
    <row r="5565" spans="1:2" x14ac:dyDescent="0.25">
      <c r="A5565">
        <f ca="1">25822.2003606098*((RANDBETWEEN(1587,2416)))</f>
        <v>41341342.777336352</v>
      </c>
      <c r="B5565">
        <v>232472343.90377229</v>
      </c>
    </row>
    <row r="5566" spans="1:2" x14ac:dyDescent="0.25">
      <c r="A5566">
        <f ca="1">28475.6007970569*((RANDBETWEEN(1587,2416)))</f>
        <v>64867418.615695588</v>
      </c>
      <c r="B5566">
        <v>257131360.8843824</v>
      </c>
    </row>
    <row r="5567" spans="1:2" x14ac:dyDescent="0.25">
      <c r="A5567">
        <f ca="1">29988.6114740904*((RANDBETWEEN(1587,2416)))</f>
        <v>58447803.763002254</v>
      </c>
      <c r="B5567">
        <v>265379293.54883856</v>
      </c>
    </row>
    <row r="5568" spans="1:2" x14ac:dyDescent="0.25">
      <c r="A5568">
        <f ca="1">30326.7033982432*((RANDBETWEEN(1587,2416)))</f>
        <v>65232739.009621046</v>
      </c>
      <c r="B5568">
        <v>265437201.51624829</v>
      </c>
    </row>
    <row r="5569" spans="1:2" x14ac:dyDescent="0.25">
      <c r="A5569">
        <f ca="1">29272.0153865023*((RANDBETWEEN(1587,2416)))</f>
        <v>59656367.357691742</v>
      </c>
      <c r="B5569">
        <v>204724594.27311867</v>
      </c>
    </row>
    <row r="5570" spans="1:2" x14ac:dyDescent="0.25">
      <c r="A5570">
        <f ca="1">30313.264864443*((RANDBETWEEN(1587,2416)))</f>
        <v>56928311.415423863</v>
      </c>
      <c r="B5570">
        <v>235542807.10710976</v>
      </c>
    </row>
    <row r="5571" spans="1:2" x14ac:dyDescent="0.25">
      <c r="A5571">
        <f ca="1">26119.3572189957*((RANDBETWEEN(1587,2416)))</f>
        <v>55817066.376993835</v>
      </c>
      <c r="B5571">
        <v>253549613.3890174</v>
      </c>
    </row>
    <row r="5572" spans="1:2" x14ac:dyDescent="0.25">
      <c r="A5572">
        <f ca="1">27516.8044013868*((RANDBETWEEN(1587,2416)))</f>
        <v>63921536.624421515</v>
      </c>
      <c r="B5572">
        <v>261452842.59603536</v>
      </c>
    </row>
    <row r="5573" spans="1:2" x14ac:dyDescent="0.25">
      <c r="A5573">
        <f ca="1">31773.6862975357*((RANDBETWEEN(1587,2416)))</f>
        <v>67805046.558941215</v>
      </c>
      <c r="B5573">
        <v>234662379.71582344</v>
      </c>
    </row>
    <row r="5574" spans="1:2" x14ac:dyDescent="0.25">
      <c r="A5574">
        <f ca="1">32876.4107046932*((RANDBETWEEN(1587,2416)))</f>
        <v>77456823.620257199</v>
      </c>
      <c r="B5574">
        <v>265837962.86632851</v>
      </c>
    </row>
    <row r="5575" spans="1:2" x14ac:dyDescent="0.25">
      <c r="A5575">
        <f ca="1">30020.5052282758*((RANDBETWEEN(1587,2416)))</f>
        <v>71899110.021720529</v>
      </c>
      <c r="B5575">
        <v>244562207.00456259</v>
      </c>
    </row>
    <row r="5576" spans="1:2" x14ac:dyDescent="0.25">
      <c r="A5576">
        <f ca="1">29270.6783581533*((RANDBETWEEN(1587,2416)))</f>
        <v>51399311.196917117</v>
      </c>
      <c r="B5576">
        <v>233941765.24117357</v>
      </c>
    </row>
    <row r="5577" spans="1:2" x14ac:dyDescent="0.25">
      <c r="A5577">
        <f ca="1">28923.9386760121*((RANDBETWEEN(1587,2416)))</f>
        <v>68867897.987584844</v>
      </c>
      <c r="B5577">
        <v>257448973.1637854</v>
      </c>
    </row>
    <row r="5578" spans="1:2" x14ac:dyDescent="0.25">
      <c r="A5578">
        <f ca="1">28601.4333598456*((RANDBETWEEN(1587,2416)))</f>
        <v>59033358.454721369</v>
      </c>
      <c r="B5578">
        <v>251938775.96916473</v>
      </c>
    </row>
    <row r="5579" spans="1:2" x14ac:dyDescent="0.25">
      <c r="A5579">
        <f ca="1">30192.472804842*((RANDBETWEEN(1587,2416)))</f>
        <v>49153345.726282828</v>
      </c>
      <c r="B5579">
        <v>224341271.0050323</v>
      </c>
    </row>
    <row r="5580" spans="1:2" x14ac:dyDescent="0.25">
      <c r="A5580">
        <f ca="1">29524.4936613633*((RANDBETWEEN(1587,2416)))</f>
        <v>65721522.890194722</v>
      </c>
      <c r="B5580">
        <v>223991006.75148425</v>
      </c>
    </row>
    <row r="5581" spans="1:2" x14ac:dyDescent="0.25">
      <c r="A5581">
        <f ca="1">32385.5665131276*((RANDBETWEEN(1587,2416)))</f>
        <v>61500190.808429405</v>
      </c>
      <c r="B5581">
        <v>239057180.33639303</v>
      </c>
    </row>
    <row r="5582" spans="1:2" x14ac:dyDescent="0.25">
      <c r="A5582">
        <f ca="1">25238.7437706193*((RANDBETWEEN(1587,2416)))</f>
        <v>50149383.872220539</v>
      </c>
      <c r="B5582">
        <v>208951199.78898704</v>
      </c>
    </row>
    <row r="5583" spans="1:2" x14ac:dyDescent="0.25">
      <c r="A5583">
        <f ca="1">29181.3138082404*((RANDBETWEEN(1587,2416)))</f>
        <v>47857354.645514295</v>
      </c>
      <c r="B5583">
        <v>208193041.24687237</v>
      </c>
    </row>
    <row r="5584" spans="1:2" x14ac:dyDescent="0.25">
      <c r="A5584">
        <f ca="1">32535.8152255587*((RANDBETWEEN(1587,2416)))</f>
        <v>53488880.230818458</v>
      </c>
      <c r="B5584">
        <v>256706623.42106971</v>
      </c>
    </row>
    <row r="5585" spans="1:2" x14ac:dyDescent="0.25">
      <c r="A5585">
        <f ca="1">29889.9639264695*((RANDBETWEEN(1587,2416)))</f>
        <v>49258660.550821744</v>
      </c>
      <c r="B5585">
        <v>257208423.52165025</v>
      </c>
    </row>
    <row r="5586" spans="1:2" x14ac:dyDescent="0.25">
      <c r="A5586">
        <f ca="1">29172.7071524337*((RANDBETWEEN(1587,2416)))</f>
        <v>57324369.554532297</v>
      </c>
      <c r="B5586">
        <v>245694486.47609651</v>
      </c>
    </row>
    <row r="5587" spans="1:2" x14ac:dyDescent="0.25">
      <c r="A5587">
        <f ca="1">27732.939468082*((RANDBETWEEN(1587,2416)))</f>
        <v>61594858.558610052</v>
      </c>
      <c r="B5587">
        <v>230520330.71712971</v>
      </c>
    </row>
    <row r="5588" spans="1:2" x14ac:dyDescent="0.25">
      <c r="A5588">
        <f ca="1">27640.0946131676*((RANDBETWEEN(1587,2416)))</f>
        <v>44804593.367944665</v>
      </c>
      <c r="B5588">
        <v>237326528.3171224</v>
      </c>
    </row>
    <row r="5589" spans="1:2" x14ac:dyDescent="0.25">
      <c r="A5589">
        <f ca="1">26081.5737102834*((RANDBETWEEN(1587,2416)))</f>
        <v>56492688.65647389</v>
      </c>
      <c r="B5589">
        <v>206801683.33438975</v>
      </c>
    </row>
    <row r="5590" spans="1:2" x14ac:dyDescent="0.25">
      <c r="A5590">
        <f ca="1">25111.5610181589*((RANDBETWEEN(1587,2416)))</f>
        <v>41710302.851161867</v>
      </c>
      <c r="B5590">
        <v>236128806.83497021</v>
      </c>
    </row>
    <row r="5591" spans="1:2" x14ac:dyDescent="0.25">
      <c r="A5591">
        <f ca="1">30021.5397335839*((RANDBETWEEN(1587,2416)))</f>
        <v>59412627.132762589</v>
      </c>
      <c r="B5591">
        <v>208152232.00698736</v>
      </c>
    </row>
    <row r="5592" spans="1:2" x14ac:dyDescent="0.25">
      <c r="A5592">
        <f ca="1">27318.460286871*((RANDBETWEEN(1587,2416)))</f>
        <v>43928084.141288586</v>
      </c>
      <c r="B5592">
        <v>233439509.64532548</v>
      </c>
    </row>
    <row r="5593" spans="1:2" x14ac:dyDescent="0.25">
      <c r="A5593">
        <f ca="1">27156.9860353598*((RANDBETWEEN(1587,2416)))</f>
        <v>48583848.017258681</v>
      </c>
      <c r="B5593">
        <v>237588751.80944082</v>
      </c>
    </row>
    <row r="5594" spans="1:2" x14ac:dyDescent="0.25">
      <c r="A5594">
        <f ca="1">29663.7449197768*((RANDBETWEEN(1587,2416)))</f>
        <v>49835091.465225041</v>
      </c>
      <c r="B5594">
        <v>263303881.8122673</v>
      </c>
    </row>
    <row r="5595" spans="1:2" x14ac:dyDescent="0.25">
      <c r="A5595">
        <f ca="1">32603.8047544404*((RANDBETWEEN(1587,2416)))</f>
        <v>51937860.973823532</v>
      </c>
      <c r="B5595">
        <v>260812529.12396562</v>
      </c>
    </row>
    <row r="5596" spans="1:2" x14ac:dyDescent="0.25">
      <c r="A5596">
        <f ca="1">31452.9895499264*((RANDBETWEEN(1587,2416)))</f>
        <v>61836577.455155395</v>
      </c>
      <c r="B5596">
        <v>262427840.89455754</v>
      </c>
    </row>
    <row r="5597" spans="1:2" x14ac:dyDescent="0.25">
      <c r="A5597">
        <f ca="1">30410.10619841*((RANDBETWEEN(1587,2416)))</f>
        <v>55863365.086479157</v>
      </c>
      <c r="B5597">
        <v>232081155.16037449</v>
      </c>
    </row>
    <row r="5598" spans="1:2" x14ac:dyDescent="0.25">
      <c r="A5598">
        <f ca="1">30169.0819303847*((RANDBETWEEN(1587,2416)))</f>
        <v>63113719.398364872</v>
      </c>
      <c r="B5598">
        <v>206394311.80562931</v>
      </c>
    </row>
    <row r="5599" spans="1:2" x14ac:dyDescent="0.25">
      <c r="A5599">
        <f ca="1">30929.5217621805*((RANDBETWEEN(1587,2416)))</f>
        <v>57776346.651753128</v>
      </c>
      <c r="B5599">
        <v>230428675.90822154</v>
      </c>
    </row>
    <row r="5600" spans="1:2" x14ac:dyDescent="0.25">
      <c r="A5600">
        <f ca="1">27534.3291040135*((RANDBETWEEN(1587,2416)))</f>
        <v>58290174.713196658</v>
      </c>
      <c r="B5600">
        <v>255059995.99835718</v>
      </c>
    </row>
    <row r="5601" spans="1:2" x14ac:dyDescent="0.25">
      <c r="A5601">
        <f ca="1">29224.4774601588*((RANDBETWEEN(1587,2416)))</f>
        <v>66193441.447259694</v>
      </c>
      <c r="B5601">
        <v>237449326.87887818</v>
      </c>
    </row>
    <row r="5602" spans="1:2" x14ac:dyDescent="0.25">
      <c r="A5602">
        <f ca="1">28237.8290814909*((RANDBETWEEN(1587,2416)))</f>
        <v>64212823.331310317</v>
      </c>
      <c r="B5602">
        <v>239924574.32186532</v>
      </c>
    </row>
    <row r="5603" spans="1:2" x14ac:dyDescent="0.25">
      <c r="A5603">
        <f ca="1">28483.4788529529*((RANDBETWEEN(1587,2416)))</f>
        <v>66907691.825586371</v>
      </c>
      <c r="B5603">
        <v>234410045.45636299</v>
      </c>
    </row>
    <row r="5604" spans="1:2" x14ac:dyDescent="0.25">
      <c r="A5604">
        <f ca="1">31916.6829843762*((RANDBETWEEN(1587,2416)))</f>
        <v>76568122.479518548</v>
      </c>
      <c r="B5604">
        <v>264800955.24232432</v>
      </c>
    </row>
    <row r="5605" spans="1:2" x14ac:dyDescent="0.25">
      <c r="A5605">
        <f ca="1">28253.3878250036*((RANDBETWEEN(1587,2416)))</f>
        <v>55659174.015257068</v>
      </c>
      <c r="B5605">
        <v>247152202.7726948</v>
      </c>
    </row>
    <row r="5606" spans="1:2" x14ac:dyDescent="0.25">
      <c r="A5606">
        <f ca="1">28434.365383914*((RANDBETWEEN(1587,2416)))</f>
        <v>63692978.459967472</v>
      </c>
      <c r="B5606">
        <v>222469041.90262014</v>
      </c>
    </row>
    <row r="5607" spans="1:2" x14ac:dyDescent="0.25">
      <c r="A5607">
        <f ca="1">35198.0391541165*((RANDBETWEEN(1587,2416)))</f>
        <v>60927805.775775626</v>
      </c>
      <c r="B5607">
        <v>214770666.84384775</v>
      </c>
    </row>
    <row r="5608" spans="1:2" x14ac:dyDescent="0.25">
      <c r="A5608">
        <f ca="1">31224.0769880183*((RANDBETWEEN(1587,2416)))</f>
        <v>55016823.652888328</v>
      </c>
      <c r="B5608">
        <v>249371676.10890412</v>
      </c>
    </row>
    <row r="5609" spans="1:2" x14ac:dyDescent="0.25">
      <c r="A5609">
        <f ca="1">28841.5004858953*((RANDBETWEEN(1587,2416)))</f>
        <v>46492498.783263266</v>
      </c>
      <c r="B5609">
        <v>235950313.13050896</v>
      </c>
    </row>
    <row r="5610" spans="1:2" x14ac:dyDescent="0.25">
      <c r="A5610">
        <f ca="1">30521.1878306858*((RANDBETWEEN(1587,2416)))</f>
        <v>71022804.082005829</v>
      </c>
      <c r="B5610">
        <v>259096868.81140059</v>
      </c>
    </row>
    <row r="5611" spans="1:2" x14ac:dyDescent="0.25">
      <c r="A5611">
        <f ca="1">33623.3154484568*((RANDBETWEEN(1587,2416)))</f>
        <v>73904047.355708122</v>
      </c>
      <c r="B5611">
        <v>255108510.35669473</v>
      </c>
    </row>
    <row r="5612" spans="1:2" x14ac:dyDescent="0.25">
      <c r="A5612">
        <f ca="1">34244.7476971399*((RANDBETWEEN(1587,2416)))</f>
        <v>80509401.835975781</v>
      </c>
      <c r="B5612">
        <v>220027823.58851212</v>
      </c>
    </row>
    <row r="5613" spans="1:2" x14ac:dyDescent="0.25">
      <c r="A5613">
        <f ca="1">33038.2599842553*((RANDBETWEEN(1587,2416)))</f>
        <v>66836399.948148422</v>
      </c>
      <c r="B5613">
        <v>263829704.56704274</v>
      </c>
    </row>
    <row r="5614" spans="1:2" x14ac:dyDescent="0.25">
      <c r="A5614">
        <f ca="1">32385.5238526805*((RANDBETWEEN(1587,2416)))</f>
        <v>72867428.668531165</v>
      </c>
      <c r="B5614">
        <v>228989415.5342834</v>
      </c>
    </row>
    <row r="5615" spans="1:2" x14ac:dyDescent="0.25">
      <c r="A5615">
        <f ca="1">33666.7367297401*((RANDBETWEEN(1587,2416)))</f>
        <v>58142454.332261175</v>
      </c>
      <c r="B5615">
        <v>267690192.60829502</v>
      </c>
    </row>
    <row r="5616" spans="1:2" x14ac:dyDescent="0.25">
      <c r="A5616">
        <f ca="1">33798.6409686973*((RANDBETWEEN(1587,2416)))</f>
        <v>73038863.133354977</v>
      </c>
      <c r="B5616">
        <v>220268028.39785159</v>
      </c>
    </row>
    <row r="5617" spans="1:2" x14ac:dyDescent="0.25">
      <c r="A5617">
        <f ca="1">29709.6071506758*((RANDBETWEEN(1587,2416)))</f>
        <v>52675133.478148244</v>
      </c>
      <c r="B5617">
        <v>263837967.97481793</v>
      </c>
    </row>
    <row r="5618" spans="1:2" x14ac:dyDescent="0.25">
      <c r="A5618">
        <f ca="1">31046.4194852544*((RANDBETWEEN(1587,2416)))</f>
        <v>65880502.147709802</v>
      </c>
      <c r="B5618">
        <v>230229794.9217878</v>
      </c>
    </row>
    <row r="5619" spans="1:2" x14ac:dyDescent="0.25">
      <c r="A5619">
        <f ca="1">32755.7642880084*((RANDBETWEEN(1587,2416)))</f>
        <v>68066478.190481365</v>
      </c>
      <c r="B5619">
        <v>232910586.09179538</v>
      </c>
    </row>
    <row r="5620" spans="1:2" x14ac:dyDescent="0.25">
      <c r="A5620">
        <f ca="1">30674.8672563318*((RANDBETWEEN(1587,2416)))</f>
        <v>68803727.255952254</v>
      </c>
      <c r="B5620">
        <v>238941804.39559498</v>
      </c>
    </row>
    <row r="5621" spans="1:2" x14ac:dyDescent="0.25">
      <c r="A5621">
        <f ca="1">31858.9289512398*((RANDBETWEEN(1587,2416)))</f>
        <v>58492993.554476202</v>
      </c>
      <c r="B5621">
        <v>233715302.74318334</v>
      </c>
    </row>
    <row r="5622" spans="1:2" x14ac:dyDescent="0.25">
      <c r="A5622">
        <f ca="1">28152.0777374418*((RANDBETWEEN(1587,2416)))</f>
        <v>65425428.661814786</v>
      </c>
      <c r="B5622">
        <v>258795097.47489157</v>
      </c>
    </row>
    <row r="5623" spans="1:2" x14ac:dyDescent="0.25">
      <c r="A5623">
        <f ca="1">34095.7812799648*((RANDBETWEEN(1587,2416)))</f>
        <v>71123799.750006616</v>
      </c>
      <c r="B5623">
        <v>259977660.28666064</v>
      </c>
    </row>
    <row r="5624" spans="1:2" x14ac:dyDescent="0.25">
      <c r="A5624">
        <f ca="1">33003.2367306098*((RANDBETWEEN(1587,2416)))</f>
        <v>56204512.152228504</v>
      </c>
      <c r="B5624">
        <v>206380458.61172113</v>
      </c>
    </row>
    <row r="5625" spans="1:2" x14ac:dyDescent="0.25">
      <c r="A5625">
        <f ca="1">30405.4369899659*((RANDBETWEEN(1587,2416)))</f>
        <v>58196006.398794718</v>
      </c>
      <c r="B5625">
        <v>212455959.84872359</v>
      </c>
    </row>
    <row r="5626" spans="1:2" x14ac:dyDescent="0.25">
      <c r="A5626">
        <f ca="1">28890.5666755359*((RANDBETWEEN(1587,2416)))</f>
        <v>69395141.154637188</v>
      </c>
      <c r="B5626">
        <v>267357728.94420105</v>
      </c>
    </row>
    <row r="5627" spans="1:2" x14ac:dyDescent="0.25">
      <c r="A5627">
        <f ca="1">30802.594589053*((RANDBETWEEN(1587,2416)))</f>
        <v>50516255.126047</v>
      </c>
      <c r="B5627">
        <v>248752585.05930534</v>
      </c>
    </row>
    <row r="5628" spans="1:2" x14ac:dyDescent="0.25">
      <c r="A5628">
        <f ca="1">28185.9264382347*((RANDBETWEEN(1587,2416)))</f>
        <v>60458812.210013531</v>
      </c>
      <c r="B5628">
        <v>258926842.028467</v>
      </c>
    </row>
    <row r="5629" spans="1:2" x14ac:dyDescent="0.25">
      <c r="A5629">
        <f ca="1">31278.0684836552*((RANDBETWEEN(1587,2416)))</f>
        <v>59772388.87226516</v>
      </c>
      <c r="B5629">
        <v>220916207.24987286</v>
      </c>
    </row>
    <row r="5630" spans="1:2" x14ac:dyDescent="0.25">
      <c r="A5630">
        <f ca="1">27105.0172658826*((RANDBETWEEN(1587,2416)))</f>
        <v>59170252.691421673</v>
      </c>
      <c r="B5630">
        <v>212719040.9170714</v>
      </c>
    </row>
    <row r="5631" spans="1:2" x14ac:dyDescent="0.25">
      <c r="A5631">
        <f ca="1">27958.2177227739*((RANDBETWEEN(1587,2416)))</f>
        <v>54127109.511290193</v>
      </c>
      <c r="B5631">
        <v>240134386.2474125</v>
      </c>
    </row>
    <row r="5632" spans="1:2" x14ac:dyDescent="0.25">
      <c r="A5632">
        <f ca="1">29130.4769145504*((RANDBETWEEN(1587,2416)))</f>
        <v>66941835.949636854</v>
      </c>
      <c r="B5632">
        <v>213018746.15487948</v>
      </c>
    </row>
    <row r="5633" spans="1:2" x14ac:dyDescent="0.25">
      <c r="A5633">
        <f ca="1">31566.3331200517*((RANDBETWEEN(1587,2416)))</f>
        <v>70361356.524595261</v>
      </c>
      <c r="B5633">
        <v>236768751.02513179</v>
      </c>
    </row>
    <row r="5634" spans="1:2" x14ac:dyDescent="0.25">
      <c r="A5634">
        <f ca="1">27742.5941840637*((RANDBETWEEN(1587,2416)))</f>
        <v>61865985.030461989</v>
      </c>
      <c r="B5634">
        <v>216096243.11458102</v>
      </c>
    </row>
    <row r="5635" spans="1:2" x14ac:dyDescent="0.25">
      <c r="A5635">
        <f ca="1">29846.7479930352*((RANDBETWEEN(1587,2416)))</f>
        <v>62469243.549422689</v>
      </c>
      <c r="B5635">
        <v>249545686.15849596</v>
      </c>
    </row>
    <row r="5636" spans="1:2" x14ac:dyDescent="0.25">
      <c r="A5636">
        <f ca="1">32394.4831228769*((RANDBETWEEN(1587,2416)))</f>
        <v>58472042.036792837</v>
      </c>
      <c r="B5636">
        <v>256945491.21815938</v>
      </c>
    </row>
    <row r="5637" spans="1:2" x14ac:dyDescent="0.25">
      <c r="A5637">
        <f ca="1">28829.7815679161*((RANDBETWEEN(1587,2416)))</f>
        <v>62935413.162760854</v>
      </c>
      <c r="B5637">
        <v>233053807.19578302</v>
      </c>
    </row>
    <row r="5638" spans="1:2" x14ac:dyDescent="0.25">
      <c r="A5638">
        <f ca="1">30471.1394443021*((RANDBETWEEN(1587,2416)))</f>
        <v>70662572.371336669</v>
      </c>
      <c r="B5638">
        <v>244303801.84960601</v>
      </c>
    </row>
    <row r="5639" spans="1:2" x14ac:dyDescent="0.25">
      <c r="A5639">
        <f ca="1">29211.5461556843*((RANDBETWEEN(1587,2416)))</f>
        <v>63827228.350170277</v>
      </c>
      <c r="B5639">
        <v>234505892.67685688</v>
      </c>
    </row>
    <row r="5640" spans="1:2" x14ac:dyDescent="0.25">
      <c r="A5640">
        <f ca="1">29552.6900476406*((RANDBETWEEN(1587,2416)))</f>
        <v>55677268.049754985</v>
      </c>
      <c r="B5640">
        <v>230068261.03752875</v>
      </c>
    </row>
    <row r="5641" spans="1:2" x14ac:dyDescent="0.25">
      <c r="A5641">
        <f ca="1">28460.0667258473*((RANDBETWEEN(1587,2416)))</f>
        <v>48410573.500666253</v>
      </c>
      <c r="B5641">
        <v>219647117.83610302</v>
      </c>
    </row>
    <row r="5642" spans="1:2" x14ac:dyDescent="0.25">
      <c r="A5642">
        <f ca="1">29093.2976206823*((RANDBETWEEN(1587,2416)))</f>
        <v>54317186.657813892</v>
      </c>
      <c r="B5642">
        <v>211176356.63465029</v>
      </c>
    </row>
    <row r="5643" spans="1:2" x14ac:dyDescent="0.25">
      <c r="A5643">
        <f ca="1">30912.4494675371*((RANDBETWEEN(1587,2416)))</f>
        <v>61361212.193061113</v>
      </c>
      <c r="B5643">
        <v>250867477.34171692</v>
      </c>
    </row>
    <row r="5644" spans="1:2" x14ac:dyDescent="0.25">
      <c r="A5644">
        <f ca="1">30018.2452717699*((RANDBETWEEN(1587,2416)))</f>
        <v>57995249.865059383</v>
      </c>
      <c r="B5644">
        <v>260346546.44186398</v>
      </c>
    </row>
    <row r="5645" spans="1:2" x14ac:dyDescent="0.25">
      <c r="A5645">
        <f ca="1">28562.9201429728*((RANDBETWEEN(1587,2416)))</f>
        <v>58296920.011807524</v>
      </c>
      <c r="B5645">
        <v>222836892.71008712</v>
      </c>
    </row>
    <row r="5646" spans="1:2" x14ac:dyDescent="0.25">
      <c r="A5646">
        <f ca="1">31270.4070635382*((RANDBETWEEN(1587,2416)))</f>
        <v>56943411.262702979</v>
      </c>
      <c r="B5646">
        <v>215546835.99143124</v>
      </c>
    </row>
    <row r="5647" spans="1:2" x14ac:dyDescent="0.25">
      <c r="A5647">
        <f ca="1">32632.6396871454*((RANDBETWEEN(1587,2416)))</f>
        <v>76556172.706043005</v>
      </c>
      <c r="B5647">
        <v>236640161.79346129</v>
      </c>
    </row>
    <row r="5648" spans="1:2" x14ac:dyDescent="0.25">
      <c r="A5648">
        <f ca="1">26409.4301632207*((RANDBETWEEN(1587,2416)))</f>
        <v>62854443.788465187</v>
      </c>
      <c r="B5648">
        <v>256508131.60262144</v>
      </c>
    </row>
    <row r="5649" spans="1:2" x14ac:dyDescent="0.25">
      <c r="A5649">
        <f ca="1">31755.3313127743*((RANDBETWEEN(1587,2416)))</f>
        <v>69861728.888103426</v>
      </c>
      <c r="B5649">
        <v>257219940.71613437</v>
      </c>
    </row>
    <row r="5650" spans="1:2" x14ac:dyDescent="0.25">
      <c r="A5650">
        <f ca="1">28884.5985246332*((RANDBETWEEN(1587,2416)))</f>
        <v>48468356.32433445</v>
      </c>
      <c r="B5650">
        <v>255489057.38256243</v>
      </c>
    </row>
    <row r="5651" spans="1:2" x14ac:dyDescent="0.25">
      <c r="A5651">
        <f ca="1">30253.9722733418*((RANDBETWEEN(1587,2416)))</f>
        <v>70794295.119619787</v>
      </c>
      <c r="B5651">
        <v>265539070.46608496</v>
      </c>
    </row>
    <row r="5652" spans="1:2" x14ac:dyDescent="0.25">
      <c r="A5652">
        <f ca="1">25802.6028789666*((RANDBETWEEN(1587,2416)))</f>
        <v>52276073.432786256</v>
      </c>
      <c r="B5652">
        <v>214008098.52429435</v>
      </c>
    </row>
    <row r="5653" spans="1:2" x14ac:dyDescent="0.25">
      <c r="A5653">
        <f ca="1">31074.1726337086*((RANDBETWEEN(1587,2416)))</f>
        <v>49749750.386567533</v>
      </c>
      <c r="B5653">
        <v>220203392.99363381</v>
      </c>
    </row>
    <row r="5654" spans="1:2" x14ac:dyDescent="0.25">
      <c r="A5654">
        <f ca="1">31853.670590006*((RANDBETWEEN(1587,2416)))</f>
        <v>59375241.97977113</v>
      </c>
      <c r="B5654">
        <v>206395260.84322286</v>
      </c>
    </row>
    <row r="5655" spans="1:2" x14ac:dyDescent="0.25">
      <c r="A5655">
        <f ca="1">29395.3112846807*((RANDBETWEEN(1587,2416)))</f>
        <v>68020750.312751174</v>
      </c>
      <c r="B5655">
        <v>225372568.7528547</v>
      </c>
    </row>
    <row r="5656" spans="1:2" x14ac:dyDescent="0.25">
      <c r="A5656">
        <f ca="1">28386.807764736*((RANDBETWEEN(1587,2416)))</f>
        <v>67475442.056777358</v>
      </c>
      <c r="B5656">
        <v>228415671.97535855</v>
      </c>
    </row>
    <row r="5657" spans="1:2" x14ac:dyDescent="0.25">
      <c r="A5657">
        <f ca="1">29872.4995268047*((RANDBETWEEN(1587,2416)))</f>
        <v>58759206.569224797</v>
      </c>
      <c r="B5657">
        <v>207532872.29902208</v>
      </c>
    </row>
    <row r="5658" spans="1:2" x14ac:dyDescent="0.25">
      <c r="A5658">
        <f ca="1">31971.616056517*((RANDBETWEEN(1587,2416)))</f>
        <v>64742522.514446914</v>
      </c>
      <c r="B5658">
        <v>220866523.69196066</v>
      </c>
    </row>
    <row r="5659" spans="1:2" x14ac:dyDescent="0.25">
      <c r="A5659">
        <f ca="1">34232.0667007081*((RANDBETWEEN(1587,2416)))</f>
        <v>79007609.945234254</v>
      </c>
      <c r="B5659">
        <v>237689736.16997001</v>
      </c>
    </row>
    <row r="5660" spans="1:2" x14ac:dyDescent="0.25">
      <c r="A5660">
        <f ca="1">31902.2599607361*((RANDBETWEEN(1587,2416)))</f>
        <v>65208219.359744504</v>
      </c>
      <c r="B5660">
        <v>267295976.29835486</v>
      </c>
    </row>
    <row r="5661" spans="1:2" x14ac:dyDescent="0.25">
      <c r="A5661">
        <f ca="1">28263.6410412582*((RANDBETWEEN(1587,2416)))</f>
        <v>66447820.08799804</v>
      </c>
      <c r="B5661">
        <v>259104260.75350055</v>
      </c>
    </row>
    <row r="5662" spans="1:2" x14ac:dyDescent="0.25">
      <c r="A5662">
        <f ca="1">29288.4618763717*((RANDBETWEEN(1587,2416)))</f>
        <v>49966115.961090133</v>
      </c>
      <c r="B5662">
        <v>248674666.03685862</v>
      </c>
    </row>
    <row r="5663" spans="1:2" x14ac:dyDescent="0.25">
      <c r="A5663">
        <f ca="1">27338.3443604613*((RANDBETWEEN(1587,2416)))</f>
        <v>53009049.714934446</v>
      </c>
      <c r="B5663">
        <v>254011458.62408328</v>
      </c>
    </row>
    <row r="5664" spans="1:2" x14ac:dyDescent="0.25">
      <c r="A5664">
        <f ca="1">34104.3335327705*((RANDBETWEEN(1587,2416)))</f>
        <v>57568115.003316581</v>
      </c>
      <c r="B5664">
        <v>251721949.99994493</v>
      </c>
    </row>
    <row r="5665" spans="1:2" x14ac:dyDescent="0.25">
      <c r="A5665">
        <f ca="1">32592.4094411439*((RANDBETWEEN(1587,2416)))</f>
        <v>58144858.443000749</v>
      </c>
      <c r="B5665">
        <v>218742399.13760874</v>
      </c>
    </row>
    <row r="5666" spans="1:2" x14ac:dyDescent="0.25">
      <c r="A5666">
        <f ca="1">32365.5235906094*((RANDBETWEEN(1587,2416)))</f>
        <v>71948558.941924646</v>
      </c>
      <c r="B5666">
        <v>250254044.66569611</v>
      </c>
    </row>
    <row r="5667" spans="1:2" x14ac:dyDescent="0.25">
      <c r="A5667">
        <f ca="1">29417.4562377146*((RANDBETWEEN(1587,2416)))</f>
        <v>66895295.48456306</v>
      </c>
      <c r="B5667">
        <v>230735544.38947117</v>
      </c>
    </row>
    <row r="5668" spans="1:2" x14ac:dyDescent="0.25">
      <c r="A5668">
        <f ca="1">34086.5666614415*((RANDBETWEEN(1587,2416)))</f>
        <v>78603622.721284136</v>
      </c>
      <c r="B5668">
        <v>249426399.18842119</v>
      </c>
    </row>
    <row r="5669" spans="1:2" x14ac:dyDescent="0.25">
      <c r="A5669">
        <f ca="1">32807.5559829367*((RANDBETWEEN(1587,2416)))</f>
        <v>59250446.105183624</v>
      </c>
      <c r="B5669">
        <v>242003381.23623025</v>
      </c>
    </row>
    <row r="5670" spans="1:2" x14ac:dyDescent="0.25">
      <c r="A5670">
        <f ca="1">27847.3904581152*((RANDBETWEEN(1587,2416)))</f>
        <v>50626555.852853417</v>
      </c>
      <c r="B5670">
        <v>263662970.27346936</v>
      </c>
    </row>
    <row r="5671" spans="1:2" x14ac:dyDescent="0.25">
      <c r="A5671">
        <f ca="1">30610.8517390731*((RANDBETWEEN(1587,2416)))</f>
        <v>56293356.348155387</v>
      </c>
      <c r="B5671">
        <v>266713687.58954293</v>
      </c>
    </row>
    <row r="5672" spans="1:2" x14ac:dyDescent="0.25">
      <c r="A5672">
        <f ca="1">28025.8705552219*((RANDBETWEEN(1587,2416)))</f>
        <v>45850324.228342958</v>
      </c>
      <c r="B5672">
        <v>219248648.97357783</v>
      </c>
    </row>
    <row r="5673" spans="1:2" x14ac:dyDescent="0.25">
      <c r="A5673">
        <f ca="1">29706.9771482581*((RANDBETWEEN(1587,2416)))</f>
        <v>68979600.938255385</v>
      </c>
      <c r="B5673">
        <v>246902882.45960441</v>
      </c>
    </row>
    <row r="5674" spans="1:2" x14ac:dyDescent="0.25">
      <c r="A5674">
        <f ca="1">32843.7563563894*((RANDBETWEEN(1587,2416)))</f>
        <v>57410886.110968597</v>
      </c>
      <c r="B5674">
        <v>253490890.8880839</v>
      </c>
    </row>
    <row r="5675" spans="1:2" x14ac:dyDescent="0.25">
      <c r="A5675">
        <f ca="1">26720.6015263775*((RANDBETWEEN(1587,2416)))</f>
        <v>51437157.938276663</v>
      </c>
      <c r="B5675">
        <v>209093462.62315083</v>
      </c>
    </row>
    <row r="5676" spans="1:2" x14ac:dyDescent="0.25">
      <c r="A5676">
        <f ca="1">31828.4143123376*((RANDBETWEEN(1587,2416)))</f>
        <v>59869247.321507074</v>
      </c>
      <c r="B5676">
        <v>210345990.90733248</v>
      </c>
    </row>
    <row r="5677" spans="1:2" x14ac:dyDescent="0.25">
      <c r="A5677">
        <f ca="1">28194.2790268147*((RANDBETWEEN(1587,2416)))</f>
        <v>60138397.164195731</v>
      </c>
      <c r="B5677">
        <v>243043081.42325228</v>
      </c>
    </row>
    <row r="5678" spans="1:2" x14ac:dyDescent="0.25">
      <c r="A5678">
        <f ca="1">30482.0752898695*((RANDBETWEEN(1587,2416)))</f>
        <v>62640664.720681876</v>
      </c>
      <c r="B5678">
        <v>253911076.06254166</v>
      </c>
    </row>
    <row r="5679" spans="1:2" x14ac:dyDescent="0.25">
      <c r="A5679">
        <f ca="1">30975.6243338621*((RANDBETWEEN(1587,2416)))</f>
        <v>58481978.742331713</v>
      </c>
      <c r="B5679">
        <v>257880516.70190656</v>
      </c>
    </row>
    <row r="5680" spans="1:2" x14ac:dyDescent="0.25">
      <c r="A5680">
        <f ca="1">31305.7680212436*((RANDBETWEEN(1587,2416)))</f>
        <v>69154441.558927134</v>
      </c>
      <c r="B5680">
        <v>263146015.32100067</v>
      </c>
    </row>
    <row r="5681" spans="1:2" x14ac:dyDescent="0.25">
      <c r="A5681">
        <f ca="1">28487.0365594171*((RANDBETWEEN(1587,2416)))</f>
        <v>66260847.037204213</v>
      </c>
      <c r="B5681">
        <v>231171638.87221593</v>
      </c>
    </row>
    <row r="5682" spans="1:2" x14ac:dyDescent="0.25">
      <c r="A5682">
        <f ca="1">33204.3841819069*((RANDBETWEEN(1587,2416)))</f>
        <v>62158607.188529633</v>
      </c>
      <c r="B5682">
        <v>254694093.42386228</v>
      </c>
    </row>
    <row r="5683" spans="1:2" x14ac:dyDescent="0.25">
      <c r="A5683">
        <f ca="1">29849.3647350933*((RANDBETWEEN(1587,2416)))</f>
        <v>56982437.279293194</v>
      </c>
      <c r="B5683">
        <v>206701183.30799749</v>
      </c>
    </row>
    <row r="5684" spans="1:2" x14ac:dyDescent="0.25">
      <c r="A5684">
        <f ca="1">31559.1018374968*((RANDBETWEEN(1587,2416)))</f>
        <v>66021641.044043243</v>
      </c>
      <c r="B5684">
        <v>219280882.8810215</v>
      </c>
    </row>
    <row r="5685" spans="1:2" x14ac:dyDescent="0.25">
      <c r="A5685">
        <f ca="1">27771.7366142958*((RANDBETWEEN(1587,2416)))</f>
        <v>66124504.878638268</v>
      </c>
      <c r="B5685">
        <v>207037217.45968932</v>
      </c>
    </row>
    <row r="5686" spans="1:2" x14ac:dyDescent="0.25">
      <c r="A5686">
        <f ca="1">28248.0274638253*((RANDBETWEEN(1587,2416)))</f>
        <v>57654224.053667381</v>
      </c>
      <c r="B5686">
        <v>267882418.27836242</v>
      </c>
    </row>
    <row r="5687" spans="1:2" x14ac:dyDescent="0.25">
      <c r="A5687">
        <f ca="1">27887.308571375*((RANDBETWEEN(1587,2416)))</f>
        <v>45233214.502770238</v>
      </c>
      <c r="B5687">
        <v>254782201.24019456</v>
      </c>
    </row>
    <row r="5688" spans="1:2" x14ac:dyDescent="0.25">
      <c r="A5688">
        <f ca="1">31589.8634004482*((RANDBETWEEN(1587,2416)))</f>
        <v>52407583.38134364</v>
      </c>
      <c r="B5688">
        <v>227435239.4934662</v>
      </c>
    </row>
    <row r="5689" spans="1:2" x14ac:dyDescent="0.25">
      <c r="A5689">
        <f ca="1">27738.7962217858*((RANDBETWEEN(1587,2416)))</f>
        <v>65685469.45318874</v>
      </c>
      <c r="B5689">
        <v>242176593.50752017</v>
      </c>
    </row>
    <row r="5690" spans="1:2" x14ac:dyDescent="0.25">
      <c r="A5690">
        <f ca="1">26610.9238076333*((RANDBETWEEN(1587,2416)))</f>
        <v>54579004.729455926</v>
      </c>
      <c r="B5690">
        <v>214675035.68192953</v>
      </c>
    </row>
    <row r="5691" spans="1:2" x14ac:dyDescent="0.25">
      <c r="A5691">
        <f ca="1">32485.8329537719*((RANDBETWEEN(1587,2416)))</f>
        <v>74360071.631183788</v>
      </c>
      <c r="B5691">
        <v>217391374.53845972</v>
      </c>
    </row>
    <row r="5692" spans="1:2" x14ac:dyDescent="0.25">
      <c r="A5692">
        <f ca="1">29312.3641978344*((RANDBETWEEN(1587,2416)))</f>
        <v>65249322.704379275</v>
      </c>
      <c r="B5692">
        <v>216878529.88533998</v>
      </c>
    </row>
    <row r="5693" spans="1:2" x14ac:dyDescent="0.25">
      <c r="A5693">
        <f ca="1">32318.6621009132*((RANDBETWEEN(1587,2416)))</f>
        <v>53067243.169699423</v>
      </c>
      <c r="B5693">
        <v>240467899.81806365</v>
      </c>
    </row>
    <row r="5694" spans="1:2" x14ac:dyDescent="0.25">
      <c r="A5694">
        <f ca="1">28298.0221698547*((RANDBETWEEN(1587,2416)))</f>
        <v>46804928.668939739</v>
      </c>
      <c r="B5694">
        <v>218704080.39911759</v>
      </c>
    </row>
    <row r="5695" spans="1:2" x14ac:dyDescent="0.25">
      <c r="A5695">
        <f ca="1">27692.3211144037*((RANDBETWEEN(1587,2416)))</f>
        <v>63969261.774272449</v>
      </c>
      <c r="B5695">
        <v>235884723.01646215</v>
      </c>
    </row>
    <row r="5696" spans="1:2" x14ac:dyDescent="0.25">
      <c r="A5696">
        <f ca="1">26293.6163337786*((RANDBETWEEN(1587,2416)))</f>
        <v>51614368.863207325</v>
      </c>
      <c r="B5696">
        <v>259501625.08557755</v>
      </c>
    </row>
    <row r="5697" spans="1:2" x14ac:dyDescent="0.25">
      <c r="A5697">
        <f ca="1">33260.5649871427*((RANDBETWEEN(1587,2416)))</f>
        <v>78894060.149502471</v>
      </c>
      <c r="B5697">
        <v>204164442.91881353</v>
      </c>
    </row>
    <row r="5698" spans="1:2" x14ac:dyDescent="0.25">
      <c r="A5698">
        <f ca="1">32179.818730464*((RANDBETWEEN(1587,2416)))</f>
        <v>62621927.2494829</v>
      </c>
      <c r="B5698">
        <v>254487916.28399634</v>
      </c>
    </row>
    <row r="5699" spans="1:2" x14ac:dyDescent="0.25">
      <c r="A5699">
        <f ca="1">33144.7657566666*((RANDBETWEEN(1587,2416)))</f>
        <v>56047798.894523211</v>
      </c>
      <c r="B5699">
        <v>245872235.37342718</v>
      </c>
    </row>
    <row r="5700" spans="1:2" x14ac:dyDescent="0.25">
      <c r="A5700">
        <f ca="1">28058.2675861927*((RANDBETWEEN(1587,2416)))</f>
        <v>60549741.451003939</v>
      </c>
      <c r="B5700">
        <v>241199529.37820521</v>
      </c>
    </row>
    <row r="5701" spans="1:2" x14ac:dyDescent="0.25">
      <c r="A5701">
        <f ca="1">31209.5021398905*((RANDBETWEEN(1587,2416)))</f>
        <v>73779263.058701068</v>
      </c>
      <c r="B5701">
        <v>236201617.05146697</v>
      </c>
    </row>
    <row r="5702" spans="1:2" x14ac:dyDescent="0.25">
      <c r="A5702">
        <f ca="1">32731.7351970691*((RANDBETWEEN(1587,2416)))</f>
        <v>69391278.617786452</v>
      </c>
      <c r="B5702">
        <v>237026271.50458539</v>
      </c>
    </row>
    <row r="5703" spans="1:2" x14ac:dyDescent="0.25">
      <c r="A5703">
        <f ca="1">30611.0113523359*((RANDBETWEEN(1587,2416)))</f>
        <v>52712161.548722424</v>
      </c>
      <c r="B5703">
        <v>243890602.5157789</v>
      </c>
    </row>
    <row r="5704" spans="1:2" x14ac:dyDescent="0.25">
      <c r="A5704">
        <f ca="1">30837.5011201445*((RANDBETWEEN(1587,2416)))</f>
        <v>63309389.799656697</v>
      </c>
      <c r="B5704">
        <v>216269634.41206983</v>
      </c>
    </row>
    <row r="5705" spans="1:2" x14ac:dyDescent="0.25">
      <c r="A5705">
        <f ca="1">33536.8025715599*((RANDBETWEEN(1587,2416)))</f>
        <v>54430230.573641643</v>
      </c>
      <c r="B5705">
        <v>228328472.44557205</v>
      </c>
    </row>
    <row r="5706" spans="1:2" x14ac:dyDescent="0.25">
      <c r="A5706">
        <f ca="1">31560.6843862133*((RANDBETWEEN(1587,2416)))</f>
        <v>66908650.898772284</v>
      </c>
      <c r="B5706">
        <v>237759479.23145264</v>
      </c>
    </row>
    <row r="5707" spans="1:2" x14ac:dyDescent="0.25">
      <c r="A5707">
        <f ca="1">26741.920853125*((RANDBETWEEN(1587,2416)))</f>
        <v>44792717.428984441</v>
      </c>
      <c r="B5707">
        <v>250377114.52915183</v>
      </c>
    </row>
    <row r="5708" spans="1:2" x14ac:dyDescent="0.25">
      <c r="A5708">
        <f ca="1">34181.7899072915*((RANDBETWEEN(1587,2416)))</f>
        <v>77558481.299644455</v>
      </c>
      <c r="B5708">
        <v>245134419.93271253</v>
      </c>
    </row>
    <row r="5709" spans="1:2" x14ac:dyDescent="0.25">
      <c r="A5709">
        <f ca="1">34370.9417035881*((RANDBETWEEN(1587,2416)))</f>
        <v>67607642.330957875</v>
      </c>
      <c r="B5709">
        <v>217786914.61707699</v>
      </c>
    </row>
    <row r="5710" spans="1:2" x14ac:dyDescent="0.25">
      <c r="A5710">
        <f ca="1">27374.9355122585*((RANDBETWEEN(1587,2416)))</f>
        <v>62496977.774486199</v>
      </c>
      <c r="B5710">
        <v>267104664.42836976</v>
      </c>
    </row>
    <row r="5711" spans="1:2" x14ac:dyDescent="0.25">
      <c r="A5711">
        <f ca="1">27070.30440673*((RANDBETWEEN(1587,2416)))</f>
        <v>46994048.450083323</v>
      </c>
      <c r="B5711">
        <v>228234923.10871971</v>
      </c>
    </row>
    <row r="5712" spans="1:2" x14ac:dyDescent="0.25">
      <c r="A5712">
        <f ca="1">27100.675853428*((RANDBETWEEN(1587,2416)))</f>
        <v>52765015.886624321</v>
      </c>
      <c r="B5712">
        <v>211457337.06453919</v>
      </c>
    </row>
    <row r="5713" spans="1:2" x14ac:dyDescent="0.25">
      <c r="A5713">
        <f ca="1">27450.1065129356*((RANDBETWEEN(1587,2416)))</f>
        <v>53637508.126276068</v>
      </c>
      <c r="B5713">
        <v>208024592.68090728</v>
      </c>
    </row>
    <row r="5714" spans="1:2" x14ac:dyDescent="0.25">
      <c r="A5714">
        <f ca="1">31627.9077782387*((RANDBETWEEN(1587,2416)))</f>
        <v>76191629.837776959</v>
      </c>
      <c r="B5714">
        <v>240178732.51074719</v>
      </c>
    </row>
    <row r="5715" spans="1:2" x14ac:dyDescent="0.25">
      <c r="A5715">
        <f ca="1">31848.3045846864*((RANDBETWEEN(1587,2416)))</f>
        <v>66340018.44990176</v>
      </c>
      <c r="B5715">
        <v>213702352.59287119</v>
      </c>
    </row>
    <row r="5716" spans="1:2" x14ac:dyDescent="0.25">
      <c r="A5716">
        <f ca="1">28354.7989182573*((RANDBETWEEN(1587,2416)))</f>
        <v>54129311.134953238</v>
      </c>
      <c r="B5716">
        <v>246590345.78442335</v>
      </c>
    </row>
    <row r="5717" spans="1:2" x14ac:dyDescent="0.25">
      <c r="A5717">
        <f ca="1">30613.8995035149*((RANDBETWEEN(1587,2416)))</f>
        <v>57401061.569090456</v>
      </c>
      <c r="B5717">
        <v>261305182.90712741</v>
      </c>
    </row>
    <row r="5718" spans="1:2" x14ac:dyDescent="0.25">
      <c r="A5718">
        <f ca="1">32791.8659324421*((RANDBETWEEN(1587,2416)))</f>
        <v>60304241.449760996</v>
      </c>
      <c r="B5718">
        <v>263431252.00306067</v>
      </c>
    </row>
    <row r="5719" spans="1:2" x14ac:dyDescent="0.25">
      <c r="A5719">
        <f ca="1">27071.3254163526*((RANDBETWEEN(1587,2416)))</f>
        <v>64077827.260506652</v>
      </c>
      <c r="B5719">
        <v>240903574.65016598</v>
      </c>
    </row>
    <row r="5720" spans="1:2" x14ac:dyDescent="0.25">
      <c r="A5720">
        <f ca="1">31075.6093381245*((RANDBETWEEN(1587,2416)))</f>
        <v>54910601.70046594</v>
      </c>
      <c r="B5720">
        <v>252591793.29018429</v>
      </c>
    </row>
    <row r="5721" spans="1:2" x14ac:dyDescent="0.25">
      <c r="A5721">
        <f ca="1">31226.2266233674*((RANDBETWEEN(1587,2416)))</f>
        <v>57737293.026606336</v>
      </c>
      <c r="B5721">
        <v>205187768.96973714</v>
      </c>
    </row>
    <row r="5722" spans="1:2" x14ac:dyDescent="0.25">
      <c r="A5722">
        <f ca="1">32873.8432929709*((RANDBETWEEN(1587,2416)))</f>
        <v>73933273.565891653</v>
      </c>
      <c r="B5722">
        <v>257342327.86804983</v>
      </c>
    </row>
    <row r="5723" spans="1:2" x14ac:dyDescent="0.25">
      <c r="A5723">
        <f ca="1">29999.9406760047*((RANDBETWEEN(1587,2416)))</f>
        <v>55409890.428580716</v>
      </c>
      <c r="B5723">
        <v>216465459.63801801</v>
      </c>
    </row>
    <row r="5724" spans="1:2" x14ac:dyDescent="0.25">
      <c r="A5724">
        <f ca="1">30809.1706878679*((RANDBETWEEN(1587,2416)))</f>
        <v>58044477.575943053</v>
      </c>
      <c r="B5724">
        <v>264690513.39820316</v>
      </c>
    </row>
    <row r="5725" spans="1:2" x14ac:dyDescent="0.25">
      <c r="A5725">
        <f ca="1">32818.9974039183*((RANDBETWEEN(1587,2416)))</f>
        <v>53396508.776175089</v>
      </c>
      <c r="B5725">
        <v>220037817.83762068</v>
      </c>
    </row>
    <row r="5726" spans="1:2" x14ac:dyDescent="0.25">
      <c r="A5726">
        <f ca="1">30152.3760278301*((RANDBETWEEN(1587,2416)))</f>
        <v>68144369.822896078</v>
      </c>
      <c r="B5726">
        <v>254600082.887281</v>
      </c>
    </row>
    <row r="5727" spans="1:2" x14ac:dyDescent="0.25">
      <c r="A5727">
        <f ca="1">28650.7723874425*((RANDBETWEEN(1587,2416)))</f>
        <v>62573286.894174471</v>
      </c>
      <c r="B5727">
        <v>242466216.0838941</v>
      </c>
    </row>
    <row r="5728" spans="1:2" x14ac:dyDescent="0.25">
      <c r="A5728">
        <f ca="1">29004.372959705*((RANDBETWEEN(1587,2416)))</f>
        <v>66333000.958845384</v>
      </c>
      <c r="B5728">
        <v>214566492.6939905</v>
      </c>
    </row>
    <row r="5729" spans="1:2" x14ac:dyDescent="0.25">
      <c r="A5729">
        <f ca="1">31654.4417772313*((RANDBETWEEN(1587,2416)))</f>
        <v>66537636.61574024</v>
      </c>
      <c r="B5729">
        <v>251335364.64011621</v>
      </c>
    </row>
    <row r="5730" spans="1:2" x14ac:dyDescent="0.25">
      <c r="A5730">
        <f ca="1">30082.7596200341*((RANDBETWEEN(1587,2416)))</f>
        <v>60195601.999688171</v>
      </c>
      <c r="B5730">
        <v>243770887.43304384</v>
      </c>
    </row>
    <row r="5731" spans="1:2" x14ac:dyDescent="0.25">
      <c r="A5731">
        <f ca="1">30553.5293357046*((RANDBETWEEN(1587,2416)))</f>
        <v>69906475.120092094</v>
      </c>
      <c r="B5731">
        <v>224011506.19194716</v>
      </c>
    </row>
    <row r="5732" spans="1:2" x14ac:dyDescent="0.25">
      <c r="A5732">
        <f ca="1">30395.8229698729*((RANDBETWEEN(1587,2416)))</f>
        <v>66323685.720262654</v>
      </c>
      <c r="B5732">
        <v>232350425.78819531</v>
      </c>
    </row>
    <row r="5733" spans="1:2" x14ac:dyDescent="0.25">
      <c r="A5733">
        <f ca="1">27794.2126958927*((RANDBETWEEN(1587,2416)))</f>
        <v>55171512.201347083</v>
      </c>
      <c r="B5733">
        <v>239387555.86827379</v>
      </c>
    </row>
    <row r="5734" spans="1:2" x14ac:dyDescent="0.25">
      <c r="A5734">
        <f ca="1">32509.938142779*((RANDBETWEEN(1587,2416)))</f>
        <v>66580353.316411301</v>
      </c>
      <c r="B5734">
        <v>264931552.97803098</v>
      </c>
    </row>
    <row r="5735" spans="1:2" x14ac:dyDescent="0.25">
      <c r="A5735">
        <f ca="1">30622.0407906731*((RANDBETWEEN(1587,2416)))</f>
        <v>66143608.107853837</v>
      </c>
      <c r="B5735">
        <v>264266799.47200176</v>
      </c>
    </row>
    <row r="5736" spans="1:2" x14ac:dyDescent="0.25">
      <c r="A5736">
        <f ca="1">33028.9411948371*((RANDBETWEEN(1587,2416)))</f>
        <v>57371270.855432004</v>
      </c>
      <c r="B5736">
        <v>249737184.00989124</v>
      </c>
    </row>
    <row r="5737" spans="1:2" x14ac:dyDescent="0.25">
      <c r="A5737">
        <f ca="1">30955.4381023091*((RANDBETWEEN(1587,2416)))</f>
        <v>64108712.309882119</v>
      </c>
      <c r="B5737">
        <v>267513628.24707627</v>
      </c>
    </row>
    <row r="5738" spans="1:2" x14ac:dyDescent="0.25">
      <c r="A5738">
        <f ca="1">29471.0506609688*((RANDBETWEEN(1587,2416)))</f>
        <v>50631265.035544343</v>
      </c>
      <c r="B5738">
        <v>251478213.98697895</v>
      </c>
    </row>
    <row r="5739" spans="1:2" x14ac:dyDescent="0.25">
      <c r="A5739">
        <f ca="1">30674.7023668423*((RANDBETWEEN(1587,2416)))</f>
        <v>63895405.030132607</v>
      </c>
      <c r="B5739">
        <v>206582775.84478372</v>
      </c>
    </row>
    <row r="5740" spans="1:2" x14ac:dyDescent="0.25">
      <c r="A5740">
        <f ca="1">27252.8039906629*((RANDBETWEEN(1587,2416)))</f>
        <v>45920974.724267051</v>
      </c>
      <c r="B5740">
        <v>213908481.95159307</v>
      </c>
    </row>
    <row r="5741" spans="1:2" x14ac:dyDescent="0.25">
      <c r="A5741">
        <f ca="1">31345.9054055865*((RANDBETWEEN(1587,2416)))</f>
        <v>72910575.97339429</v>
      </c>
      <c r="B5741">
        <v>227821492.97244391</v>
      </c>
    </row>
    <row r="5742" spans="1:2" x14ac:dyDescent="0.25">
      <c r="A5742">
        <f ca="1">29473.9512135682*((RANDBETWEEN(1587,2416)))</f>
        <v>55912085.452138871</v>
      </c>
      <c r="B5742">
        <v>238970225.42528519</v>
      </c>
    </row>
    <row r="5743" spans="1:2" x14ac:dyDescent="0.25">
      <c r="A5743">
        <f ca="1">29936.470531782*((RANDBETWEEN(1587,2416)))</f>
        <v>55831517.541773364</v>
      </c>
      <c r="B5743">
        <v>210756463.95625684</v>
      </c>
    </row>
    <row r="5744" spans="1:2" x14ac:dyDescent="0.25">
      <c r="A5744">
        <f ca="1">30897.1130707682*((RANDBETWEEN(1587,2416)))</f>
        <v>71928479.228748322</v>
      </c>
      <c r="B5744">
        <v>231195727.77019924</v>
      </c>
    </row>
    <row r="5745" spans="1:2" x14ac:dyDescent="0.25">
      <c r="A5745">
        <f ca="1">30645.7467411965*((RANDBETWEEN(1587,2416)))</f>
        <v>70301343.024304733</v>
      </c>
      <c r="B5745">
        <v>249763821.93499905</v>
      </c>
    </row>
    <row r="5746" spans="1:2" x14ac:dyDescent="0.25">
      <c r="A5746">
        <f ca="1">31804.9955582981*((RANDBETWEEN(1587,2416)))</f>
        <v>61797106.369773202</v>
      </c>
      <c r="B5746">
        <v>223703793.90538102</v>
      </c>
    </row>
    <row r="5747" spans="1:2" x14ac:dyDescent="0.25">
      <c r="A5747">
        <f ca="1">30920.3363336528*((RANDBETWEEN(1587,2416)))</f>
        <v>62551840.402979515</v>
      </c>
      <c r="B5747">
        <v>208791491.18152389</v>
      </c>
    </row>
    <row r="5748" spans="1:2" x14ac:dyDescent="0.25">
      <c r="A5748">
        <f ca="1">29858.4664672992*((RANDBETWEEN(1587,2416)))</f>
        <v>69152208.338264927</v>
      </c>
      <c r="B5748">
        <v>218837617.25169432</v>
      </c>
    </row>
    <row r="5749" spans="1:2" x14ac:dyDescent="0.25">
      <c r="A5749">
        <f ca="1">30711.4108255207*((RANDBETWEEN(1587,2416)))</f>
        <v>61115707.542786203</v>
      </c>
      <c r="B5749">
        <v>244022285.13620448</v>
      </c>
    </row>
    <row r="5750" spans="1:2" x14ac:dyDescent="0.25">
      <c r="A5750">
        <f ca="1">30262.767136154*((RANDBETWEEN(1587,2416)))</f>
        <v>65276788.712684132</v>
      </c>
      <c r="B5750">
        <v>211322149.4666025</v>
      </c>
    </row>
    <row r="5751" spans="1:2" x14ac:dyDescent="0.25">
      <c r="A5751">
        <f ca="1">30278.0755589371*((RANDBETWEEN(1587,2416)))</f>
        <v>59708365.002224028</v>
      </c>
      <c r="B5751">
        <v>257221571.43733487</v>
      </c>
    </row>
    <row r="5752" spans="1:2" x14ac:dyDescent="0.25">
      <c r="A5752">
        <f ca="1">30730.2227742205*((RANDBETWEEN(1587,2416)))</f>
        <v>53962271.191531166</v>
      </c>
      <c r="B5752">
        <v>238748076.40394539</v>
      </c>
    </row>
    <row r="5753" spans="1:2" x14ac:dyDescent="0.25">
      <c r="A5753">
        <f ca="1">29626.6056866701*((RANDBETWEEN(1587,2416)))</f>
        <v>57594121.45488669</v>
      </c>
      <c r="B5753">
        <v>214088698.72959277</v>
      </c>
    </row>
    <row r="5754" spans="1:2" x14ac:dyDescent="0.25">
      <c r="A5754">
        <f ca="1">29547.7027223928*((RANDBETWEEN(1587,2416)))</f>
        <v>48665066.383780919</v>
      </c>
      <c r="B5754">
        <v>259323306.61739919</v>
      </c>
    </row>
    <row r="5755" spans="1:2" x14ac:dyDescent="0.25">
      <c r="A5755">
        <f ca="1">28862.6924674675*((RANDBETWEEN(1587,2416)))</f>
        <v>58677853.786361501</v>
      </c>
      <c r="B5755">
        <v>207535609.82890689</v>
      </c>
    </row>
    <row r="5756" spans="1:2" x14ac:dyDescent="0.25">
      <c r="A5756">
        <f ca="1">31435.0091221351*((RANDBETWEEN(1587,2416)))</f>
        <v>62178448.043583274</v>
      </c>
      <c r="B5756">
        <v>221669211.77998731</v>
      </c>
    </row>
    <row r="5757" spans="1:2" x14ac:dyDescent="0.25">
      <c r="A5757">
        <f ca="1">32020.5116950655*((RANDBETWEEN(1587,2416)))</f>
        <v>74223546.109161824</v>
      </c>
      <c r="B5757">
        <v>222359344.41287521</v>
      </c>
    </row>
    <row r="5758" spans="1:2" x14ac:dyDescent="0.25">
      <c r="A5758">
        <f ca="1">26684.3316705211*((RANDBETWEEN(1587,2416)))</f>
        <v>56917679.453221522</v>
      </c>
      <c r="B5758">
        <v>227118274.10538733</v>
      </c>
    </row>
    <row r="5759" spans="1:2" x14ac:dyDescent="0.25">
      <c r="A5759">
        <f ca="1">30859.4380396047*((RANDBETWEEN(1587,2416)))</f>
        <v>68723968.514199674</v>
      </c>
      <c r="B5759">
        <v>209792140.83189839</v>
      </c>
    </row>
    <row r="5760" spans="1:2" x14ac:dyDescent="0.25">
      <c r="A5760">
        <f ca="1">27976.9652186204*((RANDBETWEEN(1587,2416)))</f>
        <v>48344195.897776037</v>
      </c>
      <c r="B5760">
        <v>233863711.33792281</v>
      </c>
    </row>
    <row r="5761" spans="1:2" x14ac:dyDescent="0.25">
      <c r="A5761">
        <f ca="1">31403.7530698633*((RANDBETWEEN(1587,2416)))</f>
        <v>66418937.742760979</v>
      </c>
      <c r="B5761">
        <v>267627363.96152556</v>
      </c>
    </row>
    <row r="5762" spans="1:2" x14ac:dyDescent="0.25">
      <c r="A5762">
        <f ca="1">30640.9630793565*((RANDBETWEEN(1587,2416)))</f>
        <v>72435236.71959877</v>
      </c>
      <c r="B5762">
        <v>265654904.75744399</v>
      </c>
    </row>
    <row r="5763" spans="1:2" x14ac:dyDescent="0.25">
      <c r="A5763">
        <f ca="1">27376.650458899*((RANDBETWEEN(1587,2416)))</f>
        <v>59900111.204070941</v>
      </c>
      <c r="B5763">
        <v>262957465.38044488</v>
      </c>
    </row>
    <row r="5764" spans="1:2" x14ac:dyDescent="0.25">
      <c r="A5764">
        <f ca="1">28175.1765588773*((RANDBETWEEN(1587,2416)))</f>
        <v>56491229.000548959</v>
      </c>
      <c r="B5764">
        <v>266388230.37904671</v>
      </c>
    </row>
    <row r="5765" spans="1:2" x14ac:dyDescent="0.25">
      <c r="A5765">
        <f ca="1">30315.346567988*((RANDBETWEEN(1587,2416)))</f>
        <v>62176775.810943358</v>
      </c>
      <c r="B5765">
        <v>261964687.11727124</v>
      </c>
    </row>
    <row r="5766" spans="1:2" x14ac:dyDescent="0.25">
      <c r="A5766">
        <f ca="1">26891.7823757415*((RANDBETWEEN(1587,2416)))</f>
        <v>54617210.005131081</v>
      </c>
      <c r="B5766">
        <v>247148327.30471382</v>
      </c>
    </row>
    <row r="5767" spans="1:2" x14ac:dyDescent="0.25">
      <c r="A5767">
        <f ca="1">27721.2839855242*((RANDBETWEEN(1587,2416)))</f>
        <v>55165355.131193072</v>
      </c>
      <c r="B5767">
        <v>207127066.67152277</v>
      </c>
    </row>
    <row r="5768" spans="1:2" x14ac:dyDescent="0.25">
      <c r="A5768">
        <f ca="1">30599.68813353*((RANDBETWEEN(1587,2416)))</f>
        <v>61688971.277196579</v>
      </c>
      <c r="B5768">
        <v>267659882.62626401</v>
      </c>
    </row>
    <row r="5769" spans="1:2" x14ac:dyDescent="0.25">
      <c r="A5769">
        <f ca="1">33282.3169577896*((RANDBETWEEN(1587,2416)))</f>
        <v>54283458.958154798</v>
      </c>
      <c r="B5769">
        <v>218714592.28671581</v>
      </c>
    </row>
    <row r="5770" spans="1:2" x14ac:dyDescent="0.25">
      <c r="A5770">
        <f ca="1">31807.3854939536*((RANDBETWEEN(1587,2416)))</f>
        <v>51909653.126132339</v>
      </c>
      <c r="B5770">
        <v>236455763.82089376</v>
      </c>
    </row>
    <row r="5771" spans="1:2" x14ac:dyDescent="0.25">
      <c r="A5771">
        <f ca="1">26329.2643460724*((RANDBETWEEN(1587,2416)))</f>
        <v>48050907.431582168</v>
      </c>
      <c r="B5771">
        <v>222670310.53153315</v>
      </c>
    </row>
    <row r="5772" spans="1:2" x14ac:dyDescent="0.25">
      <c r="A5772">
        <f ca="1">27803.1882093783*((RANDBETWEEN(1587,2416)))</f>
        <v>47877090.096549407</v>
      </c>
      <c r="B5772">
        <v>218679066.15360332</v>
      </c>
    </row>
    <row r="5773" spans="1:2" x14ac:dyDescent="0.25">
      <c r="A5773">
        <f ca="1">27143.1512006732*((RANDBETWEEN(1587,2416)))</f>
        <v>56457754.497400358</v>
      </c>
      <c r="B5773">
        <v>204104693.50782704</v>
      </c>
    </row>
    <row r="5774" spans="1:2" x14ac:dyDescent="0.25">
      <c r="A5774">
        <f ca="1">31777.3214313726*((RANDBETWEEN(1587,2416)))</f>
        <v>67367921.434509814</v>
      </c>
      <c r="B5774">
        <v>212838354.52821302</v>
      </c>
    </row>
    <row r="5775" spans="1:2" x14ac:dyDescent="0.25">
      <c r="A5775">
        <f ca="1">26442.8988145122*((RANDBETWEEN(1587,2416)))</f>
        <v>53679084.593459867</v>
      </c>
      <c r="B5775">
        <v>233620819.90702999</v>
      </c>
    </row>
    <row r="5776" spans="1:2" x14ac:dyDescent="0.25">
      <c r="A5776">
        <f ca="1">29647.8362429527*((RANDBETWEEN(1587,2416)))</f>
        <v>53277161.728586085</v>
      </c>
      <c r="B5776">
        <v>256944987.02375242</v>
      </c>
    </row>
    <row r="5777" spans="1:2" x14ac:dyDescent="0.25">
      <c r="A5777">
        <f ca="1">30807.1058473004*((RANDBETWEEN(1587,2416)))</f>
        <v>67375140.488045976</v>
      </c>
      <c r="B5777">
        <v>212685716.83384323</v>
      </c>
    </row>
    <row r="5778" spans="1:2" x14ac:dyDescent="0.25">
      <c r="A5778">
        <f ca="1">26714.2440201329*((RANDBETWEEN(1587,2416)))</f>
        <v>62244188.566909581</v>
      </c>
      <c r="B5778">
        <v>217094842.18951935</v>
      </c>
    </row>
    <row r="5779" spans="1:2" x14ac:dyDescent="0.25">
      <c r="A5779">
        <f ca="1">29575.6665505465*((RANDBETWEEN(1587,2416)))</f>
        <v>65450950.076359347</v>
      </c>
      <c r="B5779">
        <v>243378991.14088994</v>
      </c>
    </row>
    <row r="5780" spans="1:2" x14ac:dyDescent="0.25">
      <c r="A5780">
        <f ca="1">33130.0776921624*((RANDBETWEEN(1587,2416)))</f>
        <v>61920115.206651472</v>
      </c>
      <c r="B5780">
        <v>230635835.03408989</v>
      </c>
    </row>
    <row r="5781" spans="1:2" x14ac:dyDescent="0.25">
      <c r="A5781">
        <f ca="1">28926.6169158012*((RANDBETWEEN(1587,2416)))</f>
        <v>66704778.607837468</v>
      </c>
      <c r="B5781">
        <v>236813708.47654846</v>
      </c>
    </row>
    <row r="5782" spans="1:2" x14ac:dyDescent="0.25">
      <c r="A5782">
        <f ca="1">29217.8402188542*((RANDBETWEEN(1587,2416)))</f>
        <v>48063347.160015166</v>
      </c>
      <c r="B5782">
        <v>224865846.71255219</v>
      </c>
    </row>
    <row r="5783" spans="1:2" x14ac:dyDescent="0.25">
      <c r="A5783">
        <f ca="1">28766.8654605316*((RANDBETWEEN(1587,2416)))</f>
        <v>49450241.726653874</v>
      </c>
      <c r="B5783">
        <v>232934311.19266629</v>
      </c>
    </row>
    <row r="5784" spans="1:2" x14ac:dyDescent="0.25">
      <c r="A5784">
        <f ca="1">31413.3887587638*((RANDBETWEEN(1587,2416)))</f>
        <v>50010114.903951965</v>
      </c>
      <c r="B5784">
        <v>265183093.18283814</v>
      </c>
    </row>
    <row r="5785" spans="1:2" x14ac:dyDescent="0.25">
      <c r="A5785">
        <f ca="1">33477.5390053103*((RANDBETWEEN(1587,2416)))</f>
        <v>78973514.513527095</v>
      </c>
      <c r="B5785">
        <v>228074602.56336361</v>
      </c>
    </row>
    <row r="5786" spans="1:2" x14ac:dyDescent="0.25">
      <c r="A5786">
        <f ca="1">26843.8669187899*((RANDBETWEEN(1587,2416)))</f>
        <v>55808399.324164219</v>
      </c>
      <c r="B5786">
        <v>206868632.40668985</v>
      </c>
    </row>
    <row r="5787" spans="1:2" x14ac:dyDescent="0.25">
      <c r="A5787">
        <f ca="1">30466.5477012021*((RANDBETWEEN(1587,2416)))</f>
        <v>55906115.031705797</v>
      </c>
      <c r="B5787">
        <v>248924964.22973129</v>
      </c>
    </row>
    <row r="5788" spans="1:2" x14ac:dyDescent="0.25">
      <c r="A5788">
        <f ca="1">31164.5797004212*((RANDBETWEEN(1587,2416)))</f>
        <v>70681266.760555223</v>
      </c>
      <c r="B5788">
        <v>238507354.62242585</v>
      </c>
    </row>
    <row r="5789" spans="1:2" x14ac:dyDescent="0.25">
      <c r="A5789">
        <f ca="1">32488.4508360763*((RANDBETWEEN(1587,2416)))</f>
        <v>69980123.100908443</v>
      </c>
      <c r="B5789">
        <v>259169429.7075755</v>
      </c>
    </row>
    <row r="5790" spans="1:2" x14ac:dyDescent="0.25">
      <c r="A5790">
        <f ca="1">27342.3940224796*((RANDBETWEEN(1587,2416)))</f>
        <v>45853194.775698215</v>
      </c>
      <c r="B5790">
        <v>256168826.33726254</v>
      </c>
    </row>
    <row r="5791" spans="1:2" x14ac:dyDescent="0.25">
      <c r="A5791">
        <f ca="1">32554.0726148278*((RANDBETWEEN(1587,2416)))</f>
        <v>67028835.513930418</v>
      </c>
      <c r="B5791">
        <v>255851602.07041383</v>
      </c>
    </row>
    <row r="5792" spans="1:2" x14ac:dyDescent="0.25">
      <c r="A5792">
        <f ca="1">29306.076022323*((RANDBETWEEN(1587,2416)))</f>
        <v>66700629.026807249</v>
      </c>
      <c r="B5792">
        <v>240746491.19197312</v>
      </c>
    </row>
    <row r="5793" spans="1:2" x14ac:dyDescent="0.25">
      <c r="A5793">
        <f ca="1">30423.8635318008*((RANDBETWEEN(1587,2416)))</f>
        <v>51325057.778147928</v>
      </c>
      <c r="B5793">
        <v>252816892.11335364</v>
      </c>
    </row>
    <row r="5794" spans="1:2" x14ac:dyDescent="0.25">
      <c r="A5794">
        <f ca="1">29236.202143479*((RANDBETWEEN(1587,2416)))</f>
        <v>57390664.807649307</v>
      </c>
      <c r="B5794">
        <v>250981477.20846897</v>
      </c>
    </row>
    <row r="5795" spans="1:2" x14ac:dyDescent="0.25">
      <c r="A5795">
        <f ca="1">33428.7351247937*((RANDBETWEEN(1587,2416)))</f>
        <v>74813509.209288314</v>
      </c>
      <c r="B5795">
        <v>255250799.63412672</v>
      </c>
    </row>
    <row r="5796" spans="1:2" x14ac:dyDescent="0.25">
      <c r="A5796">
        <f ca="1">27718.2737208806*((RANDBETWEEN(1587,2416)))</f>
        <v>44986758.248989142</v>
      </c>
      <c r="B5796">
        <v>253312023.4393239</v>
      </c>
    </row>
    <row r="5797" spans="1:2" x14ac:dyDescent="0.25">
      <c r="A5797">
        <f ca="1">31098.4557189612*((RANDBETWEEN(1587,2416)))</f>
        <v>70189214.557695329</v>
      </c>
      <c r="B5797">
        <v>234136167.24680561</v>
      </c>
    </row>
    <row r="5798" spans="1:2" x14ac:dyDescent="0.25">
      <c r="A5798">
        <f ca="1">28240.2005412033*((RANDBETWEEN(1587,2416)))</f>
        <v>65291343.651261978</v>
      </c>
      <c r="B5798">
        <v>242853219.58417404</v>
      </c>
    </row>
    <row r="5799" spans="1:2" x14ac:dyDescent="0.25">
      <c r="A5799">
        <f ca="1">30696.0152394835*((RANDBETWEEN(1587,2416)))</f>
        <v>72596076.041378453</v>
      </c>
      <c r="B5799">
        <v>256264518.38426059</v>
      </c>
    </row>
    <row r="5800" spans="1:2" x14ac:dyDescent="0.25">
      <c r="A5800">
        <f ca="1">31193.3213705645*((RANDBETWEEN(1587,2416)))</f>
        <v>61014136.600824133</v>
      </c>
      <c r="B5800">
        <v>244683160.34783113</v>
      </c>
    </row>
    <row r="5801" spans="1:2" x14ac:dyDescent="0.25">
      <c r="A5801">
        <f ca="1">28038.022484342*((RANDBETWEEN(1587,2416)))</f>
        <v>65889352.838203683</v>
      </c>
      <c r="B5801">
        <v>218975588.09423968</v>
      </c>
    </row>
    <row r="5802" spans="1:2" x14ac:dyDescent="0.25">
      <c r="A5802">
        <f ca="1">29090.2634310519*((RANDBETWEEN(1587,2416)))</f>
        <v>63940399.021451972</v>
      </c>
      <c r="B5802">
        <v>259480121.24145824</v>
      </c>
    </row>
    <row r="5803" spans="1:2" x14ac:dyDescent="0.25">
      <c r="A5803">
        <f ca="1">29117.5663696144*((RANDBETWEEN(1587,2416)))</f>
        <v>50606330.350389875</v>
      </c>
      <c r="B5803">
        <v>237171227.76642257</v>
      </c>
    </row>
    <row r="5804" spans="1:2" x14ac:dyDescent="0.25">
      <c r="A5804">
        <f ca="1">30011.545690575*((RANDBETWEEN(1587,2416)))</f>
        <v>68696428.085726067</v>
      </c>
      <c r="B5804">
        <v>244902171.45902336</v>
      </c>
    </row>
    <row r="5805" spans="1:2" x14ac:dyDescent="0.25">
      <c r="A5805">
        <f ca="1">32886.5693294579*((RANDBETWEEN(1587,2416)))</f>
        <v>54361499.101593852</v>
      </c>
      <c r="B5805">
        <v>259992219.61623171</v>
      </c>
    </row>
    <row r="5806" spans="1:2" x14ac:dyDescent="0.25">
      <c r="A5806">
        <f ca="1">30370.8533619448*((RANDBETWEEN(1587,2416)))</f>
        <v>58372780.161657877</v>
      </c>
      <c r="B5806">
        <v>245357076.71764392</v>
      </c>
    </row>
    <row r="5807" spans="1:2" x14ac:dyDescent="0.25">
      <c r="A5807">
        <f ca="1">27150.9095792448*((RANDBETWEEN(1587,2416)))</f>
        <v>56935457.387676418</v>
      </c>
      <c r="B5807">
        <v>265284710.22015223</v>
      </c>
    </row>
    <row r="5808" spans="1:2" x14ac:dyDescent="0.25">
      <c r="A5808">
        <f ca="1">31923.2032844552*((RANDBETWEEN(1587,2416)))</f>
        <v>66400262.831666805</v>
      </c>
      <c r="B5808">
        <v>258529394.87735724</v>
      </c>
    </row>
    <row r="5809" spans="1:2" x14ac:dyDescent="0.25">
      <c r="A5809">
        <f ca="1">27124.0240889799*((RANDBETWEEN(1587,2416)))</f>
        <v>64934913.669017829</v>
      </c>
      <c r="B5809">
        <v>221332067.85235679</v>
      </c>
    </row>
    <row r="5810" spans="1:2" x14ac:dyDescent="0.25">
      <c r="A5810">
        <f ca="1">29649.4522522357*((RANDBETWEEN(1587,2416)))</f>
        <v>62827189.322487354</v>
      </c>
      <c r="B5810">
        <v>214045665.31184521</v>
      </c>
    </row>
    <row r="5811" spans="1:2" x14ac:dyDescent="0.25">
      <c r="A5811">
        <f ca="1">28206.168811062*((RANDBETWEEN(1587,2416)))</f>
        <v>49417207.756980605</v>
      </c>
      <c r="B5811">
        <v>228956913.17751029</v>
      </c>
    </row>
    <row r="5812" spans="1:2" x14ac:dyDescent="0.25">
      <c r="A5812">
        <f ca="1">32207.7360958905*((RANDBETWEEN(1587,2416)))</f>
        <v>71791043.757739976</v>
      </c>
      <c r="B5812">
        <v>244833410.76373252</v>
      </c>
    </row>
    <row r="5813" spans="1:2" x14ac:dyDescent="0.25">
      <c r="A5813">
        <f ca="1">31836.3018942289*((RANDBETWEEN(1587,2416)))</f>
        <v>73414512.168091848</v>
      </c>
      <c r="B5813">
        <v>245481373.51489469</v>
      </c>
    </row>
    <row r="5814" spans="1:2" x14ac:dyDescent="0.25">
      <c r="A5814">
        <f ca="1">26473.3520973311*((RANDBETWEEN(1587,2416)))</f>
        <v>49822848.647177167</v>
      </c>
      <c r="B5814">
        <v>260351625.02719969</v>
      </c>
    </row>
    <row r="5815" spans="1:2" x14ac:dyDescent="0.25">
      <c r="A5815">
        <f ca="1">27732.4114204217*((RANDBETWEEN(1587,2416)))</f>
        <v>45397957.495230377</v>
      </c>
      <c r="B5815">
        <v>212395000.86799467</v>
      </c>
    </row>
    <row r="5816" spans="1:2" x14ac:dyDescent="0.25">
      <c r="A5816">
        <f ca="1">26949.2827323102*((RANDBETWEEN(1587,2416)))</f>
        <v>46029374.906785853</v>
      </c>
      <c r="B5816">
        <v>213764954.28002831</v>
      </c>
    </row>
    <row r="5817" spans="1:2" x14ac:dyDescent="0.25">
      <c r="A5817">
        <f ca="1">32393.9438533464*((RANDBETWEEN(1587,2416)))</f>
        <v>54713371.168302052</v>
      </c>
      <c r="B5817">
        <v>259471427.88929418</v>
      </c>
    </row>
    <row r="5818" spans="1:2" x14ac:dyDescent="0.25">
      <c r="A5818">
        <f ca="1">31246.361123297*((RANDBETWEEN(1587,2416)))</f>
        <v>72210340.555939272</v>
      </c>
      <c r="B5818">
        <v>251420641.58853716</v>
      </c>
    </row>
    <row r="5819" spans="1:2" x14ac:dyDescent="0.25">
      <c r="A5819">
        <f ca="1">29965.4958383536*((RANDBETWEEN(1587,2416)))</f>
        <v>57833406.968022503</v>
      </c>
      <c r="B5819">
        <v>267080567.93573046</v>
      </c>
    </row>
    <row r="5820" spans="1:2" x14ac:dyDescent="0.25">
      <c r="A5820">
        <f ca="1">28196.9965990866*((RANDBETWEEN(1587,2416)))</f>
        <v>52897565.619886465</v>
      </c>
      <c r="B5820">
        <v>243254458.7309171</v>
      </c>
    </row>
    <row r="5821" spans="1:2" x14ac:dyDescent="0.25">
      <c r="A5821">
        <f ca="1">28030.3940268128*((RANDBETWEEN(1587,2416)))</f>
        <v>50763043.582558058</v>
      </c>
      <c r="B5821">
        <v>220405243.54047081</v>
      </c>
    </row>
    <row r="5822" spans="1:2" x14ac:dyDescent="0.25">
      <c r="A5822">
        <f ca="1">33266.2997925365*((RANDBETWEEN(1587,2416)))</f>
        <v>78275603.411838323</v>
      </c>
      <c r="B5822">
        <v>249378618.28334197</v>
      </c>
    </row>
    <row r="5823" spans="1:2" x14ac:dyDescent="0.25">
      <c r="A5823">
        <f ca="1">33361.4720238776*((RANDBETWEEN(1587,2416)))</f>
        <v>78132567.479921266</v>
      </c>
      <c r="B5823">
        <v>215431442.46200243</v>
      </c>
    </row>
    <row r="5824" spans="1:2" x14ac:dyDescent="0.25">
      <c r="A5824">
        <f ca="1">29922.8522853016*((RANDBETWEEN(1587,2416)))</f>
        <v>51766534.453571841</v>
      </c>
      <c r="B5824">
        <v>261568064.41842294</v>
      </c>
    </row>
    <row r="5825" spans="1:2" x14ac:dyDescent="0.25">
      <c r="A5825">
        <f ca="1">31026.6085945004*((RANDBETWEEN(1587,2416)))</f>
        <v>52062649.221571609</v>
      </c>
      <c r="B5825">
        <v>267749246.11233026</v>
      </c>
    </row>
    <row r="5826" spans="1:2" x14ac:dyDescent="0.25">
      <c r="A5826">
        <f ca="1">28993.3751194703*((RANDBETWEEN(1587,2416)))</f>
        <v>66481809.148945466</v>
      </c>
      <c r="B5826">
        <v>255429775.93860945</v>
      </c>
    </row>
    <row r="5827" spans="1:2" x14ac:dyDescent="0.25">
      <c r="A5827">
        <f ca="1">30103.9855148826*((RANDBETWEEN(1587,2416)))</f>
        <v>58702771.754021086</v>
      </c>
      <c r="B5827">
        <v>267873612.2304433</v>
      </c>
    </row>
    <row r="5828" spans="1:2" x14ac:dyDescent="0.25">
      <c r="A5828">
        <f ca="1">27050.7015866452*((RANDBETWEEN(1587,2416)))</f>
        <v>60647672.957258441</v>
      </c>
      <c r="B5828">
        <v>243145781.51576763</v>
      </c>
    </row>
    <row r="5829" spans="1:2" x14ac:dyDescent="0.25">
      <c r="A5829">
        <f ca="1">32123.9437213566*((RANDBETWEEN(1587,2416)))</f>
        <v>63701780.399450101</v>
      </c>
      <c r="B5829">
        <v>267267665.75175053</v>
      </c>
    </row>
    <row r="5830" spans="1:2" x14ac:dyDescent="0.25">
      <c r="A5830">
        <f ca="1">34022.0079827918*((RANDBETWEEN(1587,2416)))</f>
        <v>66206827.534512758</v>
      </c>
      <c r="B5830">
        <v>249872904.17218006</v>
      </c>
    </row>
    <row r="5831" spans="1:2" x14ac:dyDescent="0.25">
      <c r="A5831">
        <f ca="1">27358.7365620911*((RANDBETWEEN(1587,2416)))</f>
        <v>54443885.758561388</v>
      </c>
      <c r="B5831">
        <v>213400210.62885684</v>
      </c>
    </row>
    <row r="5832" spans="1:2" x14ac:dyDescent="0.25">
      <c r="A5832">
        <f ca="1">26965.920492735*((RANDBETWEEN(1587,2416)))</f>
        <v>46192621.804055117</v>
      </c>
      <c r="B5832">
        <v>212390700.16177231</v>
      </c>
    </row>
    <row r="5833" spans="1:2" x14ac:dyDescent="0.25">
      <c r="A5833">
        <f ca="1">32703.0603350056*((RANDBETWEEN(1587,2416)))</f>
        <v>54679516.88012933</v>
      </c>
      <c r="B5833">
        <v>245658937.24537069</v>
      </c>
    </row>
    <row r="5834" spans="1:2" x14ac:dyDescent="0.25">
      <c r="A5834">
        <f ca="1">27077.7546843864*((RANDBETWEEN(1587,2416)))</f>
        <v>43730573.815283984</v>
      </c>
      <c r="B5834">
        <v>217604827.69800895</v>
      </c>
    </row>
    <row r="5835" spans="1:2" x14ac:dyDescent="0.25">
      <c r="A5835">
        <f ca="1">28714.3448227182*((RANDBETWEEN(1587,2416)))</f>
        <v>54413683.439050913</v>
      </c>
      <c r="B5835">
        <v>248696731.10548869</v>
      </c>
    </row>
    <row r="5836" spans="1:2" x14ac:dyDescent="0.25">
      <c r="A5836">
        <f ca="1">28411.4611006618*((RANDBETWEEN(1587,2416)))</f>
        <v>57930969.184249386</v>
      </c>
      <c r="B5836">
        <v>223651287.53563842</v>
      </c>
    </row>
    <row r="5837" spans="1:2" x14ac:dyDescent="0.25">
      <c r="A5837">
        <f ca="1">27628.5877863803*((RANDBETWEEN(1587,2416)))</f>
        <v>54483575.114742048</v>
      </c>
      <c r="B5837">
        <v>255559222.54728484</v>
      </c>
    </row>
    <row r="5838" spans="1:2" x14ac:dyDescent="0.25">
      <c r="A5838">
        <f ca="1">28259.9808263916*((RANDBETWEEN(1587,2416)))</f>
        <v>60900258.680873953</v>
      </c>
      <c r="B5838">
        <v>253761120.88592649</v>
      </c>
    </row>
    <row r="5839" spans="1:2" x14ac:dyDescent="0.25">
      <c r="A5839">
        <f ca="1">29742.9427107856*((RANDBETWEEN(1587,2416)))</f>
        <v>69955401.255767688</v>
      </c>
      <c r="B5839">
        <v>248334825.02114621</v>
      </c>
    </row>
    <row r="5840" spans="1:2" x14ac:dyDescent="0.25">
      <c r="A5840">
        <f ca="1">29687.8838092564*((RANDBETWEEN(1587,2416)))</f>
        <v>57891373.428050034</v>
      </c>
      <c r="B5840">
        <v>207525809.26583502</v>
      </c>
    </row>
    <row r="5841" spans="1:2" x14ac:dyDescent="0.25">
      <c r="A5841">
        <f ca="1">27121.0703592831*((RANDBETWEEN(1587,2416)))</f>
        <v>44587039.670661427</v>
      </c>
      <c r="B5841">
        <v>213387637.93582007</v>
      </c>
    </row>
    <row r="5842" spans="1:2" x14ac:dyDescent="0.25">
      <c r="A5842">
        <f ca="1">27030.6878278385*((RANDBETWEEN(1587,2416)))</f>
        <v>56277892.057559811</v>
      </c>
      <c r="B5842">
        <v>211052798.12551039</v>
      </c>
    </row>
    <row r="5843" spans="1:2" x14ac:dyDescent="0.25">
      <c r="A5843">
        <f ca="1">32230.2500036547*((RANDBETWEEN(1587,2416)))</f>
        <v>57112003.006476142</v>
      </c>
      <c r="B5843">
        <v>251846854.13422912</v>
      </c>
    </row>
    <row r="5844" spans="1:2" x14ac:dyDescent="0.25">
      <c r="A5844">
        <f ca="1">30316.1020127774*((RANDBETWEEN(1587,2416)))</f>
        <v>57903754.844404854</v>
      </c>
      <c r="B5844">
        <v>241038605.33017758</v>
      </c>
    </row>
    <row r="5845" spans="1:2" x14ac:dyDescent="0.25">
      <c r="A5845">
        <f ca="1">27418.2554834308*((RANDBETWEEN(1587,2416)))</f>
        <v>65940904.437650993</v>
      </c>
      <c r="B5845">
        <v>254052556.03491181</v>
      </c>
    </row>
    <row r="5846" spans="1:2" x14ac:dyDescent="0.25">
      <c r="A5846">
        <f ca="1">32027.9561367425*((RANDBETWEEN(1587,2416)))</f>
        <v>58418991.993418336</v>
      </c>
      <c r="B5846">
        <v>238400564.450784</v>
      </c>
    </row>
    <row r="5847" spans="1:2" x14ac:dyDescent="0.25">
      <c r="A5847">
        <f ca="1">29894.282169961*((RANDBETWEEN(1587,2416)))</f>
        <v>50491442.585064195</v>
      </c>
      <c r="B5847">
        <v>204109017.02593118</v>
      </c>
    </row>
    <row r="5848" spans="1:2" x14ac:dyDescent="0.25">
      <c r="A5848">
        <f ca="1">26385.7026994261*((RANDBETWEEN(1587,2416)))</f>
        <v>49816206.696516432</v>
      </c>
      <c r="B5848">
        <v>244979466.76828623</v>
      </c>
    </row>
    <row r="5849" spans="1:2" x14ac:dyDescent="0.25">
      <c r="A5849">
        <f ca="1">28940.9905066132*((RANDBETWEEN(1587,2416)))</f>
        <v>64306880.905694425</v>
      </c>
      <c r="B5849">
        <v>267575580.24662551</v>
      </c>
    </row>
    <row r="5850" spans="1:2" x14ac:dyDescent="0.25">
      <c r="A5850">
        <f ca="1">33725.3451508161*((RANDBETWEEN(1587,2416)))</f>
        <v>55545643.46339412</v>
      </c>
      <c r="B5850">
        <v>234011405.96222851</v>
      </c>
    </row>
    <row r="5851" spans="1:2" x14ac:dyDescent="0.25">
      <c r="A5851">
        <f ca="1">27061.8125648685*((RANDBETWEEN(1587,2416)))</f>
        <v>49793735.119358011</v>
      </c>
      <c r="B5851">
        <v>215150567.89255649</v>
      </c>
    </row>
    <row r="5852" spans="1:2" x14ac:dyDescent="0.25">
      <c r="A5852">
        <f ca="1">25940.2711272798*((RANDBETWEEN(1587,2416)))</f>
        <v>61400621.758271374</v>
      </c>
      <c r="B5852">
        <v>248108857.69673175</v>
      </c>
    </row>
    <row r="5853" spans="1:2" x14ac:dyDescent="0.25">
      <c r="A5853">
        <f ca="1">28822.8274680847*((RANDBETWEEN(1587,2416)))</f>
        <v>54676903.706956699</v>
      </c>
      <c r="B5853">
        <v>217238002.171597</v>
      </c>
    </row>
    <row r="5854" spans="1:2" x14ac:dyDescent="0.25">
      <c r="A5854">
        <f ca="1">31406.9814875345*((RANDBETWEEN(1587,2416)))</f>
        <v>62562707.123168632</v>
      </c>
      <c r="B5854">
        <v>253251349.10857543</v>
      </c>
    </row>
    <row r="5855" spans="1:2" x14ac:dyDescent="0.25">
      <c r="A5855">
        <f ca="1">30100.9435063179*((RANDBETWEEN(1587,2416)))</f>
        <v>49395648.293867655</v>
      </c>
      <c r="B5855">
        <v>232969039.55696794</v>
      </c>
    </row>
    <row r="5856" spans="1:2" x14ac:dyDescent="0.25">
      <c r="A5856">
        <f ca="1">33171.0329378405*((RANDBETWEEN(1587,2416)))</f>
        <v>59940056.518677801</v>
      </c>
      <c r="B5856">
        <v>222321022.06233388</v>
      </c>
    </row>
    <row r="5857" spans="1:2" x14ac:dyDescent="0.25">
      <c r="A5857">
        <f ca="1">29847.1339716998*((RANDBETWEEN(1587,2416)))</f>
        <v>52590650.058135115</v>
      </c>
      <c r="B5857">
        <v>259377573.35239494</v>
      </c>
    </row>
    <row r="5858" spans="1:2" x14ac:dyDescent="0.25">
      <c r="A5858">
        <f ca="1">33014.1271233595*((RANDBETWEEN(1587,2416)))</f>
        <v>61802445.974928908</v>
      </c>
      <c r="B5858">
        <v>211924678.57650664</v>
      </c>
    </row>
    <row r="5859" spans="1:2" x14ac:dyDescent="0.25">
      <c r="A5859">
        <f ca="1">32366.7578261985*((RANDBETWEEN(1587,2416)))</f>
        <v>63956713.464568309</v>
      </c>
      <c r="B5859">
        <v>232053511.25297868</v>
      </c>
    </row>
    <row r="5860" spans="1:2" x14ac:dyDescent="0.25">
      <c r="A5860">
        <f ca="1">27418.0987576489*((RANDBETWEEN(1587,2416)))</f>
        <v>61937485.093528956</v>
      </c>
      <c r="B5860">
        <v>238633589.74688372</v>
      </c>
    </row>
    <row r="5861" spans="1:2" x14ac:dyDescent="0.25">
      <c r="A5861">
        <f ca="1">30140.6109258452*((RANDBETWEEN(1587,2416)))</f>
        <v>57116457.704476699</v>
      </c>
      <c r="B5861">
        <v>260378194.95415652</v>
      </c>
    </row>
    <row r="5862" spans="1:2" x14ac:dyDescent="0.25">
      <c r="A5862">
        <f ca="1">31658.2918817242*((RANDBETWEEN(1587,2416)))</f>
        <v>50368342.383823276</v>
      </c>
      <c r="B5862">
        <v>227023423.51633856</v>
      </c>
    </row>
    <row r="5863" spans="1:2" x14ac:dyDescent="0.25">
      <c r="A5863">
        <f ca="1">26065.0557908219*((RANDBETWEEN(1587,2416)))</f>
        <v>44414855.067560591</v>
      </c>
      <c r="B5863">
        <v>211557001.29999042</v>
      </c>
    </row>
    <row r="5864" spans="1:2" x14ac:dyDescent="0.25">
      <c r="A5864">
        <f ca="1">27271.5906335728*((RANDBETWEEN(1587,2416)))</f>
        <v>60788375.522233859</v>
      </c>
      <c r="B5864">
        <v>247264739.23323774</v>
      </c>
    </row>
    <row r="5865" spans="1:2" x14ac:dyDescent="0.25">
      <c r="A5865">
        <f ca="1">29882.4844722794*((RANDBETWEEN(1587,2416)))</f>
        <v>57195075.279942773</v>
      </c>
      <c r="B5865">
        <v>205131363.62219667</v>
      </c>
    </row>
    <row r="5866" spans="1:2" x14ac:dyDescent="0.25">
      <c r="A5866">
        <f ca="1">32448.8020526573*((RANDBETWEEN(1587,2416)))</f>
        <v>64702911.292998716</v>
      </c>
      <c r="B5866">
        <v>233488273.13171896</v>
      </c>
    </row>
    <row r="5867" spans="1:2" x14ac:dyDescent="0.25">
      <c r="A5867">
        <f ca="1">28758.7660120027*((RANDBETWEEN(1587,2416)))</f>
        <v>46042784.385216288</v>
      </c>
      <c r="B5867">
        <v>206222518.92338151</v>
      </c>
    </row>
    <row r="5868" spans="1:2" x14ac:dyDescent="0.25">
      <c r="A5868">
        <f ca="1">26962.5793349423*((RANDBETWEEN(1587,2416)))</f>
        <v>62499258.898396164</v>
      </c>
      <c r="B5868">
        <v>216148338.29797408</v>
      </c>
    </row>
    <row r="5869" spans="1:2" x14ac:dyDescent="0.25">
      <c r="A5869">
        <f ca="1">27932.9817540002*((RANDBETWEEN(1587,2416)))</f>
        <v>64636919.778756566</v>
      </c>
      <c r="B5869">
        <v>212062962.31594062</v>
      </c>
    </row>
    <row r="5870" spans="1:2" x14ac:dyDescent="0.25">
      <c r="A5870">
        <f ca="1">27405.0463118583*((RANDBETWEEN(1587,2416)))</f>
        <v>57139521.560224615</v>
      </c>
      <c r="B5870">
        <v>215289480.51099837</v>
      </c>
    </row>
    <row r="5871" spans="1:2" x14ac:dyDescent="0.25">
      <c r="A5871">
        <f ca="1">27311.1356228949*((RANDBETWEEN(1587,2416)))</f>
        <v>50935267.936698988</v>
      </c>
      <c r="B5871">
        <v>232531901.48108035</v>
      </c>
    </row>
    <row r="5872" spans="1:2" x14ac:dyDescent="0.25">
      <c r="A5872">
        <f ca="1">27610.2492662237*((RANDBETWEEN(1587,2416)))</f>
        <v>49339515.438741773</v>
      </c>
      <c r="B5872">
        <v>249912344.77809238</v>
      </c>
    </row>
    <row r="5873" spans="1:2" x14ac:dyDescent="0.25">
      <c r="A5873">
        <f ca="1">28657.3204588261*((RANDBETWEEN(1587,2416)))</f>
        <v>54706824.755899034</v>
      </c>
      <c r="B5873">
        <v>205908868.08353218</v>
      </c>
    </row>
    <row r="5874" spans="1:2" x14ac:dyDescent="0.25">
      <c r="A5874">
        <f ca="1">26804.4254967861*((RANDBETWEEN(1587,2416)))</f>
        <v>58085190.051535569</v>
      </c>
      <c r="B5874">
        <v>204340211.33691412</v>
      </c>
    </row>
    <row r="5875" spans="1:2" x14ac:dyDescent="0.25">
      <c r="A5875">
        <f ca="1">27542.6762212199*((RANDBETWEEN(1587,2416)))</f>
        <v>48420024.796904571</v>
      </c>
      <c r="B5875">
        <v>223658280.54225609</v>
      </c>
    </row>
    <row r="5876" spans="1:2" x14ac:dyDescent="0.25">
      <c r="A5876">
        <f ca="1">30095.6086121766*((RANDBETWEEN(1587,2416)))</f>
        <v>68708274.461599261</v>
      </c>
      <c r="B5876">
        <v>231879978.86078215</v>
      </c>
    </row>
    <row r="5877" spans="1:2" x14ac:dyDescent="0.25">
      <c r="A5877">
        <f ca="1">30410.8752722713*((RANDBETWEEN(1587,2416)))</f>
        <v>65352970.960110985</v>
      </c>
      <c r="B5877">
        <v>213316785.12769467</v>
      </c>
    </row>
    <row r="5878" spans="1:2" x14ac:dyDescent="0.25">
      <c r="A5878">
        <f ca="1">30995.4642341666*((RANDBETWEEN(1587,2416)))</f>
        <v>61464005.57635235</v>
      </c>
      <c r="B5878">
        <v>250375739.98921484</v>
      </c>
    </row>
    <row r="5879" spans="1:2" x14ac:dyDescent="0.25">
      <c r="A5879">
        <f ca="1">33662.642645825*((RANDBETWEEN(1587,2416)))</f>
        <v>78198318.866251409</v>
      </c>
      <c r="B5879">
        <v>246103532.66713947</v>
      </c>
    </row>
    <row r="5880" spans="1:2" x14ac:dyDescent="0.25">
      <c r="A5880">
        <f ca="1">29939.6642024553*((RANDBETWEEN(1587,2416)))</f>
        <v>50598032.502149403</v>
      </c>
      <c r="B5880">
        <v>224688912.35837799</v>
      </c>
    </row>
    <row r="5881" spans="1:2" x14ac:dyDescent="0.25">
      <c r="A5881">
        <f ca="1">31029.2959722994*((RANDBETWEEN(1587,2416)))</f>
        <v>63982408.294881344</v>
      </c>
      <c r="B5881">
        <v>222973101.78809771</v>
      </c>
    </row>
    <row r="5882" spans="1:2" x14ac:dyDescent="0.25">
      <c r="A5882">
        <f ca="1">32974.1121146787*((RANDBETWEEN(1587,2416)))</f>
        <v>78511360.945049867</v>
      </c>
      <c r="B5882">
        <v>255257340.15942141</v>
      </c>
    </row>
    <row r="5883" spans="1:2" x14ac:dyDescent="0.25">
      <c r="A5883">
        <f ca="1">28990.8221476333*((RANDBETWEEN(1587,2416)))</f>
        <v>52009534.93285422</v>
      </c>
      <c r="B5883">
        <v>244754275.02023613</v>
      </c>
    </row>
    <row r="5884" spans="1:2" x14ac:dyDescent="0.25">
      <c r="A5884">
        <f ca="1">26379.6864282411*((RANDBETWEEN(1587,2416)))</f>
        <v>54790608.711456709</v>
      </c>
      <c r="B5884">
        <v>250487306.51869124</v>
      </c>
    </row>
    <row r="5885" spans="1:2" x14ac:dyDescent="0.25">
      <c r="A5885">
        <f ca="1">26478.3702140593*((RANDBETWEEN(1587,2416)))</f>
        <v>51368038.215275005</v>
      </c>
      <c r="B5885">
        <v>222235294.84265548</v>
      </c>
    </row>
    <row r="5886" spans="1:2" x14ac:dyDescent="0.25">
      <c r="A5886">
        <f ca="1">27838.5360002223*((RANDBETWEEN(1587,2416)))</f>
        <v>46406839.512370616</v>
      </c>
      <c r="B5886">
        <v>218120718.10864249</v>
      </c>
    </row>
    <row r="5887" spans="1:2" x14ac:dyDescent="0.25">
      <c r="A5887">
        <f ca="1">30162.4738603556*((RANDBETWEEN(1587,2416)))</f>
        <v>68770440.401610807</v>
      </c>
      <c r="B5887">
        <v>250789309.31136307</v>
      </c>
    </row>
    <row r="5888" spans="1:2" x14ac:dyDescent="0.25">
      <c r="A5888">
        <f ca="1">28642.9842174347*((RANDBETWEEN(1587,2416)))</f>
        <v>46945851.132375501</v>
      </c>
      <c r="B5888">
        <v>231644327.24296671</v>
      </c>
    </row>
    <row r="5889" spans="1:2" x14ac:dyDescent="0.25">
      <c r="A5889">
        <f ca="1">30220.0351339754*((RANDBETWEEN(1587,2416)))</f>
        <v>57690047.070758961</v>
      </c>
      <c r="B5889">
        <v>233528897.4801501</v>
      </c>
    </row>
    <row r="5890" spans="1:2" x14ac:dyDescent="0.25">
      <c r="A5890">
        <f ca="1">29091.1622930733*((RANDBETWEEN(1587,2416)))</f>
        <v>65426023.99712193</v>
      </c>
      <c r="B5890">
        <v>257494055.56255624</v>
      </c>
    </row>
    <row r="5891" spans="1:2" x14ac:dyDescent="0.25">
      <c r="A5891">
        <f ca="1">27161.8837676606*((RANDBETWEEN(1587,2416)))</f>
        <v>59566011.102479748</v>
      </c>
      <c r="B5891">
        <v>240085009.78043172</v>
      </c>
    </row>
    <row r="5892" spans="1:2" x14ac:dyDescent="0.25">
      <c r="A5892">
        <f ca="1">26014.7438186796*((RANDBETWEEN(1587,2416)))</f>
        <v>57778746.021287292</v>
      </c>
      <c r="B5892">
        <v>245304465.18000263</v>
      </c>
    </row>
    <row r="5893" spans="1:2" x14ac:dyDescent="0.25">
      <c r="A5893">
        <f ca="1">28457.7171719108*((RANDBETWEEN(1587,2416)))</f>
        <v>58850559.111511499</v>
      </c>
      <c r="B5893">
        <v>225880532.49881908</v>
      </c>
    </row>
    <row r="5894" spans="1:2" x14ac:dyDescent="0.25">
      <c r="A5894">
        <f ca="1">28558.1432848227*((RANDBETWEEN(1587,2416)))</f>
        <v>63399078.092306472</v>
      </c>
      <c r="B5894">
        <v>213020516.40206534</v>
      </c>
    </row>
    <row r="5895" spans="1:2" x14ac:dyDescent="0.25">
      <c r="A5895">
        <f ca="1">27147.8862753753*((RANDBETWEEN(1587,2416)))</f>
        <v>48024610.821138874</v>
      </c>
      <c r="B5895">
        <v>209880056.87880394</v>
      </c>
    </row>
    <row r="5896" spans="1:2" x14ac:dyDescent="0.25">
      <c r="A5896">
        <f ca="1">29633.5424112824*((RANDBETWEEN(1587,2416)))</f>
        <v>59385618.992209844</v>
      </c>
      <c r="B5896">
        <v>255197515.27206805</v>
      </c>
    </row>
    <row r="5897" spans="1:2" x14ac:dyDescent="0.25">
      <c r="A5897">
        <f ca="1">28760.3952859763*((RANDBETWEEN(1587,2416)))</f>
        <v>46045392.852848083</v>
      </c>
      <c r="B5897">
        <v>216048118.76389134</v>
      </c>
    </row>
    <row r="5898" spans="1:2" x14ac:dyDescent="0.25">
      <c r="A5898">
        <f ca="1">26988.048394493*((RANDBETWEEN(1587,2416)))</f>
        <v>53436335.821096115</v>
      </c>
      <c r="B5898">
        <v>206802823.57333487</v>
      </c>
    </row>
    <row r="5899" spans="1:2" x14ac:dyDescent="0.25">
      <c r="A5899">
        <f ca="1">33863.8186909264*((RANDBETWEEN(1587,2416)))</f>
        <v>62444881.666068263</v>
      </c>
      <c r="B5899">
        <v>254920498.86880243</v>
      </c>
    </row>
    <row r="5900" spans="1:2" x14ac:dyDescent="0.25">
      <c r="A5900">
        <f ca="1">27810.772471931*((RANDBETWEEN(1587,2416)))</f>
        <v>65828098.441060707</v>
      </c>
      <c r="B5900">
        <v>236782466.71180391</v>
      </c>
    </row>
    <row r="5901" spans="1:2" x14ac:dyDescent="0.25">
      <c r="A5901">
        <f ca="1">31724.8548630021*((RANDBETWEEN(1587,2416)))</f>
        <v>57866135.270115919</v>
      </c>
      <c r="B5901">
        <v>242820973.7686168</v>
      </c>
    </row>
    <row r="5902" spans="1:2" x14ac:dyDescent="0.25">
      <c r="A5902">
        <f ca="1">31330.8455196761*((RANDBETWEEN(1587,2416)))</f>
        <v>53983046.83040195</v>
      </c>
      <c r="B5902">
        <v>223054867.24378812</v>
      </c>
    </row>
    <row r="5903" spans="1:2" x14ac:dyDescent="0.25">
      <c r="A5903">
        <f ca="1">29419.9352393961*((RANDBETWEEN(1587,2416)))</f>
        <v>69842926.258326292</v>
      </c>
      <c r="B5903">
        <v>218395873.41169208</v>
      </c>
    </row>
    <row r="5904" spans="1:2" x14ac:dyDescent="0.25">
      <c r="A5904">
        <f ca="1">26984.5828722693*((RANDBETWEEN(1587,2416)))</f>
        <v>57720022.763783962</v>
      </c>
      <c r="B5904">
        <v>257434256.36306545</v>
      </c>
    </row>
    <row r="5905" spans="1:2" x14ac:dyDescent="0.25">
      <c r="A5905">
        <f ca="1">28561.7799442388*((RANDBETWEEN(1587,2416)))</f>
        <v>64292566.65448159</v>
      </c>
      <c r="B5905">
        <v>223460717.67389095</v>
      </c>
    </row>
    <row r="5906" spans="1:2" x14ac:dyDescent="0.25">
      <c r="A5906">
        <f ca="1">32042.8377490588*((RANDBETWEEN(1587,2416)))</f>
        <v>77415496.001726136</v>
      </c>
      <c r="B5906">
        <v>262924849.42586991</v>
      </c>
    </row>
    <row r="5907" spans="1:2" x14ac:dyDescent="0.25">
      <c r="A5907">
        <f ca="1">27438.8146457399*((RANDBETWEEN(1587,2416)))</f>
        <v>44286246.838224158</v>
      </c>
      <c r="B5907">
        <v>228981527.95182055</v>
      </c>
    </row>
    <row r="5908" spans="1:2" x14ac:dyDescent="0.25">
      <c r="A5908">
        <f ca="1">33486.8803469165*((RANDBETWEEN(1587,2416)))</f>
        <v>78191865.610050082</v>
      </c>
      <c r="B5908">
        <v>204527650.73770031</v>
      </c>
    </row>
    <row r="5909" spans="1:2" x14ac:dyDescent="0.25">
      <c r="A5909">
        <f ca="1">27323.2520548109*((RANDBETWEEN(1587,2416)))</f>
        <v>59919891.75620041</v>
      </c>
      <c r="B5909">
        <v>235568665.77267087</v>
      </c>
    </row>
    <row r="5910" spans="1:2" x14ac:dyDescent="0.25">
      <c r="A5910">
        <f ca="1">28401.3776321816*((RANDBETWEEN(1587,2416)))</f>
        <v>58450035.167029805</v>
      </c>
      <c r="B5910">
        <v>207748423.90131032</v>
      </c>
    </row>
    <row r="5911" spans="1:2" x14ac:dyDescent="0.25">
      <c r="A5911">
        <f ca="1">26054.3340304069*((RANDBETWEEN(1587,2416)))</f>
        <v>60003131.272027068</v>
      </c>
      <c r="B5911">
        <v>233354531.29262424</v>
      </c>
    </row>
    <row r="5912" spans="1:2" x14ac:dyDescent="0.25">
      <c r="A5912">
        <f ca="1">33968.365717912*((RANDBETWEEN(1587,2416)))</f>
        <v>54043669.857198</v>
      </c>
      <c r="B5912">
        <v>262077668.24514443</v>
      </c>
    </row>
    <row r="5913" spans="1:2" x14ac:dyDescent="0.25">
      <c r="A5913">
        <f ca="1">31670.9310722147*((RANDBETWEEN(1587,2416)))</f>
        <v>62486747.00547953</v>
      </c>
      <c r="B5913">
        <v>254660226.22133657</v>
      </c>
    </row>
    <row r="5914" spans="1:2" x14ac:dyDescent="0.25">
      <c r="A5914">
        <f ca="1">29583.891458198*((RANDBETWEEN(1587,2416)))</f>
        <v>47334226.333116807</v>
      </c>
      <c r="B5914">
        <v>237551979.3451463</v>
      </c>
    </row>
    <row r="5915" spans="1:2" x14ac:dyDescent="0.25">
      <c r="A5915">
        <f ca="1">26331.9730844879*((RANDBETWEEN(1587,2416)))</f>
        <v>60379214.282730781</v>
      </c>
      <c r="B5915">
        <v>237990638.36885583</v>
      </c>
    </row>
    <row r="5916" spans="1:2" x14ac:dyDescent="0.25">
      <c r="A5916">
        <f ca="1">31519.5971202469*((RANDBETWEEN(1587,2416)))</f>
        <v>76151346.642516613</v>
      </c>
      <c r="B5916">
        <v>237336706.44191724</v>
      </c>
    </row>
    <row r="5917" spans="1:2" x14ac:dyDescent="0.25">
      <c r="A5917">
        <f ca="1">29392.4584622436*((RANDBETWEEN(1587,2416)))</f>
        <v>67014805.293915302</v>
      </c>
      <c r="B5917">
        <v>267679978.57676169</v>
      </c>
    </row>
    <row r="5918" spans="1:2" x14ac:dyDescent="0.25">
      <c r="A5918">
        <f ca="1">29505.0418643496*((RANDBETWEEN(1587,2416)))</f>
        <v>57977407.263447016</v>
      </c>
      <c r="B5918">
        <v>243744631.30291307</v>
      </c>
    </row>
    <row r="5919" spans="1:2" x14ac:dyDescent="0.25">
      <c r="A5919">
        <f ca="1">33618.3702419647*((RANDBETWEEN(1587,2416)))</f>
        <v>67472069.07562314</v>
      </c>
      <c r="B5919">
        <v>250631292.40470326</v>
      </c>
    </row>
    <row r="5920" spans="1:2" x14ac:dyDescent="0.25">
      <c r="A5920">
        <f ca="1">32019.2163186037*((RANDBETWEEN(1587,2416)))</f>
        <v>74636793.238665298</v>
      </c>
      <c r="B5920">
        <v>213503378.07788068</v>
      </c>
    </row>
    <row r="5921" spans="1:2" x14ac:dyDescent="0.25">
      <c r="A5921">
        <f ca="1">30558.3673678377*((RANDBETWEEN(1587,2416)))</f>
        <v>69336935.557623744</v>
      </c>
      <c r="B5921">
        <v>250599640.51196808</v>
      </c>
    </row>
    <row r="5922" spans="1:2" x14ac:dyDescent="0.25">
      <c r="A5922">
        <f ca="1">31380.2888463831*((RANDBETWEEN(1587,2416)))</f>
        <v>66965536.398181573</v>
      </c>
      <c r="B5922">
        <v>239018852.11403787</v>
      </c>
    </row>
    <row r="5923" spans="1:2" x14ac:dyDescent="0.25">
      <c r="A5923">
        <f ca="1">31246.1044144956*((RANDBETWEEN(1587,2416)))</f>
        <v>75396849.952177972</v>
      </c>
      <c r="B5923">
        <v>211327615.50882304</v>
      </c>
    </row>
    <row r="5924" spans="1:2" x14ac:dyDescent="0.25">
      <c r="A5924">
        <f ca="1">29967.9780875669*((RANDBETWEEN(1587,2416)))</f>
        <v>70364812.549607113</v>
      </c>
      <c r="B5924">
        <v>263623366.24629727</v>
      </c>
    </row>
    <row r="5925" spans="1:2" x14ac:dyDescent="0.25">
      <c r="A5925">
        <f ca="1">31980.2961237181*((RANDBETWEEN(1587,2416)))</f>
        <v>62105735.072260536</v>
      </c>
      <c r="B5925">
        <v>247564045.96479982</v>
      </c>
    </row>
    <row r="5926" spans="1:2" x14ac:dyDescent="0.25">
      <c r="A5926">
        <f ca="1">31697.4782563831*((RANDBETWEEN(1587,2416)))</f>
        <v>51698587.036160775</v>
      </c>
      <c r="B5926">
        <v>233373714.3300519</v>
      </c>
    </row>
    <row r="5927" spans="1:2" x14ac:dyDescent="0.25">
      <c r="A5927">
        <f ca="1">28966.662145061*((RANDBETWEEN(1587,2416)))</f>
        <v>58338857.560152866</v>
      </c>
      <c r="B5927">
        <v>220204615.70177358</v>
      </c>
    </row>
    <row r="5928" spans="1:2" x14ac:dyDescent="0.25">
      <c r="A5928">
        <f ca="1">31362.2915836838*((RANDBETWEEN(1587,2416)))</f>
        <v>73575936.05532214</v>
      </c>
      <c r="B5928">
        <v>238630597.34005153</v>
      </c>
    </row>
    <row r="5929" spans="1:2" x14ac:dyDescent="0.25">
      <c r="A5929">
        <f ca="1">26696.4882640573*((RANDBETWEEN(1587,2416)))</f>
        <v>51657704.790950865</v>
      </c>
      <c r="B5929">
        <v>221676886.73332283</v>
      </c>
    </row>
    <row r="5930" spans="1:2" x14ac:dyDescent="0.25">
      <c r="A5930">
        <f ca="1">29919.4701817291*((RANDBETWEEN(1587,2416)))</f>
        <v>49576562.091125041</v>
      </c>
      <c r="B5930">
        <v>264521283.05337161</v>
      </c>
    </row>
    <row r="5931" spans="1:2" x14ac:dyDescent="0.25">
      <c r="A5931">
        <f ca="1">32940.5234242558*((RANDBETWEEN(1587,2416)))</f>
        <v>56229473.485204585</v>
      </c>
      <c r="B5931">
        <v>227030359.9971332</v>
      </c>
    </row>
    <row r="5932" spans="1:2" x14ac:dyDescent="0.25">
      <c r="A5932">
        <f ca="1">29068.6404023223*((RANDBETWEEN(1587,2416)))</f>
        <v>50230610.615212932</v>
      </c>
      <c r="B5932">
        <v>259469508.5955947</v>
      </c>
    </row>
    <row r="5933" spans="1:2" x14ac:dyDescent="0.25">
      <c r="A5933">
        <f ca="1">32811.2673704752*((RANDBETWEEN(1587,2416)))</f>
        <v>73956596.653051019</v>
      </c>
      <c r="B5933">
        <v>261494723.24747291</v>
      </c>
    </row>
    <row r="5934" spans="1:2" x14ac:dyDescent="0.25">
      <c r="A5934">
        <f ca="1">29555.1684499075*((RANDBETWEEN(1587,2416)))</f>
        <v>52578644.672385402</v>
      </c>
      <c r="B5934">
        <v>215620267.7694549</v>
      </c>
    </row>
    <row r="5935" spans="1:2" x14ac:dyDescent="0.25">
      <c r="A5935">
        <f ca="1">31162.6806994688*((RANDBETWEEN(1587,2416)))</f>
        <v>62044897.272642359</v>
      </c>
      <c r="B5935">
        <v>267354729.09705004</v>
      </c>
    </row>
    <row r="5936" spans="1:2" x14ac:dyDescent="0.25">
      <c r="A5936">
        <f ca="1">28626.5067820207*((RANDBETWEEN(1587,2416)))</f>
        <v>67157784.910620466</v>
      </c>
      <c r="B5936">
        <v>208713177.0429619</v>
      </c>
    </row>
    <row r="5937" spans="1:2" x14ac:dyDescent="0.25">
      <c r="A5937">
        <f ca="1">31895.3909208738*((RANDBETWEEN(1587,2416)))</f>
        <v>73295608.336168095</v>
      </c>
      <c r="B5937">
        <v>256581906.5181075</v>
      </c>
    </row>
    <row r="5938" spans="1:2" x14ac:dyDescent="0.25">
      <c r="A5938">
        <f ca="1">30750.7859522413*((RANDBETWEEN(1587,2416)))</f>
        <v>61347817.974721387</v>
      </c>
      <c r="B5938">
        <v>228969511.30129796</v>
      </c>
    </row>
    <row r="5939" spans="1:2" x14ac:dyDescent="0.25">
      <c r="A5939">
        <f ca="1">30025.9301352383*((RANDBETWEEN(1587,2416)))</f>
        <v>64015283.04832802</v>
      </c>
      <c r="B5939">
        <v>247242055.15995502</v>
      </c>
    </row>
    <row r="5940" spans="1:2" x14ac:dyDescent="0.25">
      <c r="A5940">
        <f ca="1">29808.4497353134*((RANDBETWEEN(1587,2416)))</f>
        <v>56248544.650536425</v>
      </c>
      <c r="B5940">
        <v>254283723.45689002</v>
      </c>
    </row>
    <row r="5941" spans="1:2" x14ac:dyDescent="0.25">
      <c r="A5941">
        <f ca="1">32686.3850055759*((RANDBETWEEN(1587,2416)))</f>
        <v>65797693.016224355</v>
      </c>
      <c r="B5941">
        <v>246918451.25458664</v>
      </c>
    </row>
    <row r="5942" spans="1:2" x14ac:dyDescent="0.25">
      <c r="A5942">
        <f ca="1">32894.1227969515*((RANDBETWEEN(1587,2416)))</f>
        <v>60919915.419954248</v>
      </c>
      <c r="B5942">
        <v>265708840.52837458</v>
      </c>
    </row>
    <row r="5943" spans="1:2" x14ac:dyDescent="0.25">
      <c r="A5943">
        <f ca="1">27649.833480738*((RANDBETWEEN(1587,2416)))</f>
        <v>60193687.487566695</v>
      </c>
      <c r="B5943">
        <v>208067149.33478451</v>
      </c>
    </row>
    <row r="5944" spans="1:2" x14ac:dyDescent="0.25">
      <c r="A5944">
        <f ca="1">26434.3505461957*((RANDBETWEEN(1587,2416)))</f>
        <v>46630194.363489166</v>
      </c>
      <c r="B5944">
        <v>219121259.47134385</v>
      </c>
    </row>
    <row r="5945" spans="1:2" x14ac:dyDescent="0.25">
      <c r="A5945">
        <f ca="1">31850.5441195435*((RANDBETWEEN(1587,2416)))</f>
        <v>66535786.665726289</v>
      </c>
      <c r="B5945">
        <v>237399044.27789658</v>
      </c>
    </row>
    <row r="5946" spans="1:2" x14ac:dyDescent="0.25">
      <c r="A5946">
        <f ca="1">29065.2393348187*((RANDBETWEEN(1587,2416)))</f>
        <v>55630868.086842939</v>
      </c>
      <c r="B5946">
        <v>250970266.86962768</v>
      </c>
    </row>
    <row r="5947" spans="1:2" x14ac:dyDescent="0.25">
      <c r="A5947">
        <f ca="1">28597.5078747283*((RANDBETWEEN(1587,2416)))</f>
        <v>49044726.005159102</v>
      </c>
      <c r="B5947">
        <v>265281964.64053333</v>
      </c>
    </row>
    <row r="5948" spans="1:2" x14ac:dyDescent="0.25">
      <c r="A5948">
        <f ca="1">32385.5424908564*((RANDBETWEEN(1587,2416)))</f>
        <v>76980434.500765771</v>
      </c>
      <c r="B5948">
        <v>256527647.97733837</v>
      </c>
    </row>
    <row r="5949" spans="1:2" x14ac:dyDescent="0.25">
      <c r="A5949">
        <f ca="1">31581.3952664996*((RANDBETWEEN(1587,2416)))</f>
        <v>50972371.960130334</v>
      </c>
      <c r="B5949">
        <v>224662693.21177423</v>
      </c>
    </row>
    <row r="5950" spans="1:2" x14ac:dyDescent="0.25">
      <c r="A5950">
        <f ca="1">29388.0477044824*((RANDBETWEEN(1587,2416)))</f>
        <v>61656124.084004045</v>
      </c>
      <c r="B5950">
        <v>254365459.13029391</v>
      </c>
    </row>
    <row r="5951" spans="1:2" x14ac:dyDescent="0.25">
      <c r="A5951">
        <f ca="1">29539.0686665011*((RANDBETWEEN(1587,2416)))</f>
        <v>64985951.066302449</v>
      </c>
      <c r="B5951">
        <v>205568772.94014117</v>
      </c>
    </row>
    <row r="5952" spans="1:2" x14ac:dyDescent="0.25">
      <c r="A5952">
        <f ca="1">30202.9891122497*((RANDBETWEEN(1587,2416)))</f>
        <v>52976042.902886055</v>
      </c>
      <c r="B5952">
        <v>225124523.12713262</v>
      </c>
    </row>
    <row r="5953" spans="1:2" x14ac:dyDescent="0.25">
      <c r="A5953">
        <f ca="1">28167.0038892129*((RANDBETWEEN(1587,2416)))</f>
        <v>54080647.467288747</v>
      </c>
      <c r="B5953">
        <v>266148925.90674117</v>
      </c>
    </row>
    <row r="5954" spans="1:2" x14ac:dyDescent="0.25">
      <c r="A5954">
        <f ca="1">27706.0159975502*((RANDBETWEEN(1587,2416)))</f>
        <v>58515105.786826007</v>
      </c>
      <c r="B5954">
        <v>227288920.24780837</v>
      </c>
    </row>
    <row r="5955" spans="1:2" x14ac:dyDescent="0.25">
      <c r="A5955">
        <f ca="1">32120.7836669084*((RANDBETWEEN(1587,2416)))</f>
        <v>57592565.114766732</v>
      </c>
      <c r="B5955">
        <v>266226011.30439392</v>
      </c>
    </row>
    <row r="5956" spans="1:2" x14ac:dyDescent="0.25">
      <c r="A5956">
        <f ca="1">32052.9639133958*((RANDBETWEEN(1587,2416)))</f>
        <v>66958641.615083873</v>
      </c>
      <c r="B5956">
        <v>209211957.85576019</v>
      </c>
    </row>
    <row r="5957" spans="1:2" x14ac:dyDescent="0.25">
      <c r="A5957">
        <f ca="1">29989.4281487822*((RANDBETWEEN(1587,2416)))</f>
        <v>62048126.839830451</v>
      </c>
      <c r="B5957">
        <v>225335340.48106784</v>
      </c>
    </row>
    <row r="5958" spans="1:2" x14ac:dyDescent="0.25">
      <c r="A5958">
        <f ca="1">31119.7615140388*((RANDBETWEEN(1587,2416)))</f>
        <v>71139774.821092725</v>
      </c>
      <c r="B5958">
        <v>239717387.83133039</v>
      </c>
    </row>
    <row r="5959" spans="1:2" x14ac:dyDescent="0.25">
      <c r="A5959">
        <f ca="1">30975.5855006257*((RANDBETWEEN(1587,2416)))</f>
        <v>63654828.203785911</v>
      </c>
      <c r="B5959">
        <v>214928394.4624742</v>
      </c>
    </row>
    <row r="5960" spans="1:2" x14ac:dyDescent="0.25">
      <c r="A5960">
        <f ca="1">32314.5924900349*((RANDBETWEEN(1587,2416)))</f>
        <v>66568060.529471979</v>
      </c>
      <c r="B5960">
        <v>220137230.79328141</v>
      </c>
    </row>
    <row r="5961" spans="1:2" x14ac:dyDescent="0.25">
      <c r="A5961">
        <f ca="1">34678.4854939235*((RANDBETWEEN(1587,2416)))</f>
        <v>81459762.425226331</v>
      </c>
      <c r="B5961">
        <v>243534052.19591281</v>
      </c>
    </row>
    <row r="5962" spans="1:2" x14ac:dyDescent="0.25">
      <c r="A5962">
        <f ca="1">31496.8222618552*((RANDBETWEEN(1587,2416)))</f>
        <v>69765461.310009271</v>
      </c>
      <c r="B5962">
        <v>263005414.24082857</v>
      </c>
    </row>
    <row r="5963" spans="1:2" x14ac:dyDescent="0.25">
      <c r="A5963">
        <f ca="1">31172.6325229338*((RANDBETWEEN(1587,2416)))</f>
        <v>60599597.624583252</v>
      </c>
      <c r="B5963">
        <v>247735524.74904099</v>
      </c>
    </row>
    <row r="5964" spans="1:2" x14ac:dyDescent="0.25">
      <c r="A5964">
        <f ca="1">33912.8897572886*((RANDBETWEEN(1587,2416)))</f>
        <v>78847468.685696006</v>
      </c>
      <c r="B5964">
        <v>235779067.00645724</v>
      </c>
    </row>
    <row r="5965" spans="1:2" x14ac:dyDescent="0.25">
      <c r="A5965">
        <f ca="1">29801.0391803349*((RANDBETWEEN(1587,2416)))</f>
        <v>48635295.942306526</v>
      </c>
      <c r="B5965">
        <v>229872274.69269651</v>
      </c>
    </row>
    <row r="5966" spans="1:2" x14ac:dyDescent="0.25">
      <c r="A5966">
        <f ca="1">29207.6332706453*((RANDBETWEEN(1587,2416)))</f>
        <v>69397336.651053131</v>
      </c>
      <c r="B5966">
        <v>256937590.73698944</v>
      </c>
    </row>
    <row r="5967" spans="1:2" x14ac:dyDescent="0.25">
      <c r="A5967">
        <f ca="1">26714.4856883266*((RANDBETWEEN(1587,2416)))</f>
        <v>53188541.005458333</v>
      </c>
      <c r="B5967">
        <v>247957469.671426</v>
      </c>
    </row>
    <row r="5968" spans="1:2" x14ac:dyDescent="0.25">
      <c r="A5968">
        <f ca="1">30725.655036511*((RANDBETWEEN(1587,2416)))</f>
        <v>59116160.290247217</v>
      </c>
      <c r="B5968">
        <v>217856515.4254815</v>
      </c>
    </row>
    <row r="5969" spans="1:2" x14ac:dyDescent="0.25">
      <c r="A5969">
        <f ca="1">32341.794295093*((RANDBETWEEN(1587,2416)))</f>
        <v>54981050.301658183</v>
      </c>
      <c r="B5969">
        <v>242208601.71726298</v>
      </c>
    </row>
    <row r="5970" spans="1:2" x14ac:dyDescent="0.25">
      <c r="A5970">
        <f ca="1">31019.2996709676*((RANDBETWEEN(1587,2416)))</f>
        <v>49506802.274864294</v>
      </c>
      <c r="B5970">
        <v>244292161.32969981</v>
      </c>
    </row>
    <row r="5971" spans="1:2" x14ac:dyDescent="0.25">
      <c r="A5971">
        <f ca="1">30439.0219423559*((RANDBETWEEN(1587,2416)))</f>
        <v>48367605.866403475</v>
      </c>
      <c r="B5971">
        <v>216600196.03169239</v>
      </c>
    </row>
    <row r="5972" spans="1:2" x14ac:dyDescent="0.25">
      <c r="A5972">
        <f ca="1">31979.1154148203*((RANDBETWEEN(1587,2416)))</f>
        <v>73456028.107842162</v>
      </c>
      <c r="B5972">
        <v>264810217.97817692</v>
      </c>
    </row>
    <row r="5973" spans="1:2" x14ac:dyDescent="0.25">
      <c r="A5973">
        <f ca="1">30078.9507111116*((RANDBETWEEN(1587,2416)))</f>
        <v>59436006.605156571</v>
      </c>
      <c r="B5973">
        <v>214003495.3400971</v>
      </c>
    </row>
    <row r="5974" spans="1:2" x14ac:dyDescent="0.25">
      <c r="A5974">
        <f ca="1">29643.68253857*((RANDBETWEEN(1587,2416)))</f>
        <v>51639294.982188903</v>
      </c>
      <c r="B5974">
        <v>263432664.53459665</v>
      </c>
    </row>
    <row r="5975" spans="1:2" x14ac:dyDescent="0.25">
      <c r="A5975">
        <f ca="1">31073.8007961891*((RANDBETWEEN(1587,2416)))</f>
        <v>57331162.468968943</v>
      </c>
      <c r="B5975">
        <v>255563614.89602157</v>
      </c>
    </row>
    <row r="5976" spans="1:2" x14ac:dyDescent="0.25">
      <c r="A5976">
        <f ca="1">26192.5971648417*((RANDBETWEEN(1587,2416)))</f>
        <v>56680780.26471734</v>
      </c>
      <c r="B5976">
        <v>214148128.61486816</v>
      </c>
    </row>
    <row r="5977" spans="1:2" x14ac:dyDescent="0.25">
      <c r="A5977">
        <f ca="1">31124.9342688724*((RANDBETWEEN(1587,2416)))</f>
        <v>57892377.740102626</v>
      </c>
      <c r="B5977">
        <v>206589393.82373425</v>
      </c>
    </row>
    <row r="5978" spans="1:2" x14ac:dyDescent="0.25">
      <c r="A5978">
        <f ca="1">29088.0279007525*((RANDBETWEEN(1587,2416)))</f>
        <v>57128886.797077827</v>
      </c>
      <c r="B5978">
        <v>224250526.84608978</v>
      </c>
    </row>
    <row r="5979" spans="1:2" x14ac:dyDescent="0.25">
      <c r="A5979">
        <f ca="1">30162.2004523622*((RANDBETWEEN(1587,2416)))</f>
        <v>57609802.864011817</v>
      </c>
      <c r="B5979">
        <v>206620856.43054104</v>
      </c>
    </row>
    <row r="5980" spans="1:2" x14ac:dyDescent="0.25">
      <c r="A5980">
        <f ca="1">30643.2165772793*((RANDBETWEEN(1587,2416)))</f>
        <v>67445719.686591655</v>
      </c>
      <c r="B5980">
        <v>216092572.41968173</v>
      </c>
    </row>
    <row r="5981" spans="1:2" x14ac:dyDescent="0.25">
      <c r="A5981">
        <f ca="1">28513.4564723901*((RANDBETWEEN(1587,2416)))</f>
        <v>54745836.426988922</v>
      </c>
      <c r="B5981">
        <v>211606363.1543296</v>
      </c>
    </row>
    <row r="5982" spans="1:2" x14ac:dyDescent="0.25">
      <c r="A5982">
        <f ca="1">28479.6602249184*((RANDBETWEEN(1587,2416)))</f>
        <v>53798078.164870799</v>
      </c>
      <c r="B5982">
        <v>215037330.26932132</v>
      </c>
    </row>
    <row r="5983" spans="1:2" x14ac:dyDescent="0.25">
      <c r="A5983">
        <f ca="1">27983.119971682*((RANDBETWEEN(1587,2416)))</f>
        <v>45164755.634294681</v>
      </c>
      <c r="B5983">
        <v>247927358.6833353</v>
      </c>
    </row>
    <row r="5984" spans="1:2" x14ac:dyDescent="0.25">
      <c r="A5984">
        <f ca="1">28783.075107482*((RANDBETWEEN(1587,2416)))</f>
        <v>52788159.747122005</v>
      </c>
      <c r="B5984">
        <v>254194277.29103556</v>
      </c>
    </row>
    <row r="5985" spans="1:2" x14ac:dyDescent="0.25">
      <c r="A5985">
        <f ca="1">29540.4220902223*((RANDBETWEEN(1587,2416)))</f>
        <v>56569908.302775636</v>
      </c>
      <c r="B5985">
        <v>237939469.8178165</v>
      </c>
    </row>
    <row r="5986" spans="1:2" x14ac:dyDescent="0.25">
      <c r="A5986">
        <f ca="1">29469.4343429995*((RANDBETWEEN(1587,2416)))</f>
        <v>49184485.918466195</v>
      </c>
      <c r="B5986">
        <v>235181051.27405807</v>
      </c>
    </row>
    <row r="5987" spans="1:2" x14ac:dyDescent="0.25">
      <c r="A5987">
        <f ca="1">31282.7323950042*((RANDBETWEEN(1587,2416)))</f>
        <v>58592557.77584295</v>
      </c>
      <c r="B5987">
        <v>228853091.32986528</v>
      </c>
    </row>
    <row r="5988" spans="1:2" x14ac:dyDescent="0.25">
      <c r="A5988">
        <f ca="1">26699.6230493404*((RANDBETWEEN(1587,2416)))</f>
        <v>48166119.981010064</v>
      </c>
      <c r="B5988">
        <v>216279625.9908455</v>
      </c>
    </row>
    <row r="5989" spans="1:2" x14ac:dyDescent="0.25">
      <c r="A5989">
        <f ca="1">27277.55025383*((RANDBETWEEN(1587,2416)))</f>
        <v>52427451.587861188</v>
      </c>
      <c r="B5989">
        <v>234273570.02236235</v>
      </c>
    </row>
    <row r="5990" spans="1:2" x14ac:dyDescent="0.25">
      <c r="A5990">
        <f ca="1">30765.2551226823*((RANDBETWEEN(1587,2416)))</f>
        <v>72267584.283180729</v>
      </c>
      <c r="B5990">
        <v>263022662.88651967</v>
      </c>
    </row>
    <row r="5991" spans="1:2" x14ac:dyDescent="0.25">
      <c r="A5991">
        <f ca="1">28410.7126599672*((RANDBETWEEN(1587,2416)))</f>
        <v>66623121.187623173</v>
      </c>
      <c r="B5991">
        <v>260588401.77523175</v>
      </c>
    </row>
    <row r="5992" spans="1:2" x14ac:dyDescent="0.25">
      <c r="A5992">
        <f ca="1">29723.8939947747*((RANDBETWEEN(1587,2416)))</f>
        <v>70415904.873621225</v>
      </c>
      <c r="B5992">
        <v>208574142.2784403</v>
      </c>
    </row>
    <row r="5993" spans="1:2" x14ac:dyDescent="0.25">
      <c r="A5993">
        <f ca="1">27930.287622646*((RANDBETWEEN(1587,2416)))</f>
        <v>59351861.19812277</v>
      </c>
      <c r="B5993">
        <v>229537125.58648756</v>
      </c>
    </row>
    <row r="5994" spans="1:2" x14ac:dyDescent="0.25">
      <c r="A5994">
        <f ca="1">29997.3797012693*((RANDBETWEEN(1587,2416)))</f>
        <v>62544536.67714642</v>
      </c>
      <c r="B5994">
        <v>236632019.62800196</v>
      </c>
    </row>
    <row r="5995" spans="1:2" x14ac:dyDescent="0.25">
      <c r="A5995">
        <f ca="1">27305.2067736295*((RANDBETWEEN(1587,2416)))</f>
        <v>53518205.276313752</v>
      </c>
      <c r="B5995">
        <v>255926862.14838415</v>
      </c>
    </row>
    <row r="5996" spans="1:2" x14ac:dyDescent="0.25">
      <c r="A5996">
        <f ca="1">31537.534809424*((RANDBETWEEN(1587,2416)))</f>
        <v>70265627.555396661</v>
      </c>
      <c r="B5996">
        <v>215130710.68585098</v>
      </c>
    </row>
    <row r="5997" spans="1:2" x14ac:dyDescent="0.25">
      <c r="A5997">
        <f ca="1">26381.2453785406*((RANDBETWEEN(1587,2416)))</f>
        <v>58882939.684902668</v>
      </c>
      <c r="B5997">
        <v>211810248.30622733</v>
      </c>
    </row>
    <row r="5998" spans="1:2" x14ac:dyDescent="0.25">
      <c r="A5998">
        <f ca="1">25437.2025259277*((RANDBETWEEN(1587,2416)))</f>
        <v>46346583.002240308</v>
      </c>
      <c r="B5998">
        <v>253361612.96121061</v>
      </c>
    </row>
    <row r="5999" spans="1:2" x14ac:dyDescent="0.25">
      <c r="A5999">
        <f ca="1">28371.8346638596*((RANDBETWEEN(1587,2416)))</f>
        <v>52487894.128140233</v>
      </c>
      <c r="B5999">
        <v>245297458.6162481</v>
      </c>
    </row>
    <row r="6000" spans="1:2" x14ac:dyDescent="0.25">
      <c r="A6000">
        <f ca="1">31818.6179962123*((RANDBETWEEN(1587,2416)))</f>
        <v>56318953.853295796</v>
      </c>
      <c r="B6000">
        <v>233209454.28328153</v>
      </c>
    </row>
    <row r="6001" spans="1:2" x14ac:dyDescent="0.25">
      <c r="A6001">
        <f ca="1">34971.8480708731*((RANDBETWEEN(1587,2416)))</f>
        <v>61690339.997020178</v>
      </c>
      <c r="B6001">
        <v>227367363.51159433</v>
      </c>
    </row>
    <row r="6002" spans="1:2" x14ac:dyDescent="0.25">
      <c r="A6002">
        <f ca="1">29240.044995159*((RANDBETWEEN(1587,2416)))</f>
        <v>47047232.397210784</v>
      </c>
      <c r="B6002">
        <v>249775269.34692067</v>
      </c>
    </row>
    <row r="6003" spans="1:2" x14ac:dyDescent="0.25">
      <c r="A6003">
        <f ca="1">34104.0756935139*((RANDBETWEEN(1587,2416)))</f>
        <v>78166541.489533842</v>
      </c>
      <c r="B6003">
        <v>235128318.51781893</v>
      </c>
    </row>
    <row r="6004" spans="1:2" x14ac:dyDescent="0.25">
      <c r="A6004">
        <f ca="1">31254.7471900243*((RANDBETWEEN(1587,2416)))</f>
        <v>62196946.908148296</v>
      </c>
      <c r="B6004">
        <v>244515930.96398741</v>
      </c>
    </row>
    <row r="6005" spans="1:2" x14ac:dyDescent="0.25">
      <c r="A6005">
        <f ca="1">31019.4929633409*((RANDBETWEEN(1587,2416)))</f>
        <v>67095163.279706359</v>
      </c>
      <c r="B6005">
        <v>241717297.665847</v>
      </c>
    </row>
    <row r="6006" spans="1:2" x14ac:dyDescent="0.25">
      <c r="A6006">
        <f ca="1">30360.4191655587*((RANDBETWEEN(1587,2416)))</f>
        <v>49791087.431516238</v>
      </c>
      <c r="B6006">
        <v>260630076.91616097</v>
      </c>
    </row>
    <row r="6007" spans="1:2" x14ac:dyDescent="0.25">
      <c r="A6007">
        <f ca="1">26777.0956830955*((RANDBETWEEN(1587,2416)))</f>
        <v>63943704.49123209</v>
      </c>
      <c r="B6007">
        <v>210128316.26213858</v>
      </c>
    </row>
    <row r="6008" spans="1:2" x14ac:dyDescent="0.25">
      <c r="A6008">
        <f ca="1">32631.2178150378*((RANDBETWEEN(1587,2416)))</f>
        <v>59551972.512444057</v>
      </c>
      <c r="B6008">
        <v>244852069.21601164</v>
      </c>
    </row>
    <row r="6009" spans="1:2" x14ac:dyDescent="0.25">
      <c r="A6009">
        <f ca="1">30037.941121167*((RANDBETWEEN(1587,2416)))</f>
        <v>50854234.318135805</v>
      </c>
      <c r="B6009">
        <v>238760982.04181954</v>
      </c>
    </row>
    <row r="6010" spans="1:2" x14ac:dyDescent="0.25">
      <c r="A6010">
        <f ca="1">30285.3166839754*((RANDBETWEEN(1587,2416)))</f>
        <v>54241002.181000009</v>
      </c>
      <c r="B6010">
        <v>253851959.9294748</v>
      </c>
    </row>
    <row r="6011" spans="1:2" x14ac:dyDescent="0.25">
      <c r="A6011">
        <f ca="1">27447.6976197325*((RANDBETWEEN(1587,2416)))</f>
        <v>62333721.294412553</v>
      </c>
      <c r="B6011">
        <v>226385446.97909346</v>
      </c>
    </row>
    <row r="6012" spans="1:2" x14ac:dyDescent="0.25">
      <c r="A6012">
        <f ca="1">29880.1148535803*((RANDBETWEEN(1587,2416)))</f>
        <v>50407753.757990025</v>
      </c>
      <c r="B6012">
        <v>261357667.70080024</v>
      </c>
    </row>
    <row r="6013" spans="1:2" x14ac:dyDescent="0.25">
      <c r="A6013">
        <f ca="1">27360.4925849738*((RANDBETWEEN(1587,2416)))</f>
        <v>59536431.864903077</v>
      </c>
      <c r="B6013">
        <v>227930584.91624752</v>
      </c>
    </row>
    <row r="6014" spans="1:2" x14ac:dyDescent="0.25">
      <c r="A6014">
        <f ca="1">27930.6511476813*((RANDBETWEEN(1587,2416)))</f>
        <v>48906570.159589894</v>
      </c>
      <c r="B6014">
        <v>240145220.98851451</v>
      </c>
    </row>
    <row r="6015" spans="1:2" x14ac:dyDescent="0.25">
      <c r="A6015">
        <f ca="1">31279.1528808013*((RANDBETWEEN(1587,2416)))</f>
        <v>57397245.53627035</v>
      </c>
      <c r="B6015">
        <v>226633468.27568364</v>
      </c>
    </row>
    <row r="6016" spans="1:2" x14ac:dyDescent="0.25">
      <c r="A6016">
        <f ca="1">30282.3241711453*((RANDBETWEEN(1587,2416)))</f>
        <v>68438052.626788318</v>
      </c>
      <c r="B6016">
        <v>211968745.37892014</v>
      </c>
    </row>
    <row r="6017" spans="1:2" x14ac:dyDescent="0.25">
      <c r="A6017">
        <f ca="1">29985.6516354473*((RANDBETWEEN(1587,2416)))</f>
        <v>59581489.799633846</v>
      </c>
      <c r="B6017">
        <v>231947539.2633675</v>
      </c>
    </row>
    <row r="6018" spans="1:2" x14ac:dyDescent="0.25">
      <c r="A6018">
        <f ca="1">31121.1504750925*((RANDBETWEEN(1587,2416)))</f>
        <v>55146678.641863994</v>
      </c>
      <c r="B6018">
        <v>234035716.22839731</v>
      </c>
    </row>
    <row r="6019" spans="1:2" x14ac:dyDescent="0.25">
      <c r="A6019">
        <f ca="1">30631.4833103023*((RANDBETWEEN(1587,2416)))</f>
        <v>57985397.906402335</v>
      </c>
      <c r="B6019">
        <v>264837347.63608509</v>
      </c>
    </row>
    <row r="6020" spans="1:2" x14ac:dyDescent="0.25">
      <c r="A6020">
        <f ca="1">30424.1749393194*((RANDBETWEEN(1587,2416)))</f>
        <v>50747523.798784718</v>
      </c>
      <c r="B6020">
        <v>220463480.94634825</v>
      </c>
    </row>
    <row r="6021" spans="1:2" x14ac:dyDescent="0.25">
      <c r="A6021">
        <f ca="1">31672.1303845867*((RANDBETWEEN(1587,2416)))</f>
        <v>52734097.090336815</v>
      </c>
      <c r="B6021">
        <v>266931808.15184966</v>
      </c>
    </row>
    <row r="6022" spans="1:2" x14ac:dyDescent="0.25">
      <c r="A6022">
        <f ca="1">26732.369687464*((RANDBETWEEN(1587,2416)))</f>
        <v>56645891.367736273</v>
      </c>
      <c r="B6022">
        <v>229113030.88391918</v>
      </c>
    </row>
    <row r="6023" spans="1:2" x14ac:dyDescent="0.25">
      <c r="A6023">
        <f ca="1">32583.0456747845*((RANDBETWEEN(1587,2416)))</f>
        <v>76961153.883840889</v>
      </c>
      <c r="B6023">
        <v>234162334.66191521</v>
      </c>
    </row>
    <row r="6024" spans="1:2" x14ac:dyDescent="0.25">
      <c r="A6024">
        <f ca="1">32201.1463670265*((RANDBETWEEN(1587,2416)))</f>
        <v>70584912.836522162</v>
      </c>
      <c r="B6024">
        <v>266826254.52975267</v>
      </c>
    </row>
    <row r="6025" spans="1:2" x14ac:dyDescent="0.25">
      <c r="A6025">
        <f ca="1">30915.3474798714*((RANDBETWEEN(1587,2416)))</f>
        <v>50639339.172029339</v>
      </c>
      <c r="B6025">
        <v>214021360.70831415</v>
      </c>
    </row>
    <row r="6026" spans="1:2" x14ac:dyDescent="0.25">
      <c r="A6026">
        <f ca="1">31130.2613782663*((RANDBETWEEN(1587,2416)))</f>
        <v>53637440.354752846</v>
      </c>
      <c r="B6026">
        <v>251408633.77261546</v>
      </c>
    </row>
    <row r="6027" spans="1:2" x14ac:dyDescent="0.25">
      <c r="A6027">
        <f ca="1">28423.4313681042*((RANDBETWEEN(1587,2416)))</f>
        <v>63242134.794031896</v>
      </c>
      <c r="B6027">
        <v>245271276.42798525</v>
      </c>
    </row>
    <row r="6028" spans="1:2" x14ac:dyDescent="0.25">
      <c r="A6028">
        <f ca="1">28103.7201457591*((RANDBETWEEN(1587,2416)))</f>
        <v>47916842.848519184</v>
      </c>
      <c r="B6028">
        <v>221365132.4687742</v>
      </c>
    </row>
    <row r="6029" spans="1:2" x14ac:dyDescent="0.25">
      <c r="A6029">
        <f ca="1">29037.0311084209*((RANDBETWEEN(1587,2416)))</f>
        <v>50205026.786459662</v>
      </c>
      <c r="B6029">
        <v>252541693.0261001</v>
      </c>
    </row>
    <row r="6030" spans="1:2" x14ac:dyDescent="0.25">
      <c r="A6030">
        <f ca="1">27320.3451268906*((RANDBETWEEN(1587,2416)))</f>
        <v>54230885.07687781</v>
      </c>
      <c r="B6030">
        <v>208432685.31894785</v>
      </c>
    </row>
    <row r="6031" spans="1:2" x14ac:dyDescent="0.25">
      <c r="A6031">
        <f ca="1">30825.3878201485*((RANDBETWEEN(1587,2416)))</f>
        <v>69572900.310075164</v>
      </c>
      <c r="B6031">
        <v>248109633.60970318</v>
      </c>
    </row>
    <row r="6032" spans="1:2" x14ac:dyDescent="0.25">
      <c r="A6032">
        <f ca="1">29540.4930669562*((RANDBETWEEN(1587,2416)))</f>
        <v>70099590.047887027</v>
      </c>
      <c r="B6032">
        <v>226194326.47054988</v>
      </c>
    </row>
    <row r="6033" spans="1:2" x14ac:dyDescent="0.25">
      <c r="A6033">
        <f ca="1">33007.7134714513*((RANDBETWEEN(1587,2416)))</f>
        <v>73046069.912321702</v>
      </c>
      <c r="B6033">
        <v>222683143.05412275</v>
      </c>
    </row>
    <row r="6034" spans="1:2" x14ac:dyDescent="0.25">
      <c r="A6034">
        <f ca="1">30198.3314185807*((RANDBETWEEN(1587,2416)))</f>
        <v>59309522.906092465</v>
      </c>
      <c r="B6034">
        <v>265608173.39298999</v>
      </c>
    </row>
    <row r="6035" spans="1:2" x14ac:dyDescent="0.25">
      <c r="A6035">
        <f ca="1">30898.8528787368*((RANDBETWEEN(1587,2416)))</f>
        <v>51910072.836277835</v>
      </c>
      <c r="B6035">
        <v>230629171.11157042</v>
      </c>
    </row>
    <row r="6036" spans="1:2" x14ac:dyDescent="0.25">
      <c r="A6036">
        <f ca="1">26354.0398132393*((RANDBETWEEN(1587,2416)))</f>
        <v>41876569.263237178</v>
      </c>
      <c r="B6036">
        <v>252567377.07831153</v>
      </c>
    </row>
    <row r="6037" spans="1:2" x14ac:dyDescent="0.25">
      <c r="A6037">
        <f ca="1">31021.6260591931*((RANDBETWEEN(1587,2416)))</f>
        <v>67596123.182981804</v>
      </c>
      <c r="B6037">
        <v>218762099.18439141</v>
      </c>
    </row>
    <row r="6038" spans="1:2" x14ac:dyDescent="0.25">
      <c r="A6038">
        <f ca="1">31880.2890686351*((RANDBETWEEN(1587,2416)))</f>
        <v>67108008.489476837</v>
      </c>
      <c r="B6038">
        <v>235685087.95953619</v>
      </c>
    </row>
    <row r="6039" spans="1:2" x14ac:dyDescent="0.25">
      <c r="A6039">
        <f ca="1">28469.8479365239*((RANDBETWEEN(1587,2416)))</f>
        <v>67558949.15337117</v>
      </c>
      <c r="B6039">
        <v>232729942.38597634</v>
      </c>
    </row>
    <row r="6040" spans="1:2" x14ac:dyDescent="0.25">
      <c r="A6040">
        <f ca="1">33306.3531893027*((RANDBETWEEN(1587,2416)))</f>
        <v>73040832.54414089</v>
      </c>
      <c r="B6040">
        <v>256829039.28994304</v>
      </c>
    </row>
    <row r="6041" spans="1:2" x14ac:dyDescent="0.25">
      <c r="A6041">
        <f ca="1">27472.806661483*((RANDBETWEEN(1587,2416)))</f>
        <v>65714953.534267448</v>
      </c>
      <c r="B6041">
        <v>211276976.76859069</v>
      </c>
    </row>
    <row r="6042" spans="1:2" x14ac:dyDescent="0.25">
      <c r="A6042">
        <f ca="1">29411.6833123009*((RANDBETWEEN(1587,2416)))</f>
        <v>66999814.585421517</v>
      </c>
      <c r="B6042">
        <v>224810863.50288936</v>
      </c>
    </row>
    <row r="6043" spans="1:2" x14ac:dyDescent="0.25">
      <c r="A6043">
        <f ca="1">26823.1474808287*((RANDBETWEEN(1587,2416)))</f>
        <v>63222158.612313323</v>
      </c>
      <c r="B6043">
        <v>210221255.62294275</v>
      </c>
    </row>
    <row r="6044" spans="1:2" x14ac:dyDescent="0.25">
      <c r="A6044">
        <f ca="1">26865.3790588083*((RANDBETWEEN(1587,2416)))</f>
        <v>49996470.428442329</v>
      </c>
      <c r="B6044">
        <v>214569113.70157868</v>
      </c>
    </row>
    <row r="6045" spans="1:2" x14ac:dyDescent="0.25">
      <c r="A6045">
        <f ca="1">28291.519858044*((RANDBETWEEN(1587,2416)))</f>
        <v>45917136.729605354</v>
      </c>
      <c r="B6045">
        <v>216983171.95208049</v>
      </c>
    </row>
    <row r="6046" spans="1:2" x14ac:dyDescent="0.25">
      <c r="A6046">
        <f ca="1">27587.5495018563*((RANDBETWEEN(1587,2416)))</f>
        <v>56664826.676812768</v>
      </c>
      <c r="B6046">
        <v>239517395.90055323</v>
      </c>
    </row>
    <row r="6047" spans="1:2" x14ac:dyDescent="0.25">
      <c r="A6047">
        <f ca="1">29225.3341755184*((RANDBETWEEN(1587,2416)))</f>
        <v>48601730.733887076</v>
      </c>
      <c r="B6047">
        <v>219736141.04781011</v>
      </c>
    </row>
    <row r="6048" spans="1:2" x14ac:dyDescent="0.25">
      <c r="A6048">
        <f ca="1">28798.009213472*((RANDBETWEEN(1587,2416)))</f>
        <v>50166132.049868189</v>
      </c>
      <c r="B6048">
        <v>252278118.5947808</v>
      </c>
    </row>
    <row r="6049" spans="1:2" x14ac:dyDescent="0.25">
      <c r="A6049">
        <f ca="1">33162.868354849*((RANDBETWEEN(1587,2416)))</f>
        <v>69774675.018602327</v>
      </c>
      <c r="B6049">
        <v>243507266.40260571</v>
      </c>
    </row>
    <row r="6050" spans="1:2" x14ac:dyDescent="0.25">
      <c r="A6050">
        <f ca="1">30287.4445400399*((RANDBETWEEN(1587,2416)))</f>
        <v>58606205.184977263</v>
      </c>
      <c r="B6050">
        <v>254791597.54533327</v>
      </c>
    </row>
    <row r="6051" spans="1:2" x14ac:dyDescent="0.25">
      <c r="A6051">
        <f ca="1">27137.4108112064*((RANDBETWEEN(1587,2416)))</f>
        <v>47490468.919611223</v>
      </c>
      <c r="B6051">
        <v>214661579.59603006</v>
      </c>
    </row>
    <row r="6052" spans="1:2" x14ac:dyDescent="0.25">
      <c r="A6052">
        <f ca="1">31646.0070839678*((RANDBETWEEN(1587,2416)))</f>
        <v>67500933.110103235</v>
      </c>
      <c r="B6052">
        <v>245117790.17406869</v>
      </c>
    </row>
    <row r="6053" spans="1:2" x14ac:dyDescent="0.25">
      <c r="A6053">
        <f ca="1">26318.4954394774*((RANDBETWEEN(1587,2416)))</f>
        <v>52926494.328789115</v>
      </c>
      <c r="B6053">
        <v>214665455.04917869</v>
      </c>
    </row>
    <row r="6054" spans="1:2" x14ac:dyDescent="0.25">
      <c r="A6054">
        <f ca="1">30494.1938155664*((RANDBETWEEN(1587,2416)))</f>
        <v>54401641.766970381</v>
      </c>
      <c r="B6054">
        <v>251919893.11563182</v>
      </c>
    </row>
    <row r="6055" spans="1:2" x14ac:dyDescent="0.25">
      <c r="A6055">
        <f ca="1">30169.5646257909*((RANDBETWEEN(1587,2416)))</f>
        <v>71894072.503259689</v>
      </c>
      <c r="B6055">
        <v>219160399.09577703</v>
      </c>
    </row>
    <row r="6056" spans="1:2" x14ac:dyDescent="0.25">
      <c r="A6056">
        <f ca="1">28919.0617864025*((RANDBETWEEN(1587,2416)))</f>
        <v>48352671.306864917</v>
      </c>
      <c r="B6056">
        <v>236812396.32061231</v>
      </c>
    </row>
    <row r="6057" spans="1:2" x14ac:dyDescent="0.25">
      <c r="A6057">
        <f ca="1">30137.3594952493*((RANDBETWEEN(1587,2416)))</f>
        <v>56206175.458639979</v>
      </c>
      <c r="B6057">
        <v>250098153.37851101</v>
      </c>
    </row>
    <row r="6058" spans="1:2" x14ac:dyDescent="0.25">
      <c r="A6058">
        <f ca="1">28715.6568429635*((RANDBETWEEN(1587,2416)))</f>
        <v>64208208.700866371</v>
      </c>
      <c r="B6058">
        <v>221551480.00454384</v>
      </c>
    </row>
    <row r="6059" spans="1:2" x14ac:dyDescent="0.25">
      <c r="A6059">
        <f ca="1">31335.7128361992*((RANDBETWEEN(1587,2416)))</f>
        <v>59882547.229976609</v>
      </c>
      <c r="B6059">
        <v>259532780.29223263</v>
      </c>
    </row>
    <row r="6060" spans="1:2" x14ac:dyDescent="0.25">
      <c r="A6060">
        <f ca="1">26699.9037255479*((RANDBETWEEN(1587,2416)))</f>
        <v>62077276.161898836</v>
      </c>
      <c r="B6060">
        <v>228135253.89100847</v>
      </c>
    </row>
    <row r="6061" spans="1:2" x14ac:dyDescent="0.25">
      <c r="A6061">
        <f ca="1">31901.6560142843*((RANDBETWEEN(1587,2416)))</f>
        <v>73501415.456910953</v>
      </c>
      <c r="B6061">
        <v>250214564.27406418</v>
      </c>
    </row>
    <row r="6062" spans="1:2" x14ac:dyDescent="0.25">
      <c r="A6062">
        <f ca="1">27044.3482768195*((RANDBETWEEN(1587,2416)))</f>
        <v>65230968.04368864</v>
      </c>
      <c r="B6062">
        <v>242870668.21070045</v>
      </c>
    </row>
    <row r="6063" spans="1:2" x14ac:dyDescent="0.25">
      <c r="A6063">
        <f ca="1">26396.5461315401*((RANDBETWEEN(1587,2416)))</f>
        <v>55749505.429812685</v>
      </c>
      <c r="B6063">
        <v>215029672.07440829</v>
      </c>
    </row>
    <row r="6064" spans="1:2" x14ac:dyDescent="0.25">
      <c r="A6064">
        <f ca="1">26816.3057562614*((RANDBETWEEN(1587,2416)))</f>
        <v>63125583.75023932</v>
      </c>
      <c r="B6064">
        <v>231487264.27579466</v>
      </c>
    </row>
    <row r="6065" spans="1:2" x14ac:dyDescent="0.25">
      <c r="A6065">
        <f ca="1">31676.8005777725*((RANDBETWEEN(1587,2416)))</f>
        <v>58982202.675812304</v>
      </c>
      <c r="B6065">
        <v>211865866.91861409</v>
      </c>
    </row>
    <row r="6066" spans="1:2" x14ac:dyDescent="0.25">
      <c r="A6066">
        <f ca="1">27676.4910399035*((RANDBETWEEN(1587,2416)))</f>
        <v>46441151.964958116</v>
      </c>
      <c r="B6066">
        <v>211427621.82733381</v>
      </c>
    </row>
    <row r="6067" spans="1:2" x14ac:dyDescent="0.25">
      <c r="A6067">
        <f ca="1">25803.1881366954*((RANDBETWEEN(1587,2416)))</f>
        <v>41517329.711942926</v>
      </c>
      <c r="B6067">
        <v>234694633.60905522</v>
      </c>
    </row>
    <row r="6068" spans="1:2" x14ac:dyDescent="0.25">
      <c r="A6068">
        <f ca="1">32215.0248776665*((RANDBETWEEN(1587,2416)))</f>
        <v>51705114.92865473</v>
      </c>
      <c r="B6068">
        <v>246910600.70094335</v>
      </c>
    </row>
    <row r="6069" spans="1:2" x14ac:dyDescent="0.25">
      <c r="A6069">
        <f ca="1">28300.4103388226*((RANDBETWEEN(1587,2416)))</f>
        <v>49865323.017005429</v>
      </c>
      <c r="B6069">
        <v>233998740.1231024</v>
      </c>
    </row>
    <row r="6070" spans="1:2" x14ac:dyDescent="0.25">
      <c r="A6070">
        <f ca="1">27237.0886816438*((RANDBETWEEN(1587,2416)))</f>
        <v>63734787.515046574</v>
      </c>
      <c r="B6070">
        <v>226352107.56729871</v>
      </c>
    </row>
    <row r="6071" spans="1:2" x14ac:dyDescent="0.25">
      <c r="A6071">
        <f ca="1">30985.1188767947*((RANDBETWEEN(1587,2416)))</f>
        <v>64325106.788225718</v>
      </c>
      <c r="B6071">
        <v>222797638.07195273</v>
      </c>
    </row>
    <row r="6072" spans="1:2" x14ac:dyDescent="0.25">
      <c r="A6072">
        <f ca="1">26809.2894374053*((RANDBETWEEN(1587,2416)))</f>
        <v>48605241.750015855</v>
      </c>
      <c r="B6072">
        <v>216020341.84260851</v>
      </c>
    </row>
    <row r="6073" spans="1:2" x14ac:dyDescent="0.25">
      <c r="A6073">
        <f ca="1">26148.2855117491*((RANDBETWEEN(1587,2416)))</f>
        <v>57552376.41135975</v>
      </c>
      <c r="B6073">
        <v>206677192.14512855</v>
      </c>
    </row>
    <row r="6074" spans="1:2" x14ac:dyDescent="0.25">
      <c r="A6074">
        <f ca="1">31022.077621217*((RANDBETWEEN(1587,2416)))</f>
        <v>62881751.33820679</v>
      </c>
      <c r="B6074">
        <v>265090927.16939682</v>
      </c>
    </row>
    <row r="6075" spans="1:2" x14ac:dyDescent="0.25">
      <c r="A6075">
        <f ca="1">26756.4221097373*((RANDBETWEEN(1587,2416)))</f>
        <v>44281878.591615289</v>
      </c>
      <c r="B6075">
        <v>245869847.2086933</v>
      </c>
    </row>
    <row r="6076" spans="1:2" x14ac:dyDescent="0.25">
      <c r="A6076">
        <f ca="1">28561.8749249003*((RANDBETWEEN(1587,2416)))</f>
        <v>62436258.585832104</v>
      </c>
      <c r="B6076">
        <v>237897262.17953318</v>
      </c>
    </row>
    <row r="6077" spans="1:2" x14ac:dyDescent="0.25">
      <c r="A6077">
        <f ca="1">26304.4496774733*((RANDBETWEEN(1587,2416)))</f>
        <v>58843053.928507797</v>
      </c>
      <c r="B6077">
        <v>243944262.45727384</v>
      </c>
    </row>
    <row r="6078" spans="1:2" x14ac:dyDescent="0.25">
      <c r="A6078">
        <f ca="1">32143.570717348*((RANDBETWEEN(1587,2416)))</f>
        <v>70362276.300274774</v>
      </c>
      <c r="B6078">
        <v>206943555.01455963</v>
      </c>
    </row>
    <row r="6079" spans="1:2" x14ac:dyDescent="0.25">
      <c r="A6079">
        <f ca="1">26616.2212918402*((RANDBETWEEN(1587,2416)))</f>
        <v>63000595.797785856</v>
      </c>
      <c r="B6079">
        <v>223744079.78206435</v>
      </c>
    </row>
    <row r="6080" spans="1:2" x14ac:dyDescent="0.25">
      <c r="A6080">
        <f ca="1">30862.3690733327*((RANDBETWEEN(1587,2416)))</f>
        <v>67310826.948938698</v>
      </c>
      <c r="B6080">
        <v>210988612.05344483</v>
      </c>
    </row>
    <row r="6081" spans="1:2" x14ac:dyDescent="0.25">
      <c r="A6081">
        <f ca="1">27515.2116955928*((RANDBETWEEN(1587,2416)))</f>
        <v>57947035.830918446</v>
      </c>
      <c r="B6081">
        <v>242235977.73027524</v>
      </c>
    </row>
    <row r="6082" spans="1:2" x14ac:dyDescent="0.25">
      <c r="A6082">
        <f ca="1">27436.8478817126*((RANDBETWEEN(1587,2416)))</f>
        <v>59345901.968144454</v>
      </c>
      <c r="B6082">
        <v>253851704.63555595</v>
      </c>
    </row>
    <row r="6083" spans="1:2" x14ac:dyDescent="0.25">
      <c r="A6083">
        <f ca="1">26008.4032424764*((RANDBETWEEN(1587,2416)))</f>
        <v>53941428.324895963</v>
      </c>
      <c r="B6083">
        <v>220791776.13352638</v>
      </c>
    </row>
    <row r="6084" spans="1:2" x14ac:dyDescent="0.25">
      <c r="A6084">
        <f ca="1">28502.6862011706*((RANDBETWEEN(1587,2416)))</f>
        <v>62990936.504587092</v>
      </c>
      <c r="B6084">
        <v>228015467.2780481</v>
      </c>
    </row>
    <row r="6085" spans="1:2" x14ac:dyDescent="0.25">
      <c r="A6085">
        <f ca="1">28116.1138576519*((RANDBETWEEN(1587,2416)))</f>
        <v>55557440.982720122</v>
      </c>
      <c r="B6085">
        <v>229158022.18108404</v>
      </c>
    </row>
    <row r="6086" spans="1:2" x14ac:dyDescent="0.25">
      <c r="A6086">
        <f ca="1">28115.8036701853*((RANDBETWEEN(1587,2416)))</f>
        <v>57018849.843135834</v>
      </c>
      <c r="B6086">
        <v>205315379.35419539</v>
      </c>
    </row>
    <row r="6087" spans="1:2" x14ac:dyDescent="0.25">
      <c r="A6087">
        <f ca="1">31718.1318851327*((RANDBETWEEN(1587,2416)))</f>
        <v>68257419.816805527</v>
      </c>
      <c r="B6087">
        <v>210332882.85135239</v>
      </c>
    </row>
    <row r="6088" spans="1:2" x14ac:dyDescent="0.25">
      <c r="A6088">
        <f ca="1">28954.8970328064*((RANDBETWEEN(1587,2416)))</f>
        <v>52495228.320478074</v>
      </c>
      <c r="B6088">
        <v>249121692.27604878</v>
      </c>
    </row>
    <row r="6089" spans="1:2" x14ac:dyDescent="0.25">
      <c r="A6089">
        <f ca="1">29744.8701360773*((RANDBETWEEN(1587,2416)))</f>
        <v>70792790.923863947</v>
      </c>
      <c r="B6089">
        <v>225185993.65529251</v>
      </c>
    </row>
    <row r="6090" spans="1:2" x14ac:dyDescent="0.25">
      <c r="A6090">
        <f ca="1">31278.9077981844*((RANDBETWEEN(1587,2416)))</f>
        <v>55739013.696364582</v>
      </c>
      <c r="B6090">
        <v>228254930.84858343</v>
      </c>
    </row>
    <row r="6091" spans="1:2" x14ac:dyDescent="0.25">
      <c r="A6091">
        <f ca="1">26069.1099607628*((RANDBETWEEN(1587,2416)))</f>
        <v>52920293.2203485</v>
      </c>
      <c r="B6091">
        <v>226181093.16930723</v>
      </c>
    </row>
    <row r="6092" spans="1:2" x14ac:dyDescent="0.25">
      <c r="A6092">
        <f ca="1">31752.4860142256*((RANDBETWEEN(1587,2416)))</f>
        <v>60710753.259199321</v>
      </c>
      <c r="B6092">
        <v>239766928.03470871</v>
      </c>
    </row>
    <row r="6093" spans="1:2" x14ac:dyDescent="0.25">
      <c r="A6093">
        <f ca="1">30472.6685134546*((RANDBETWEEN(1587,2416)))</f>
        <v>52321571.83760155</v>
      </c>
      <c r="B6093">
        <v>240870687.99754786</v>
      </c>
    </row>
    <row r="6094" spans="1:2" x14ac:dyDescent="0.25">
      <c r="A6094">
        <f ca="1">26599.5393331443*((RANDBETWEEN(1587,2416)))</f>
        <v>62934510.062219322</v>
      </c>
      <c r="B6094">
        <v>233778271.87399706</v>
      </c>
    </row>
    <row r="6095" spans="1:2" x14ac:dyDescent="0.25">
      <c r="A6095">
        <f ca="1">25541.3150157908*((RANDBETWEEN(1587,2416)))</f>
        <v>58668400.591271542</v>
      </c>
      <c r="B6095">
        <v>210447047.98288006</v>
      </c>
    </row>
    <row r="6096" spans="1:2" x14ac:dyDescent="0.25">
      <c r="A6096">
        <f ca="1">32004.861519026*((RANDBETWEEN(1587,2416)))</f>
        <v>55272395.843357988</v>
      </c>
      <c r="B6096">
        <v>214048075.29403871</v>
      </c>
    </row>
    <row r="6097" spans="1:2" x14ac:dyDescent="0.25">
      <c r="A6097">
        <f ca="1">28889.9231059899*((RANDBETWEEN(1587,2416)))</f>
        <v>63182261.832799867</v>
      </c>
      <c r="B6097">
        <v>229630827.07027808</v>
      </c>
    </row>
    <row r="6098" spans="1:2" x14ac:dyDescent="0.25">
      <c r="A6098">
        <f ca="1">32919.7796218881*((RANDBETWEEN(1587,2416)))</f>
        <v>54745593.511199981</v>
      </c>
      <c r="B6098">
        <v>264975069.87600043</v>
      </c>
    </row>
    <row r="6099" spans="1:2" x14ac:dyDescent="0.25">
      <c r="A6099">
        <f ca="1">30977.2345899324*((RANDBETWEEN(1587,2416)))</f>
        <v>52723253.272064872</v>
      </c>
      <c r="B6099">
        <v>219736379.82841143</v>
      </c>
    </row>
    <row r="6100" spans="1:2" x14ac:dyDescent="0.25">
      <c r="A6100">
        <f ca="1">32878.6501550695*((RANDBETWEEN(1587,2416)))</f>
        <v>60891260.087188758</v>
      </c>
      <c r="B6100">
        <v>261559528.39739469</v>
      </c>
    </row>
    <row r="6101" spans="1:2" x14ac:dyDescent="0.25">
      <c r="A6101">
        <f ca="1">31906.5068563937*((RANDBETWEEN(1587,2416)))</f>
        <v>71215323.303470835</v>
      </c>
      <c r="B6101">
        <v>253192449.15416226</v>
      </c>
    </row>
    <row r="6102" spans="1:2" x14ac:dyDescent="0.25">
      <c r="A6102">
        <f ca="1">26212.7241530564*((RANDBETWEEN(1587,2416)))</f>
        <v>47864434.303480953</v>
      </c>
      <c r="B6102">
        <v>227722713.25786567</v>
      </c>
    </row>
    <row r="6103" spans="1:2" x14ac:dyDescent="0.25">
      <c r="A6103">
        <f ca="1">27756.0351177744*((RANDBETWEEN(1587,2416)))</f>
        <v>58842794.449681655</v>
      </c>
      <c r="B6103">
        <v>206019017.40919161</v>
      </c>
    </row>
    <row r="6104" spans="1:2" x14ac:dyDescent="0.25">
      <c r="A6104">
        <f ca="1">31912.0461011093*((RANDBETWEEN(1587,2416)))</f>
        <v>55590784.308132499</v>
      </c>
      <c r="B6104">
        <v>258722271.1354619</v>
      </c>
    </row>
    <row r="6105" spans="1:2" x14ac:dyDescent="0.25">
      <c r="A6105">
        <f ca="1">27925.7140706067*((RANDBETWEEN(1587,2416)))</f>
        <v>54399291.009541839</v>
      </c>
      <c r="B6105">
        <v>237269658.950836</v>
      </c>
    </row>
    <row r="6106" spans="1:2" x14ac:dyDescent="0.25">
      <c r="A6106">
        <f ca="1">31131.6613836595*((RANDBETWEEN(1587,2416)))</f>
        <v>56815282.025178514</v>
      </c>
      <c r="B6106">
        <v>261302451.04889247</v>
      </c>
    </row>
    <row r="6107" spans="1:2" x14ac:dyDescent="0.25">
      <c r="A6107">
        <f ca="1">29231.5068414657*((RANDBETWEEN(1587,2416)))</f>
        <v>54253676.697760329</v>
      </c>
      <c r="B6107">
        <v>251323026.0345819</v>
      </c>
    </row>
    <row r="6108" spans="1:2" x14ac:dyDescent="0.25">
      <c r="A6108">
        <f ca="1">28614.0968579004*((RANDBETWEEN(1587,2416)))</f>
        <v>49731300.339030929</v>
      </c>
      <c r="B6108">
        <v>228885418.62866551</v>
      </c>
    </row>
    <row r="6109" spans="1:2" x14ac:dyDescent="0.25">
      <c r="A6109">
        <f ca="1">28175.9085141645*((RANDBETWEEN(1587,2416)))</f>
        <v>64522830.497436605</v>
      </c>
      <c r="B6109">
        <v>247131836.64182857</v>
      </c>
    </row>
    <row r="6110" spans="1:2" x14ac:dyDescent="0.25">
      <c r="A6110">
        <f ca="1">30256.9844141449*((RANDBETWEEN(1587,2416)))</f>
        <v>67594103.181199729</v>
      </c>
      <c r="B6110">
        <v>255044221.77958399</v>
      </c>
    </row>
    <row r="6111" spans="1:2" x14ac:dyDescent="0.25">
      <c r="A6111">
        <f ca="1">27542.5800746639*((RANDBETWEEN(1587,2416)))</f>
        <v>65193287.036729373</v>
      </c>
      <c r="B6111">
        <v>211250168.31724733</v>
      </c>
    </row>
    <row r="6112" spans="1:2" x14ac:dyDescent="0.25">
      <c r="A6112">
        <f ca="1">25962.6661732166*((RANDBETWEEN(1587,2416)))</f>
        <v>46083732.457459502</v>
      </c>
      <c r="B6112">
        <v>221340353.61492029</v>
      </c>
    </row>
    <row r="6113" spans="1:2" x14ac:dyDescent="0.25">
      <c r="A6113">
        <f ca="1">26175.4041383947*((RANDBETWEEN(1587,2416)))</f>
        <v>44079380.569056705</v>
      </c>
      <c r="B6113">
        <v>266517464.78475344</v>
      </c>
    </row>
    <row r="6114" spans="1:2" x14ac:dyDescent="0.25">
      <c r="A6114">
        <f ca="1">28517.8720916754*((RANDBETWEEN(1587,2416)))</f>
        <v>62368586.264494158</v>
      </c>
      <c r="B6114">
        <v>245772621.31901485</v>
      </c>
    </row>
    <row r="6115" spans="1:2" x14ac:dyDescent="0.25">
      <c r="A6115">
        <f ca="1">32210.0341056085*((RANDBETWEEN(1587,2416)))</f>
        <v>54918108.150062494</v>
      </c>
      <c r="B6115">
        <v>231257977.88247773</v>
      </c>
    </row>
    <row r="6116" spans="1:2" x14ac:dyDescent="0.25">
      <c r="A6116">
        <f ca="1">32347.3246258611*((RANDBETWEEN(1587,2416)))</f>
        <v>68641022.856077269</v>
      </c>
      <c r="B6116">
        <v>222160878.8494308</v>
      </c>
    </row>
    <row r="6117" spans="1:2" x14ac:dyDescent="0.25">
      <c r="A6117">
        <f ca="1">31441.0901627171*((RANDBETWEEN(1587,2416)))</f>
        <v>70773893.956276163</v>
      </c>
      <c r="B6117">
        <v>259693102.33558083</v>
      </c>
    </row>
    <row r="6118" spans="1:2" x14ac:dyDescent="0.25">
      <c r="A6118">
        <f ca="1">28359.5089521652*((RANDBETWEEN(1587,2416)))</f>
        <v>54733852.277678877</v>
      </c>
      <c r="B6118">
        <v>211804214.42058748</v>
      </c>
    </row>
    <row r="6119" spans="1:2" x14ac:dyDescent="0.25">
      <c r="A6119">
        <f ca="1">28343.043667283*((RANDBETWEEN(1587,2416)))</f>
        <v>55410650.369538255</v>
      </c>
      <c r="B6119">
        <v>247488526.17938659</v>
      </c>
    </row>
    <row r="6120" spans="1:2" x14ac:dyDescent="0.25">
      <c r="A6120">
        <f ca="1">28958.9897721266*((RANDBETWEEN(1587,2416)))</f>
        <v>61335140.337364241</v>
      </c>
      <c r="B6120">
        <v>209553108.85174662</v>
      </c>
    </row>
    <row r="6121" spans="1:2" x14ac:dyDescent="0.25">
      <c r="A6121">
        <f ca="1">31263.1813453946*((RANDBETWEEN(1587,2416)))</f>
        <v>57024042.773999736</v>
      </c>
      <c r="B6121">
        <v>235564034.64655459</v>
      </c>
    </row>
    <row r="6122" spans="1:2" x14ac:dyDescent="0.25">
      <c r="A6122">
        <f ca="1">29091.4952885332*((RANDBETWEEN(1587,2416)))</f>
        <v>68423196.918630034</v>
      </c>
      <c r="B6122">
        <v>218229113.96863511</v>
      </c>
    </row>
    <row r="6123" spans="1:2" x14ac:dyDescent="0.25">
      <c r="A6123">
        <f ca="1">29848.7057628131*((RANDBETWEEN(1587,2416)))</f>
        <v>48802633.922199428</v>
      </c>
      <c r="B6123">
        <v>224931349.89420775</v>
      </c>
    </row>
    <row r="6124" spans="1:2" x14ac:dyDescent="0.25">
      <c r="A6124">
        <f ca="1">28077.2534138967*((RANDBETWEEN(1587,2416)))</f>
        <v>60001090.545497343</v>
      </c>
      <c r="B6124">
        <v>219286664.85164064</v>
      </c>
    </row>
    <row r="6125" spans="1:2" x14ac:dyDescent="0.25">
      <c r="A6125">
        <f ca="1">29866.83181426*((RANDBETWEEN(1587,2416)))</f>
        <v>71680396.354223937</v>
      </c>
      <c r="B6125">
        <v>208189485.05512908</v>
      </c>
    </row>
    <row r="6126" spans="1:2" x14ac:dyDescent="0.25">
      <c r="A6126">
        <f ca="1">32531.0116553654*((RANDBETWEEN(1587,2416)))</f>
        <v>63565596.774583898</v>
      </c>
      <c r="B6126">
        <v>254847050.38300598</v>
      </c>
    </row>
    <row r="6127" spans="1:2" x14ac:dyDescent="0.25">
      <c r="A6127">
        <f ca="1">28871.3749628966*((RANDBETWEEN(1587,2416)))</f>
        <v>64931722.291554503</v>
      </c>
      <c r="B6127">
        <v>258076385.44022653</v>
      </c>
    </row>
    <row r="6128" spans="1:2" x14ac:dyDescent="0.25">
      <c r="A6128">
        <f ca="1">27750.074108446*((RANDBETWEEN(1587,2416)))</f>
        <v>51587387.767601199</v>
      </c>
      <c r="B6128">
        <v>262406999.98822835</v>
      </c>
    </row>
    <row r="6129" spans="1:2" x14ac:dyDescent="0.25">
      <c r="A6129">
        <f ca="1">29028.4686974704*((RANDBETWEEN(1587,2416)))</f>
        <v>59595446.235906757</v>
      </c>
      <c r="B6129">
        <v>221315579.70367274</v>
      </c>
    </row>
    <row r="6130" spans="1:2" x14ac:dyDescent="0.25">
      <c r="A6130">
        <f ca="1">29994.915023352*((RANDBETWEEN(1587,2416)))</f>
        <v>56120486.008691609</v>
      </c>
      <c r="B6130">
        <v>209926183.74414966</v>
      </c>
    </row>
    <row r="6131" spans="1:2" x14ac:dyDescent="0.25">
      <c r="A6131">
        <f ca="1">27555.4176149397*((RANDBETWEEN(1587,2416)))</f>
        <v>49103754.189822569</v>
      </c>
      <c r="B6131">
        <v>245710477.83273882</v>
      </c>
    </row>
    <row r="6132" spans="1:2" x14ac:dyDescent="0.25">
      <c r="A6132">
        <f ca="1">27230.8072574212*((RANDBETWEEN(1587,2416)))</f>
        <v>65707937.912157342</v>
      </c>
      <c r="B6132">
        <v>237054619.43479502</v>
      </c>
    </row>
    <row r="6133" spans="1:2" x14ac:dyDescent="0.25">
      <c r="A6133">
        <f ca="1">26336.5064825872*((RANDBETWEEN(1587,2416)))</f>
        <v>54542904.925438076</v>
      </c>
      <c r="B6133">
        <v>257760797.31066132</v>
      </c>
    </row>
    <row r="6134" spans="1:2" x14ac:dyDescent="0.25">
      <c r="A6134">
        <f ca="1">25905.6938606001*((RANDBETWEEN(1587,2416)))</f>
        <v>54894165.29061161</v>
      </c>
      <c r="B6134">
        <v>224516828.96044877</v>
      </c>
    </row>
    <row r="6135" spans="1:2" x14ac:dyDescent="0.25">
      <c r="A6135">
        <f ca="1">29564.6782238603*((RANDBETWEEN(1587,2416)))</f>
        <v>59129356.447720647</v>
      </c>
      <c r="B6135">
        <v>259380748.5086779</v>
      </c>
    </row>
    <row r="6136" spans="1:2" x14ac:dyDescent="0.25">
      <c r="A6136">
        <f ca="1">33747.6284467236*((RANDBETWEEN(1587,2416)))</f>
        <v>58079668.556811363</v>
      </c>
      <c r="B6136">
        <v>263544709.15310127</v>
      </c>
    </row>
    <row r="6137" spans="1:2" x14ac:dyDescent="0.25">
      <c r="A6137">
        <f ca="1">26124.1767451184*((RANDBETWEEN(1587,2416)))</f>
        <v>55461627.229886428</v>
      </c>
      <c r="B6137">
        <v>226733777.31891567</v>
      </c>
    </row>
    <row r="6138" spans="1:2" x14ac:dyDescent="0.25">
      <c r="A6138">
        <f ca="1">26748.4872080094*((RANDBETWEEN(1587,2416)))</f>
        <v>54406422.981091075</v>
      </c>
      <c r="B6138">
        <v>262943953.11588299</v>
      </c>
    </row>
    <row r="6139" spans="1:2" x14ac:dyDescent="0.25">
      <c r="A6139">
        <f ca="1">31001.6979536483*((RANDBETWEEN(1587,2416)))</f>
        <v>65847606.453548938</v>
      </c>
      <c r="B6139">
        <v>212209148.01055318</v>
      </c>
    </row>
    <row r="6140" spans="1:2" x14ac:dyDescent="0.25">
      <c r="A6140">
        <f ca="1">28012.644668641*((RANDBETWEEN(1587,2416)))</f>
        <v>53448126.027766995</v>
      </c>
      <c r="B6140">
        <v>211043949.43301463</v>
      </c>
    </row>
    <row r="6141" spans="1:2" x14ac:dyDescent="0.25">
      <c r="A6141">
        <f ca="1">31715.843131452*((RANDBETWEEN(1587,2416)))</f>
        <v>60894418.812387779</v>
      </c>
      <c r="B6141">
        <v>251290240.63147017</v>
      </c>
    </row>
    <row r="6142" spans="1:2" x14ac:dyDescent="0.25">
      <c r="A6142">
        <f ca="1">29529.2155296594*((RANDBETWEEN(1587,2416)))</f>
        <v>68566838.459869027</v>
      </c>
      <c r="B6142">
        <v>254281143.97089222</v>
      </c>
    </row>
    <row r="6143" spans="1:2" x14ac:dyDescent="0.25">
      <c r="A6143">
        <f ca="1">27995.7732375854*((RANDBETWEEN(1587,2416)))</f>
        <v>56103529.568121068</v>
      </c>
      <c r="B6143">
        <v>241756691.41248548</v>
      </c>
    </row>
    <row r="6144" spans="1:2" x14ac:dyDescent="0.25">
      <c r="A6144">
        <f ca="1">28902.6483919764*((RANDBETWEEN(1587,2416)))</f>
        <v>55261863.725458883</v>
      </c>
      <c r="B6144">
        <v>247923995.20787096</v>
      </c>
    </row>
    <row r="6145" spans="1:2" x14ac:dyDescent="0.25">
      <c r="A6145">
        <f ca="1">31880.6797749001*((RANDBETWEEN(1587,2416)))</f>
        <v>56715729.319547214</v>
      </c>
      <c r="B6145">
        <v>265193647.38990465</v>
      </c>
    </row>
    <row r="6146" spans="1:2" x14ac:dyDescent="0.25">
      <c r="A6146">
        <f ca="1">30118.9387240845*((RANDBETWEEN(1587,2416)))</f>
        <v>49636011.017291188</v>
      </c>
      <c r="B6146">
        <v>218547984.32805845</v>
      </c>
    </row>
    <row r="6147" spans="1:2" x14ac:dyDescent="0.25">
      <c r="A6147">
        <f ca="1">33083.3091739118*((RANDBETWEEN(1587,2416)))</f>
        <v>58822123.711215265</v>
      </c>
      <c r="B6147">
        <v>254668046.91018841</v>
      </c>
    </row>
    <row r="6148" spans="1:2" x14ac:dyDescent="0.25">
      <c r="A6148">
        <f ca="1">25411.390933474*((RANDBETWEEN(1587,2416)))</f>
        <v>59462654.784329221</v>
      </c>
      <c r="B6148">
        <v>262241719.85543853</v>
      </c>
    </row>
    <row r="6149" spans="1:2" x14ac:dyDescent="0.25">
      <c r="A6149">
        <f ca="1">29747.9344059664*((RANDBETWEEN(1587,2416)))</f>
        <v>55688133.207969047</v>
      </c>
      <c r="B6149">
        <v>237708619.22363433</v>
      </c>
    </row>
    <row r="6150" spans="1:2" x14ac:dyDescent="0.25">
      <c r="A6150">
        <f ca="1">29412.8345607589*((RANDBETWEEN(1587,2416)))</f>
        <v>60355136.518677324</v>
      </c>
      <c r="B6150">
        <v>264855944.82915291</v>
      </c>
    </row>
    <row r="6151" spans="1:2" x14ac:dyDescent="0.25">
      <c r="A6151">
        <f ca="1">30928.1933457374*((RANDBETWEEN(1587,2416)))</f>
        <v>52454215.914370701</v>
      </c>
      <c r="B6151">
        <v>216116288.63838503</v>
      </c>
    </row>
    <row r="6152" spans="1:2" x14ac:dyDescent="0.25">
      <c r="A6152">
        <f ca="1">28080.9059982293*((RANDBETWEEN(1587,2416)))</f>
        <v>65596996.411863677</v>
      </c>
      <c r="B6152">
        <v>266379276.27517855</v>
      </c>
    </row>
    <row r="6153" spans="1:2" x14ac:dyDescent="0.25">
      <c r="A6153">
        <f ca="1">27434.9102751681*((RANDBETWEEN(1587,2416)))</f>
        <v>53744989.22905428</v>
      </c>
      <c r="B6153">
        <v>263372508.31726527</v>
      </c>
    </row>
    <row r="6154" spans="1:2" x14ac:dyDescent="0.25">
      <c r="A6154">
        <f ca="1">30155.1223362327*((RANDBETWEEN(1587,2416)))</f>
        <v>49876572.344128907</v>
      </c>
      <c r="B6154">
        <v>222993135.53989813</v>
      </c>
    </row>
    <row r="6155" spans="1:2" x14ac:dyDescent="0.25">
      <c r="A6155">
        <f ca="1">29870.7628043105*((RANDBETWEEN(1587,2416)))</f>
        <v>70584612.506585762</v>
      </c>
      <c r="B6155">
        <v>214363158.54194632</v>
      </c>
    </row>
    <row r="6156" spans="1:2" x14ac:dyDescent="0.25">
      <c r="A6156">
        <f ca="1">29821.6128025219*((RANDBETWEEN(1587,2416)))</f>
        <v>57138210.129631914</v>
      </c>
      <c r="B6156">
        <v>206195357.46658772</v>
      </c>
    </row>
    <row r="6157" spans="1:2" x14ac:dyDescent="0.25">
      <c r="A6157">
        <f ca="1">27267.8525596896*((RANDBETWEEN(1587,2416)))</f>
        <v>62061632.425853625</v>
      </c>
      <c r="B6157">
        <v>254421279.91227496</v>
      </c>
    </row>
    <row r="6158" spans="1:2" x14ac:dyDescent="0.25">
      <c r="A6158">
        <f ca="1">29458.658634807*((RANDBETWEEN(1587,2416)))</f>
        <v>53349630.787635557</v>
      </c>
      <c r="B6158">
        <v>221860742.74951056</v>
      </c>
    </row>
    <row r="6159" spans="1:2" x14ac:dyDescent="0.25">
      <c r="A6159">
        <f ca="1">27331.9730031173*((RANDBETWEEN(1587,2416)))</f>
        <v>61223619.526982673</v>
      </c>
      <c r="B6159">
        <v>250273046.18692368</v>
      </c>
    </row>
    <row r="6160" spans="1:2" x14ac:dyDescent="0.25">
      <c r="A6160">
        <f ca="1">29400.1833960288*((RANDBETWEEN(1587,2416)))</f>
        <v>67208819.243321791</v>
      </c>
      <c r="B6160">
        <v>242749807.58182657</v>
      </c>
    </row>
    <row r="6161" spans="1:2" x14ac:dyDescent="0.25">
      <c r="A6161">
        <f ca="1">26381.4686322625*((RANDBETWEEN(1587,2416)))</f>
        <v>44716589.331684999</v>
      </c>
      <c r="B6161">
        <v>230661438.10160628</v>
      </c>
    </row>
    <row r="6162" spans="1:2" x14ac:dyDescent="0.25">
      <c r="A6162">
        <f ca="1">26577.8421866907*((RANDBETWEEN(1587,2416)))</f>
        <v>63334997.930883855</v>
      </c>
      <c r="B6162">
        <v>265641947.82248008</v>
      </c>
    </row>
    <row r="6163" spans="1:2" x14ac:dyDescent="0.25">
      <c r="A6163">
        <f ca="1">29180.4736463808*((RANDBETWEEN(1587,2416)))</f>
        <v>57748157.346187584</v>
      </c>
      <c r="B6163">
        <v>204590171.19562691</v>
      </c>
    </row>
    <row r="6164" spans="1:2" x14ac:dyDescent="0.25">
      <c r="A6164">
        <f ca="1">29570.7395561065*((RANDBETWEEN(1587,2416)))</f>
        <v>58490922.84197858</v>
      </c>
      <c r="B6164">
        <v>246326001.26717201</v>
      </c>
    </row>
    <row r="6165" spans="1:2" x14ac:dyDescent="0.25">
      <c r="A6165">
        <f ca="1">30731.8309051141*((RANDBETWEEN(1587,2416)))</f>
        <v>56147055.063643463</v>
      </c>
      <c r="B6165">
        <v>238400152.37718254</v>
      </c>
    </row>
    <row r="6166" spans="1:2" x14ac:dyDescent="0.25">
      <c r="A6166">
        <f ca="1">27365.3712195342*((RANDBETWEEN(1587,2416)))</f>
        <v>45782266.05028078</v>
      </c>
      <c r="B6166">
        <v>204341780.18805522</v>
      </c>
    </row>
    <row r="6167" spans="1:2" x14ac:dyDescent="0.25">
      <c r="A6167">
        <f ca="1">26760.2267197257*((RANDBETWEEN(1587,2416)))</f>
        <v>43860011.593630493</v>
      </c>
      <c r="B6167">
        <v>258438403.97727865</v>
      </c>
    </row>
    <row r="6168" spans="1:2" x14ac:dyDescent="0.25">
      <c r="A6168">
        <f ca="1">27405.7787159835*((RANDBETWEEN(1587,2416)))</f>
        <v>65664245.803496353</v>
      </c>
      <c r="B6168">
        <v>231963045.15523615</v>
      </c>
    </row>
    <row r="6169" spans="1:2" x14ac:dyDescent="0.25">
      <c r="A6169">
        <f ca="1">27694.7793613733*((RANDBETWEEN(1587,2416)))</f>
        <v>48216610.868150979</v>
      </c>
      <c r="B6169">
        <v>236981303.66801828</v>
      </c>
    </row>
    <row r="6170" spans="1:2" x14ac:dyDescent="0.25">
      <c r="A6170">
        <f ca="1">28800.3273866697*((RANDBETWEEN(1587,2416)))</f>
        <v>48614952.628698424</v>
      </c>
      <c r="B6170">
        <v>256720625.42242578</v>
      </c>
    </row>
    <row r="6171" spans="1:2" x14ac:dyDescent="0.25">
      <c r="A6171">
        <f ca="1">29715.6504458777*((RANDBETWEEN(1587,2416)))</f>
        <v>51289212.6695849</v>
      </c>
      <c r="B6171">
        <v>226220171.56910592</v>
      </c>
    </row>
    <row r="6172" spans="1:2" x14ac:dyDescent="0.25">
      <c r="A6172">
        <f ca="1">32651.9672820663*((RANDBETWEEN(1587,2416)))</f>
        <v>63050948.82167007</v>
      </c>
      <c r="B6172">
        <v>219659045.88839918</v>
      </c>
    </row>
    <row r="6173" spans="1:2" x14ac:dyDescent="0.25">
      <c r="A6173">
        <f ca="1">29896.4507005723*((RANDBETWEEN(1587,2416)))</f>
        <v>70914381.061757445</v>
      </c>
      <c r="B6173">
        <v>223893624.32429007</v>
      </c>
    </row>
    <row r="6174" spans="1:2" x14ac:dyDescent="0.25">
      <c r="A6174">
        <f ca="1">32153.2416835501*((RANDBETWEEN(1587,2416)))</f>
        <v>67746880.227239981</v>
      </c>
      <c r="B6174">
        <v>263498131.89677086</v>
      </c>
    </row>
    <row r="6175" spans="1:2" x14ac:dyDescent="0.25">
      <c r="A6175">
        <f ca="1">27749.0345139891*((RANDBETWEEN(1587,2416)))</f>
        <v>52778663.645607278</v>
      </c>
      <c r="B6175">
        <v>257765014.48044351</v>
      </c>
    </row>
    <row r="6176" spans="1:2" x14ac:dyDescent="0.25">
      <c r="A6176">
        <f ca="1">32345.8581690019*((RANDBETWEEN(1587,2416)))</f>
        <v>64724062.196172714</v>
      </c>
      <c r="B6176">
        <v>261220366.43216968</v>
      </c>
    </row>
    <row r="6177" spans="1:2" x14ac:dyDescent="0.25">
      <c r="A6177">
        <f ca="1">30904.755609871*((RANDBETWEEN(1587,2416)))</f>
        <v>62334892.065109901</v>
      </c>
      <c r="B6177">
        <v>233484735.28863966</v>
      </c>
    </row>
    <row r="6178" spans="1:2" x14ac:dyDescent="0.25">
      <c r="A6178">
        <f ca="1">29382.8009485299*((RANDBETWEEN(1587,2416)))</f>
        <v>48334707.560331643</v>
      </c>
      <c r="B6178">
        <v>213735711.65875116</v>
      </c>
    </row>
    <row r="6179" spans="1:2" x14ac:dyDescent="0.25">
      <c r="A6179">
        <f ca="1">27978.3989325269*((RANDBETWEEN(1587,2416)))</f>
        <v>63762771.167228878</v>
      </c>
      <c r="B6179">
        <v>212778230.47760648</v>
      </c>
    </row>
    <row r="6180" spans="1:2" x14ac:dyDescent="0.25">
      <c r="A6180">
        <f ca="1">31395.1742265012*((RANDBETWEEN(1587,2416)))</f>
        <v>67499624.586977661</v>
      </c>
      <c r="B6180">
        <v>214401188.03684083</v>
      </c>
    </row>
    <row r="6181" spans="1:2" x14ac:dyDescent="0.25">
      <c r="A6181">
        <f ca="1">30529.5101676054*((RANDBETWEEN(1587,2416)))</f>
        <v>67958689.633089527</v>
      </c>
      <c r="B6181">
        <v>239763394.87489372</v>
      </c>
    </row>
    <row r="6182" spans="1:2" x14ac:dyDescent="0.25">
      <c r="A6182">
        <f ca="1">26954.3323244934*((RANDBETWEEN(1587,2416)))</f>
        <v>48841250.17198211</v>
      </c>
      <c r="B6182">
        <v>215101406.4660216</v>
      </c>
    </row>
    <row r="6183" spans="1:2" x14ac:dyDescent="0.25">
      <c r="A6183">
        <f ca="1">31270.8284833077*((RANDBETWEEN(1587,2416)))</f>
        <v>61759886.25453268</v>
      </c>
      <c r="B6183">
        <v>267191917.05513492</v>
      </c>
    </row>
    <row r="6184" spans="1:2" x14ac:dyDescent="0.25">
      <c r="A6184">
        <f ca="1">30843.1533268963*((RANDBETWEEN(1587,2416)))</f>
        <v>50582771.456109896</v>
      </c>
      <c r="B6184">
        <v>260479626.05753943</v>
      </c>
    </row>
    <row r="6185" spans="1:2" x14ac:dyDescent="0.25">
      <c r="A6185">
        <f ca="1">26889.9325186216*((RANDBETWEEN(1587,2416)))</f>
        <v>54263883.82257846</v>
      </c>
      <c r="B6185">
        <v>247094400.85204667</v>
      </c>
    </row>
    <row r="6186" spans="1:2" x14ac:dyDescent="0.25">
      <c r="A6186">
        <f ca="1">32171.9461717311*((RANDBETWEEN(1587,2416)))</f>
        <v>58939005.386611432</v>
      </c>
      <c r="B6186">
        <v>250318979.8180857</v>
      </c>
    </row>
    <row r="6187" spans="1:2" x14ac:dyDescent="0.25">
      <c r="A6187">
        <f ca="1">30077.2571594778*((RANDBETWEEN(1587,2416)))</f>
        <v>53086358.886478297</v>
      </c>
      <c r="B6187">
        <v>257224678.98513517</v>
      </c>
    </row>
    <row r="6188" spans="1:2" x14ac:dyDescent="0.25">
      <c r="A6188">
        <f ca="1">29316.5566104813*((RANDBETWEEN(1587,2416)))</f>
        <v>58251997.98502633</v>
      </c>
      <c r="B6188">
        <v>214193491.16743493</v>
      </c>
    </row>
    <row r="6189" spans="1:2" x14ac:dyDescent="0.25">
      <c r="A6189">
        <f ca="1">29096.768455774*((RANDBETWEEN(1587,2416)))</f>
        <v>69657663.683123052</v>
      </c>
      <c r="B6189">
        <v>246962444.83868861</v>
      </c>
    </row>
    <row r="6190" spans="1:2" x14ac:dyDescent="0.25">
      <c r="A6190">
        <f ca="1">29605.5091534977*((RANDBETWEEN(1587,2416)))</f>
        <v>62674862.877954662</v>
      </c>
      <c r="B6190">
        <v>261471696.66873863</v>
      </c>
    </row>
    <row r="6191" spans="1:2" x14ac:dyDescent="0.25">
      <c r="A6191">
        <f ca="1">31173.0565978582*((RANDBETWEEN(1587,2416)))</f>
        <v>68923628.137864381</v>
      </c>
      <c r="B6191">
        <v>258509976.05470613</v>
      </c>
    </row>
    <row r="6192" spans="1:2" x14ac:dyDescent="0.25">
      <c r="A6192">
        <f ca="1">30954.2130136936*((RANDBETWEEN(1587,2416)))</f>
        <v>58317737.317798741</v>
      </c>
      <c r="B6192">
        <v>241994109.92803979</v>
      </c>
    </row>
    <row r="6193" spans="1:2" x14ac:dyDescent="0.25">
      <c r="A6193">
        <f ca="1">29576.3175491053*((RANDBETWEEN(1587,2416)))</f>
        <v>68055106.680491209</v>
      </c>
      <c r="B6193">
        <v>244015856.12472168</v>
      </c>
    </row>
    <row r="6194" spans="1:2" x14ac:dyDescent="0.25">
      <c r="A6194">
        <f ca="1">28744.9496322693*((RANDBETWEEN(1587,2416)))</f>
        <v>59789495.235120066</v>
      </c>
      <c r="B6194">
        <v>239975337.45044854</v>
      </c>
    </row>
    <row r="6195" spans="1:2" x14ac:dyDescent="0.25">
      <c r="A6195">
        <f ca="1">28664.1809799601*((RANDBETWEEN(1587,2416)))</f>
        <v>46779943.359294884</v>
      </c>
      <c r="B6195">
        <v>204735571.57595789</v>
      </c>
    </row>
    <row r="6196" spans="1:2" x14ac:dyDescent="0.25">
      <c r="A6196">
        <f ca="1">27404.3478654765*((RANDBETWEEN(1587,2416)))</f>
        <v>49464847.89718511</v>
      </c>
      <c r="B6196">
        <v>259709237.49455935</v>
      </c>
    </row>
    <row r="6197" spans="1:2" x14ac:dyDescent="0.25">
      <c r="A6197">
        <f ca="1">32210.2840991414*((RANDBETWEEN(1587,2416)))</f>
        <v>61779324.902153112</v>
      </c>
      <c r="B6197">
        <v>213749733.56453574</v>
      </c>
    </row>
    <row r="6198" spans="1:2" x14ac:dyDescent="0.25">
      <c r="A6198">
        <f ca="1">26920.8421611341*((RANDBETWEEN(1587,2416)))</f>
        <v>49938162.208903708</v>
      </c>
      <c r="B6198">
        <v>238280821.23516658</v>
      </c>
    </row>
    <row r="6199" spans="1:2" x14ac:dyDescent="0.25">
      <c r="A6199">
        <f ca="1">34480.0997584581*((RANDBETWEEN(1587,2416)))</f>
        <v>66994833.830684111</v>
      </c>
      <c r="B6199">
        <v>231281999.01617375</v>
      </c>
    </row>
    <row r="6200" spans="1:2" x14ac:dyDescent="0.25">
      <c r="A6200">
        <f ca="1">32324.4003580613*((RANDBETWEEN(1587,2416)))</f>
        <v>76867424.051469743</v>
      </c>
      <c r="B6200">
        <v>208162777.87234503</v>
      </c>
    </row>
    <row r="6201" spans="1:2" x14ac:dyDescent="0.25">
      <c r="A6201">
        <f ca="1">29099.879027173*((RANDBETWEEN(1587,2416)))</f>
        <v>52728980.797237448</v>
      </c>
      <c r="B6201">
        <v>225808519.56288654</v>
      </c>
    </row>
    <row r="6202" spans="1:2" x14ac:dyDescent="0.25">
      <c r="A6202">
        <f ca="1">26927.2669922379*((RANDBETWEEN(1587,2416)))</f>
        <v>54473861.125297181</v>
      </c>
      <c r="B6202">
        <v>257546950.49255398</v>
      </c>
    </row>
    <row r="6203" spans="1:2" x14ac:dyDescent="0.25">
      <c r="A6203">
        <f ca="1">30932.4551265051*((RANDBETWEEN(1587,2416)))</f>
        <v>54162728.926510461</v>
      </c>
      <c r="B6203">
        <v>225760502.42582232</v>
      </c>
    </row>
    <row r="6204" spans="1:2" x14ac:dyDescent="0.25">
      <c r="A6204">
        <f ca="1">25681.724353536*((RANDBETWEEN(1587,2416)))</f>
        <v>53443668.379708417</v>
      </c>
      <c r="B6204">
        <v>244725463.4954583</v>
      </c>
    </row>
    <row r="6205" spans="1:2" x14ac:dyDescent="0.25">
      <c r="A6205">
        <f ca="1">25475.098475716*((RANDBETWEEN(1587,2416)))</f>
        <v>51587074.413324937</v>
      </c>
      <c r="B6205">
        <v>224211721.0158127</v>
      </c>
    </row>
    <row r="6206" spans="1:2" x14ac:dyDescent="0.25">
      <c r="A6206">
        <f ca="1">31885.0611152999*((RANDBETWEEN(1587,2416)))</f>
        <v>55862627.074005485</v>
      </c>
      <c r="B6206">
        <v>225783544.19685695</v>
      </c>
    </row>
    <row r="6207" spans="1:2" x14ac:dyDescent="0.25">
      <c r="A6207">
        <f ca="1">32149.9200688013*((RANDBETWEEN(1587,2416)))</f>
        <v>53979715.795517363</v>
      </c>
      <c r="B6207">
        <v>241619049.32661155</v>
      </c>
    </row>
    <row r="6208" spans="1:2" x14ac:dyDescent="0.25">
      <c r="A6208">
        <f ca="1">32817.2732276803*((RANDBETWEEN(1587,2416)))</f>
        <v>74790565.685883448</v>
      </c>
      <c r="B6208">
        <v>251790070.95222077</v>
      </c>
    </row>
    <row r="6209" spans="1:2" x14ac:dyDescent="0.25">
      <c r="A6209">
        <f ca="1">31239.3332978721*((RANDBETWEEN(1587,2416)))</f>
        <v>69320080.587978199</v>
      </c>
      <c r="B6209">
        <v>228763823.12139049</v>
      </c>
    </row>
    <row r="6210" spans="1:2" x14ac:dyDescent="0.25">
      <c r="A6210">
        <f ca="1">28560.3350194113*((RANDBETWEEN(1587,2416)))</f>
        <v>45867898.041174538</v>
      </c>
      <c r="B6210">
        <v>243243702.41837782</v>
      </c>
    </row>
    <row r="6211" spans="1:2" x14ac:dyDescent="0.25">
      <c r="A6211">
        <f ca="1">29921.438595113*((RANDBETWEEN(1587,2416)))</f>
        <v>63912192.839161344</v>
      </c>
      <c r="B6211">
        <v>219146321.73264116</v>
      </c>
    </row>
    <row r="6212" spans="1:2" x14ac:dyDescent="0.25">
      <c r="A6212">
        <f ca="1">29115.7069743059*((RANDBETWEEN(1587,2416)))</f>
        <v>60851827.576299332</v>
      </c>
      <c r="B6212">
        <v>226812400.60283008</v>
      </c>
    </row>
    <row r="6213" spans="1:2" x14ac:dyDescent="0.25">
      <c r="A6213">
        <f ca="1">29481.1946767683*((RANDBETWEEN(1587,2416)))</f>
        <v>64062636.032617599</v>
      </c>
      <c r="B6213">
        <v>236364631.404991</v>
      </c>
    </row>
    <row r="6214" spans="1:2" x14ac:dyDescent="0.25">
      <c r="A6214">
        <f ca="1">29040.2370590087*((RANDBETWEEN(1587,2416)))</f>
        <v>60113290.712147906</v>
      </c>
      <c r="B6214">
        <v>232953666.90266153</v>
      </c>
    </row>
    <row r="6215" spans="1:2" x14ac:dyDescent="0.25">
      <c r="A6215">
        <f ca="1">26324.6636417162*((RANDBETWEEN(1587,2416)))</f>
        <v>44567655.545425482</v>
      </c>
      <c r="B6215">
        <v>246098349.46722114</v>
      </c>
    </row>
    <row r="6216" spans="1:2" x14ac:dyDescent="0.25">
      <c r="A6216">
        <f ca="1">25321.9620350613*((RANDBETWEEN(1587,2416)))</f>
        <v>50416026.411807008</v>
      </c>
      <c r="B6216">
        <v>231326866.0086922</v>
      </c>
    </row>
    <row r="6217" spans="1:2" x14ac:dyDescent="0.25">
      <c r="A6217">
        <f ca="1">31443.3231030919*((RANDBETWEEN(1587,2416)))</f>
        <v>55120145.399720043</v>
      </c>
      <c r="B6217">
        <v>261372232.5903874</v>
      </c>
    </row>
    <row r="6218" spans="1:2" x14ac:dyDescent="0.25">
      <c r="A6218">
        <f ca="1">31477.1203532181*((RANDBETWEEN(1587,2416)))</f>
        <v>74978500.681365624</v>
      </c>
      <c r="B6218">
        <v>222674132.34200206</v>
      </c>
    </row>
    <row r="6219" spans="1:2" x14ac:dyDescent="0.25">
      <c r="A6219">
        <f ca="1">27160.1110026422*((RANDBETWEEN(1587,2416)))</f>
        <v>52744935.567131065</v>
      </c>
      <c r="B6219">
        <v>203973938.78497437</v>
      </c>
    </row>
    <row r="6220" spans="1:2" x14ac:dyDescent="0.25">
      <c r="A6220">
        <f ca="1">27343.7790318034*((RANDBETWEEN(1587,2416)))</f>
        <v>49574271.384659626</v>
      </c>
      <c r="B6220">
        <v>228469274.63334936</v>
      </c>
    </row>
    <row r="6221" spans="1:2" x14ac:dyDescent="0.25">
      <c r="A6221">
        <f ca="1">30821.4817153472*((RANDBETWEEN(1587,2416)))</f>
        <v>51749267.800067872</v>
      </c>
      <c r="B6221">
        <v>255816989.6238299</v>
      </c>
    </row>
    <row r="6222" spans="1:2" x14ac:dyDescent="0.25">
      <c r="A6222">
        <f ca="1">31184.1598838752*((RANDBETWEEN(1587,2416)))</f>
        <v>54603463.956665426</v>
      </c>
      <c r="B6222">
        <v>204626206.06654719</v>
      </c>
    </row>
    <row r="6223" spans="1:2" x14ac:dyDescent="0.25">
      <c r="A6223">
        <f ca="1">27394.4975825915*((RANDBETWEEN(1587,2416)))</f>
        <v>56377876.024973281</v>
      </c>
      <c r="B6223">
        <v>210741967.80914474</v>
      </c>
    </row>
    <row r="6224" spans="1:2" x14ac:dyDescent="0.25">
      <c r="A6224">
        <f ca="1">33854.5124942685*((RANDBETWEEN(1587,2416)))</f>
        <v>70823640.138009742</v>
      </c>
      <c r="B6224">
        <v>266127703.11620247</v>
      </c>
    </row>
    <row r="6225" spans="1:2" x14ac:dyDescent="0.25">
      <c r="A6225">
        <f ca="1">26906.4643105812*((RANDBETWEEN(1587,2416)))</f>
        <v>48619981.009220175</v>
      </c>
      <c r="B6225">
        <v>222205218.90165898</v>
      </c>
    </row>
    <row r="6226" spans="1:2" x14ac:dyDescent="0.25">
      <c r="A6226">
        <f ca="1">31626.3094128467*((RANDBETWEEN(1587,2416)))</f>
        <v>74511584.976666838</v>
      </c>
      <c r="B6226">
        <v>260931632.97656542</v>
      </c>
    </row>
    <row r="6227" spans="1:2" x14ac:dyDescent="0.25">
      <c r="A6227">
        <f ca="1">29119.3089009421*((RANDBETWEEN(1587,2416)))</f>
        <v>58151259.875181437</v>
      </c>
      <c r="B6227">
        <v>239130573.56324041</v>
      </c>
    </row>
    <row r="6228" spans="1:2" x14ac:dyDescent="0.25">
      <c r="A6228">
        <f ca="1">29253.5463184729*((RANDBETWEEN(1587,2416)))</f>
        <v>54791892.254499741</v>
      </c>
      <c r="B6228">
        <v>267923276.55412728</v>
      </c>
    </row>
    <row r="6229" spans="1:2" x14ac:dyDescent="0.25">
      <c r="A6229">
        <f ca="1">31998.9913572157*((RANDBETWEEN(1587,2416)))</f>
        <v>76605585.309174389</v>
      </c>
      <c r="B6229">
        <v>232485095.69849613</v>
      </c>
    </row>
    <row r="6230" spans="1:2" x14ac:dyDescent="0.25">
      <c r="A6230">
        <f ca="1">26993.7626453464*((RANDBETWEEN(1587,2416)))</f>
        <v>56201013.827611126</v>
      </c>
      <c r="B6230">
        <v>255883004.67981103</v>
      </c>
    </row>
    <row r="6231" spans="1:2" x14ac:dyDescent="0.25">
      <c r="A6231">
        <f ca="1">28615.5580883541*((RANDBETWEEN(1587,2416)))</f>
        <v>50277535.561238132</v>
      </c>
      <c r="B6231">
        <v>205536538.06605875</v>
      </c>
    </row>
    <row r="6232" spans="1:2" x14ac:dyDescent="0.25">
      <c r="A6232">
        <f ca="1">27984.7065535848*((RANDBETWEEN(1587,2416)))</f>
        <v>45950888.160986267</v>
      </c>
      <c r="B6232">
        <v>221943702.95535913</v>
      </c>
    </row>
    <row r="6233" spans="1:2" x14ac:dyDescent="0.25">
      <c r="A6233">
        <f ca="1">31817.9580275602*((RANDBETWEEN(1587,2416)))</f>
        <v>54217800.47896269</v>
      </c>
      <c r="B6233">
        <v>242174009.46507993</v>
      </c>
    </row>
    <row r="6234" spans="1:2" x14ac:dyDescent="0.25">
      <c r="A6234">
        <f ca="1">27619.4663564134*((RANDBETWEEN(1587,2416)))</f>
        <v>53167472.736095846</v>
      </c>
      <c r="B6234">
        <v>258507196.16590747</v>
      </c>
    </row>
    <row r="6235" spans="1:2" x14ac:dyDescent="0.25">
      <c r="A6235">
        <f ca="1">32438.772774263*((RANDBETWEEN(1587,2416)))</f>
        <v>55762250.398958094</v>
      </c>
      <c r="B6235">
        <v>214050441.79838628</v>
      </c>
    </row>
    <row r="6236" spans="1:2" x14ac:dyDescent="0.25">
      <c r="A6236">
        <f ca="1">31652.1420738529*((RANDBETWEEN(1587,2416)))</f>
        <v>58366549.98418472</v>
      </c>
      <c r="B6236">
        <v>220130889.04140958</v>
      </c>
    </row>
    <row r="6237" spans="1:2" x14ac:dyDescent="0.25">
      <c r="A6237">
        <f ca="1">25755.9378318268*((RANDBETWEEN(1587,2416)))</f>
        <v>45562254.02450154</v>
      </c>
      <c r="B6237">
        <v>263044530.74467215</v>
      </c>
    </row>
    <row r="6238" spans="1:2" x14ac:dyDescent="0.25">
      <c r="A6238">
        <f ca="1">27809.8594445577*((RANDBETWEEN(1587,2416)))</f>
        <v>50669563.907984063</v>
      </c>
      <c r="B6238">
        <v>235557380.48840207</v>
      </c>
    </row>
    <row r="6239" spans="1:2" x14ac:dyDescent="0.25">
      <c r="A6239">
        <f ca="1">31795.9218187234*((RANDBETWEEN(1587,2416)))</f>
        <v>57995761.397351503</v>
      </c>
      <c r="B6239">
        <v>248947235.70312881</v>
      </c>
    </row>
    <row r="6240" spans="1:2" x14ac:dyDescent="0.25">
      <c r="A6240">
        <f ca="1">30818.7944427643*((RANDBETWEEN(1587,2416)))</f>
        <v>58740622.207908824</v>
      </c>
      <c r="B6240">
        <v>267187795.73728916</v>
      </c>
    </row>
    <row r="6241" spans="1:2" x14ac:dyDescent="0.25">
      <c r="A6241">
        <f ca="1">27938.9077547561*((RANDBETWEEN(1587,2416)))</f>
        <v>62247886.477596559</v>
      </c>
      <c r="B6241">
        <v>220096679.42837304</v>
      </c>
    </row>
    <row r="6242" spans="1:2" x14ac:dyDescent="0.25">
      <c r="A6242">
        <f ca="1">31063.1931671388*((RANDBETWEEN(1587,2416)))</f>
        <v>74241031.669461727</v>
      </c>
      <c r="B6242">
        <v>235870087.91761672</v>
      </c>
    </row>
    <row r="6243" spans="1:2" x14ac:dyDescent="0.25">
      <c r="A6243">
        <f ca="1">31373.8077156514*((RANDBETWEEN(1587,2416)))</f>
        <v>66010491.43373064</v>
      </c>
      <c r="B6243">
        <v>205269294.44830498</v>
      </c>
    </row>
    <row r="6244" spans="1:2" x14ac:dyDescent="0.25">
      <c r="A6244">
        <f ca="1">30441.729932771*((RANDBETWEEN(1587,2416)))</f>
        <v>64780001.296936616</v>
      </c>
      <c r="B6244">
        <v>211460800.57470047</v>
      </c>
    </row>
    <row r="6245" spans="1:2" x14ac:dyDescent="0.25">
      <c r="A6245">
        <f ca="1">32046.2229721252*((RANDBETWEEN(1587,2416)))</f>
        <v>74090867.511553422</v>
      </c>
      <c r="B6245">
        <v>263755737.76826441</v>
      </c>
    </row>
    <row r="6246" spans="1:2" x14ac:dyDescent="0.25">
      <c r="A6246">
        <f ca="1">31140.3949193012*((RANDBETWEEN(1587,2416)))</f>
        <v>55772447.300468534</v>
      </c>
      <c r="B6246">
        <v>214765678.03343755</v>
      </c>
    </row>
    <row r="6247" spans="1:2" x14ac:dyDescent="0.25">
      <c r="A6247">
        <f ca="1">33753.1521256456*((RANDBETWEEN(1587,2416)))</f>
        <v>67438797.947039872</v>
      </c>
      <c r="B6247">
        <v>266944172.47980854</v>
      </c>
    </row>
    <row r="6248" spans="1:2" x14ac:dyDescent="0.25">
      <c r="A6248">
        <f ca="1">26881.3038782971*((RANDBETWEEN(1587,2416)))</f>
        <v>52122848.220018014</v>
      </c>
      <c r="B6248">
        <v>219491483.32095948</v>
      </c>
    </row>
    <row r="6249" spans="1:2" x14ac:dyDescent="0.25">
      <c r="A6249">
        <f ca="1">31335.8345308007*((RANDBETWEEN(1587,2416)))</f>
        <v>70724978.53601709</v>
      </c>
      <c r="B6249">
        <v>235241263.8473658</v>
      </c>
    </row>
    <row r="6250" spans="1:2" x14ac:dyDescent="0.25">
      <c r="A6250">
        <f ca="1">26672.9334820179*((RANDBETWEEN(1587,2416)))</f>
        <v>42996768.773012914</v>
      </c>
      <c r="B6250">
        <v>204348659.33699459</v>
      </c>
    </row>
    <row r="6251" spans="1:2" x14ac:dyDescent="0.25">
      <c r="A6251">
        <f ca="1">28042.0388164022*((RANDBETWEEN(1587,2416)))</f>
        <v>66515716.072505966</v>
      </c>
      <c r="B6251">
        <v>207593426.3105869</v>
      </c>
    </row>
    <row r="6252" spans="1:2" x14ac:dyDescent="0.25">
      <c r="A6252">
        <f ca="1">29004.7978659121*((RANDBETWEEN(1587,2416)))</f>
        <v>56298312.65773546</v>
      </c>
      <c r="B6252">
        <v>264393625.38288528</v>
      </c>
    </row>
    <row r="6253" spans="1:2" x14ac:dyDescent="0.25">
      <c r="A6253">
        <f ca="1">29779.7568882098*((RANDBETWEEN(1587,2416)))</f>
        <v>48779241.78288763</v>
      </c>
      <c r="B6253">
        <v>226967534.76143959</v>
      </c>
    </row>
    <row r="6254" spans="1:2" x14ac:dyDescent="0.25">
      <c r="A6254">
        <f ca="1">27043.1431339373*((RANDBETWEEN(1587,2416)))</f>
        <v>64984672.950851254</v>
      </c>
      <c r="B6254">
        <v>214360748.57445574</v>
      </c>
    </row>
    <row r="6255" spans="1:2" x14ac:dyDescent="0.25">
      <c r="A6255">
        <f ca="1">32498.4728871243*((RANDBETWEEN(1587,2416)))</f>
        <v>75916432.664322287</v>
      </c>
      <c r="B6255">
        <v>216866047.87305692</v>
      </c>
    </row>
    <row r="6256" spans="1:2" x14ac:dyDescent="0.25">
      <c r="A6256">
        <f ca="1">25441.4226135334*((RANDBETWEEN(1587,2416)))</f>
        <v>56378192.511589989</v>
      </c>
      <c r="B6256">
        <v>252288287.08231574</v>
      </c>
    </row>
    <row r="6257" spans="1:2" x14ac:dyDescent="0.25">
      <c r="A6257">
        <f ca="1">31490.4130259138*((RANDBETWEEN(1587,2416)))</f>
        <v>72270497.894472241</v>
      </c>
      <c r="B6257">
        <v>232051452.23392239</v>
      </c>
    </row>
    <row r="6258" spans="1:2" x14ac:dyDescent="0.25">
      <c r="A6258">
        <f ca="1">27808.1002890008*((RANDBETWEEN(1587,2416)))</f>
        <v>64320135.968458824</v>
      </c>
      <c r="B6258">
        <v>249196311.87539983</v>
      </c>
    </row>
    <row r="6259" spans="1:2" x14ac:dyDescent="0.25">
      <c r="A6259">
        <f ca="1">26435.9773960955*((RANDBETWEEN(1587,2416)))</f>
        <v>56705171.514624752</v>
      </c>
      <c r="B6259">
        <v>212130613.2641032</v>
      </c>
    </row>
    <row r="6260" spans="1:2" x14ac:dyDescent="0.25">
      <c r="A6260">
        <f ca="1">31621.3865595258*((RANDBETWEEN(1587,2416)))</f>
        <v>74784579.213278592</v>
      </c>
      <c r="B6260">
        <v>258657115.86086467</v>
      </c>
    </row>
    <row r="6261" spans="1:2" x14ac:dyDescent="0.25">
      <c r="A6261">
        <f ca="1">31484.1199161647*((RANDBETWEEN(1587,2416)))</f>
        <v>51539504.302761659</v>
      </c>
      <c r="B6261">
        <v>240739124.93308294</v>
      </c>
    </row>
    <row r="6262" spans="1:2" x14ac:dyDescent="0.25">
      <c r="A6262">
        <f ca="1">29761.5794071071*((RANDBETWEEN(1587,2416)))</f>
        <v>51279201.318445548</v>
      </c>
      <c r="B6262">
        <v>207993982.72063118</v>
      </c>
    </row>
    <row r="6263" spans="1:2" x14ac:dyDescent="0.25">
      <c r="A6263">
        <f ca="1">26515.0881304961*((RANDBETWEEN(1587,2416)))</f>
        <v>44227167.001667462</v>
      </c>
      <c r="B6263">
        <v>208796795.83645159</v>
      </c>
    </row>
    <row r="6264" spans="1:2" x14ac:dyDescent="0.25">
      <c r="A6264">
        <f ca="1">32228.6742245162*((RANDBETWEEN(1587,2416)))</f>
        <v>56045664.47643359</v>
      </c>
      <c r="B6264">
        <v>221879540.09650937</v>
      </c>
    </row>
    <row r="6265" spans="1:2" x14ac:dyDescent="0.25">
      <c r="A6265">
        <f ca="1">28182.3158843149*((RANDBETWEEN(1587,2416)))</f>
        <v>65354790.535726219</v>
      </c>
      <c r="B6265">
        <v>219446010.08970249</v>
      </c>
    </row>
    <row r="6266" spans="1:2" x14ac:dyDescent="0.25">
      <c r="A6266">
        <f ca="1">31258.5774493584*((RANDBETWEEN(1587,2416)))</f>
        <v>59641365.773375779</v>
      </c>
      <c r="B6266">
        <v>253182567.55512926</v>
      </c>
    </row>
    <row r="6267" spans="1:2" x14ac:dyDescent="0.25">
      <c r="A6267">
        <f ca="1">31757.1179853301*((RANDBETWEEN(1587,2416)))</f>
        <v>57861468.969271377</v>
      </c>
      <c r="B6267">
        <v>235360494.7865926</v>
      </c>
    </row>
    <row r="6268" spans="1:2" x14ac:dyDescent="0.25">
      <c r="A6268">
        <f ca="1">28495.8432832579*((RANDBETWEEN(1587,2416)))</f>
        <v>58872412.223210864</v>
      </c>
      <c r="B6268">
        <v>210020072.14224014</v>
      </c>
    </row>
    <row r="6269" spans="1:2" x14ac:dyDescent="0.25">
      <c r="A6269">
        <f ca="1">28235.6170316338*((RANDBETWEEN(1587,2416)))</f>
        <v>62372478.022879101</v>
      </c>
      <c r="B6269">
        <v>218702695.03961223</v>
      </c>
    </row>
    <row r="6270" spans="1:2" x14ac:dyDescent="0.25">
      <c r="A6270">
        <f ca="1">29153.2722913029*((RANDBETWEEN(1587,2416)))</f>
        <v>51338912.504984461</v>
      </c>
      <c r="B6270">
        <v>223420872.07562888</v>
      </c>
    </row>
    <row r="6271" spans="1:2" x14ac:dyDescent="0.25">
      <c r="A6271">
        <f ca="1">30183.8242536981*((RANDBETWEEN(1587,2416)))</f>
        <v>54270516.008149125</v>
      </c>
      <c r="B6271">
        <v>235167694.4485957</v>
      </c>
    </row>
    <row r="6272" spans="1:2" x14ac:dyDescent="0.25">
      <c r="A6272">
        <f ca="1">34134.853543808*((RANDBETWEEN(1587,2416)))</f>
        <v>55093653.619706102</v>
      </c>
      <c r="B6272">
        <v>244803077.31037042</v>
      </c>
    </row>
    <row r="6273" spans="1:2" x14ac:dyDescent="0.25">
      <c r="A6273">
        <f ca="1">32606.3452878316*((RANDBETWEEN(1587,2416)))</f>
        <v>56702434.45553907</v>
      </c>
      <c r="B6273">
        <v>238582517.92950878</v>
      </c>
    </row>
    <row r="6274" spans="1:2" x14ac:dyDescent="0.25">
      <c r="A6274">
        <f ca="1">29435.1763498343*((RANDBETWEEN(1587,2416)))</f>
        <v>68760571.953212842</v>
      </c>
      <c r="B6274">
        <v>247551487.9131816</v>
      </c>
    </row>
    <row r="6275" spans="1:2" x14ac:dyDescent="0.25">
      <c r="A6275">
        <f ca="1">27846.5094520823*((RANDBETWEEN(1587,2416)))</f>
        <v>56444874.659370825</v>
      </c>
      <c r="B6275">
        <v>254019960.44728339</v>
      </c>
    </row>
    <row r="6276" spans="1:2" x14ac:dyDescent="0.25">
      <c r="A6276">
        <f ca="1">28837.8390661172*((RANDBETWEEN(1587,2416)))</f>
        <v>53869083.37550696</v>
      </c>
      <c r="B6276">
        <v>242551863.8254967</v>
      </c>
    </row>
    <row r="6277" spans="1:2" x14ac:dyDescent="0.25">
      <c r="A6277">
        <f ca="1">28381.005364598*((RANDBETWEEN(1587,2416)))</f>
        <v>45835323.66382584</v>
      </c>
      <c r="B6277">
        <v>226645020.05901438</v>
      </c>
    </row>
    <row r="6278" spans="1:2" x14ac:dyDescent="0.25">
      <c r="A6278">
        <f ca="1">27915.2535746856*((RANDBETWEEN(1587,2416)))</f>
        <v>55495524.106474914</v>
      </c>
      <c r="B6278">
        <v>218755940.21645772</v>
      </c>
    </row>
    <row r="6279" spans="1:2" x14ac:dyDescent="0.25">
      <c r="A6279">
        <f ca="1">29458.2703990691*((RANDBETWEEN(1587,2416)))</f>
        <v>56383129.543818206</v>
      </c>
      <c r="B6279">
        <v>222547370.11611629</v>
      </c>
    </row>
    <row r="6280" spans="1:2" x14ac:dyDescent="0.25">
      <c r="A6280">
        <f ca="1">32311.8890819749*((RANDBETWEEN(1587,2416)))</f>
        <v>73897290.330476567</v>
      </c>
      <c r="B6280">
        <v>222306040.45399737</v>
      </c>
    </row>
    <row r="6281" spans="1:2" x14ac:dyDescent="0.25">
      <c r="A6281">
        <f ca="1">27012.3501292909*((RANDBETWEEN(1587,2416)))</f>
        <v>46920452.174578331</v>
      </c>
      <c r="B6281">
        <v>204020996.08061475</v>
      </c>
    </row>
    <row r="6282" spans="1:2" x14ac:dyDescent="0.25">
      <c r="A6282">
        <f ca="1">33296.9815524881*((RANDBETWEEN(1587,2416)))</f>
        <v>72953686.581501395</v>
      </c>
      <c r="B6282">
        <v>218592565.90426418</v>
      </c>
    </row>
    <row r="6283" spans="1:2" x14ac:dyDescent="0.25">
      <c r="A6283">
        <f ca="1">29545.2939892993*((RANDBETWEEN(1587,2416)))</f>
        <v>66447366.181934185</v>
      </c>
      <c r="B6283">
        <v>214943110.48933792</v>
      </c>
    </row>
    <row r="6284" spans="1:2" x14ac:dyDescent="0.25">
      <c r="A6284">
        <f ca="1">32055.9119315261*((RANDBETWEEN(1587,2416)))</f>
        <v>60938288.581831113</v>
      </c>
      <c r="B6284">
        <v>258455302.15583235</v>
      </c>
    </row>
    <row r="6285" spans="1:2" x14ac:dyDescent="0.25">
      <c r="A6285">
        <f ca="1">31462.838147179*((RANDBETWEEN(1587,2416)))</f>
        <v>76014216.963584393</v>
      </c>
      <c r="B6285">
        <v>263498808.33963266</v>
      </c>
    </row>
    <row r="6286" spans="1:2" x14ac:dyDescent="0.25">
      <c r="A6286">
        <f ca="1">29922.1731943968*((RANDBETWEEN(1587,2416)))</f>
        <v>63195629.786565959</v>
      </c>
      <c r="B6286">
        <v>235215704.35277808</v>
      </c>
    </row>
    <row r="6287" spans="1:2" x14ac:dyDescent="0.25">
      <c r="A6287">
        <f ca="1">31186.7039599355*((RANDBETWEEN(1587,2416)))</f>
        <v>59129990.708037652</v>
      </c>
      <c r="B6287">
        <v>252711635.55717224</v>
      </c>
    </row>
    <row r="6288" spans="1:2" x14ac:dyDescent="0.25">
      <c r="A6288">
        <f ca="1">34161.2486974924*((RANDBETWEEN(1587,2416)))</f>
        <v>66443628.716622792</v>
      </c>
      <c r="B6288">
        <v>254670024.94584987</v>
      </c>
    </row>
    <row r="6289" spans="1:2" x14ac:dyDescent="0.25">
      <c r="A6289">
        <f ca="1">29075.6262971593*((RANDBETWEEN(1587,2416)))</f>
        <v>69316293.092427745</v>
      </c>
      <c r="B6289">
        <v>229237643.89155567</v>
      </c>
    </row>
    <row r="6290" spans="1:2" x14ac:dyDescent="0.25">
      <c r="A6290">
        <f ca="1">29182.3260595875*((RANDBETWEEN(1587,2416)))</f>
        <v>57109812.098612808</v>
      </c>
      <c r="B6290">
        <v>240609856.03349164</v>
      </c>
    </row>
    <row r="6291" spans="1:2" x14ac:dyDescent="0.25">
      <c r="A6291">
        <f ca="1">28472.54371702*((RANDBETWEEN(1587,2416)))</f>
        <v>58340242.076174058</v>
      </c>
      <c r="B6291">
        <v>244143659.78046378</v>
      </c>
    </row>
    <row r="6292" spans="1:2" x14ac:dyDescent="0.25">
      <c r="A6292">
        <f ca="1">30915.7298459646*((RANDBETWEEN(1587,2416)))</f>
        <v>56606701.347961172</v>
      </c>
      <c r="B6292">
        <v>253337773.58970463</v>
      </c>
    </row>
    <row r="6293" spans="1:2" x14ac:dyDescent="0.25">
      <c r="A6293">
        <f ca="1">29785.5188484974*((RANDBETWEEN(1587,2416)))</f>
        <v>68476907.832695439</v>
      </c>
      <c r="B6293">
        <v>222493246.60142103</v>
      </c>
    </row>
    <row r="6294" spans="1:2" x14ac:dyDescent="0.25">
      <c r="A6294">
        <f ca="1">27600.8841768221*((RANDBETWEEN(1587,2416)))</f>
        <v>54042531.218217701</v>
      </c>
      <c r="B6294">
        <v>217719731.55021024</v>
      </c>
    </row>
    <row r="6295" spans="1:2" x14ac:dyDescent="0.25">
      <c r="A6295">
        <f ca="1">31211.0068251169*((RANDBETWEEN(1587,2416)))</f>
        <v>61454472.438655101</v>
      </c>
      <c r="B6295">
        <v>267822639.72230262</v>
      </c>
    </row>
    <row r="6296" spans="1:2" x14ac:dyDescent="0.25">
      <c r="A6296">
        <f ca="1">30915.7289021578*((RANDBETWEEN(1587,2416)))</f>
        <v>54720840.156819269</v>
      </c>
      <c r="B6296">
        <v>208028954.1126228</v>
      </c>
    </row>
    <row r="6297" spans="1:2" x14ac:dyDescent="0.25">
      <c r="A6297">
        <f ca="1">27784.5123501861*((RANDBETWEEN(1587,2416)))</f>
        <v>44649711.346749052</v>
      </c>
      <c r="B6297">
        <v>265343376.94898659</v>
      </c>
    </row>
    <row r="6298" spans="1:2" x14ac:dyDescent="0.25">
      <c r="A6298">
        <f ca="1">29505.8107045193*((RANDBETWEEN(1587,2416)))</f>
        <v>50041854.954864778</v>
      </c>
      <c r="B6298">
        <v>213777409.21483055</v>
      </c>
    </row>
    <row r="6299" spans="1:2" x14ac:dyDescent="0.25">
      <c r="A6299">
        <f ca="1">27641.461303032*((RANDBETWEEN(1587,2416)))</f>
        <v>62193287.931821957</v>
      </c>
      <c r="B6299">
        <v>245324883.38446873</v>
      </c>
    </row>
    <row r="6300" spans="1:2" x14ac:dyDescent="0.25">
      <c r="A6300">
        <f ca="1">26673.4117483407*((RANDBETWEEN(1587,2416)))</f>
        <v>53640231.025913186</v>
      </c>
      <c r="B6300">
        <v>230441369.40176058</v>
      </c>
    </row>
    <row r="6301" spans="1:2" x14ac:dyDescent="0.25">
      <c r="A6301">
        <f ca="1">27091.8051461407*((RANDBETWEEN(1587,2416)))</f>
        <v>54644170.97976578</v>
      </c>
      <c r="B6301">
        <v>238388800.24375165</v>
      </c>
    </row>
    <row r="6302" spans="1:2" x14ac:dyDescent="0.25">
      <c r="A6302">
        <f ca="1">32360.0170218439*((RANDBETWEEN(1587,2416)))</f>
        <v>64817114.094753236</v>
      </c>
      <c r="B6302">
        <v>218655602.8429333</v>
      </c>
    </row>
    <row r="6303" spans="1:2" x14ac:dyDescent="0.25">
      <c r="A6303">
        <f ca="1">32784.0662882289*((RANDBETWEEN(1587,2416)))</f>
        <v>65895973.239340052</v>
      </c>
      <c r="B6303">
        <v>244284922.68813342</v>
      </c>
    </row>
    <row r="6304" spans="1:2" x14ac:dyDescent="0.25">
      <c r="A6304">
        <f ca="1">30532.0775896347*((RANDBETWEEN(1587,2416)))</f>
        <v>53950181.100884467</v>
      </c>
      <c r="B6304">
        <v>255188694.08352256</v>
      </c>
    </row>
    <row r="6305" spans="1:2" x14ac:dyDescent="0.25">
      <c r="A6305">
        <f ca="1">31595.5560892963*((RANDBETWEEN(1587,2416)))</f>
        <v>74344343.478114247</v>
      </c>
      <c r="B6305">
        <v>258976720.72099334</v>
      </c>
    </row>
    <row r="6306" spans="1:2" x14ac:dyDescent="0.25">
      <c r="A6306">
        <f ca="1">30466.6137318298*((RANDBETWEEN(1587,2416)))</f>
        <v>53286107.416970283</v>
      </c>
      <c r="B6306">
        <v>233692319.84201825</v>
      </c>
    </row>
    <row r="6307" spans="1:2" x14ac:dyDescent="0.25">
      <c r="A6307">
        <f ca="1">33633.7122305601*((RANDBETWEEN(1587,2416)))</f>
        <v>57715450.187641107</v>
      </c>
      <c r="B6307">
        <v>260486771.54276782</v>
      </c>
    </row>
    <row r="6308" spans="1:2" x14ac:dyDescent="0.25">
      <c r="A6308">
        <f ca="1">27657.004160428*((RANDBETWEEN(1587,2416)))</f>
        <v>47376448.126813211</v>
      </c>
      <c r="B6308">
        <v>252332621.45370388</v>
      </c>
    </row>
    <row r="6309" spans="1:2" x14ac:dyDescent="0.25">
      <c r="A6309">
        <f ca="1">32234.452632373*((RANDBETWEEN(1587,2416)))</f>
        <v>75686494.780811861</v>
      </c>
      <c r="B6309">
        <v>256627836.01160672</v>
      </c>
    </row>
    <row r="6310" spans="1:2" x14ac:dyDescent="0.25">
      <c r="A6310">
        <f ca="1">31049.4147083212*((RANDBETWEEN(1587,2416)))</f>
        <v>74083903.494054347</v>
      </c>
      <c r="B6310">
        <v>250949371.07950261</v>
      </c>
    </row>
    <row r="6311" spans="1:2" x14ac:dyDescent="0.25">
      <c r="A6311">
        <f ca="1">32100.8077462186*((RANDBETWEEN(1587,2416)))</f>
        <v>68150014.845222145</v>
      </c>
      <c r="B6311">
        <v>227444895.73806486</v>
      </c>
    </row>
    <row r="6312" spans="1:2" x14ac:dyDescent="0.25">
      <c r="A6312">
        <f ca="1">30660.5029681613*((RANDBETWEEN(1587,2416)))</f>
        <v>56292683.449544162</v>
      </c>
      <c r="B6312">
        <v>214507028.60386285</v>
      </c>
    </row>
    <row r="6313" spans="1:2" x14ac:dyDescent="0.25">
      <c r="A6313">
        <f ca="1">34207.0682559963*((RANDBETWEEN(1587,2416)))</f>
        <v>71834843.337592274</v>
      </c>
      <c r="B6313">
        <v>252274276.41433287</v>
      </c>
    </row>
    <row r="6314" spans="1:2" x14ac:dyDescent="0.25">
      <c r="A6314">
        <f ca="1">33010.8698722057*((RANDBETWEEN(1587,2416)))</f>
        <v>54401913.54939495</v>
      </c>
      <c r="B6314">
        <v>242438187.52404863</v>
      </c>
    </row>
    <row r="6315" spans="1:2" x14ac:dyDescent="0.25">
      <c r="A6315">
        <f ca="1">30057.5723967266*((RANDBETWEEN(1587,2416)))</f>
        <v>66066544.128005162</v>
      </c>
      <c r="B6315">
        <v>242141664.95223245</v>
      </c>
    </row>
    <row r="6316" spans="1:2" x14ac:dyDescent="0.25">
      <c r="A6316">
        <f ca="1">30833.7210097439*((RANDBETWEEN(1587,2416)))</f>
        <v>68851699.01475805</v>
      </c>
      <c r="B6316">
        <v>242562739.30540168</v>
      </c>
    </row>
    <row r="6317" spans="1:2" x14ac:dyDescent="0.25">
      <c r="A6317">
        <f ca="1">30459.3618260342*((RANDBETWEEN(1587,2416)))</f>
        <v>66249111.971624292</v>
      </c>
      <c r="B6317">
        <v>244505547.02911177</v>
      </c>
    </row>
    <row r="6318" spans="1:2" x14ac:dyDescent="0.25">
      <c r="A6318">
        <f ca="1">31001.7848757641*((RANDBETWEEN(1587,2416)))</f>
        <v>52114000.376159377</v>
      </c>
      <c r="B6318">
        <v>225711746.78080198</v>
      </c>
    </row>
    <row r="6319" spans="1:2" x14ac:dyDescent="0.25">
      <c r="A6319">
        <f ca="1">27199.1694203838*((RANDBETWEEN(1587,2416)))</f>
        <v>45395413.762620486</v>
      </c>
      <c r="B6319">
        <v>231347115.30904585</v>
      </c>
    </row>
    <row r="6320" spans="1:2" x14ac:dyDescent="0.25">
      <c r="A6320">
        <f ca="1">30044.7018321838*((RANDBETWEEN(1587,2416)))</f>
        <v>60059358.962535344</v>
      </c>
      <c r="B6320">
        <v>250081594.40191942</v>
      </c>
    </row>
    <row r="6321" spans="1:2" x14ac:dyDescent="0.25">
      <c r="A6321">
        <f ca="1">27963.9863936802*((RANDBETWEEN(1587,2416)))</f>
        <v>47538776.869256362</v>
      </c>
      <c r="B6321">
        <v>213188031.51718175</v>
      </c>
    </row>
    <row r="6322" spans="1:2" x14ac:dyDescent="0.25">
      <c r="A6322">
        <f ca="1">29936.3468679054*((RANDBETWEEN(1587,2416)))</f>
        <v>56130650.377322696</v>
      </c>
      <c r="B6322">
        <v>222124090.50604016</v>
      </c>
    </row>
    <row r="6323" spans="1:2" x14ac:dyDescent="0.25">
      <c r="A6323">
        <f ca="1">27924.2589566798*((RANDBETWEEN(1587,2416)))</f>
        <v>48532362.066709466</v>
      </c>
      <c r="B6323">
        <v>250578881.72680527</v>
      </c>
    </row>
    <row r="6324" spans="1:2" x14ac:dyDescent="0.25">
      <c r="A6324">
        <f ca="1">29719.7609000224*((RANDBETWEEN(1587,2416)))</f>
        <v>63273370.956147589</v>
      </c>
      <c r="B6324">
        <v>214632697.37180489</v>
      </c>
    </row>
    <row r="6325" spans="1:2" x14ac:dyDescent="0.25">
      <c r="A6325">
        <f ca="1">27909.8997872192*((RANDBETWEEN(1587,2416)))</f>
        <v>51717044.305717163</v>
      </c>
      <c r="B6325">
        <v>217271225.38933861</v>
      </c>
    </row>
    <row r="6326" spans="1:2" x14ac:dyDescent="0.25">
      <c r="A6326">
        <f ca="1">29017.4533456487*((RANDBETWEEN(1587,2416)))</f>
        <v>48343077.273850806</v>
      </c>
      <c r="B6326">
        <v>250402545.70766878</v>
      </c>
    </row>
    <row r="6327" spans="1:2" x14ac:dyDescent="0.25">
      <c r="A6327">
        <f ca="1">30704.1348498568*((RANDBETWEEN(1587,2416)))</f>
        <v>53885756.661498725</v>
      </c>
      <c r="B6327">
        <v>266793938.91717479</v>
      </c>
    </row>
    <row r="6328" spans="1:2" x14ac:dyDescent="0.25">
      <c r="A6328">
        <f ca="1">33018.7347429438*((RANDBETWEEN(1587,2416)))</f>
        <v>74226115.702137575</v>
      </c>
      <c r="B6328">
        <v>225794058.61862656</v>
      </c>
    </row>
    <row r="6329" spans="1:2" x14ac:dyDescent="0.25">
      <c r="A6329">
        <f ca="1">26577.2529403109*((RANDBETWEEN(1587,2416)))</f>
        <v>50177853.551306978</v>
      </c>
      <c r="B6329">
        <v>262502953.01813608</v>
      </c>
    </row>
    <row r="6330" spans="1:2" x14ac:dyDescent="0.25">
      <c r="A6330">
        <f ca="1">28664.4560961943*((RANDBETWEEN(1587,2416)))</f>
        <v>57013603.175330535</v>
      </c>
      <c r="B6330">
        <v>260464584.28191757</v>
      </c>
    </row>
    <row r="6331" spans="1:2" x14ac:dyDescent="0.25">
      <c r="A6331">
        <f ca="1">30153.3313061696*((RANDBETWEEN(1587,2416)))</f>
        <v>53401549.743226431</v>
      </c>
      <c r="B6331">
        <v>211012362.21178669</v>
      </c>
    </row>
    <row r="6332" spans="1:2" x14ac:dyDescent="0.25">
      <c r="A6332">
        <f ca="1">33459.5337674307*((RANDBETWEEN(1587,2416)))</f>
        <v>74915896.105277285</v>
      </c>
      <c r="B6332">
        <v>254502440.84645635</v>
      </c>
    </row>
    <row r="6333" spans="1:2" x14ac:dyDescent="0.25">
      <c r="A6333">
        <f ca="1">28600.3375868466*((RANDBETWEEN(1587,2416)))</f>
        <v>60346712.308246426</v>
      </c>
      <c r="B6333">
        <v>215812061.81941846</v>
      </c>
    </row>
    <row r="6334" spans="1:2" x14ac:dyDescent="0.25">
      <c r="A6334">
        <f ca="1">25518.5698856502*((RANDBETWEEN(1587,2416)))</f>
        <v>49531544.148047023</v>
      </c>
      <c r="B6334">
        <v>226107257.91797844</v>
      </c>
    </row>
    <row r="6335" spans="1:2" x14ac:dyDescent="0.25">
      <c r="A6335">
        <f ca="1">31151.5091119042*((RANDBETWEEN(1587,2416)))</f>
        <v>71617319.448267698</v>
      </c>
      <c r="B6335">
        <v>223955747.81541044</v>
      </c>
    </row>
    <row r="6336" spans="1:2" x14ac:dyDescent="0.25">
      <c r="A6336">
        <f ca="1">32329.8551949248*((RANDBETWEEN(1587,2416)))</f>
        <v>53020962.519676618</v>
      </c>
      <c r="B6336">
        <v>261200611.51696891</v>
      </c>
    </row>
    <row r="6337" spans="1:2" x14ac:dyDescent="0.25">
      <c r="A6337">
        <f ca="1">31388.9257242024*((RANDBETWEEN(1587,2416)))</f>
        <v>63531185.665785559</v>
      </c>
      <c r="B6337">
        <v>253019364.15709049</v>
      </c>
    </row>
    <row r="6338" spans="1:2" x14ac:dyDescent="0.25">
      <c r="A6338">
        <f ca="1">29410.1038839328*((RANDBETWEEN(1587,2416)))</f>
        <v>54320461.873623952</v>
      </c>
      <c r="B6338">
        <v>211771756.47940993</v>
      </c>
    </row>
    <row r="6339" spans="1:2" x14ac:dyDescent="0.25">
      <c r="A6339">
        <f ca="1">28609.4721151401*((RANDBETWEEN(1587,2416)))</f>
        <v>66288146.890779696</v>
      </c>
      <c r="B6339">
        <v>227460551.21713117</v>
      </c>
    </row>
    <row r="6340" spans="1:2" x14ac:dyDescent="0.25">
      <c r="A6340">
        <f ca="1">31354.5403512277*((RANDBETWEEN(1587,2416)))</f>
        <v>53083236.814628445</v>
      </c>
      <c r="B6340">
        <v>265667899.95853961</v>
      </c>
    </row>
    <row r="6341" spans="1:2" x14ac:dyDescent="0.25">
      <c r="A6341">
        <f ca="1">29957.1587079747*((RANDBETWEEN(1587,2416)))</f>
        <v>51046998.438388936</v>
      </c>
      <c r="B6341">
        <v>231768074.41428897</v>
      </c>
    </row>
    <row r="6342" spans="1:2" x14ac:dyDescent="0.25">
      <c r="A6342">
        <f ca="1">26540.4463906764*((RANDBETWEEN(1587,2416)))</f>
        <v>49683715.643346183</v>
      </c>
      <c r="B6342">
        <v>241579231.3966108</v>
      </c>
    </row>
    <row r="6343" spans="1:2" x14ac:dyDescent="0.25">
      <c r="A6343">
        <f ca="1">28637.4261245486*((RANDBETWEEN(1587,2416)))</f>
        <v>59680396.04355938</v>
      </c>
      <c r="B6343">
        <v>228290801.36720237</v>
      </c>
    </row>
    <row r="6344" spans="1:2" x14ac:dyDescent="0.25">
      <c r="A6344">
        <f ca="1">26469.0648726161*((RANDBETWEEN(1587,2416)))</f>
        <v>56855551.346379384</v>
      </c>
      <c r="B6344">
        <v>250131826.87148067</v>
      </c>
    </row>
    <row r="6345" spans="1:2" x14ac:dyDescent="0.25">
      <c r="A6345">
        <f ca="1">26112.4396898024*((RANDBETWEEN(1587,2416)))</f>
        <v>54836123.348585017</v>
      </c>
      <c r="B6345">
        <v>212066206.0665015</v>
      </c>
    </row>
    <row r="6346" spans="1:2" x14ac:dyDescent="0.25">
      <c r="A6346">
        <f ca="1">27387.8066400829*((RANDBETWEEN(1587,2416)))</f>
        <v>55679410.899288677</v>
      </c>
      <c r="B6346">
        <v>205140842.38302916</v>
      </c>
    </row>
    <row r="6347" spans="1:2" x14ac:dyDescent="0.25">
      <c r="A6347">
        <f ca="1">29538.8565099009*((RANDBETWEEN(1587,2416)))</f>
        <v>67200898.560024574</v>
      </c>
      <c r="B6347">
        <v>207074966.9788743</v>
      </c>
    </row>
    <row r="6348" spans="1:2" x14ac:dyDescent="0.25">
      <c r="A6348">
        <f ca="1">33197.7988874763*((RANDBETWEEN(1587,2416)))</f>
        <v>71176080.814749122</v>
      </c>
      <c r="B6348">
        <v>254349374.51886636</v>
      </c>
    </row>
    <row r="6349" spans="1:2" x14ac:dyDescent="0.25">
      <c r="A6349">
        <f ca="1">27495.6892998457*((RANDBETWEEN(1587,2416)))</f>
        <v>54578943.260193788</v>
      </c>
      <c r="B6349">
        <v>264918523.89879605</v>
      </c>
    </row>
    <row r="6350" spans="1:2" x14ac:dyDescent="0.25">
      <c r="A6350">
        <f ca="1">26363.1119967081*((RANDBETWEEN(1587,2416)))</f>
        <v>63666915.472050086</v>
      </c>
      <c r="B6350">
        <v>212165812.9855836</v>
      </c>
    </row>
    <row r="6351" spans="1:2" x14ac:dyDescent="0.25">
      <c r="A6351">
        <f ca="1">30586.4727876204*((RANDBETWEEN(1587,2416)))</f>
        <v>64139833.435639918</v>
      </c>
      <c r="B6351">
        <v>253112872.14968002</v>
      </c>
    </row>
    <row r="6352" spans="1:2" x14ac:dyDescent="0.25">
      <c r="A6352">
        <f ca="1">28406.2067545867*((RANDBETWEEN(1587,2416)))</f>
        <v>48063301.828760758</v>
      </c>
      <c r="B6352">
        <v>204546918.65008104</v>
      </c>
    </row>
    <row r="6353" spans="1:2" x14ac:dyDescent="0.25">
      <c r="A6353">
        <f ca="1">31076.2752805533*((RANDBETWEEN(1587,2416)))</f>
        <v>66316771.448700815</v>
      </c>
      <c r="B6353">
        <v>247446941.47221923</v>
      </c>
    </row>
    <row r="6354" spans="1:2" x14ac:dyDescent="0.25">
      <c r="A6354">
        <f ca="1">27401.1530418861*((RANDBETWEEN(1587,2416)))</f>
        <v>64118698.118013434</v>
      </c>
      <c r="B6354">
        <v>223369626.82471752</v>
      </c>
    </row>
    <row r="6355" spans="1:2" x14ac:dyDescent="0.25">
      <c r="A6355">
        <f ca="1">31126.1849346334*((RANDBETWEEN(1587,2416)))</f>
        <v>55248978.258974254</v>
      </c>
      <c r="B6355">
        <v>242273501.90095246</v>
      </c>
    </row>
    <row r="6356" spans="1:2" x14ac:dyDescent="0.25">
      <c r="A6356">
        <f ca="1">25593.9380497168*((RANDBETWEEN(1587,2416)))</f>
        <v>56818542.470371336</v>
      </c>
      <c r="B6356">
        <v>210443229.83964223</v>
      </c>
    </row>
    <row r="6357" spans="1:2" x14ac:dyDescent="0.25">
      <c r="A6357">
        <f ca="1">27622.6342596285*((RANDBETWEEN(1587,2416)))</f>
        <v>61929946.010087103</v>
      </c>
      <c r="B6357">
        <v>251191623.91733429</v>
      </c>
    </row>
    <row r="6358" spans="1:2" x14ac:dyDescent="0.25">
      <c r="A6358">
        <f ca="1">27636.1150983709*((RANDBETWEEN(1587,2416)))</f>
        <v>50601726.745117158</v>
      </c>
      <c r="B6358">
        <v>206636481.38956141</v>
      </c>
    </row>
    <row r="6359" spans="1:2" x14ac:dyDescent="0.25">
      <c r="A6359">
        <f ca="1">26957.7586104051*((RANDBETWEEN(1587,2416)))</f>
        <v>57312194.805721164</v>
      </c>
      <c r="B6359">
        <v>217582668.73133779</v>
      </c>
    </row>
    <row r="6360" spans="1:2" x14ac:dyDescent="0.25">
      <c r="A6360">
        <f ca="1">25836.578273543*((RANDBETWEEN(1587,2416)))</f>
        <v>54101794.90479897</v>
      </c>
      <c r="B6360">
        <v>239644284.06543934</v>
      </c>
    </row>
    <row r="6361" spans="1:2" x14ac:dyDescent="0.25">
      <c r="A6361">
        <f ca="1">29645.7806407911*((RANDBETWEEN(1587,2416)))</f>
        <v>54874339.966104299</v>
      </c>
      <c r="B6361">
        <v>228223734.902852</v>
      </c>
    </row>
    <row r="6362" spans="1:2" x14ac:dyDescent="0.25">
      <c r="A6362">
        <f ca="1">30604.7138447764*((RANDBETWEEN(1587,2416)))</f>
        <v>54231552.932943851</v>
      </c>
      <c r="B6362">
        <v>262057493.48587799</v>
      </c>
    </row>
    <row r="6363" spans="1:2" x14ac:dyDescent="0.25">
      <c r="A6363">
        <f ca="1">30393.2570202866*((RANDBETWEEN(1587,2416)))</f>
        <v>66014154.248062454</v>
      </c>
      <c r="B6363">
        <v>256956608.84622315</v>
      </c>
    </row>
    <row r="6364" spans="1:2" x14ac:dyDescent="0.25">
      <c r="A6364">
        <f ca="1">28116.6273024416*((RANDBETWEEN(1587,2416)))</f>
        <v>64358959.895288929</v>
      </c>
      <c r="B6364">
        <v>204109337.84851444</v>
      </c>
    </row>
    <row r="6365" spans="1:2" x14ac:dyDescent="0.25">
      <c r="A6365">
        <f ca="1">26785.6721950949*((RANDBETWEEN(1587,2416)))</f>
        <v>61526689.032133088</v>
      </c>
      <c r="B6365">
        <v>259258342.97462478</v>
      </c>
    </row>
    <row r="6366" spans="1:2" x14ac:dyDescent="0.25">
      <c r="A6366">
        <f ca="1">30204.5908241047*((RANDBETWEEN(1587,2416)))</f>
        <v>52042509.98993247</v>
      </c>
      <c r="B6366">
        <v>232157932.82276276</v>
      </c>
    </row>
    <row r="6367" spans="1:2" x14ac:dyDescent="0.25">
      <c r="A6367">
        <f ca="1">29890.759909248*((RANDBETWEEN(1587,2416)))</f>
        <v>53952821.636192687</v>
      </c>
      <c r="B6367">
        <v>237440824.28311554</v>
      </c>
    </row>
    <row r="6368" spans="1:2" x14ac:dyDescent="0.25">
      <c r="A6368">
        <f ca="1">31971.3166797239*((RANDBETWEEN(1587,2416)))</f>
        <v>64454174.426323399</v>
      </c>
      <c r="B6368">
        <v>262252966.87013671</v>
      </c>
    </row>
    <row r="6369" spans="1:2" x14ac:dyDescent="0.25">
      <c r="A6369">
        <f ca="1">28153.2024823874*((RANDBETWEEN(1587,2416)))</f>
        <v>45692647.628914706</v>
      </c>
      <c r="B6369">
        <v>227715805.26584601</v>
      </c>
    </row>
    <row r="6370" spans="1:2" x14ac:dyDescent="0.25">
      <c r="A6370">
        <f ca="1">28913.3512580813*((RANDBETWEEN(1587,2416)))</f>
        <v>47360069.360737234</v>
      </c>
      <c r="B6370">
        <v>258229511.16312644</v>
      </c>
    </row>
    <row r="6371" spans="1:2" x14ac:dyDescent="0.25">
      <c r="A6371">
        <f ca="1">34742.6448514414*((RANDBETWEEN(1587,2416)))</f>
        <v>64690804.713383861</v>
      </c>
      <c r="B6371">
        <v>217028850.10027725</v>
      </c>
    </row>
    <row r="6372" spans="1:2" x14ac:dyDescent="0.25">
      <c r="A6372">
        <f ca="1">31568.5085091034*((RANDBETWEEN(1587,2416)))</f>
        <v>53540190.431439348</v>
      </c>
      <c r="B6372">
        <v>266125558.9456811</v>
      </c>
    </row>
    <row r="6373" spans="1:2" x14ac:dyDescent="0.25">
      <c r="A6373">
        <f ca="1">28057.7674341564*((RANDBETWEEN(1587,2416)))</f>
        <v>53141411.520292193</v>
      </c>
      <c r="B6373">
        <v>211332800.22960442</v>
      </c>
    </row>
    <row r="6374" spans="1:2" x14ac:dyDescent="0.25">
      <c r="A6374">
        <f ca="1">30836.2536478715*((RANDBETWEEN(1587,2416)))</f>
        <v>58681390.691899531</v>
      </c>
      <c r="B6374">
        <v>206622057.78893316</v>
      </c>
    </row>
    <row r="6375" spans="1:2" x14ac:dyDescent="0.25">
      <c r="A6375">
        <f ca="1">31940.8854668856*((RANDBETWEEN(1587,2416)))</f>
        <v>63754007.391903706</v>
      </c>
      <c r="B6375">
        <v>204678589.72366378</v>
      </c>
    </row>
    <row r="6376" spans="1:2" x14ac:dyDescent="0.25">
      <c r="A6376">
        <f ca="1">30914.0753367253*((RANDBETWEEN(1587,2416)))</f>
        <v>68412848.72017315</v>
      </c>
      <c r="B6376">
        <v>234944437.27062276</v>
      </c>
    </row>
    <row r="6377" spans="1:2" x14ac:dyDescent="0.25">
      <c r="A6377">
        <f ca="1">28115.9143605405*((RANDBETWEEN(1587,2416)))</f>
        <v>55107192.146659441</v>
      </c>
      <c r="B6377">
        <v>222122322.96058294</v>
      </c>
    </row>
    <row r="6378" spans="1:2" x14ac:dyDescent="0.25">
      <c r="A6378">
        <f ca="1">30538.9579058168*((RANDBETWEEN(1587,2416)))</f>
        <v>63337798.696664132</v>
      </c>
      <c r="B6378">
        <v>261584298.8503215</v>
      </c>
    </row>
    <row r="6379" spans="1:2" x14ac:dyDescent="0.25">
      <c r="A6379">
        <f ca="1">26130.8463603779*((RANDBETWEEN(1587,2416)))</f>
        <v>52209431.028035007</v>
      </c>
      <c r="B6379">
        <v>223875911.25197175</v>
      </c>
    </row>
    <row r="6380" spans="1:2" x14ac:dyDescent="0.25">
      <c r="A6380">
        <f ca="1">28141.2290564121*((RANDBETWEEN(1587,2416)))</f>
        <v>46545592.859305605</v>
      </c>
      <c r="B6380">
        <v>235966831.24924892</v>
      </c>
    </row>
    <row r="6381" spans="1:2" x14ac:dyDescent="0.25">
      <c r="A6381">
        <f ca="1">31922.1611787489*((RANDBETWEEN(1587,2416)))</f>
        <v>59917896.532511637</v>
      </c>
      <c r="B6381">
        <v>214747688.53774095</v>
      </c>
    </row>
    <row r="6382" spans="1:2" x14ac:dyDescent="0.25">
      <c r="A6382">
        <f ca="1">30265.0530033717*((RANDBETWEEN(1587,2416)))</f>
        <v>59834009.787665941</v>
      </c>
      <c r="B6382">
        <v>246520670.37916166</v>
      </c>
    </row>
    <row r="6383" spans="1:2" x14ac:dyDescent="0.25">
      <c r="A6383">
        <f ca="1">30674.3356177422*((RANDBETWEEN(1587,2416)))</f>
        <v>66900725.98229567</v>
      </c>
      <c r="B6383">
        <v>219031099.29438302</v>
      </c>
    </row>
    <row r="6384" spans="1:2" x14ac:dyDescent="0.25">
      <c r="A6384">
        <f ca="1">30271.3789209427*((RANDBETWEEN(1587,2416)))</f>
        <v>49251533.504373781</v>
      </c>
      <c r="B6384">
        <v>216592357.45506841</v>
      </c>
    </row>
    <row r="6385" spans="1:2" x14ac:dyDescent="0.25">
      <c r="A6385">
        <f ca="1">31879.8131939051*((RANDBETWEEN(1587,2416)))</f>
        <v>57543062.814998627</v>
      </c>
      <c r="B6385">
        <v>252082949.56464356</v>
      </c>
    </row>
    <row r="6386" spans="1:2" x14ac:dyDescent="0.25">
      <c r="A6386">
        <f ca="1">26198.4321619541*((RANDBETWEEN(1587,2416)))</f>
        <v>42389063.238041669</v>
      </c>
      <c r="B6386">
        <v>208762381.69294047</v>
      </c>
    </row>
    <row r="6387" spans="1:2" x14ac:dyDescent="0.25">
      <c r="A6387">
        <f ca="1">28805.2884899765*((RANDBETWEEN(1587,2416)))</f>
        <v>68700613.048593998</v>
      </c>
      <c r="B6387">
        <v>213923088.24464059</v>
      </c>
    </row>
    <row r="6388" spans="1:2" x14ac:dyDescent="0.25">
      <c r="A6388">
        <f ca="1">26517.1802098229*((RANDBETWEEN(1587,2416)))</f>
        <v>62209304.772244476</v>
      </c>
      <c r="B6388">
        <v>224871388.37906438</v>
      </c>
    </row>
    <row r="6389" spans="1:2" x14ac:dyDescent="0.25">
      <c r="A6389">
        <f ca="1">26288.2532299732*((RANDBETWEEN(1587,2416)))</f>
        <v>48107503.410850875</v>
      </c>
      <c r="B6389">
        <v>223682454.4962866</v>
      </c>
    </row>
    <row r="6390" spans="1:2" x14ac:dyDescent="0.25">
      <c r="A6390">
        <f ca="1">29549.572834604*((RANDBETWEEN(1587,2416)))</f>
        <v>59926533.70857697</v>
      </c>
      <c r="B6390">
        <v>245691098.84363014</v>
      </c>
    </row>
    <row r="6391" spans="1:2" x14ac:dyDescent="0.25">
      <c r="A6391">
        <f ca="1">27791.3683423773*((RANDBETWEEN(1587,2416)))</f>
        <v>55054700.68624939</v>
      </c>
      <c r="B6391">
        <v>208159730.06879383</v>
      </c>
    </row>
    <row r="6392" spans="1:2" x14ac:dyDescent="0.25">
      <c r="A6392">
        <f ca="1">32336.0388190208*((RANDBETWEEN(1587,2416)))</f>
        <v>77703501.282106966</v>
      </c>
      <c r="B6392">
        <v>260990668.26122648</v>
      </c>
    </row>
    <row r="6393" spans="1:2" x14ac:dyDescent="0.25">
      <c r="A6393">
        <f ca="1">29490.82004039*((RANDBETWEEN(1587,2416)))</f>
        <v>50370320.628986165</v>
      </c>
      <c r="B6393">
        <v>210824403.29490948</v>
      </c>
    </row>
    <row r="6394" spans="1:2" x14ac:dyDescent="0.25">
      <c r="A6394">
        <f ca="1">29889.0928781896*((RANDBETWEEN(1587,2416)))</f>
        <v>68057464.483637631</v>
      </c>
      <c r="B6394">
        <v>239424486.43372589</v>
      </c>
    </row>
    <row r="6395" spans="1:2" x14ac:dyDescent="0.25">
      <c r="A6395">
        <f ca="1">31890.950035691*((RANDBETWEEN(1587,2416)))</f>
        <v>56829672.963601336</v>
      </c>
      <c r="B6395">
        <v>213016414.90982458</v>
      </c>
    </row>
    <row r="6396" spans="1:2" x14ac:dyDescent="0.25">
      <c r="A6396">
        <f ca="1">31299.8345585833*((RANDBETWEEN(1587,2416)))</f>
        <v>56496201.378242821</v>
      </c>
      <c r="B6396">
        <v>236954768.70965308</v>
      </c>
    </row>
    <row r="6397" spans="1:2" x14ac:dyDescent="0.25">
      <c r="A6397">
        <f ca="1">29316.0419535608*((RANDBETWEEN(1587,2416)))</f>
        <v>67895953.164446697</v>
      </c>
      <c r="B6397">
        <v>208766819.60103679</v>
      </c>
    </row>
    <row r="6398" spans="1:2" x14ac:dyDescent="0.25">
      <c r="A6398">
        <f ca="1">31716.4264713959*((RANDBETWEEN(1587,2416)))</f>
        <v>66287331.325217441</v>
      </c>
      <c r="B6398">
        <v>209220035.99032187</v>
      </c>
    </row>
    <row r="6399" spans="1:2" x14ac:dyDescent="0.25">
      <c r="A6399">
        <f ca="1">29311.2752044884*((RANDBETWEEN(1587,2416)))</f>
        <v>51587844.359899536</v>
      </c>
      <c r="B6399">
        <v>245285686.78093594</v>
      </c>
    </row>
    <row r="6400" spans="1:2" x14ac:dyDescent="0.25">
      <c r="A6400">
        <f ca="1">31474.7969162734*((RANDBETWEEN(1587,2416)))</f>
        <v>70849767.858531371</v>
      </c>
      <c r="B6400">
        <v>246906698.67051527</v>
      </c>
    </row>
    <row r="6401" spans="1:2" x14ac:dyDescent="0.25">
      <c r="A6401">
        <f ca="1">33202.310847835*((RANDBETWEEN(1587,2416)))</f>
        <v>74970817.894411325</v>
      </c>
      <c r="B6401">
        <v>253628330.45291981</v>
      </c>
    </row>
    <row r="6402" spans="1:2" x14ac:dyDescent="0.25">
      <c r="A6402">
        <f ca="1">31846.5890992838*((RANDBETWEEN(1587,2416)))</f>
        <v>71240819.815097779</v>
      </c>
      <c r="B6402">
        <v>213784158.06714919</v>
      </c>
    </row>
    <row r="6403" spans="1:2" x14ac:dyDescent="0.25">
      <c r="A6403">
        <f ca="1">30255.5375075303*((RANDBETWEEN(1587,2416)))</f>
        <v>52100035.587967157</v>
      </c>
      <c r="B6403">
        <v>258849765.32615113</v>
      </c>
    </row>
    <row r="6404" spans="1:2" x14ac:dyDescent="0.25">
      <c r="A6404">
        <f ca="1">25669.6845908713*((RANDBETWEEN(1587,2416)))</f>
        <v>54471070.701828882</v>
      </c>
      <c r="B6404">
        <v>249662310.82069242</v>
      </c>
    </row>
    <row r="6405" spans="1:2" x14ac:dyDescent="0.25">
      <c r="A6405">
        <f ca="1">29720.3108166555*((RANDBETWEEN(1587,2416)))</f>
        <v>67792028.972791299</v>
      </c>
      <c r="B6405">
        <v>234346758.87205702</v>
      </c>
    </row>
    <row r="6406" spans="1:2" x14ac:dyDescent="0.25">
      <c r="A6406">
        <f ca="1">26554.9647862071*((RANDBETWEEN(1587,2416)))</f>
        <v>46975732.706800282</v>
      </c>
      <c r="B6406">
        <v>204990761.41488212</v>
      </c>
    </row>
    <row r="6407" spans="1:2" x14ac:dyDescent="0.25">
      <c r="A6407">
        <f ca="1">27374.3648160782*((RANDBETWEEN(1587,2416)))</f>
        <v>50943692.922721453</v>
      </c>
      <c r="B6407">
        <v>241247213.09711</v>
      </c>
    </row>
    <row r="6408" spans="1:2" x14ac:dyDescent="0.25">
      <c r="A6408">
        <f ca="1">32850.891736033*((RANDBETWEEN(1587,2416)))</f>
        <v>55090945.441327319</v>
      </c>
      <c r="B6408">
        <v>263890342.09197116</v>
      </c>
    </row>
    <row r="6409" spans="1:2" x14ac:dyDescent="0.25">
      <c r="A6409">
        <f ca="1">26383.1660427523*((RANDBETWEEN(1587,2416)))</f>
        <v>57225087.146729678</v>
      </c>
      <c r="B6409">
        <v>212300190.9423534</v>
      </c>
    </row>
    <row r="6410" spans="1:2" x14ac:dyDescent="0.25">
      <c r="A6410">
        <f ca="1">30361.9205710995*((RANDBETWEEN(1587,2416)))</f>
        <v>60602393.45991464</v>
      </c>
      <c r="B6410">
        <v>226325819.39573932</v>
      </c>
    </row>
    <row r="6411" spans="1:2" x14ac:dyDescent="0.25">
      <c r="A6411">
        <f ca="1">29943.635101338*((RANDBETWEEN(1587,2416)))</f>
        <v>50664630.591463879</v>
      </c>
      <c r="B6411">
        <v>227013626.82263601</v>
      </c>
    </row>
    <row r="6412" spans="1:2" x14ac:dyDescent="0.25">
      <c r="A6412">
        <f ca="1">27867.4850778529*((RANDBETWEEN(1587,2416)))</f>
        <v>51944992.185117856</v>
      </c>
      <c r="B6412">
        <v>238347173.09990749</v>
      </c>
    </row>
    <row r="6413" spans="1:2" x14ac:dyDescent="0.25">
      <c r="A6413">
        <f ca="1">28177.516574858*((RANDBETWEEN(1587,2416)))</f>
        <v>51283080.166241564</v>
      </c>
      <c r="B6413">
        <v>211179108.65960765</v>
      </c>
    </row>
    <row r="6414" spans="1:2" x14ac:dyDescent="0.25">
      <c r="A6414">
        <f ca="1">30104.1963191184*((RANDBETWEEN(1587,2416)))</f>
        <v>55271304.441901304</v>
      </c>
      <c r="B6414">
        <v>245771508.49625322</v>
      </c>
    </row>
    <row r="6415" spans="1:2" x14ac:dyDescent="0.25">
      <c r="A6415">
        <f ca="1">30116.443108173*((RANDBETWEEN(1587,2416)))</f>
        <v>52613426.109978259</v>
      </c>
      <c r="B6415">
        <v>228692449.30795133</v>
      </c>
    </row>
    <row r="6416" spans="1:2" x14ac:dyDescent="0.25">
      <c r="A6416">
        <f ca="1">30126.923313647*((RANDBETWEEN(1587,2416)))</f>
        <v>60976892.786821432</v>
      </c>
      <c r="B6416">
        <v>255290470.87739807</v>
      </c>
    </row>
    <row r="6417" spans="1:2" x14ac:dyDescent="0.25">
      <c r="A6417">
        <f ca="1">33515.7028320202*((RANDBETWEEN(1587,2416)))</f>
        <v>70584070.164234579</v>
      </c>
      <c r="B6417">
        <v>226530475.52550435</v>
      </c>
    </row>
    <row r="6418" spans="1:2" x14ac:dyDescent="0.25">
      <c r="A6418">
        <f ca="1">28971.1754544175*((RANDBETWEEN(1587,2416)))</f>
        <v>65619712.404255688</v>
      </c>
      <c r="B6418">
        <v>206228381.79514408</v>
      </c>
    </row>
    <row r="6419" spans="1:2" x14ac:dyDescent="0.25">
      <c r="A6419">
        <f ca="1">32415.1463509349*((RANDBETWEEN(1587,2416)))</f>
        <v>68720110.263981998</v>
      </c>
      <c r="B6419">
        <v>262491830.2228263</v>
      </c>
    </row>
    <row r="6420" spans="1:2" x14ac:dyDescent="0.25">
      <c r="A6420">
        <f ca="1">30841.975826219*((RANDBETWEEN(1587,2416)))</f>
        <v>70905702.424477518</v>
      </c>
      <c r="B6420">
        <v>260024144.31325346</v>
      </c>
    </row>
    <row r="6421" spans="1:2" x14ac:dyDescent="0.25">
      <c r="A6421">
        <f ca="1">31662.8289534308*((RANDBETWEEN(1587,2416)))</f>
        <v>65130439.157207057</v>
      </c>
      <c r="B6421">
        <v>251160755.19889772</v>
      </c>
    </row>
    <row r="6422" spans="1:2" x14ac:dyDescent="0.25">
      <c r="A6422">
        <f ca="1">32279.101947312*((RANDBETWEEN(1587,2416)))</f>
        <v>59135314.767475508</v>
      </c>
      <c r="B6422">
        <v>234293062.9268252</v>
      </c>
    </row>
    <row r="6423" spans="1:2" x14ac:dyDescent="0.25">
      <c r="A6423">
        <f ca="1">30217.4579954015*((RANDBETWEEN(1587,2416)))</f>
        <v>64574707.736173049</v>
      </c>
      <c r="B6423">
        <v>206119437.0265922</v>
      </c>
    </row>
    <row r="6424" spans="1:2" x14ac:dyDescent="0.25">
      <c r="A6424">
        <f ca="1">30138.5154271196*((RANDBETWEEN(1587,2416)))</f>
        <v>67781521.195592016</v>
      </c>
      <c r="B6424">
        <v>206059550.19620502</v>
      </c>
    </row>
    <row r="6425" spans="1:2" x14ac:dyDescent="0.25">
      <c r="A6425">
        <f ca="1">32163.3047219513*((RANDBETWEEN(1587,2416)))</f>
        <v>62461137.770029344</v>
      </c>
      <c r="B6425">
        <v>249251403.33432248</v>
      </c>
    </row>
    <row r="6426" spans="1:2" x14ac:dyDescent="0.25">
      <c r="A6426">
        <f ca="1">28890.408390721*((RANDBETWEEN(1587,2416)))</f>
        <v>64136706.627400681</v>
      </c>
      <c r="B6426">
        <v>266961399.63817319</v>
      </c>
    </row>
    <row r="6427" spans="1:2" x14ac:dyDescent="0.25">
      <c r="A6427">
        <f ca="1">33902.5952160709*((RANDBETWEEN(1587,2416)))</f>
        <v>68178118.979518518</v>
      </c>
      <c r="B6427">
        <v>242273335.34424114</v>
      </c>
    </row>
    <row r="6428" spans="1:2" x14ac:dyDescent="0.25">
      <c r="A6428">
        <f ca="1">30797.5363335872*((RANDBETWEEN(1587,2416)))</f>
        <v>49430045.81540744</v>
      </c>
      <c r="B6428">
        <v>241522610.21913785</v>
      </c>
    </row>
    <row r="6429" spans="1:2" x14ac:dyDescent="0.25">
      <c r="A6429">
        <f ca="1">30170.2432976752*((RANDBETWEEN(1587,2416)))</f>
        <v>70296666.883583203</v>
      </c>
      <c r="B6429">
        <v>241977172.73987091</v>
      </c>
    </row>
    <row r="6430" spans="1:2" x14ac:dyDescent="0.25">
      <c r="A6430">
        <f ca="1">29159.0197764022*((RANDBETWEEN(1587,2416)))</f>
        <v>53448483.250145242</v>
      </c>
      <c r="B6430">
        <v>263876848.75051692</v>
      </c>
    </row>
    <row r="6431" spans="1:2" x14ac:dyDescent="0.25">
      <c r="A6431">
        <f ca="1">28911.118077805*((RANDBETWEEN(1587,2416)))</f>
        <v>46749277.931810722</v>
      </c>
      <c r="B6431">
        <v>256873599.55754545</v>
      </c>
    </row>
    <row r="6432" spans="1:2" x14ac:dyDescent="0.25">
      <c r="A6432">
        <f ca="1">28934.4021032002*((RANDBETWEEN(1587,2416)))</f>
        <v>69760843.470815599</v>
      </c>
      <c r="B6432">
        <v>235750587.19819072</v>
      </c>
    </row>
    <row r="6433" spans="1:2" x14ac:dyDescent="0.25">
      <c r="A6433">
        <f ca="1">27368.4142238755*((RANDBETWEEN(1587,2416)))</f>
        <v>48195777.448244683</v>
      </c>
      <c r="B6433">
        <v>228377573.6629931</v>
      </c>
    </row>
    <row r="6434" spans="1:2" x14ac:dyDescent="0.25">
      <c r="A6434">
        <f ca="1">33350.1510701676*((RANDBETWEEN(1587,2416)))</f>
        <v>80340513.928033844</v>
      </c>
      <c r="B6434">
        <v>261485207.75155187</v>
      </c>
    </row>
    <row r="6435" spans="1:2" x14ac:dyDescent="0.25">
      <c r="A6435">
        <f ca="1">26865.7247689576*((RANDBETWEEN(1587,2416)))</f>
        <v>64746396.693187699</v>
      </c>
      <c r="B6435">
        <v>221359345.88319352</v>
      </c>
    </row>
    <row r="6436" spans="1:2" x14ac:dyDescent="0.25">
      <c r="A6436">
        <f ca="1">26791.5668193401*((RANDBETWEEN(1587,2416)))</f>
        <v>49055358.846211694</v>
      </c>
      <c r="B6436">
        <v>212544854.01473895</v>
      </c>
    </row>
    <row r="6437" spans="1:2" x14ac:dyDescent="0.25">
      <c r="A6437">
        <f ca="1">28743.5812571285*((RANDBETWEEN(1587,2416)))</f>
        <v>49812626.318603732</v>
      </c>
      <c r="B6437">
        <v>230556193.26042727</v>
      </c>
    </row>
    <row r="6438" spans="1:2" x14ac:dyDescent="0.25">
      <c r="A6438">
        <f ca="1">32205.9243548831*((RANDBETWEEN(1587,2416)))</f>
        <v>72431123.874132127</v>
      </c>
      <c r="B6438">
        <v>207209907.50388131</v>
      </c>
    </row>
    <row r="6439" spans="1:2" x14ac:dyDescent="0.25">
      <c r="A6439">
        <f ca="1">32996.3667201131*((RANDBETWEEN(1587,2416)))</f>
        <v>61604216.666451193</v>
      </c>
      <c r="B6439">
        <v>246289016.50404441</v>
      </c>
    </row>
    <row r="6440" spans="1:2" x14ac:dyDescent="0.25">
      <c r="A6440">
        <f ca="1">27180.4029054376*((RANDBETWEEN(1587,2416)))</f>
        <v>54686970.645740405</v>
      </c>
      <c r="B6440">
        <v>227053927.42774203</v>
      </c>
    </row>
    <row r="6441" spans="1:2" x14ac:dyDescent="0.25">
      <c r="A6441">
        <f ca="1">26863.7973499775*((RANDBETWEEN(1587,2416)))</f>
        <v>52303813.440406255</v>
      </c>
      <c r="B6441">
        <v>257158280.04911613</v>
      </c>
    </row>
    <row r="6442" spans="1:2" x14ac:dyDescent="0.25">
      <c r="A6442">
        <f ca="1">31440.0139580166*((RANDBETWEEN(1587,2416)))</f>
        <v>67313069.884113565</v>
      </c>
      <c r="B6442">
        <v>226604991.63239849</v>
      </c>
    </row>
    <row r="6443" spans="1:2" x14ac:dyDescent="0.25">
      <c r="A6443">
        <f ca="1">29705.7619871142*((RANDBETWEEN(1587,2416)))</f>
        <v>70967065.387215823</v>
      </c>
      <c r="B6443">
        <v>239267123.65631682</v>
      </c>
    </row>
    <row r="6444" spans="1:2" x14ac:dyDescent="0.25">
      <c r="A6444">
        <f ca="1">32257.6972858478*((RANDBETWEEN(1587,2416)))</f>
        <v>59902543.85981939</v>
      </c>
      <c r="B6444">
        <v>240227563.94762111</v>
      </c>
    </row>
    <row r="6445" spans="1:2" x14ac:dyDescent="0.25">
      <c r="A6445">
        <f ca="1">32429.9516500667*((RANDBETWEEN(1587,2416)))</f>
        <v>66935420.205737807</v>
      </c>
      <c r="B6445">
        <v>244225085.59145814</v>
      </c>
    </row>
    <row r="6446" spans="1:2" x14ac:dyDescent="0.25">
      <c r="A6446">
        <f ca="1">30935.1502898864*((RANDBETWEEN(1587,2416)))</f>
        <v>67500497.932532027</v>
      </c>
      <c r="B6446">
        <v>205926005.75005862</v>
      </c>
    </row>
    <row r="6447" spans="1:2" x14ac:dyDescent="0.25">
      <c r="A6447">
        <f ca="1">27825.5250607639*((RANDBETWEEN(1587,2416)))</f>
        <v>67198643.021744817</v>
      </c>
      <c r="B6447">
        <v>204621029.14837161</v>
      </c>
    </row>
    <row r="6448" spans="1:2" x14ac:dyDescent="0.25">
      <c r="A6448">
        <f ca="1">35095.314675807*((RANDBETWEEN(1587,2416)))</f>
        <v>66189763.478571959</v>
      </c>
      <c r="B6448">
        <v>215786334.1596989</v>
      </c>
    </row>
    <row r="6449" spans="1:2" x14ac:dyDescent="0.25">
      <c r="A6449">
        <f ca="1">31451.2900825104*((RANDBETWEEN(1587,2416)))</f>
        <v>73438762.342661753</v>
      </c>
      <c r="B6449">
        <v>230541559.59589046</v>
      </c>
    </row>
    <row r="6450" spans="1:2" x14ac:dyDescent="0.25">
      <c r="A6450">
        <f ca="1">29847.6158441616*((RANDBETWEEN(1587,2416)))</f>
        <v>47756185.350658536</v>
      </c>
      <c r="B6450">
        <v>235463932.55090228</v>
      </c>
    </row>
    <row r="6451" spans="1:2" x14ac:dyDescent="0.25">
      <c r="A6451">
        <f ca="1">29947.8050130368*((RANDBETWEEN(1587,2416)))</f>
        <v>71006245.685910225</v>
      </c>
      <c r="B6451">
        <v>226204614.12826663</v>
      </c>
    </row>
    <row r="6452" spans="1:2" x14ac:dyDescent="0.25">
      <c r="A6452">
        <f ca="1">30952.3668273166*((RANDBETWEEN(1587,2416)))</f>
        <v>53052356.742020667</v>
      </c>
      <c r="B6452">
        <v>237001767.55209228</v>
      </c>
    </row>
    <row r="6453" spans="1:2" x14ac:dyDescent="0.25">
      <c r="A6453">
        <f ca="1">32551.0780585282*((RANDBETWEEN(1587,2416)))</f>
        <v>78057485.184350669</v>
      </c>
      <c r="B6453">
        <v>258861224.1620883</v>
      </c>
    </row>
    <row r="6454" spans="1:2" x14ac:dyDescent="0.25">
      <c r="A6454">
        <f ca="1">31867.8764070629*((RANDBETWEEN(1587,2416)))</f>
        <v>52072110.049140841</v>
      </c>
      <c r="B6454">
        <v>219960422.61937994</v>
      </c>
    </row>
    <row r="6455" spans="1:2" x14ac:dyDescent="0.25">
      <c r="A6455">
        <f ca="1">31198.8780289578*((RANDBETWEEN(1587,2416)))</f>
        <v>70353469.955299929</v>
      </c>
      <c r="B6455">
        <v>242909603.46570051</v>
      </c>
    </row>
    <row r="6456" spans="1:2" x14ac:dyDescent="0.25">
      <c r="A6456">
        <f ca="1">32839.9380227735*((RANDBETWEEN(1587,2416)))</f>
        <v>64497638.276727185</v>
      </c>
      <c r="B6456">
        <v>230503663.11013263</v>
      </c>
    </row>
    <row r="6457" spans="1:2" x14ac:dyDescent="0.25">
      <c r="A6457">
        <f ca="1">30629.5763243821*((RANDBETWEEN(1587,2416)))</f>
        <v>64995960.960338868</v>
      </c>
      <c r="B6457">
        <v>247143449.86821133</v>
      </c>
    </row>
    <row r="6458" spans="1:2" x14ac:dyDescent="0.25">
      <c r="A6458">
        <f ca="1">29797.2239244338*((RANDBETWEEN(1587,2416)))</f>
        <v>50774469.567235164</v>
      </c>
      <c r="B6458">
        <v>235982772.54963893</v>
      </c>
    </row>
    <row r="6459" spans="1:2" x14ac:dyDescent="0.25">
      <c r="A6459">
        <f ca="1">26920.2682779077*((RANDBETWEEN(1587,2416)))</f>
        <v>49398692.289960645</v>
      </c>
      <c r="B6459">
        <v>229123117.76242605</v>
      </c>
    </row>
    <row r="6460" spans="1:2" x14ac:dyDescent="0.25">
      <c r="A6460">
        <f ca="1">32246.469597556*((RANDBETWEEN(1587,2416)))</f>
        <v>60978074.008978434</v>
      </c>
      <c r="B6460">
        <v>240020627.68384251</v>
      </c>
    </row>
    <row r="6461" spans="1:2" x14ac:dyDescent="0.25">
      <c r="A6461">
        <f ca="1">30654.2001452416*((RANDBETWEEN(1587,2416)))</f>
        <v>51069897.441972569</v>
      </c>
      <c r="B6461">
        <v>243186260.2509976</v>
      </c>
    </row>
    <row r="6462" spans="1:2" x14ac:dyDescent="0.25">
      <c r="A6462">
        <f ca="1">27929.1482657994*((RANDBETWEEN(1587,2416)))</f>
        <v>61388267.888227165</v>
      </c>
      <c r="B6462">
        <v>258450136.91727668</v>
      </c>
    </row>
    <row r="6463" spans="1:2" x14ac:dyDescent="0.25">
      <c r="A6463">
        <f ca="1">31649.0295615643*((RANDBETWEEN(1587,2416)))</f>
        <v>51872759.451403871</v>
      </c>
      <c r="B6463">
        <v>214030223.28609139</v>
      </c>
    </row>
    <row r="6464" spans="1:2" x14ac:dyDescent="0.25">
      <c r="A6464">
        <f ca="1">31375.8203266016*((RANDBETWEEN(1587,2416)))</f>
        <v>56570604.048862681</v>
      </c>
      <c r="B6464">
        <v>214672884.6525282</v>
      </c>
    </row>
    <row r="6465" spans="1:2" x14ac:dyDescent="0.25">
      <c r="A6465">
        <f ca="1">32632.7015898126*((RANDBETWEEN(1587,2416)))</f>
        <v>64645381.8494187</v>
      </c>
      <c r="B6465">
        <v>222343542.63680866</v>
      </c>
    </row>
    <row r="6466" spans="1:2" x14ac:dyDescent="0.25">
      <c r="A6466">
        <f ca="1">31035.8537336186*((RANDBETWEEN(1587,2416)))</f>
        <v>67006408.210882485</v>
      </c>
      <c r="B6466">
        <v>253552514.94585109</v>
      </c>
    </row>
    <row r="6467" spans="1:2" x14ac:dyDescent="0.25">
      <c r="A6467">
        <f ca="1">32222.7257119866*((RANDBETWEEN(1587,2416)))</f>
        <v>67989951.252291754</v>
      </c>
      <c r="B6467">
        <v>252156840.43920511</v>
      </c>
    </row>
    <row r="6468" spans="1:2" x14ac:dyDescent="0.25">
      <c r="A6468">
        <f ca="1">32463.9915813288*((RANDBETWEEN(1587,2416)))</f>
        <v>77783723.8288638</v>
      </c>
      <c r="B6468">
        <v>243918184.52754462</v>
      </c>
    </row>
    <row r="6469" spans="1:2" x14ac:dyDescent="0.25">
      <c r="A6469">
        <f ca="1">30661.4425037292*((RANDBETWEEN(1587,2416)))</f>
        <v>57398220.366980977</v>
      </c>
      <c r="B6469">
        <v>204460956.59128588</v>
      </c>
    </row>
    <row r="6470" spans="1:2" x14ac:dyDescent="0.25">
      <c r="A6470">
        <f ca="1">27083.0336246332*((RANDBETWEEN(1587,2416)))</f>
        <v>60909742.621799998</v>
      </c>
      <c r="B6470">
        <v>233814971.28628296</v>
      </c>
    </row>
    <row r="6471" spans="1:2" x14ac:dyDescent="0.25">
      <c r="A6471">
        <f ca="1">28303.482659348*((RANDBETWEEN(1587,2416)))</f>
        <v>48229134.451528981</v>
      </c>
      <c r="B6471">
        <v>247613481.07721782</v>
      </c>
    </row>
    <row r="6472" spans="1:2" x14ac:dyDescent="0.25">
      <c r="A6472">
        <f ca="1">33913.3375777951*((RANDBETWEEN(1587,2416)))</f>
        <v>69691908.722368881</v>
      </c>
      <c r="B6472">
        <v>240936356.57937884</v>
      </c>
    </row>
    <row r="6473" spans="1:2" x14ac:dyDescent="0.25">
      <c r="A6473">
        <f ca="1">27181.4644051953*((RANDBETWEEN(1587,2416)))</f>
        <v>56836442.071263418</v>
      </c>
      <c r="B6473">
        <v>232007317.03306013</v>
      </c>
    </row>
    <row r="6474" spans="1:2" x14ac:dyDescent="0.25">
      <c r="A6474">
        <f ca="1">27696.0887544473*((RANDBETWEEN(1587,2416)))</f>
        <v>46418644.752453633</v>
      </c>
      <c r="B6474">
        <v>248415424.97363093</v>
      </c>
    </row>
    <row r="6475" spans="1:2" x14ac:dyDescent="0.25">
      <c r="A6475">
        <f ca="1">27434.2309992201*((RANDBETWEEN(1587,2416)))</f>
        <v>60931427.049267843</v>
      </c>
      <c r="B6475">
        <v>247446919.12137014</v>
      </c>
    </row>
    <row r="6476" spans="1:2" x14ac:dyDescent="0.25">
      <c r="A6476">
        <f ca="1">28797.005180592*((RANDBETWEEN(1587,2416)))</f>
        <v>63209426.371399499</v>
      </c>
      <c r="B6476">
        <v>238475786.07248467</v>
      </c>
    </row>
    <row r="6477" spans="1:2" x14ac:dyDescent="0.25">
      <c r="A6477">
        <f ca="1">30394.1775893609*((RANDBETWEEN(1587,2416)))</f>
        <v>54435972.062545322</v>
      </c>
      <c r="B6477">
        <v>230416633.61800104</v>
      </c>
    </row>
    <row r="6478" spans="1:2" x14ac:dyDescent="0.25">
      <c r="A6478">
        <f ca="1">27341.710067866*((RANDBETWEEN(1587,2416)))</f>
        <v>64143651.819213755</v>
      </c>
      <c r="B6478">
        <v>206157510.68673706</v>
      </c>
    </row>
    <row r="6479" spans="1:2" x14ac:dyDescent="0.25">
      <c r="A6479">
        <f ca="1">27447.4177343392*((RANDBETWEEN(1587,2416)))</f>
        <v>52369673.037119277</v>
      </c>
      <c r="B6479">
        <v>216881758.15647811</v>
      </c>
    </row>
    <row r="6480" spans="1:2" x14ac:dyDescent="0.25">
      <c r="A6480">
        <f ca="1">28786.9398335101*((RANDBETWEEN(1587,2416)))</f>
        <v>57458731.907686241</v>
      </c>
      <c r="B6480">
        <v>238771099.67708379</v>
      </c>
    </row>
    <row r="6481" spans="1:2" x14ac:dyDescent="0.25">
      <c r="A6481">
        <f ca="1">31838.2587591926*((RANDBETWEEN(1587,2416)))</f>
        <v>60906589.006335355</v>
      </c>
      <c r="B6481">
        <v>266936715.8345229</v>
      </c>
    </row>
    <row r="6482" spans="1:2" x14ac:dyDescent="0.25">
      <c r="A6482">
        <f ca="1">33330.3434845853*((RANDBETWEEN(1587,2416)))</f>
        <v>67460615.212800592</v>
      </c>
      <c r="B6482">
        <v>261565277.39415345</v>
      </c>
    </row>
    <row r="6483" spans="1:2" x14ac:dyDescent="0.25">
      <c r="A6483">
        <f ca="1">28667.0333138389*((RANDBETWEEN(1587,2416)))</f>
        <v>56015383.095241159</v>
      </c>
      <c r="B6483">
        <v>227927909.127251</v>
      </c>
    </row>
    <row r="6484" spans="1:2" x14ac:dyDescent="0.25">
      <c r="A6484">
        <f ca="1">27980.5187222214*((RANDBETWEEN(1587,2416)))</f>
        <v>63935485.280275881</v>
      </c>
      <c r="B6484">
        <v>213306724.18186569</v>
      </c>
    </row>
    <row r="6485" spans="1:2" x14ac:dyDescent="0.25">
      <c r="A6485">
        <f ca="1">26924.0164279422*((RANDBETWEEN(1587,2416)))</f>
        <v>45420815.713938415</v>
      </c>
      <c r="B6485">
        <v>248934943.54882669</v>
      </c>
    </row>
    <row r="6486" spans="1:2" x14ac:dyDescent="0.25">
      <c r="A6486">
        <f ca="1">30801.5630457022*((RANDBETWEEN(1587,2416)))</f>
        <v>49005286.805712231</v>
      </c>
      <c r="B6486">
        <v>232799292.21539289</v>
      </c>
    </row>
    <row r="6487" spans="1:2" x14ac:dyDescent="0.25">
      <c r="A6487">
        <f ca="1">30260.6419644113*((RANDBETWEEN(1587,2416)))</f>
        <v>71142769.25833112</v>
      </c>
      <c r="B6487">
        <v>263040142.28263009</v>
      </c>
    </row>
    <row r="6488" spans="1:2" x14ac:dyDescent="0.25">
      <c r="A6488">
        <f ca="1">31701.4127445947*((RANDBETWEEN(1587,2416)))</f>
        <v>66794876.652861066</v>
      </c>
      <c r="B6488">
        <v>265163381.03513971</v>
      </c>
    </row>
    <row r="6489" spans="1:2" x14ac:dyDescent="0.25">
      <c r="A6489">
        <f ca="1">26347.9807086883*((RANDBETWEEN(1587,2416)))</f>
        <v>50271947.192177273</v>
      </c>
      <c r="B6489">
        <v>264834510.6414122</v>
      </c>
    </row>
    <row r="6490" spans="1:2" x14ac:dyDescent="0.25">
      <c r="A6490">
        <f ca="1">31317.8510336917*((RANDBETWEEN(1587,2416)))</f>
        <v>53898021.628983393</v>
      </c>
      <c r="B6490">
        <v>228075834.44856691</v>
      </c>
    </row>
    <row r="6491" spans="1:2" x14ac:dyDescent="0.25">
      <c r="A6491">
        <f ca="1">28584.4499928863*((RANDBETWEEN(1587,2416)))</f>
        <v>64400765.833972812</v>
      </c>
      <c r="B6491">
        <v>228886413.855555</v>
      </c>
    </row>
    <row r="6492" spans="1:2" x14ac:dyDescent="0.25">
      <c r="A6492">
        <f ca="1">27060.8845847485*((RANDBETWEEN(1587,2416)))</f>
        <v>45651712.294470645</v>
      </c>
      <c r="B6492">
        <v>219467603.11252192</v>
      </c>
    </row>
    <row r="6493" spans="1:2" x14ac:dyDescent="0.25">
      <c r="A6493">
        <f ca="1">28120.6648895662*((RANDBETWEEN(1587,2416)))</f>
        <v>59418964.911653347</v>
      </c>
      <c r="B6493">
        <v>266392637.33179718</v>
      </c>
    </row>
    <row r="6494" spans="1:2" x14ac:dyDescent="0.25">
      <c r="A6494">
        <f ca="1">29281.5068122627*((RANDBETWEEN(1587,2416)))</f>
        <v>54756417.738931336</v>
      </c>
      <c r="B6494">
        <v>221075042.96616483</v>
      </c>
    </row>
    <row r="6495" spans="1:2" x14ac:dyDescent="0.25">
      <c r="A6495">
        <f ca="1">27158.7545194654*((RANDBETWEEN(1587,2416)))</f>
        <v>60482546.314849354</v>
      </c>
      <c r="B6495">
        <v>217606079.09025601</v>
      </c>
    </row>
    <row r="6496" spans="1:2" x14ac:dyDescent="0.25">
      <c r="A6496">
        <f ca="1">27778.3403411802*((RANDBETWEEN(1587,2416)))</f>
        <v>59417869.989784375</v>
      </c>
      <c r="B6496">
        <v>267563116.26452431</v>
      </c>
    </row>
    <row r="6497" spans="1:2" x14ac:dyDescent="0.25">
      <c r="A6497">
        <f ca="1">31977.9282303784*((RANDBETWEEN(1587,2416)))</f>
        <v>69456060.116381988</v>
      </c>
      <c r="B6497">
        <v>236447265.5178383</v>
      </c>
    </row>
    <row r="6498" spans="1:2" x14ac:dyDescent="0.25">
      <c r="A6498">
        <f ca="1">26296.3044454687*((RANDBETWEEN(1587,2416)))</f>
        <v>47885570.395198539</v>
      </c>
      <c r="B6498">
        <v>228970566.5393225</v>
      </c>
    </row>
    <row r="6499" spans="1:2" x14ac:dyDescent="0.25">
      <c r="A6499">
        <f ca="1">32448.9641100177*((RANDBETWEEN(1587,2416)))</f>
        <v>58927318.823792152</v>
      </c>
      <c r="B6499">
        <v>258147098.52992436</v>
      </c>
    </row>
    <row r="6500" spans="1:2" x14ac:dyDescent="0.25">
      <c r="A6500">
        <f ca="1">31668.8860371028*((RANDBETWEEN(1587,2416)))</f>
        <v>72933444.543447733</v>
      </c>
      <c r="B6500">
        <v>235607924.05743599</v>
      </c>
    </row>
    <row r="6501" spans="1:2" x14ac:dyDescent="0.25">
      <c r="A6501">
        <f ca="1">32032.3794395562*((RANDBETWEEN(1587,2416)))</f>
        <v>65986701.645485818</v>
      </c>
      <c r="B6501">
        <v>218718633.82352543</v>
      </c>
    </row>
    <row r="6502" spans="1:2" x14ac:dyDescent="0.25">
      <c r="A6502">
        <f ca="1">27864.8492294484*((RANDBETWEEN(1587,2416)))</f>
        <v>53667699.615917616</v>
      </c>
      <c r="B6502">
        <v>217767103.67634171</v>
      </c>
    </row>
    <row r="6503" spans="1:2" x14ac:dyDescent="0.25">
      <c r="A6503">
        <f ca="1">30095.4730023131*((RANDBETWEEN(1587,2416)))</f>
        <v>71898085.00252603</v>
      </c>
      <c r="B6503">
        <v>229861017.62628844</v>
      </c>
    </row>
    <row r="6504" spans="1:2" x14ac:dyDescent="0.25">
      <c r="A6504">
        <f ca="1">27394.6163931623*((RANDBETWEEN(1587,2416)))</f>
        <v>60076393.750204936</v>
      </c>
      <c r="B6504">
        <v>219879391.13937926</v>
      </c>
    </row>
    <row r="6505" spans="1:2" x14ac:dyDescent="0.25">
      <c r="A6505">
        <f ca="1">29213.7937214107*((RANDBETWEEN(1587,2416)))</f>
        <v>65088332.41130314</v>
      </c>
      <c r="B6505">
        <v>222960826.3982136</v>
      </c>
    </row>
    <row r="6506" spans="1:2" x14ac:dyDescent="0.25">
      <c r="A6506">
        <f ca="1">25479.1455975573*((RANDBETWEEN(1587,2416)))</f>
        <v>49200230.148883194</v>
      </c>
      <c r="B6506">
        <v>249866572.57674402</v>
      </c>
    </row>
    <row r="6507" spans="1:2" x14ac:dyDescent="0.25">
      <c r="A6507">
        <f ca="1">31959.5957755884*((RANDBETWEEN(1587,2416)))</f>
        <v>55865373.41572848</v>
      </c>
      <c r="B6507">
        <v>241563940.74652588</v>
      </c>
    </row>
    <row r="6508" spans="1:2" x14ac:dyDescent="0.25">
      <c r="A6508">
        <f ca="1">30571.6126845577*((RANDBETWEEN(1587,2416)))</f>
        <v>71690431.745287791</v>
      </c>
      <c r="B6508">
        <v>224792899.11350447</v>
      </c>
    </row>
    <row r="6509" spans="1:2" x14ac:dyDescent="0.25">
      <c r="A6509">
        <f ca="1">30228.920277219*((RANDBETWEEN(1587,2416)))</f>
        <v>58432502.895864248</v>
      </c>
      <c r="B6509">
        <v>236348710.2585004</v>
      </c>
    </row>
    <row r="6510" spans="1:2" x14ac:dyDescent="0.25">
      <c r="A6510">
        <f ca="1">32337.4491331801*((RANDBETWEEN(1587,2416)))</f>
        <v>59921293.243782677</v>
      </c>
      <c r="B6510">
        <v>221475812.04053813</v>
      </c>
    </row>
    <row r="6511" spans="1:2" x14ac:dyDescent="0.25">
      <c r="A6511">
        <f ca="1">27396.698841989*((RANDBETWEEN(1587,2416)))</f>
        <v>59861786.969746023</v>
      </c>
      <c r="B6511">
        <v>213108801.82493806</v>
      </c>
    </row>
    <row r="6512" spans="1:2" x14ac:dyDescent="0.25">
      <c r="A6512">
        <f ca="1">32847.5983625098*((RANDBETWEEN(1587,2416)))</f>
        <v>61983418.11005605</v>
      </c>
      <c r="B6512">
        <v>254621605.32720184</v>
      </c>
    </row>
    <row r="6513" spans="1:2" x14ac:dyDescent="0.25">
      <c r="A6513">
        <f ca="1">27839.7166900238*((RANDBETWEEN(1587,2416)))</f>
        <v>64365424.987334915</v>
      </c>
      <c r="B6513">
        <v>214149479.29518369</v>
      </c>
    </row>
    <row r="6514" spans="1:2" x14ac:dyDescent="0.25">
      <c r="A6514">
        <f ca="1">29852.2597018874*((RANDBETWEEN(1587,2416)))</f>
        <v>49614455.624536939</v>
      </c>
      <c r="B6514">
        <v>205086105.36863837</v>
      </c>
    </row>
    <row r="6515" spans="1:2" x14ac:dyDescent="0.25">
      <c r="A6515">
        <f ca="1">29013.0476628902*((RANDBETWEEN(1587,2416)))</f>
        <v>56488403.799647138</v>
      </c>
      <c r="B6515">
        <v>203697921.33590034</v>
      </c>
    </row>
    <row r="6516" spans="1:2" x14ac:dyDescent="0.25">
      <c r="A6516">
        <f ca="1">28610.3126936658*((RANDBETWEEN(1587,2416)))</f>
        <v>54474035.36873962</v>
      </c>
      <c r="B6516">
        <v>206570518.85964054</v>
      </c>
    </row>
    <row r="6517" spans="1:2" x14ac:dyDescent="0.25">
      <c r="A6517">
        <f ca="1">31089.5892562566*((RANDBETWEEN(1587,2416)))</f>
        <v>60655788.638956577</v>
      </c>
      <c r="B6517">
        <v>243774250.70831728</v>
      </c>
    </row>
    <row r="6518" spans="1:2" x14ac:dyDescent="0.25">
      <c r="A6518">
        <f ca="1">28031.7470973332*((RANDBETWEEN(1587,2416)))</f>
        <v>52923938.519765019</v>
      </c>
      <c r="B6518">
        <v>229309607.44570279</v>
      </c>
    </row>
    <row r="6519" spans="1:2" x14ac:dyDescent="0.25">
      <c r="A6519">
        <f ca="1">26481.4138489553*((RANDBETWEEN(1587,2416)))</f>
        <v>54631156.770394772</v>
      </c>
      <c r="B6519">
        <v>217931034.63586113</v>
      </c>
    </row>
    <row r="6520" spans="1:2" x14ac:dyDescent="0.25">
      <c r="A6520">
        <f ca="1">31023.9090392653*((RANDBETWEEN(1587,2416)))</f>
        <v>73092329.696509153</v>
      </c>
      <c r="B6520">
        <v>255016228.04515925</v>
      </c>
    </row>
    <row r="6521" spans="1:2" x14ac:dyDescent="0.25">
      <c r="A6521">
        <f ca="1">32348.4962470285*((RANDBETWEEN(1587,2416)))</f>
        <v>62529643.2455061</v>
      </c>
      <c r="B6521">
        <v>204727109.2709085</v>
      </c>
    </row>
    <row r="6522" spans="1:2" x14ac:dyDescent="0.25">
      <c r="A6522">
        <f ca="1">27074.3691173782*((RANDBETWEEN(1587,2416)))</f>
        <v>44293667.876030743</v>
      </c>
      <c r="B6522">
        <v>229741942.09869236</v>
      </c>
    </row>
    <row r="6523" spans="1:2" x14ac:dyDescent="0.25">
      <c r="A6523">
        <f ca="1">25918.699457086*((RANDBETWEEN(1587,2416)))</f>
        <v>62593659.188862704</v>
      </c>
      <c r="B6523">
        <v>255519455.31067491</v>
      </c>
    </row>
    <row r="6524" spans="1:2" x14ac:dyDescent="0.25">
      <c r="A6524">
        <f ca="1">28721.8112318348*((RANDBETWEEN(1587,2416)))</f>
        <v>67266481.904957205</v>
      </c>
      <c r="B6524">
        <v>248944152.84365672</v>
      </c>
    </row>
    <row r="6525" spans="1:2" x14ac:dyDescent="0.25">
      <c r="A6525">
        <f ca="1">28218.94109324*((RANDBETWEEN(1587,2416)))</f>
        <v>51668881.141722493</v>
      </c>
      <c r="B6525">
        <v>226154644.90854123</v>
      </c>
    </row>
    <row r="6526" spans="1:2" x14ac:dyDescent="0.25">
      <c r="A6526">
        <f ca="1">34141.3505860492*((RANDBETWEEN(1587,2416)))</f>
        <v>66234220.136935376</v>
      </c>
      <c r="B6526">
        <v>243957517.61757621</v>
      </c>
    </row>
    <row r="6527" spans="1:2" x14ac:dyDescent="0.25">
      <c r="A6527">
        <f ca="1">26140.4944888975*((RANDBETWEEN(1587,2416)))</f>
        <v>43157956.401169702</v>
      </c>
      <c r="B6527">
        <v>241491135.22656006</v>
      </c>
    </row>
    <row r="6528" spans="1:2" x14ac:dyDescent="0.25">
      <c r="A6528">
        <f ca="1">27314.2491798355*((RANDBETWEEN(1587,2416)))</f>
        <v>55884953.821943372</v>
      </c>
      <c r="B6528">
        <v>262595424.60032356</v>
      </c>
    </row>
    <row r="6529" spans="1:2" x14ac:dyDescent="0.25">
      <c r="A6529">
        <f ca="1">30058.5718199484*((RANDBETWEEN(1587,2416)))</f>
        <v>69254949.473161146</v>
      </c>
      <c r="B6529">
        <v>203889851.07211751</v>
      </c>
    </row>
    <row r="6530" spans="1:2" x14ac:dyDescent="0.25">
      <c r="A6530">
        <f ca="1">30367.654013417*((RANDBETWEEN(1587,2416)))</f>
        <v>71910604.703771383</v>
      </c>
      <c r="B6530">
        <v>234082206.67570385</v>
      </c>
    </row>
    <row r="6531" spans="1:2" x14ac:dyDescent="0.25">
      <c r="A6531">
        <f ca="1">27533.9755527467*((RANDBETWEEN(1587,2416)))</f>
        <v>44412302.566580489</v>
      </c>
      <c r="B6531">
        <v>216884800.64096507</v>
      </c>
    </row>
    <row r="6532" spans="1:2" x14ac:dyDescent="0.25">
      <c r="A6532">
        <f ca="1">33969.8497987364*((RANDBETWEEN(1587,2416)))</f>
        <v>56797588.863487177</v>
      </c>
      <c r="B6532">
        <v>206626113.39250618</v>
      </c>
    </row>
    <row r="6533" spans="1:2" x14ac:dyDescent="0.25">
      <c r="A6533">
        <f ca="1">28464.6273717671*((RANDBETWEEN(1587,2416)))</f>
        <v>54623619.926421143</v>
      </c>
      <c r="B6533">
        <v>204226875.27037999</v>
      </c>
    </row>
    <row r="6534" spans="1:2" x14ac:dyDescent="0.25">
      <c r="A6534">
        <f ca="1">32631.8756817327*((RANDBETWEEN(1587,2416)))</f>
        <v>72083813.380947575</v>
      </c>
      <c r="B6534">
        <v>260616194.36514857</v>
      </c>
    </row>
    <row r="6535" spans="1:2" x14ac:dyDescent="0.25">
      <c r="A6535">
        <f ca="1">27226.3819583636*((RANDBETWEEN(1587,2416)))</f>
        <v>57012043.820813403</v>
      </c>
      <c r="B6535">
        <v>212458151.96531343</v>
      </c>
    </row>
    <row r="6536" spans="1:2" x14ac:dyDescent="0.25">
      <c r="A6536">
        <f ca="1">33135.4358691009*((RANDBETWEEN(1587,2416)))</f>
        <v>77271836.446743205</v>
      </c>
      <c r="B6536">
        <v>242442863.57055467</v>
      </c>
    </row>
    <row r="6537" spans="1:2" x14ac:dyDescent="0.25">
      <c r="A6537">
        <f ca="1">29741.2105557486*((RANDBETWEEN(1587,2416)))</f>
        <v>55050980.73869057</v>
      </c>
      <c r="B6537">
        <v>223332153.96979195</v>
      </c>
    </row>
    <row r="6538" spans="1:2" x14ac:dyDescent="0.25">
      <c r="A6538">
        <f ca="1">30439.86542136*((RANDBETWEEN(1587,2416)))</f>
        <v>50347537.406929359</v>
      </c>
      <c r="B6538">
        <v>252136043.32579112</v>
      </c>
    </row>
    <row r="6539" spans="1:2" x14ac:dyDescent="0.25">
      <c r="A6539">
        <f ca="1">26061.7091209308*((RANDBETWEEN(1587,2416)))</f>
        <v>49439062.202405818</v>
      </c>
      <c r="B6539">
        <v>212913234.22143313</v>
      </c>
    </row>
    <row r="6540" spans="1:2" x14ac:dyDescent="0.25">
      <c r="A6540">
        <f ca="1">30651.8717796633*((RANDBETWEEN(1587,2416)))</f>
        <v>61794173.507801272</v>
      </c>
      <c r="B6540">
        <v>263309441.54081151</v>
      </c>
    </row>
    <row r="6541" spans="1:2" x14ac:dyDescent="0.25">
      <c r="A6541">
        <f ca="1">28110.5039433805*((RANDBETWEEN(1587,2416)))</f>
        <v>55124698.232969142</v>
      </c>
      <c r="B6541">
        <v>205421219.97842118</v>
      </c>
    </row>
    <row r="6542" spans="1:2" x14ac:dyDescent="0.25">
      <c r="A6542">
        <f ca="1">31108.2206281836*((RANDBETWEEN(1587,2416)))</f>
        <v>68811384.029542178</v>
      </c>
      <c r="B6542">
        <v>241380444.44933426</v>
      </c>
    </row>
    <row r="6543" spans="1:2" x14ac:dyDescent="0.25">
      <c r="A6543">
        <f ca="1">36015.2904647168*((RANDBETWEEN(1587,2416)))</f>
        <v>68068898.978314713</v>
      </c>
      <c r="B6543">
        <v>259573509.77178398</v>
      </c>
    </row>
    <row r="6544" spans="1:2" x14ac:dyDescent="0.25">
      <c r="A6544">
        <f ca="1">30523.2549884765*((RANDBETWEEN(1587,2416)))</f>
        <v>53232556.699902929</v>
      </c>
      <c r="B6544">
        <v>227401535.2653949</v>
      </c>
    </row>
    <row r="6545" spans="1:2" x14ac:dyDescent="0.25">
      <c r="A6545">
        <f ca="1">29432.1881660705*((RANDBETWEEN(1587,2416)))</f>
        <v>50917685.52730193</v>
      </c>
      <c r="B6545">
        <v>238218201.40011585</v>
      </c>
    </row>
    <row r="6546" spans="1:2" x14ac:dyDescent="0.25">
      <c r="A6546">
        <f ca="1">30065.4385740267*((RANDBETWEEN(1587,2416)))</f>
        <v>68218480.124466568</v>
      </c>
      <c r="B6546">
        <v>255598817.4977296</v>
      </c>
    </row>
    <row r="6547" spans="1:2" x14ac:dyDescent="0.25">
      <c r="A6547">
        <f ca="1">27417.9113234116*((RANDBETWEEN(1587,2416)))</f>
        <v>47350732.855531804</v>
      </c>
      <c r="B6547">
        <v>215694952.59981045</v>
      </c>
    </row>
    <row r="6548" spans="1:2" x14ac:dyDescent="0.25">
      <c r="A6548">
        <f ca="1">28838.5279507176*((RANDBETWEEN(1587,2416)))</f>
        <v>67107254.541319959</v>
      </c>
      <c r="B6548">
        <v>248378513.05178565</v>
      </c>
    </row>
    <row r="6549" spans="1:2" x14ac:dyDescent="0.25">
      <c r="A6549">
        <f ca="1">29642.0736262132*((RANDBETWEEN(1587,2416)))</f>
        <v>70725987.672144771</v>
      </c>
      <c r="B6549">
        <v>235195105.42223898</v>
      </c>
    </row>
    <row r="6550" spans="1:2" x14ac:dyDescent="0.25">
      <c r="A6550">
        <f ca="1">29673.5160127162*((RANDBETWEEN(1587,2416)))</f>
        <v>68753536.601463526</v>
      </c>
      <c r="B6550">
        <v>236685979.70278254</v>
      </c>
    </row>
    <row r="6551" spans="1:2" x14ac:dyDescent="0.25">
      <c r="A6551">
        <f ca="1">26340.6898798108*((RANDBETWEEN(1587,2416)))</f>
        <v>63586425.369863324</v>
      </c>
      <c r="B6551">
        <v>234040581.20810264</v>
      </c>
    </row>
    <row r="6552" spans="1:2" x14ac:dyDescent="0.25">
      <c r="A6552">
        <f ca="1">29596.6427660251*((RANDBETWEEN(1587,2416)))</f>
        <v>67154782.436110869</v>
      </c>
      <c r="B6552">
        <v>248686408.55795234</v>
      </c>
    </row>
    <row r="6553" spans="1:2" x14ac:dyDescent="0.25">
      <c r="A6553">
        <f ca="1">30696.9571155314*((RANDBETWEEN(1587,2416)))</f>
        <v>55408007.593534209</v>
      </c>
      <c r="B6553">
        <v>223322102.36383596</v>
      </c>
    </row>
    <row r="6554" spans="1:2" x14ac:dyDescent="0.25">
      <c r="A6554">
        <f ca="1">30543.8144144076*((RANDBETWEEN(1587,2416)))</f>
        <v>61515242.230616845</v>
      </c>
      <c r="B6554">
        <v>204480158.43160766</v>
      </c>
    </row>
    <row r="6555" spans="1:2" x14ac:dyDescent="0.25">
      <c r="A6555">
        <f ca="1">28564.6297043492*((RANDBETWEEN(1587,2416)))</f>
        <v>62242328.125776798</v>
      </c>
      <c r="B6555">
        <v>265449754.4375242</v>
      </c>
    </row>
    <row r="6556" spans="1:2" x14ac:dyDescent="0.25">
      <c r="A6556">
        <f ca="1">27423.5653940533*((RANDBETWEEN(1587,2416)))</f>
        <v>63129047.537110768</v>
      </c>
      <c r="B6556">
        <v>212536151.34908155</v>
      </c>
    </row>
    <row r="6557" spans="1:2" x14ac:dyDescent="0.25">
      <c r="A6557">
        <f ca="1">30955.3446104673*((RANDBETWEEN(1587,2416)))</f>
        <v>64913357.648149848</v>
      </c>
      <c r="B6557">
        <v>250336056.53490984</v>
      </c>
    </row>
    <row r="6558" spans="1:2" x14ac:dyDescent="0.25">
      <c r="A6558">
        <f ca="1">27716.0479800816*((RANDBETWEEN(1587,2416)))</f>
        <v>58148268.662211202</v>
      </c>
      <c r="B6558">
        <v>241865934.18300819</v>
      </c>
    </row>
    <row r="6559" spans="1:2" x14ac:dyDescent="0.25">
      <c r="A6559">
        <f ca="1">30418.0178201105*((RANDBETWEEN(1587,2416)))</f>
        <v>61991920.31738513</v>
      </c>
      <c r="B6559">
        <v>267882113.24045634</v>
      </c>
    </row>
    <row r="6560" spans="1:2" x14ac:dyDescent="0.25">
      <c r="A6560">
        <f ca="1">29915.5335369116*((RANDBETWEEN(1587,2416)))</f>
        <v>53877875.899977759</v>
      </c>
      <c r="B6560">
        <v>208273356.63335884</v>
      </c>
    </row>
    <row r="6561" spans="1:2" x14ac:dyDescent="0.25">
      <c r="A6561">
        <f ca="1">26099.1940771617*((RANDBETWEEN(1587,2416)))</f>
        <v>50893428.450465284</v>
      </c>
      <c r="B6561">
        <v>240242618.33517</v>
      </c>
    </row>
    <row r="6562" spans="1:2" x14ac:dyDescent="0.25">
      <c r="A6562">
        <f ca="1">29303.1027690992*((RANDBETWEEN(1587,2416)))</f>
        <v>56496382.13882333</v>
      </c>
      <c r="B6562">
        <v>238534429.0943625</v>
      </c>
    </row>
    <row r="6563" spans="1:2" x14ac:dyDescent="0.25">
      <c r="A6563">
        <f ca="1">30689.5106413414*((RANDBETWEEN(1587,2416)))</f>
        <v>63097633.878598005</v>
      </c>
      <c r="B6563">
        <v>223704483.31681246</v>
      </c>
    </row>
    <row r="6564" spans="1:2" x14ac:dyDescent="0.25">
      <c r="A6564">
        <f ca="1">28648.6379628673*((RANDBETWEEN(1587,2416)))</f>
        <v>60334031.549798563</v>
      </c>
      <c r="B6564">
        <v>261470570.81887403</v>
      </c>
    </row>
    <row r="6565" spans="1:2" x14ac:dyDescent="0.25">
      <c r="A6565">
        <f ca="1">29277.0702598977*((RANDBETWEEN(1587,2416)))</f>
        <v>66546780.700747415</v>
      </c>
      <c r="B6565">
        <v>226640837.8004328</v>
      </c>
    </row>
    <row r="6566" spans="1:2" x14ac:dyDescent="0.25">
      <c r="A6566">
        <f ca="1">33980.5816148057*((RANDBETWEEN(1587,2416)))</f>
        <v>64766988.55781962</v>
      </c>
      <c r="B6566">
        <v>259338510.09207842</v>
      </c>
    </row>
    <row r="6567" spans="1:2" x14ac:dyDescent="0.25">
      <c r="A6567">
        <f ca="1">26952.3810708597*((RANDBETWEEN(1587,2416)))</f>
        <v>57273809.775576778</v>
      </c>
      <c r="B6567">
        <v>221384853.94752634</v>
      </c>
    </row>
    <row r="6568" spans="1:2" x14ac:dyDescent="0.25">
      <c r="A6568">
        <f ca="1">30970.2684337008*((RANDBETWEEN(1587,2416)))</f>
        <v>74080882.093412355</v>
      </c>
      <c r="B6568">
        <v>242566281.17048094</v>
      </c>
    </row>
    <row r="6569" spans="1:2" x14ac:dyDescent="0.25">
      <c r="A6569">
        <f ca="1">25731.1517487551*((RANDBETWEEN(1587,2416)))</f>
        <v>58898606.352900527</v>
      </c>
      <c r="B6569">
        <v>205222490.67403397</v>
      </c>
    </row>
    <row r="6570" spans="1:2" x14ac:dyDescent="0.25">
      <c r="A6570">
        <f ca="1">28532.4089134444*((RANDBETWEEN(1587,2416)))</f>
        <v>62999558.88088531</v>
      </c>
      <c r="B6570">
        <v>208801003.97644779</v>
      </c>
    </row>
    <row r="6571" spans="1:2" x14ac:dyDescent="0.25">
      <c r="A6571">
        <f ca="1">33724.7051043319*((RANDBETWEEN(1587,2416)))</f>
        <v>73351233.601921946</v>
      </c>
      <c r="B6571">
        <v>226551961.02342916</v>
      </c>
    </row>
    <row r="6572" spans="1:2" x14ac:dyDescent="0.25">
      <c r="A6572">
        <f ca="1">27666.7258836539*((RANDBETWEEN(1587,2416)))</f>
        <v>55305785.041424081</v>
      </c>
      <c r="B6572">
        <v>219685758.81233311</v>
      </c>
    </row>
    <row r="6573" spans="1:2" x14ac:dyDescent="0.25">
      <c r="A6573">
        <f ca="1">30488.0466239622*((RANDBETWEEN(1587,2416)))</f>
        <v>54634579.550140291</v>
      </c>
      <c r="B6573">
        <v>237671016.19584206</v>
      </c>
    </row>
    <row r="6574" spans="1:2" x14ac:dyDescent="0.25">
      <c r="A6574">
        <f ca="1">29133.2828323257*((RANDBETWEEN(1587,2416)))</f>
        <v>55032771.270263217</v>
      </c>
      <c r="B6574">
        <v>222729060.07918033</v>
      </c>
    </row>
    <row r="6575" spans="1:2" x14ac:dyDescent="0.25">
      <c r="A6575">
        <f ca="1">32847.4933830463*((RANDBETWEEN(1587,2416)))</f>
        <v>76009099.688369185</v>
      </c>
      <c r="B6575">
        <v>252393982.02214503</v>
      </c>
    </row>
    <row r="6576" spans="1:2" x14ac:dyDescent="0.25">
      <c r="A6576">
        <f ca="1">25738.1406739843*((RANDBETWEEN(1587,2416)))</f>
        <v>61179560.382060759</v>
      </c>
      <c r="B6576">
        <v>236309775.73151138</v>
      </c>
    </row>
    <row r="6577" spans="1:2" x14ac:dyDescent="0.25">
      <c r="A6577">
        <f ca="1">30262.9631236384*((RANDBETWEEN(1587,2416)))</f>
        <v>68333770.733175606</v>
      </c>
      <c r="B6577">
        <v>252477415.6744855</v>
      </c>
    </row>
    <row r="6578" spans="1:2" x14ac:dyDescent="0.25">
      <c r="A6578">
        <f ca="1">32034.737280715*((RANDBETWEEN(1587,2416)))</f>
        <v>75762153.668890879</v>
      </c>
      <c r="B6578">
        <v>253611004.09449905</v>
      </c>
    </row>
    <row r="6579" spans="1:2" x14ac:dyDescent="0.25">
      <c r="A6579">
        <f ca="1">27827.5512969371*((RANDBETWEEN(1587,2416)))</f>
        <v>46082424.94772777</v>
      </c>
      <c r="B6579">
        <v>221246459.35108066</v>
      </c>
    </row>
    <row r="6580" spans="1:2" x14ac:dyDescent="0.25">
      <c r="A6580">
        <f ca="1">31472.4927531592*((RANDBETWEEN(1587,2416)))</f>
        <v>64896280.057014324</v>
      </c>
      <c r="B6580">
        <v>207313332.41237611</v>
      </c>
    </row>
    <row r="6581" spans="1:2" x14ac:dyDescent="0.25">
      <c r="A6581">
        <f ca="1">31962.2347448219*((RANDBETWEEN(1587,2416)))</f>
        <v>70860274.429270044</v>
      </c>
      <c r="B6581">
        <v>256995175.23811167</v>
      </c>
    </row>
    <row r="6582" spans="1:2" x14ac:dyDescent="0.25">
      <c r="A6582">
        <f ca="1">30355.7183913593*((RANDBETWEEN(1587,2416)))</f>
        <v>50299425.374482326</v>
      </c>
      <c r="B6582">
        <v>218090580.00181901</v>
      </c>
    </row>
    <row r="6583" spans="1:2" x14ac:dyDescent="0.25">
      <c r="A6583">
        <f ca="1">32517.2099193718*((RANDBETWEEN(1587,2416)))</f>
        <v>57457909.927530043</v>
      </c>
      <c r="B6583">
        <v>225137095.77582559</v>
      </c>
    </row>
    <row r="6584" spans="1:2" x14ac:dyDescent="0.25">
      <c r="A6584">
        <f ca="1">29840.3451128501*((RANDBETWEEN(1587,2416)))</f>
        <v>54786873.62719287</v>
      </c>
      <c r="B6584">
        <v>247044064.14499599</v>
      </c>
    </row>
    <row r="6585" spans="1:2" x14ac:dyDescent="0.25">
      <c r="A6585">
        <f ca="1">31414.0383943099*((RANDBETWEEN(1587,2416)))</f>
        <v>62796662.750225425</v>
      </c>
      <c r="B6585">
        <v>215224621.15145746</v>
      </c>
    </row>
    <row r="6586" spans="1:2" x14ac:dyDescent="0.25">
      <c r="A6586">
        <f ca="1">33068.7000403726*((RANDBETWEEN(1587,2416)))</f>
        <v>59093766.972145908</v>
      </c>
      <c r="B6586">
        <v>261775113.07786623</v>
      </c>
    </row>
    <row r="6587" spans="1:2" x14ac:dyDescent="0.25">
      <c r="A6587">
        <f ca="1">29786.0699443894*((RANDBETWEEN(1587,2416)))</f>
        <v>59393423.469112374</v>
      </c>
      <c r="B6587">
        <v>247617146.89228052</v>
      </c>
    </row>
    <row r="6588" spans="1:2" x14ac:dyDescent="0.25">
      <c r="A6588">
        <f ca="1">26927.9224090631*((RANDBETWEEN(1587,2416)))</f>
        <v>47985557.732950479</v>
      </c>
      <c r="B6588">
        <v>209818008.6745905</v>
      </c>
    </row>
    <row r="6589" spans="1:2" x14ac:dyDescent="0.25">
      <c r="A6589">
        <f ca="1">30883.439791932*((RANDBETWEEN(1587,2416)))</f>
        <v>60438891.672810957</v>
      </c>
      <c r="B6589">
        <v>221438016.87587592</v>
      </c>
    </row>
    <row r="6590" spans="1:2" x14ac:dyDescent="0.25">
      <c r="A6590">
        <f ca="1">30214.5615572463*((RANDBETWEEN(1587,2416)))</f>
        <v>61909636.630797707</v>
      </c>
      <c r="B6590">
        <v>260348219.47033173</v>
      </c>
    </row>
    <row r="6591" spans="1:2" x14ac:dyDescent="0.25">
      <c r="A6591">
        <f ca="1">31131.3307655702*((RANDBETWEEN(1587,2416)))</f>
        <v>51211039.109363049</v>
      </c>
      <c r="B6591">
        <v>215057305.35599405</v>
      </c>
    </row>
    <row r="6592" spans="1:2" x14ac:dyDescent="0.25">
      <c r="A6592">
        <f ca="1">27435.4980697243*((RANDBETWEEN(1587,2416)))</f>
        <v>58218126.903954878</v>
      </c>
      <c r="B6592">
        <v>261171642.32935089</v>
      </c>
    </row>
    <row r="6593" spans="1:2" x14ac:dyDescent="0.25">
      <c r="A6593">
        <f ca="1">26263.8643736107*((RANDBETWEEN(1587,2416)))</f>
        <v>50768049.834189534</v>
      </c>
      <c r="B6593">
        <v>249727920.94329014</v>
      </c>
    </row>
    <row r="6594" spans="1:2" x14ac:dyDescent="0.25">
      <c r="A6594">
        <f ca="1">28177.1906086637*((RANDBETWEEN(1587,2416)))</f>
        <v>61623515.861147515</v>
      </c>
      <c r="B6594">
        <v>261279317.13540593</v>
      </c>
    </row>
    <row r="6595" spans="1:2" x14ac:dyDescent="0.25">
      <c r="A6595">
        <f ca="1">31411.2225965521*((RANDBETWEEN(1587,2416)))</f>
        <v>71586176.297542289</v>
      </c>
      <c r="B6595">
        <v>230783705.30392396</v>
      </c>
    </row>
    <row r="6596" spans="1:2" x14ac:dyDescent="0.25">
      <c r="A6596">
        <f ca="1">28039.2269816558*((RANDBETWEEN(1587,2416)))</f>
        <v>44722567.035741009</v>
      </c>
      <c r="B6596">
        <v>239138771.86391214</v>
      </c>
    </row>
    <row r="6597" spans="1:2" x14ac:dyDescent="0.25">
      <c r="A6597">
        <f ca="1">26512.2998769254*((RANDBETWEEN(1587,2416)))</f>
        <v>43639245.597419277</v>
      </c>
      <c r="B6597">
        <v>233099868.88162595</v>
      </c>
    </row>
    <row r="6598" spans="1:2" x14ac:dyDescent="0.25">
      <c r="A6598">
        <f ca="1">28628.7647905982*((RANDBETWEEN(1587,2416)))</f>
        <v>52018465.624516927</v>
      </c>
      <c r="B6598">
        <v>245192317.01778626</v>
      </c>
    </row>
    <row r="6599" spans="1:2" x14ac:dyDescent="0.25">
      <c r="A6599">
        <f ca="1">29374.8879667713*((RANDBETWEEN(1587,2416)))</f>
        <v>58573526.60574203</v>
      </c>
      <c r="B6599">
        <v>256411663.16672713</v>
      </c>
    </row>
    <row r="6600" spans="1:2" x14ac:dyDescent="0.25">
      <c r="A6600">
        <f ca="1">26826.9126127121*((RANDBETWEEN(1587,2416)))</f>
        <v>50380941.886673294</v>
      </c>
      <c r="B6600">
        <v>241006380.05079204</v>
      </c>
    </row>
    <row r="6601" spans="1:2" x14ac:dyDescent="0.25">
      <c r="A6601">
        <f ca="1">29793.6236818806*((RANDBETWEEN(1587,2416)))</f>
        <v>61315277.537310265</v>
      </c>
      <c r="B6601">
        <v>263615010.40202945</v>
      </c>
    </row>
    <row r="6602" spans="1:2" x14ac:dyDescent="0.25">
      <c r="A6602">
        <f ca="1">30784.7424378316*((RANDBETWEEN(1587,2416)))</f>
        <v>71697665.137709707</v>
      </c>
      <c r="B6602">
        <v>234924068.8315016</v>
      </c>
    </row>
    <row r="6603" spans="1:2" x14ac:dyDescent="0.25">
      <c r="A6603">
        <f ca="1">30719.3553025192*((RANDBETWEEN(1587,2416)))</f>
        <v>50318303.985526502</v>
      </c>
      <c r="B6603">
        <v>236850133.98387459</v>
      </c>
    </row>
    <row r="6604" spans="1:2" x14ac:dyDescent="0.25">
      <c r="A6604">
        <f ca="1">32755.8213771542*((RANDBETWEEN(1587,2416)))</f>
        <v>77369250.092838332</v>
      </c>
      <c r="B6604">
        <v>230188463.03455827</v>
      </c>
    </row>
    <row r="6605" spans="1:2" x14ac:dyDescent="0.25">
      <c r="A6605">
        <f ca="1">31623.4741289639*((RANDBETWEEN(1587,2416)))</f>
        <v>66535789.567339987</v>
      </c>
      <c r="B6605">
        <v>232593207.92439836</v>
      </c>
    </row>
    <row r="6606" spans="1:2" x14ac:dyDescent="0.25">
      <c r="A6606">
        <f ca="1">30791.3362130223*((RANDBETWEEN(1587,2416)))</f>
        <v>66663242.901193351</v>
      </c>
      <c r="B6606">
        <v>260711291.782433</v>
      </c>
    </row>
    <row r="6607" spans="1:2" x14ac:dyDescent="0.25">
      <c r="A6607">
        <f ca="1">27298.6503445948*((RANDBETWEEN(1587,2416)))</f>
        <v>56453608.912621982</v>
      </c>
      <c r="B6607">
        <v>244666511.25706112</v>
      </c>
    </row>
    <row r="6608" spans="1:2" x14ac:dyDescent="0.25">
      <c r="A6608">
        <f ca="1">33000.1916346481*((RANDBETWEEN(1587,2416)))</f>
        <v>73194425.045649558</v>
      </c>
      <c r="B6608">
        <v>227514734.31641603</v>
      </c>
    </row>
    <row r="6609" spans="1:2" x14ac:dyDescent="0.25">
      <c r="A6609">
        <f ca="1">30920.2128724465*((RANDBETWEEN(1587,2416)))</f>
        <v>61654904.467658319</v>
      </c>
      <c r="B6609">
        <v>226471361.46609813</v>
      </c>
    </row>
    <row r="6610" spans="1:2" x14ac:dyDescent="0.25">
      <c r="A6610">
        <f ca="1">33166.245937558*((RANDBETWEEN(1587,2416)))</f>
        <v>71473259.995437413</v>
      </c>
      <c r="B6610">
        <v>253650878.20730138</v>
      </c>
    </row>
    <row r="6611" spans="1:2" x14ac:dyDescent="0.25">
      <c r="A6611">
        <f ca="1">28059.3603515116*((RANDBETWEEN(1587,2416)))</f>
        <v>66921574.438355133</v>
      </c>
      <c r="B6611">
        <v>266433416.143199</v>
      </c>
    </row>
    <row r="6612" spans="1:2" x14ac:dyDescent="0.25">
      <c r="A6612">
        <f ca="1">29965.7581576168*((RANDBETWEEN(1587,2416)))</f>
        <v>60081345.106021762</v>
      </c>
      <c r="B6612">
        <v>254831844.40669858</v>
      </c>
    </row>
    <row r="6613" spans="1:2" x14ac:dyDescent="0.25">
      <c r="A6613">
        <f ca="1">29884.3211768378*((RANDBETWEEN(1587,2416)))</f>
        <v>48711443.518245772</v>
      </c>
      <c r="B6613">
        <v>228090268.91780719</v>
      </c>
    </row>
    <row r="6614" spans="1:2" x14ac:dyDescent="0.25">
      <c r="A6614">
        <f ca="1">27606.3862606123*((RANDBETWEEN(1587,2416)))</f>
        <v>47151707.733125888</v>
      </c>
      <c r="B6614">
        <v>245875087.67291546</v>
      </c>
    </row>
    <row r="6615" spans="1:2" x14ac:dyDescent="0.25">
      <c r="A6615">
        <f ca="1">29142.9390159814*((RANDBETWEEN(1587,2416)))</f>
        <v>62453318.311248146</v>
      </c>
      <c r="B6615">
        <v>240536134.44605422</v>
      </c>
    </row>
    <row r="6616" spans="1:2" x14ac:dyDescent="0.25">
      <c r="A6616">
        <f ca="1">30613.1287010533*((RANDBETWEEN(1587,2416)))</f>
        <v>57307776.928371869</v>
      </c>
      <c r="B6616">
        <v>259554257.12057459</v>
      </c>
    </row>
    <row r="6617" spans="1:2" x14ac:dyDescent="0.25">
      <c r="A6617">
        <f ca="1">28677.0528412355*((RANDBETWEEN(1587,2416)))</f>
        <v>67591813.54679215</v>
      </c>
      <c r="B6617">
        <v>210742179.65524173</v>
      </c>
    </row>
    <row r="6618" spans="1:2" x14ac:dyDescent="0.25">
      <c r="A6618">
        <f ca="1">30495.1740264216*((RANDBETWEEN(1587,2416)))</f>
        <v>52543184.847524434</v>
      </c>
      <c r="B6618">
        <v>249058308.62849197</v>
      </c>
    </row>
    <row r="6619" spans="1:2" x14ac:dyDescent="0.25">
      <c r="A6619">
        <f ca="1">32088.3104889004*((RANDBETWEEN(1587,2416)))</f>
        <v>52015151.302507512</v>
      </c>
      <c r="B6619">
        <v>235413295.17885268</v>
      </c>
    </row>
    <row r="6620" spans="1:2" x14ac:dyDescent="0.25">
      <c r="A6620">
        <f ca="1">30638.1082733311*((RANDBETWEEN(1587,2416)))</f>
        <v>72428487.958154768</v>
      </c>
      <c r="B6620">
        <v>267179661.86641937</v>
      </c>
    </row>
    <row r="6621" spans="1:2" x14ac:dyDescent="0.25">
      <c r="A6621">
        <f ca="1">25474.3677219284*((RANDBETWEEN(1587,2416)))</f>
        <v>49496696.483706959</v>
      </c>
      <c r="B6621">
        <v>210096821.58928549</v>
      </c>
    </row>
    <row r="6622" spans="1:2" x14ac:dyDescent="0.25">
      <c r="A6622">
        <f ca="1">26336.999481509*((RANDBETWEEN(1587,2416)))</f>
        <v>46906196.076567546</v>
      </c>
      <c r="B6622">
        <v>208887424.22647747</v>
      </c>
    </row>
    <row r="6623" spans="1:2" x14ac:dyDescent="0.25">
      <c r="A6623">
        <f ca="1">30826.5539186722*((RANDBETWEEN(1587,2416)))</f>
        <v>61591454.729507141</v>
      </c>
      <c r="B6623">
        <v>264560362.87224165</v>
      </c>
    </row>
    <row r="6624" spans="1:2" x14ac:dyDescent="0.25">
      <c r="A6624">
        <f ca="1">29557.9294686606*((RANDBETWEEN(1587,2416)))</f>
        <v>47529150.585606307</v>
      </c>
      <c r="B6624">
        <v>205801637.44113523</v>
      </c>
    </row>
    <row r="6625" spans="1:2" x14ac:dyDescent="0.25">
      <c r="A6625">
        <f ca="1">30106.4364480092*((RANDBETWEEN(1587,2416)))</f>
        <v>57021590.632529408</v>
      </c>
      <c r="B6625">
        <v>252048572.2905212</v>
      </c>
    </row>
    <row r="6626" spans="1:2" x14ac:dyDescent="0.25">
      <c r="A6626">
        <f ca="1">31025.3566753226*((RANDBETWEEN(1587,2416)))</f>
        <v>74615982.80415079</v>
      </c>
      <c r="B6626">
        <v>225154301.11547396</v>
      </c>
    </row>
    <row r="6627" spans="1:2" x14ac:dyDescent="0.25">
      <c r="A6627">
        <f ca="1">26779.9380783223*((RANDBETWEEN(1587,2416)))</f>
        <v>45606234.547382861</v>
      </c>
      <c r="B6627">
        <v>234411749.53929389</v>
      </c>
    </row>
    <row r="6628" spans="1:2" x14ac:dyDescent="0.25">
      <c r="A6628">
        <f ca="1">26451.1641725431*((RANDBETWEEN(1587,2416)))</f>
        <v>51209453.838043474</v>
      </c>
      <c r="B6628">
        <v>242732033.31057328</v>
      </c>
    </row>
    <row r="6629" spans="1:2" x14ac:dyDescent="0.25">
      <c r="A6629">
        <f ca="1">27208.1651466716*((RANDBETWEEN(1587,2416)))</f>
        <v>64564975.893051609</v>
      </c>
      <c r="B6629">
        <v>204215305.72196335</v>
      </c>
    </row>
    <row r="6630" spans="1:2" x14ac:dyDescent="0.25">
      <c r="A6630">
        <f ca="1">30066.4753606913*((RANDBETWEEN(1587,2416)))</f>
        <v>52616331.881209783</v>
      </c>
      <c r="B6630">
        <v>235238775.57248318</v>
      </c>
    </row>
    <row r="6631" spans="1:2" x14ac:dyDescent="0.25">
      <c r="A6631">
        <f ca="1">27089.5969707546*((RANDBETWEEN(1587,2416)))</f>
        <v>63687642.478243984</v>
      </c>
      <c r="B6631">
        <v>249317306.62247109</v>
      </c>
    </row>
    <row r="6632" spans="1:2" x14ac:dyDescent="0.25">
      <c r="A6632">
        <f ca="1">31380.4488296301*((RANDBETWEEN(1587,2416)))</f>
        <v>58744200.209067613</v>
      </c>
      <c r="B6632">
        <v>262146324.13048065</v>
      </c>
    </row>
    <row r="6633" spans="1:2" x14ac:dyDescent="0.25">
      <c r="A6633">
        <f ca="1">25442.6144543226*((RANDBETWEEN(1587,2416)))</f>
        <v>53658473.884166263</v>
      </c>
      <c r="B6633">
        <v>204941287.80747175</v>
      </c>
    </row>
    <row r="6634" spans="1:2" x14ac:dyDescent="0.25">
      <c r="A6634">
        <f ca="1">32180.5952727319*((RANDBETWEEN(1587,2416)))</f>
        <v>56959653.632735461</v>
      </c>
      <c r="B6634">
        <v>238182323.84000465</v>
      </c>
    </row>
    <row r="6635" spans="1:2" x14ac:dyDescent="0.25">
      <c r="A6635">
        <f ca="1">31460.6449281606*((RANDBETWEEN(1587,2416)))</f>
        <v>68238138.849180385</v>
      </c>
      <c r="B6635">
        <v>204212053.69930536</v>
      </c>
    </row>
    <row r="6636" spans="1:2" x14ac:dyDescent="0.25">
      <c r="A6636">
        <f ca="1">29671.9087890267*((RANDBETWEEN(1587,2416)))</f>
        <v>70352095.738782242</v>
      </c>
      <c r="B6636">
        <v>234021461.62909013</v>
      </c>
    </row>
    <row r="6637" spans="1:2" x14ac:dyDescent="0.25">
      <c r="A6637">
        <f ca="1">27953.6714279105*((RANDBETWEEN(1587,2416)))</f>
        <v>51183172.384504206</v>
      </c>
      <c r="B6637">
        <v>231950698.5375807</v>
      </c>
    </row>
    <row r="6638" spans="1:2" x14ac:dyDescent="0.25">
      <c r="A6638">
        <f ca="1">32074.1431445141*((RANDBETWEEN(1587,2416)))</f>
        <v>68221702.468381658</v>
      </c>
      <c r="B6638">
        <v>240558400.67257613</v>
      </c>
    </row>
    <row r="6639" spans="1:2" x14ac:dyDescent="0.25">
      <c r="A6639">
        <f ca="1">32296.3951584985*((RANDBETWEEN(1587,2416)))</f>
        <v>64366715.550887577</v>
      </c>
      <c r="B6639">
        <v>220372787.82672712</v>
      </c>
    </row>
    <row r="6640" spans="1:2" x14ac:dyDescent="0.25">
      <c r="A6640">
        <f ca="1">25233.0149470847*((RANDBETWEEN(1587,2416)))</f>
        <v>45848388.158852816</v>
      </c>
      <c r="B6640">
        <v>213718785.02055943</v>
      </c>
    </row>
    <row r="6641" spans="1:2" x14ac:dyDescent="0.25">
      <c r="A6641">
        <f ca="1">31086.2982432652*((RANDBETWEEN(1587,2416)))</f>
        <v>54369935.627470873</v>
      </c>
      <c r="B6641">
        <v>220181537.85457698</v>
      </c>
    </row>
    <row r="6642" spans="1:2" x14ac:dyDescent="0.25">
      <c r="A6642">
        <f ca="1">29272.5603688841*((RANDBETWEEN(1587,2416)))</f>
        <v>61852920.059452087</v>
      </c>
      <c r="B6642">
        <v>260049709.06154457</v>
      </c>
    </row>
    <row r="6643" spans="1:2" x14ac:dyDescent="0.25">
      <c r="A6643">
        <f ca="1">30238.5438520393*((RANDBETWEEN(1587,2416)))</f>
        <v>49470257.741936333</v>
      </c>
      <c r="B6643">
        <v>219499598.33213976</v>
      </c>
    </row>
    <row r="6644" spans="1:2" x14ac:dyDescent="0.25">
      <c r="A6644">
        <f ca="1">30314.4976259794*((RANDBETWEEN(1587,2416)))</f>
        <v>48594139.694444902</v>
      </c>
      <c r="B6644">
        <v>258374163.59561253</v>
      </c>
    </row>
    <row r="6645" spans="1:2" x14ac:dyDescent="0.25">
      <c r="A6645">
        <f ca="1">31844.3663874758*((RANDBETWEEN(1587,2416)))</f>
        <v>61778070.79170303</v>
      </c>
      <c r="B6645">
        <v>246185764.13246036</v>
      </c>
    </row>
    <row r="6646" spans="1:2" x14ac:dyDescent="0.25">
      <c r="A6646">
        <f ca="1">27295.7483570085*((RANDBETWEEN(1587,2416)))</f>
        <v>46511955.200342484</v>
      </c>
      <c r="B6646">
        <v>204837520.27126408</v>
      </c>
    </row>
    <row r="6647" spans="1:2" x14ac:dyDescent="0.25">
      <c r="A6647">
        <f ca="1">27861.9248893684*((RANDBETWEEN(1587,2416)))</f>
        <v>61714163.629951037</v>
      </c>
      <c r="B6647">
        <v>229903217.5389536</v>
      </c>
    </row>
    <row r="6648" spans="1:2" x14ac:dyDescent="0.25">
      <c r="A6648">
        <f ca="1">30750.7702803456*((RANDBETWEEN(1587,2416)))</f>
        <v>56335411.153593175</v>
      </c>
      <c r="B6648">
        <v>246836063.35734934</v>
      </c>
    </row>
    <row r="6649" spans="1:2" x14ac:dyDescent="0.25">
      <c r="A6649">
        <f ca="1">28064.1276234496*((RANDBETWEEN(1587,2416)))</f>
        <v>53181521.84643703</v>
      </c>
      <c r="B6649">
        <v>219874232.38487497</v>
      </c>
    </row>
    <row r="6650" spans="1:2" x14ac:dyDescent="0.25">
      <c r="A6650">
        <f ca="1">27525.7733894972*((RANDBETWEEN(1587,2416)))</f>
        <v>63832268.490244083</v>
      </c>
      <c r="B6650">
        <v>224628980.92450038</v>
      </c>
    </row>
    <row r="6651" spans="1:2" x14ac:dyDescent="0.25">
      <c r="A6651">
        <f ca="1">29545.8593217845*((RANDBETWEEN(1587,2416)))</f>
        <v>68575939.485861763</v>
      </c>
      <c r="B6651">
        <v>246787933.33034462</v>
      </c>
    </row>
    <row r="6652" spans="1:2" x14ac:dyDescent="0.25">
      <c r="A6652">
        <f ca="1">29983.6849174029*((RANDBETWEEN(1587,2416)))</f>
        <v>58408218.219100811</v>
      </c>
      <c r="B6652">
        <v>233395878.97268668</v>
      </c>
    </row>
    <row r="6653" spans="1:2" x14ac:dyDescent="0.25">
      <c r="A6653">
        <f ca="1">30644.0503171698*((RANDBETWEEN(1587,2416)))</f>
        <v>69684570.42124407</v>
      </c>
      <c r="B6653">
        <v>257193287.43927407</v>
      </c>
    </row>
    <row r="6654" spans="1:2" x14ac:dyDescent="0.25">
      <c r="A6654">
        <f ca="1">32315.8419371747*((RANDBETWEEN(1587,2416)))</f>
        <v>68574216.590684697</v>
      </c>
      <c r="B6654">
        <v>263108041.7876448</v>
      </c>
    </row>
    <row r="6655" spans="1:2" x14ac:dyDescent="0.25">
      <c r="A6655">
        <f ca="1">27782.2315250537*((RANDBETWEEN(1587,2416)))</f>
        <v>57592565.951436289</v>
      </c>
      <c r="B6655">
        <v>263376565.93418586</v>
      </c>
    </row>
    <row r="6656" spans="1:2" x14ac:dyDescent="0.25">
      <c r="A6656">
        <f ca="1">32881.8611785405*((RANDBETWEEN(1587,2416)))</f>
        <v>52578096.024486214</v>
      </c>
      <c r="B6656">
        <v>263760342.98183632</v>
      </c>
    </row>
    <row r="6657" spans="1:2" x14ac:dyDescent="0.25">
      <c r="A6657">
        <f ca="1">27025.3136400767*((RANDBETWEEN(1587,2416)))</f>
        <v>59428664.694528669</v>
      </c>
      <c r="B6657">
        <v>222105147.27994955</v>
      </c>
    </row>
    <row r="6658" spans="1:2" x14ac:dyDescent="0.25">
      <c r="A6658">
        <f ca="1">26507.7009065172*((RANDBETWEEN(1587,2416)))</f>
        <v>52167155.384025909</v>
      </c>
      <c r="B6658">
        <v>206864563.08218867</v>
      </c>
    </row>
    <row r="6659" spans="1:2" x14ac:dyDescent="0.25">
      <c r="A6659">
        <f ca="1">30140.4130926754*((RANDBETWEEN(1587,2416)))</f>
        <v>59587596.684219182</v>
      </c>
      <c r="B6659">
        <v>204437265.88781241</v>
      </c>
    </row>
    <row r="6660" spans="1:2" x14ac:dyDescent="0.25">
      <c r="A6660">
        <f ca="1">33103.0278653943*((RANDBETWEEN(1587,2416)))</f>
        <v>79182442.65402323</v>
      </c>
      <c r="B6660">
        <v>254804875.82882935</v>
      </c>
    </row>
    <row r="6661" spans="1:2" x14ac:dyDescent="0.25">
      <c r="A6661">
        <f ca="1">28075.3658870721*((RANDBETWEEN(1587,2416)))</f>
        <v>55645375.1881769</v>
      </c>
      <c r="B6661">
        <v>248351263.19726771</v>
      </c>
    </row>
    <row r="6662" spans="1:2" x14ac:dyDescent="0.25">
      <c r="A6662">
        <f ca="1">30390.7499272809*((RANDBETWEEN(1587,2416)))</f>
        <v>61754003.852234721</v>
      </c>
      <c r="B6662">
        <v>227704448.68093902</v>
      </c>
    </row>
    <row r="6663" spans="1:2" x14ac:dyDescent="0.25">
      <c r="A6663">
        <f ca="1">27971.2014062223*((RANDBETWEEN(1587,2416)))</f>
        <v>54935439.561820611</v>
      </c>
      <c r="B6663">
        <v>218909750.05564302</v>
      </c>
    </row>
    <row r="6664" spans="1:2" x14ac:dyDescent="0.25">
      <c r="A6664">
        <f ca="1">27482.3864736421*((RANDBETWEEN(1587,2416)))</f>
        <v>61972781.498063155</v>
      </c>
      <c r="B6664">
        <v>244647615.35680655</v>
      </c>
    </row>
    <row r="6665" spans="1:2" x14ac:dyDescent="0.25">
      <c r="A6665">
        <f ca="1">28222.4659593248*((RANDBETWEEN(1587,2416)))</f>
        <v>59295400.980541356</v>
      </c>
      <c r="B6665">
        <v>238548693.81191283</v>
      </c>
    </row>
    <row r="6666" spans="1:2" x14ac:dyDescent="0.25">
      <c r="A6666">
        <f ca="1">29115.6293225977*((RANDBETWEEN(1587,2416)))</f>
        <v>67897647.580297798</v>
      </c>
      <c r="B6666">
        <v>225734171.21999642</v>
      </c>
    </row>
    <row r="6667" spans="1:2" x14ac:dyDescent="0.25">
      <c r="A6667">
        <f ca="1">27203.2079062124*((RANDBETWEEN(1587,2416)))</f>
        <v>49128993.478619665</v>
      </c>
      <c r="B6667">
        <v>246488612.43534783</v>
      </c>
    </row>
    <row r="6668" spans="1:2" x14ac:dyDescent="0.25">
      <c r="A6668">
        <f ca="1">32929.4419622679*((RANDBETWEEN(1587,2416)))</f>
        <v>63948976.29072424</v>
      </c>
      <c r="B6668">
        <v>218750472.57085684</v>
      </c>
    </row>
    <row r="6669" spans="1:2" x14ac:dyDescent="0.25">
      <c r="A6669">
        <f ca="1">28758.1945560235*((RANDBETWEEN(1587,2416)))</f>
        <v>48543832.410567611</v>
      </c>
      <c r="B6669">
        <v>229171063.28916261</v>
      </c>
    </row>
    <row r="6670" spans="1:2" x14ac:dyDescent="0.25">
      <c r="A6670">
        <f ca="1">27356.6848499261*((RANDBETWEEN(1587,2416)))</f>
        <v>50062733.275364757</v>
      </c>
      <c r="B6670">
        <v>212566035.28566355</v>
      </c>
    </row>
    <row r="6671" spans="1:2" x14ac:dyDescent="0.25">
      <c r="A6671">
        <f ca="1">29284.8709346992*((RANDBETWEEN(1587,2416)))</f>
        <v>63108896.864276685</v>
      </c>
      <c r="B6671">
        <v>267158352.24016699</v>
      </c>
    </row>
    <row r="6672" spans="1:2" x14ac:dyDescent="0.25">
      <c r="A6672">
        <f ca="1">27314.4562689194*((RANDBETWEEN(1587,2416)))</f>
        <v>52034039.192291416</v>
      </c>
      <c r="B6672">
        <v>212316026.54631749</v>
      </c>
    </row>
    <row r="6673" spans="1:2" x14ac:dyDescent="0.25">
      <c r="A6673">
        <f ca="1">29481.2525025488*((RANDBETWEEN(1587,2416)))</f>
        <v>60407086.377722442</v>
      </c>
      <c r="B6673">
        <v>220840080.61106631</v>
      </c>
    </row>
    <row r="6674" spans="1:2" x14ac:dyDescent="0.25">
      <c r="A6674">
        <f ca="1">30314.2496316031*((RANDBETWEEN(1587,2416)))</f>
        <v>57748645.548203833</v>
      </c>
      <c r="B6674">
        <v>247823569.81743741</v>
      </c>
    </row>
    <row r="6675" spans="1:2" x14ac:dyDescent="0.25">
      <c r="A6675">
        <f ca="1">28143.1641109161*((RANDBETWEEN(1587,2416)))</f>
        <v>64869993.27566164</v>
      </c>
      <c r="B6675">
        <v>235079463.97428888</v>
      </c>
    </row>
    <row r="6676" spans="1:2" x14ac:dyDescent="0.25">
      <c r="A6676">
        <f ca="1">31567.9934498922*((RANDBETWEEN(1587,2416)))</f>
        <v>68849793.714214966</v>
      </c>
      <c r="B6676">
        <v>235328548.0418331</v>
      </c>
    </row>
    <row r="6677" spans="1:2" x14ac:dyDescent="0.25">
      <c r="A6677">
        <f ca="1">30098.2673936128*((RANDBETWEEN(1587,2416)))</f>
        <v>56976020.17610912</v>
      </c>
      <c r="B6677">
        <v>258509210.39209196</v>
      </c>
    </row>
    <row r="6678" spans="1:2" x14ac:dyDescent="0.25">
      <c r="A6678">
        <f ca="1">30677.911957746*((RANDBETWEEN(1587,2416)))</f>
        <v>72399872.220280617</v>
      </c>
      <c r="B6678">
        <v>205364281.975577</v>
      </c>
    </row>
    <row r="6679" spans="1:2" x14ac:dyDescent="0.25">
      <c r="A6679">
        <f ca="1">28080.9904669532*((RANDBETWEEN(1587,2416)))</f>
        <v>62929499.636442058</v>
      </c>
      <c r="B6679">
        <v>248412247.75023919</v>
      </c>
    </row>
    <row r="6680" spans="1:2" x14ac:dyDescent="0.25">
      <c r="A6680">
        <f ca="1">27782.5391599195*((RANDBETWEEN(1587,2416)))</f>
        <v>45368886.448148474</v>
      </c>
      <c r="B6680">
        <v>258290890.19982588</v>
      </c>
    </row>
    <row r="6681" spans="1:2" x14ac:dyDescent="0.25">
      <c r="A6681">
        <f ca="1">30588.6042589223*((RANDBETWEEN(1587,2416)))</f>
        <v>52918285.36793559</v>
      </c>
      <c r="B6681">
        <v>267195588.64035442</v>
      </c>
    </row>
    <row r="6682" spans="1:2" x14ac:dyDescent="0.25">
      <c r="A6682">
        <f ca="1">32832.3742119958*((RANDBETWEEN(1587,2416)))</f>
        <v>61724863.518552057</v>
      </c>
      <c r="B6682">
        <v>230924394.75815365</v>
      </c>
    </row>
    <row r="6683" spans="1:2" x14ac:dyDescent="0.25">
      <c r="A6683">
        <f ca="1">28904.171312697*((RANDBETWEEN(1587,2416)))</f>
        <v>61710405.752608001</v>
      </c>
      <c r="B6683">
        <v>217469854.78823298</v>
      </c>
    </row>
    <row r="6684" spans="1:2" x14ac:dyDescent="0.25">
      <c r="A6684">
        <f ca="1">28504.7276490056*((RANDBETWEEN(1587,2416)))</f>
        <v>49028131.55628968</v>
      </c>
      <c r="B6684">
        <v>250944166.87772545</v>
      </c>
    </row>
    <row r="6685" spans="1:2" x14ac:dyDescent="0.25">
      <c r="A6685">
        <f ca="1">28697.8013750668*((RANDBETWEEN(1587,2416)))</f>
        <v>64426564.087024875</v>
      </c>
      <c r="B6685">
        <v>207063525.633737</v>
      </c>
    </row>
    <row r="6686" spans="1:2" x14ac:dyDescent="0.25">
      <c r="A6686">
        <f ca="1">26569.1443387552*((RANDBETWEEN(1587,2416)))</f>
        <v>51756693.171895146</v>
      </c>
      <c r="B6686">
        <v>233490251.92396864</v>
      </c>
    </row>
    <row r="6687" spans="1:2" x14ac:dyDescent="0.25">
      <c r="A6687">
        <f ca="1">27874.8064555343*((RANDBETWEEN(1587,2416)))</f>
        <v>56139860.201446027</v>
      </c>
      <c r="B6687">
        <v>221935944.720622</v>
      </c>
    </row>
    <row r="6688" spans="1:2" x14ac:dyDescent="0.25">
      <c r="A6688">
        <f ca="1">27706.0075216018*((RANDBETWEEN(1587,2416)))</f>
        <v>65912591.893890634</v>
      </c>
      <c r="B6688">
        <v>219417465.01319697</v>
      </c>
    </row>
    <row r="6689" spans="1:2" x14ac:dyDescent="0.25">
      <c r="A6689">
        <f ca="1">30939.4070939701*((RANDBETWEEN(1587,2416)))</f>
        <v>53030143.759064816</v>
      </c>
      <c r="B6689">
        <v>255749105.54490882</v>
      </c>
    </row>
    <row r="6690" spans="1:2" x14ac:dyDescent="0.25">
      <c r="A6690">
        <f ca="1">30742.9701367589*((RANDBETWEEN(1587,2416)))</f>
        <v>57643069.006422929</v>
      </c>
      <c r="B6690">
        <v>208185173.49660847</v>
      </c>
    </row>
    <row r="6691" spans="1:2" x14ac:dyDescent="0.25">
      <c r="A6691">
        <f ca="1">29853.2450205125*((RANDBETWEEN(1587,2416)))</f>
        <v>61497684.742255718</v>
      </c>
      <c r="B6691">
        <v>209972842.90130785</v>
      </c>
    </row>
    <row r="6692" spans="1:2" x14ac:dyDescent="0.25">
      <c r="A6692">
        <f ca="1">30714.4371905734*((RANDBETWEEN(1587,2416)))</f>
        <v>58142429.601755381</v>
      </c>
      <c r="B6692">
        <v>244629096.96525463</v>
      </c>
    </row>
    <row r="6693" spans="1:2" x14ac:dyDescent="0.25">
      <c r="A6693">
        <f ca="1">31454.5092739457*((RANDBETWEEN(1587,2416)))</f>
        <v>56995570.804389641</v>
      </c>
      <c r="B6693">
        <v>235536360.52030399</v>
      </c>
    </row>
    <row r="6694" spans="1:2" x14ac:dyDescent="0.25">
      <c r="A6694">
        <f ca="1">31754.1811830083*((RANDBETWEEN(1587,2416)))</f>
        <v>66461501.21603635</v>
      </c>
      <c r="B6694">
        <v>233421197.65801132</v>
      </c>
    </row>
    <row r="6695" spans="1:2" x14ac:dyDescent="0.25">
      <c r="A6695">
        <f ca="1">27386.6191711958*((RANDBETWEEN(1587,2416)))</f>
        <v>65590952.915013857</v>
      </c>
      <c r="B6695">
        <v>258881060.85058382</v>
      </c>
    </row>
    <row r="6696" spans="1:2" x14ac:dyDescent="0.25">
      <c r="A6696">
        <f ca="1">34858.3789509826*((RANDBETWEEN(1587,2416)))</f>
        <v>78605644.534465685</v>
      </c>
      <c r="B6696">
        <v>221731232.92246181</v>
      </c>
    </row>
    <row r="6697" spans="1:2" x14ac:dyDescent="0.25">
      <c r="A6697">
        <f ca="1">34254.9078171578*((RANDBETWEEN(1587,2416)))</f>
        <v>81286896.250115544</v>
      </c>
      <c r="B6697">
        <v>237564116.13215119</v>
      </c>
    </row>
    <row r="6698" spans="1:2" x14ac:dyDescent="0.25">
      <c r="A6698">
        <f ca="1">29476.7559454226*((RANDBETWEEN(1587,2416)))</f>
        <v>69299853.227688476</v>
      </c>
      <c r="B6698">
        <v>256082255.86411631</v>
      </c>
    </row>
    <row r="6699" spans="1:2" x14ac:dyDescent="0.25">
      <c r="A6699">
        <f ca="1">31126.4401042545*((RANDBETWEEN(1587,2416)))</f>
        <v>58828971.797041051</v>
      </c>
      <c r="B6699">
        <v>219581669.23748654</v>
      </c>
    </row>
    <row r="6700" spans="1:2" x14ac:dyDescent="0.25">
      <c r="A6700">
        <f ca="1">27137.6729609758*((RANDBETWEEN(1587,2416)))</f>
        <v>57586142.023190707</v>
      </c>
      <c r="B6700">
        <v>208078754.46277755</v>
      </c>
    </row>
    <row r="6701" spans="1:2" x14ac:dyDescent="0.25">
      <c r="A6701">
        <f ca="1">27459.1391329486*((RANDBETWEEN(1587,2416)))</f>
        <v>65160537.162487</v>
      </c>
      <c r="B6701">
        <v>248523365.73522118</v>
      </c>
    </row>
    <row r="6702" spans="1:2" x14ac:dyDescent="0.25">
      <c r="A6702">
        <f ca="1">32970.601183958*((RANDBETWEEN(1587,2416)))</f>
        <v>79228354.645051047</v>
      </c>
      <c r="B6702">
        <v>260305245.44707721</v>
      </c>
    </row>
    <row r="6703" spans="1:2" x14ac:dyDescent="0.25">
      <c r="A6703">
        <f ca="1">31545.3599972908*((RANDBETWEEN(1587,2416)))</f>
        <v>74100050.633636087</v>
      </c>
      <c r="B6703">
        <v>267497493.44890741</v>
      </c>
    </row>
    <row r="6704" spans="1:2" x14ac:dyDescent="0.25">
      <c r="A6704">
        <f ca="1">26062.5603339192*((RANDBETWEEN(1587,2416)))</f>
        <v>58901386.354657345</v>
      </c>
      <c r="B6704">
        <v>207334790.90518445</v>
      </c>
    </row>
    <row r="6705" spans="1:2" x14ac:dyDescent="0.25">
      <c r="A6705">
        <f ca="1">31656.700077143*((RANDBETWEEN(1587,2416)))</f>
        <v>72747096.777274549</v>
      </c>
      <c r="B6705">
        <v>247595194.05657163</v>
      </c>
    </row>
    <row r="6706" spans="1:2" x14ac:dyDescent="0.25">
      <c r="A6706">
        <f ca="1">29010.8553388994*((RANDBETWEEN(1587,2416)))</f>
        <v>68117488.335735768</v>
      </c>
      <c r="B6706">
        <v>255812352.90989244</v>
      </c>
    </row>
    <row r="6707" spans="1:2" x14ac:dyDescent="0.25">
      <c r="A6707">
        <f ca="1">33095.7998705448*((RANDBETWEEN(1587,2416)))</f>
        <v>57586691.774747975</v>
      </c>
      <c r="B6707">
        <v>264141601.59513068</v>
      </c>
    </row>
    <row r="6708" spans="1:2" x14ac:dyDescent="0.25">
      <c r="A6708">
        <f ca="1">30239.6181885108*((RANDBETWEEN(1587,2416)))</f>
        <v>70549029.233795583</v>
      </c>
      <c r="B6708">
        <v>240474400.72644383</v>
      </c>
    </row>
    <row r="6709" spans="1:2" x14ac:dyDescent="0.25">
      <c r="A6709">
        <f ca="1">28020.618638677*((RANDBETWEEN(1587,2416)))</f>
        <v>61561299.149173267</v>
      </c>
      <c r="B6709">
        <v>223960516.45288944</v>
      </c>
    </row>
    <row r="6710" spans="1:2" x14ac:dyDescent="0.25">
      <c r="A6710">
        <f ca="1">30906.1958530066*((RANDBETWEEN(1587,2416)))</f>
        <v>62832296.169162422</v>
      </c>
      <c r="B6710">
        <v>266183685.83222967</v>
      </c>
    </row>
    <row r="6711" spans="1:2" x14ac:dyDescent="0.25">
      <c r="A6711">
        <f ca="1">26677.9128304571*((RANDBETWEEN(1587,2416)))</f>
        <v>49460850.387667552</v>
      </c>
      <c r="B6711">
        <v>251306486.74912935</v>
      </c>
    </row>
    <row r="6712" spans="1:2" x14ac:dyDescent="0.25">
      <c r="A6712">
        <f ca="1">28564.0005599433*((RANDBETWEEN(1587,2416)))</f>
        <v>60584245.187639751</v>
      </c>
      <c r="B6712">
        <v>217218982.43693507</v>
      </c>
    </row>
    <row r="6713" spans="1:2" x14ac:dyDescent="0.25">
      <c r="A6713">
        <f ca="1">28267.3786821606*((RANDBETWEEN(1587,2416)))</f>
        <v>57382778.724786013</v>
      </c>
      <c r="B6713">
        <v>210531230.51867414</v>
      </c>
    </row>
    <row r="6714" spans="1:2" x14ac:dyDescent="0.25">
      <c r="A6714">
        <f ca="1">29200.7650044667*((RANDBETWEEN(1587,2416)))</f>
        <v>50283717.337691732</v>
      </c>
      <c r="B6714">
        <v>264616001.50375342</v>
      </c>
    </row>
    <row r="6715" spans="1:2" x14ac:dyDescent="0.25">
      <c r="A6715">
        <f ca="1">30813.6379832689*((RANDBETWEEN(1587,2416)))</f>
        <v>60425544.085190371</v>
      </c>
      <c r="B6715">
        <v>207577738.93676567</v>
      </c>
    </row>
    <row r="6716" spans="1:2" x14ac:dyDescent="0.25">
      <c r="A6716">
        <f ca="1">31166.9165296873*((RANDBETWEEN(1587,2416)))</f>
        <v>68006211.867777675</v>
      </c>
      <c r="B6716">
        <v>234238271.02277368</v>
      </c>
    </row>
    <row r="6717" spans="1:2" x14ac:dyDescent="0.25">
      <c r="A6717">
        <f ca="1">33239.3932194737*((RANDBETWEEN(1587,2416)))</f>
        <v>58202177.527298488</v>
      </c>
      <c r="B6717">
        <v>251859410.6653814</v>
      </c>
    </row>
    <row r="6718" spans="1:2" x14ac:dyDescent="0.25">
      <c r="A6718">
        <f ca="1">28484.8171666737*((RANDBETWEEN(1587,2416)))</f>
        <v>52526002.855346255</v>
      </c>
      <c r="B6718">
        <v>243876847.85027885</v>
      </c>
    </row>
    <row r="6719" spans="1:2" x14ac:dyDescent="0.25">
      <c r="A6719">
        <f ca="1">28620.7881534876*((RANDBETWEEN(1587,2416)))</f>
        <v>57527784.188510001</v>
      </c>
      <c r="B6719">
        <v>257462853.89590898</v>
      </c>
    </row>
    <row r="6720" spans="1:2" x14ac:dyDescent="0.25">
      <c r="A6720">
        <f ca="1">27130.0211155305*((RANDBETWEEN(1587,2416)))</f>
        <v>52957801.217515454</v>
      </c>
      <c r="B6720">
        <v>240221326.11779442</v>
      </c>
    </row>
    <row r="6721" spans="1:2" x14ac:dyDescent="0.25">
      <c r="A6721">
        <f ca="1">26079.0044261416*((RANDBETWEEN(1587,2416)))</f>
        <v>55157094.361289427</v>
      </c>
      <c r="B6721">
        <v>233561983.41248727</v>
      </c>
    </row>
    <row r="6722" spans="1:2" x14ac:dyDescent="0.25">
      <c r="A6722">
        <f ca="1">27890.3153693262*((RANDBETWEEN(1587,2416)))</f>
        <v>59796836.151835345</v>
      </c>
      <c r="B6722">
        <v>204873528.27147511</v>
      </c>
    </row>
    <row r="6723" spans="1:2" x14ac:dyDescent="0.25">
      <c r="A6723">
        <f ca="1">30250.7097649823*((RANDBETWEEN(1587,2416)))</f>
        <v>69213623.942279428</v>
      </c>
      <c r="B6723">
        <v>255218102.62712517</v>
      </c>
    </row>
    <row r="6724" spans="1:2" x14ac:dyDescent="0.25">
      <c r="A6724">
        <f ca="1">27520.634745062*((RANDBETWEEN(1587,2416)))</f>
        <v>44610948.921745464</v>
      </c>
      <c r="B6724">
        <v>252206831.63573587</v>
      </c>
    </row>
    <row r="6725" spans="1:2" x14ac:dyDescent="0.25">
      <c r="A6725">
        <f ca="1">30757.6608709944*((RANDBETWEEN(1587,2416)))</f>
        <v>49550591.663171984</v>
      </c>
      <c r="B6725">
        <v>228159448.28499597</v>
      </c>
    </row>
    <row r="6726" spans="1:2" x14ac:dyDescent="0.25">
      <c r="A6726">
        <f ca="1">29427.6147800753*((RANDBETWEEN(1587,2416)))</f>
        <v>49467820.445306562</v>
      </c>
      <c r="B6726">
        <v>218905965.23798507</v>
      </c>
    </row>
    <row r="6727" spans="1:2" x14ac:dyDescent="0.25">
      <c r="A6727">
        <f ca="1">26360.753072372*((RANDBETWEEN(1587,2416)))</f>
        <v>55990239.525718123</v>
      </c>
      <c r="B6727">
        <v>204973752.42604944</v>
      </c>
    </row>
    <row r="6728" spans="1:2" x14ac:dyDescent="0.25">
      <c r="A6728">
        <f ca="1">31576.2881136294*((RANDBETWEEN(1587,2416)))</f>
        <v>59110811.348714143</v>
      </c>
      <c r="B6728">
        <v>212260447.03431496</v>
      </c>
    </row>
    <row r="6729" spans="1:2" x14ac:dyDescent="0.25">
      <c r="A6729">
        <f ca="1">28660.8911318785*((RANDBETWEEN(1587,2416)))</f>
        <v>52707378.791524626</v>
      </c>
      <c r="B6729">
        <v>233865709.03077197</v>
      </c>
    </row>
    <row r="6730" spans="1:2" x14ac:dyDescent="0.25">
      <c r="A6730">
        <f ca="1">29750.757855374*((RANDBETWEEN(1587,2416)))</f>
        <v>56704944.472342789</v>
      </c>
      <c r="B6730">
        <v>212363390.33291119</v>
      </c>
    </row>
    <row r="6731" spans="1:2" x14ac:dyDescent="0.25">
      <c r="A6731">
        <f ca="1">27681.4167706657*((RANDBETWEEN(1587,2416)))</f>
        <v>60179400.059427209</v>
      </c>
      <c r="B6731">
        <v>231877661.65397578</v>
      </c>
    </row>
    <row r="6732" spans="1:2" x14ac:dyDescent="0.25">
      <c r="A6732">
        <f ca="1">27884.300694678*((RANDBETWEEN(1587,2416)))</f>
        <v>48267724.502487682</v>
      </c>
      <c r="B6732">
        <v>245995552.78403863</v>
      </c>
    </row>
    <row r="6733" spans="1:2" x14ac:dyDescent="0.25">
      <c r="A6733">
        <f ca="1">31007.3675835069*((RANDBETWEEN(1587,2416)))</f>
        <v>60464366.787838481</v>
      </c>
      <c r="B6733">
        <v>247150657.54660529</v>
      </c>
    </row>
    <row r="6734" spans="1:2" x14ac:dyDescent="0.25">
      <c r="A6734">
        <f ca="1">30329.2472850707*((RANDBETWEEN(1587,2416)))</f>
        <v>59596970.915163942</v>
      </c>
      <c r="B6734">
        <v>260967836.48049313</v>
      </c>
    </row>
    <row r="6735" spans="1:2" x14ac:dyDescent="0.25">
      <c r="A6735">
        <f ca="1">28921.4550539741*((RANDBETWEEN(1587,2416)))</f>
        <v>67936497.921785146</v>
      </c>
      <c r="B6735">
        <v>254239321.87700224</v>
      </c>
    </row>
    <row r="6736" spans="1:2" x14ac:dyDescent="0.25">
      <c r="A6736">
        <f ca="1">30183.1040550628*((RANDBETWEEN(1587,2416)))</f>
        <v>59038151.531702802</v>
      </c>
      <c r="B6736">
        <v>211822760.9542802</v>
      </c>
    </row>
    <row r="6737" spans="1:2" x14ac:dyDescent="0.25">
      <c r="A6737">
        <f ca="1">26626.9957256944*((RANDBETWEEN(1587,2416)))</f>
        <v>45425654.708034635</v>
      </c>
      <c r="B6737">
        <v>239508194.28714404</v>
      </c>
    </row>
    <row r="6738" spans="1:2" x14ac:dyDescent="0.25">
      <c r="A6738">
        <f ca="1">31782.1541114491*((RANDBETWEEN(1587,2416)))</f>
        <v>73384993.843335912</v>
      </c>
      <c r="B6738">
        <v>204318770.4095847</v>
      </c>
    </row>
    <row r="6739" spans="1:2" x14ac:dyDescent="0.25">
      <c r="A6739">
        <f ca="1">31385.2530780825*((RANDBETWEEN(1587,2416)))</f>
        <v>73504262.708869204</v>
      </c>
      <c r="B6739">
        <v>233238478.83127028</v>
      </c>
    </row>
    <row r="6740" spans="1:2" x14ac:dyDescent="0.25">
      <c r="A6740">
        <f ca="1">28323.9601811365*((RANDBETWEEN(1587,2416)))</f>
        <v>48349000.029200017</v>
      </c>
      <c r="B6740">
        <v>249474075.05207384</v>
      </c>
    </row>
    <row r="6741" spans="1:2" x14ac:dyDescent="0.25">
      <c r="A6741">
        <f ca="1">28265.9225397112*((RANDBETWEEN(1587,2416)))</f>
        <v>61874104.43942783</v>
      </c>
      <c r="B6741">
        <v>235579909.9029721</v>
      </c>
    </row>
    <row r="6742" spans="1:2" x14ac:dyDescent="0.25">
      <c r="A6742">
        <f ca="1">31081.0602252343*((RANDBETWEEN(1587,2416)))</f>
        <v>62317525.751594864</v>
      </c>
      <c r="B6742">
        <v>255773864.20495725</v>
      </c>
    </row>
    <row r="6743" spans="1:2" x14ac:dyDescent="0.25">
      <c r="A6743">
        <f ca="1">26529.0565277636*((RANDBETWEEN(1587,2416)))</f>
        <v>47725772.693446681</v>
      </c>
      <c r="B6743">
        <v>257163468.57488617</v>
      </c>
    </row>
    <row r="6744" spans="1:2" x14ac:dyDescent="0.25">
      <c r="A6744">
        <f ca="1">30941.3674428972*((RANDBETWEEN(1587,2416)))</f>
        <v>52105262.7738389</v>
      </c>
      <c r="B6744">
        <v>259230130.71624491</v>
      </c>
    </row>
    <row r="6745" spans="1:2" x14ac:dyDescent="0.25">
      <c r="A6745">
        <f ca="1">28243.278893184*((RANDBETWEEN(1587,2416)))</f>
        <v>64818325.059857361</v>
      </c>
      <c r="B6745">
        <v>223212199.5151847</v>
      </c>
    </row>
    <row r="6746" spans="1:2" x14ac:dyDescent="0.25">
      <c r="A6746">
        <f ca="1">30792.9343994939*((RANDBETWEEN(1587,2416)))</f>
        <v>56936135.704664148</v>
      </c>
      <c r="B6746">
        <v>220775969.73353434</v>
      </c>
    </row>
    <row r="6747" spans="1:2" x14ac:dyDescent="0.25">
      <c r="A6747">
        <f ca="1">31619.3942983427*((RANDBETWEEN(1587,2416)))</f>
        <v>59918752.195359446</v>
      </c>
      <c r="B6747">
        <v>218404774.26686913</v>
      </c>
    </row>
    <row r="6748" spans="1:2" x14ac:dyDescent="0.25">
      <c r="A6748">
        <f ca="1">26590.1989657207*((RANDBETWEEN(1587,2416)))</f>
        <v>47942128.735194445</v>
      </c>
      <c r="B6748">
        <v>216208150.1302841</v>
      </c>
    </row>
    <row r="6749" spans="1:2" x14ac:dyDescent="0.25">
      <c r="A6749">
        <f ca="1">30418.5378298468*((RANDBETWEEN(1587,2416)))</f>
        <v>55939691.069088265</v>
      </c>
      <c r="B6749">
        <v>255116972.14679089</v>
      </c>
    </row>
    <row r="6750" spans="1:2" x14ac:dyDescent="0.25">
      <c r="A6750">
        <f ca="1">29247.3096942128*((RANDBETWEEN(1587,2416)))</f>
        <v>48843007.189335294</v>
      </c>
      <c r="B6750">
        <v>208684918.62707895</v>
      </c>
    </row>
    <row r="6751" spans="1:2" x14ac:dyDescent="0.25">
      <c r="A6751">
        <f ca="1">28021.7277617918*((RANDBETWEEN(1587,2416)))</f>
        <v>57444541.911673188</v>
      </c>
      <c r="B6751">
        <v>211599615.84418869</v>
      </c>
    </row>
    <row r="6752" spans="1:2" x14ac:dyDescent="0.25">
      <c r="A6752">
        <f ca="1">33629.9255342264*((RANDBETWEEN(1587,2416)))</f>
        <v>65376575.238536194</v>
      </c>
      <c r="B6752">
        <v>213751771.37599739</v>
      </c>
    </row>
    <row r="6753" spans="1:2" x14ac:dyDescent="0.25">
      <c r="A6753">
        <f ca="1">30745.7784152371*((RANDBETWEEN(1587,2416)))</f>
        <v>58970403.00042475</v>
      </c>
      <c r="B6753">
        <v>204919749.37966666</v>
      </c>
    </row>
    <row r="6754" spans="1:2" x14ac:dyDescent="0.25">
      <c r="A6754">
        <f ca="1">32670.115944208*((RANDBETWEEN(1587,2416)))</f>
        <v>62040550.178051032</v>
      </c>
      <c r="B6754">
        <v>266471567.37316698</v>
      </c>
    </row>
    <row r="6755" spans="1:2" x14ac:dyDescent="0.25">
      <c r="A6755">
        <f ca="1">29451.0174526917*((RANDBETWEEN(1587,2416)))</f>
        <v>64321022.116678737</v>
      </c>
      <c r="B6755">
        <v>263094694.01494566</v>
      </c>
    </row>
    <row r="6756" spans="1:2" x14ac:dyDescent="0.25">
      <c r="A6756">
        <f ca="1">31390.3985215393*((RANDBETWEEN(1587,2416)))</f>
        <v>71946793.411368147</v>
      </c>
      <c r="B6756">
        <v>226462668.36990792</v>
      </c>
    </row>
    <row r="6757" spans="1:2" x14ac:dyDescent="0.25">
      <c r="A6757">
        <f ca="1">33845.6666747661*((RANDBETWEEN(1587,2416)))</f>
        <v>68706703.349775136</v>
      </c>
      <c r="B6757">
        <v>217572957.97889659</v>
      </c>
    </row>
    <row r="6758" spans="1:2" x14ac:dyDescent="0.25">
      <c r="A6758">
        <f ca="1">27952.5127400915*((RANDBETWEEN(1587,2416)))</f>
        <v>58532561.677751563</v>
      </c>
      <c r="B6758">
        <v>264762124.17153174</v>
      </c>
    </row>
    <row r="6759" spans="1:2" x14ac:dyDescent="0.25">
      <c r="A6759">
        <f ca="1">28735.8306974121*((RANDBETWEEN(1587,2416)))</f>
        <v>69368295.303552896</v>
      </c>
      <c r="B6759">
        <v>204825478.53307873</v>
      </c>
    </row>
    <row r="6760" spans="1:2" x14ac:dyDescent="0.25">
      <c r="A6760">
        <f ca="1">29521.6801236132*((RANDBETWEEN(1587,2416)))</f>
        <v>67338952.361961797</v>
      </c>
      <c r="B6760">
        <v>204697539.13956153</v>
      </c>
    </row>
    <row r="6761" spans="1:2" x14ac:dyDescent="0.25">
      <c r="A6761">
        <f ca="1">27509.6664892263*((RANDBETWEEN(1587,2416)))</f>
        <v>47014020.030087724</v>
      </c>
      <c r="B6761">
        <v>206319616.63416559</v>
      </c>
    </row>
    <row r="6762" spans="1:2" x14ac:dyDescent="0.25">
      <c r="A6762">
        <f ca="1">26689.8763098378*((RANDBETWEEN(1587,2416)))</f>
        <v>53032784.227647752</v>
      </c>
      <c r="B6762">
        <v>214266902.9878476</v>
      </c>
    </row>
    <row r="6763" spans="1:2" x14ac:dyDescent="0.25">
      <c r="A6763">
        <f ca="1">28785.0580074707*((RANDBETWEEN(1587,2416)))</f>
        <v>64017969.008614779</v>
      </c>
      <c r="B6763">
        <v>259822781.0515404</v>
      </c>
    </row>
    <row r="6764" spans="1:2" x14ac:dyDescent="0.25">
      <c r="A6764">
        <f ca="1">32412.2319691854*((RANDBETWEEN(1587,2416)))</f>
        <v>53123648.197494872</v>
      </c>
      <c r="B6764">
        <v>212377559.56274867</v>
      </c>
    </row>
    <row r="6765" spans="1:2" x14ac:dyDescent="0.25">
      <c r="A6765">
        <f ca="1">26912.6713581947*((RANDBETWEEN(1587,2416)))</f>
        <v>55170976.284299165</v>
      </c>
      <c r="B6765">
        <v>217178178.56531203</v>
      </c>
    </row>
    <row r="6766" spans="1:2" x14ac:dyDescent="0.25">
      <c r="A6766">
        <f ca="1">31347.0504856278*((RANDBETWEEN(1587,2416)))</f>
        <v>70812987.047033116</v>
      </c>
      <c r="B6766">
        <v>242010774.9333632</v>
      </c>
    </row>
    <row r="6767" spans="1:2" x14ac:dyDescent="0.25">
      <c r="A6767">
        <f ca="1">25319.5100409474*((RANDBETWEEN(1587,2416)))</f>
        <v>57627204.85319636</v>
      </c>
      <c r="B6767">
        <v>261326872.20624578</v>
      </c>
    </row>
    <row r="6768" spans="1:2" x14ac:dyDescent="0.25">
      <c r="A6768">
        <f ca="1">26966.1353298301*((RANDBETWEEN(1587,2416)))</f>
        <v>56170459.892036051</v>
      </c>
      <c r="B6768">
        <v>238848191.60580593</v>
      </c>
    </row>
    <row r="6769" spans="1:2" x14ac:dyDescent="0.25">
      <c r="A6769">
        <f ca="1">28537.4210562262*((RANDBETWEEN(1587,2416)))</f>
        <v>54192562.585773543</v>
      </c>
      <c r="B6769">
        <v>248564968.68324658</v>
      </c>
    </row>
    <row r="6770" spans="1:2" x14ac:dyDescent="0.25">
      <c r="A6770">
        <f ca="1">31621.7755852183*((RANDBETWEEN(1587,2416)))</f>
        <v>69125201.42928721</v>
      </c>
      <c r="B6770">
        <v>262847860.12301072</v>
      </c>
    </row>
    <row r="6771" spans="1:2" x14ac:dyDescent="0.25">
      <c r="A6771">
        <f ca="1">29271.7949412225*((RANDBETWEEN(1587,2416)))</f>
        <v>56318933.466912054</v>
      </c>
      <c r="B6771">
        <v>238424623.20213103</v>
      </c>
    </row>
    <row r="6772" spans="1:2" x14ac:dyDescent="0.25">
      <c r="A6772">
        <f ca="1">28337.7636031193*((RANDBETWEEN(1587,2416)))</f>
        <v>51631405.284883432</v>
      </c>
      <c r="B6772">
        <v>248753071.56180659</v>
      </c>
    </row>
    <row r="6773" spans="1:2" x14ac:dyDescent="0.25">
      <c r="A6773">
        <f ca="1">31133.2668463606*((RANDBETWEEN(1587,2416)))</f>
        <v>59900405.412397861</v>
      </c>
      <c r="B6773">
        <v>235019079.8960253</v>
      </c>
    </row>
    <row r="6774" spans="1:2" x14ac:dyDescent="0.25">
      <c r="A6774">
        <f ca="1">32465.9003938469*((RANDBETWEEN(1587,2416)))</f>
        <v>71327583.165281713</v>
      </c>
      <c r="B6774">
        <v>251814685.81392404</v>
      </c>
    </row>
    <row r="6775" spans="1:2" x14ac:dyDescent="0.25">
      <c r="A6775">
        <f ca="1">27741.4436517363*((RANDBETWEEN(1587,2416)))</f>
        <v>55260955.754258715</v>
      </c>
      <c r="B6775">
        <v>234681214.88724655</v>
      </c>
    </row>
    <row r="6776" spans="1:2" x14ac:dyDescent="0.25">
      <c r="A6776">
        <f ca="1">27710.3208515822*((RANDBETWEEN(1587,2416)))</f>
        <v>57748308.654697314</v>
      </c>
      <c r="B6776">
        <v>225056135.4691053</v>
      </c>
    </row>
    <row r="6777" spans="1:2" x14ac:dyDescent="0.25">
      <c r="A6777">
        <f ca="1">33141.1783760807*((RANDBETWEEN(1587,2416)))</f>
        <v>58063344.514893353</v>
      </c>
      <c r="B6777">
        <v>267480470.44923383</v>
      </c>
    </row>
    <row r="6778" spans="1:2" x14ac:dyDescent="0.25">
      <c r="A6778">
        <f ca="1">30221.5978540678*((RANDBETWEEN(1587,2416)))</f>
        <v>55093972.887965642</v>
      </c>
      <c r="B6778">
        <v>236676076.93367958</v>
      </c>
    </row>
    <row r="6779" spans="1:2" x14ac:dyDescent="0.25">
      <c r="A6779">
        <f ca="1">27590.7062845221*((RANDBETWEEN(1587,2416)))</f>
        <v>53525970.191972815</v>
      </c>
      <c r="B6779">
        <v>231334043.512205</v>
      </c>
    </row>
    <row r="6780" spans="1:2" x14ac:dyDescent="0.25">
      <c r="A6780">
        <f ca="1">29822.2004533273*((RANDBETWEEN(1587,2416)))</f>
        <v>55051782.036842205</v>
      </c>
      <c r="B6780">
        <v>226902598.63467976</v>
      </c>
    </row>
    <row r="6781" spans="1:2" x14ac:dyDescent="0.25">
      <c r="A6781">
        <f ca="1">31704.7960456144*((RANDBETWEEN(1587,2416)))</f>
        <v>60207407.690621726</v>
      </c>
      <c r="B6781">
        <v>216968572.22244942</v>
      </c>
    </row>
    <row r="6782" spans="1:2" x14ac:dyDescent="0.25">
      <c r="A6782">
        <f ca="1">28513.6467904059*((RANDBETWEEN(1587,2416)))</f>
        <v>65695442.205095194</v>
      </c>
      <c r="B6782">
        <v>255088019.28275746</v>
      </c>
    </row>
    <row r="6783" spans="1:2" x14ac:dyDescent="0.25">
      <c r="A6783">
        <f ca="1">29606.9243016725*((RANDBETWEEN(1587,2416)))</f>
        <v>62233754.882115699</v>
      </c>
      <c r="B6783">
        <v>254045478.83423543</v>
      </c>
    </row>
    <row r="6784" spans="1:2" x14ac:dyDescent="0.25">
      <c r="A6784">
        <f ca="1">33139.490398534*((RANDBETWEEN(1587,2416)))</f>
        <v>78507452.754126996</v>
      </c>
      <c r="B6784">
        <v>236696037.63596934</v>
      </c>
    </row>
    <row r="6785" spans="1:2" x14ac:dyDescent="0.25">
      <c r="A6785">
        <f ca="1">30123.282208828*((RANDBETWEEN(1587,2416)))</f>
        <v>59734468.620105967</v>
      </c>
      <c r="B6785">
        <v>234672928.6412541</v>
      </c>
    </row>
    <row r="6786" spans="1:2" x14ac:dyDescent="0.25">
      <c r="A6786">
        <f ca="1">28623.7519443641*((RANDBETWEEN(1587,2416)))</f>
        <v>66063619.487592377</v>
      </c>
      <c r="B6786">
        <v>228576713.68246645</v>
      </c>
    </row>
    <row r="6787" spans="1:2" x14ac:dyDescent="0.25">
      <c r="A6787">
        <f ca="1">25669.3232870628*((RANDBETWEEN(1587,2416)))</f>
        <v>51800694.39329274</v>
      </c>
      <c r="B6787">
        <v>238988300.71491191</v>
      </c>
    </row>
    <row r="6788" spans="1:2" x14ac:dyDescent="0.25">
      <c r="A6788">
        <f ca="1">27209.745158172*((RANDBETWEEN(1587,2416)))</f>
        <v>60704941.447881714</v>
      </c>
      <c r="B6788">
        <v>220286745.42042309</v>
      </c>
    </row>
    <row r="6789" spans="1:2" x14ac:dyDescent="0.25">
      <c r="A6789">
        <f ca="1">32755.9725890633*((RANDBETWEEN(1587,2416)))</f>
        <v>74519837.640119001</v>
      </c>
      <c r="B6789">
        <v>259518941.47153863</v>
      </c>
    </row>
    <row r="6790" spans="1:2" x14ac:dyDescent="0.25">
      <c r="A6790">
        <f ca="1">26171.7002355641*((RANDBETWEEN(1587,2416)))</f>
        <v>45721960.311530545</v>
      </c>
      <c r="B6790">
        <v>237664654.6795333</v>
      </c>
    </row>
    <row r="6791" spans="1:2" x14ac:dyDescent="0.25">
      <c r="A6791">
        <f ca="1">27523.0635027468*((RANDBETWEEN(1587,2416)))</f>
        <v>56257141.799614422</v>
      </c>
      <c r="B6791">
        <v>208839063.00208604</v>
      </c>
    </row>
    <row r="6792" spans="1:2" x14ac:dyDescent="0.25">
      <c r="A6792">
        <f ca="1">28649.7336429832*((RANDBETWEEN(1587,2416)))</f>
        <v>68845309.944088697</v>
      </c>
      <c r="B6792">
        <v>253036187.61944211</v>
      </c>
    </row>
    <row r="6793" spans="1:2" x14ac:dyDescent="0.25">
      <c r="A6793">
        <f ca="1">32587.7480900928*((RANDBETWEEN(1587,2416)))</f>
        <v>71530107.057753801</v>
      </c>
      <c r="B6793">
        <v>227040012.62287271</v>
      </c>
    </row>
    <row r="6794" spans="1:2" x14ac:dyDescent="0.25">
      <c r="A6794">
        <f ca="1">31536.5826833546*((RANDBETWEEN(1587,2416)))</f>
        <v>60329482.673257262</v>
      </c>
      <c r="B6794">
        <v>262329350.94697797</v>
      </c>
    </row>
    <row r="6795" spans="1:2" x14ac:dyDescent="0.25">
      <c r="A6795">
        <f ca="1">31295.3589546908*((RANDBETWEEN(1587,2416)))</f>
        <v>69694764.39209637</v>
      </c>
      <c r="B6795">
        <v>263096540.05250224</v>
      </c>
    </row>
    <row r="6796" spans="1:2" x14ac:dyDescent="0.25">
      <c r="A6796">
        <f ca="1">27025.531032494*((RANDBETWEEN(1587,2416)))</f>
        <v>45889351.693174839</v>
      </c>
      <c r="B6796">
        <v>214011469.63587427</v>
      </c>
    </row>
    <row r="6797" spans="1:2" x14ac:dyDescent="0.25">
      <c r="A6797">
        <f ca="1">26289.9196578083*((RANDBETWEEN(1587,2416)))</f>
        <v>58100722.443756334</v>
      </c>
      <c r="B6797">
        <v>228144738.32143885</v>
      </c>
    </row>
    <row r="6798" spans="1:2" x14ac:dyDescent="0.25">
      <c r="A6798">
        <f ca="1">31783.2463003017*((RANDBETWEEN(1587,2416)))</f>
        <v>57178060.094242677</v>
      </c>
      <c r="B6798">
        <v>219389268.6495136</v>
      </c>
    </row>
    <row r="6799" spans="1:2" x14ac:dyDescent="0.25">
      <c r="A6799">
        <f ca="1">29010.4224219017*((RANDBETWEEN(1587,2416)))</f>
        <v>67855378.044828132</v>
      </c>
      <c r="B6799">
        <v>226618128.87719116</v>
      </c>
    </row>
    <row r="6800" spans="1:2" x14ac:dyDescent="0.25">
      <c r="A6800">
        <f ca="1">31487.0713535144*((RANDBETWEEN(1587,2416)))</f>
        <v>57054573.29256811</v>
      </c>
      <c r="B6800">
        <v>261623564.07572117</v>
      </c>
    </row>
    <row r="6801" spans="1:2" x14ac:dyDescent="0.25">
      <c r="A6801">
        <f ca="1">29477.0969971051*((RANDBETWEEN(1587,2416)))</f>
        <v>56478117.846453458</v>
      </c>
      <c r="B6801">
        <v>255927286.39960656</v>
      </c>
    </row>
    <row r="6802" spans="1:2" x14ac:dyDescent="0.25">
      <c r="A6802">
        <f ca="1">32834.1319224406*((RANDBETWEEN(1587,2416)))</f>
        <v>73449953.110499561</v>
      </c>
      <c r="B6802">
        <v>247712337.07211226</v>
      </c>
    </row>
    <row r="6803" spans="1:2" x14ac:dyDescent="0.25">
      <c r="A6803">
        <f ca="1">31971.7390248477*((RANDBETWEEN(1587,2416)))</f>
        <v>62696580.227726407</v>
      </c>
      <c r="B6803">
        <v>238945777.99214971</v>
      </c>
    </row>
    <row r="6804" spans="1:2" x14ac:dyDescent="0.25">
      <c r="A6804">
        <f ca="1">28804.7396977667*((RANDBETWEEN(1587,2416)))</f>
        <v>49198495.403785571</v>
      </c>
      <c r="B6804">
        <v>220416558.89395297</v>
      </c>
    </row>
    <row r="6805" spans="1:2" x14ac:dyDescent="0.25">
      <c r="A6805">
        <f ca="1">30499.321660406*((RANDBETWEEN(1587,2416)))</f>
        <v>59321180.629489616</v>
      </c>
      <c r="B6805">
        <v>210583018.02618146</v>
      </c>
    </row>
    <row r="6806" spans="1:2" x14ac:dyDescent="0.25">
      <c r="A6806">
        <f ca="1">28112.1008616102*((RANDBETWEEN(1587,2416)))</f>
        <v>67497154.168726131</v>
      </c>
      <c r="B6806">
        <v>229880053.49884334</v>
      </c>
    </row>
    <row r="6807" spans="1:2" x14ac:dyDescent="0.25">
      <c r="A6807">
        <f ca="1">26170.3340950598*((RANDBETWEEN(1587,2416)))</f>
        <v>51136832.821746886</v>
      </c>
      <c r="B6807">
        <v>258689880.45191097</v>
      </c>
    </row>
    <row r="6808" spans="1:2" x14ac:dyDescent="0.25">
      <c r="A6808">
        <f ca="1">33924.1540770543*((RANDBETWEEN(1587,2416)))</f>
        <v>75718711.899985224</v>
      </c>
      <c r="B6808">
        <v>260759915.84044862</v>
      </c>
    </row>
    <row r="6809" spans="1:2" x14ac:dyDescent="0.25">
      <c r="A6809">
        <f ca="1">32199.5312425031*((RANDBETWEEN(1587,2416)))</f>
        <v>60502919.204663269</v>
      </c>
      <c r="B6809">
        <v>205105443.67278585</v>
      </c>
    </row>
    <row r="6810" spans="1:2" x14ac:dyDescent="0.25">
      <c r="A6810">
        <f ca="1">33324.1960246676*((RANDBETWEEN(1587,2416)))</f>
        <v>58184046.259069569</v>
      </c>
      <c r="B6810">
        <v>232177417.0362097</v>
      </c>
    </row>
    <row r="6811" spans="1:2" x14ac:dyDescent="0.25">
      <c r="A6811">
        <f ca="1">28235.2315302455*((RANDBETWEEN(1587,2416)))</f>
        <v>61129276.262981616</v>
      </c>
      <c r="B6811">
        <v>226461628.12942335</v>
      </c>
    </row>
    <row r="6812" spans="1:2" x14ac:dyDescent="0.25">
      <c r="A6812">
        <f ca="1">30120.9242200135*((RANDBETWEEN(1587,2416)))</f>
        <v>64519019.679268844</v>
      </c>
      <c r="B6812">
        <v>266516413.76512229</v>
      </c>
    </row>
    <row r="6813" spans="1:2" x14ac:dyDescent="0.25">
      <c r="A6813">
        <f ca="1">29734.6515573683*((RANDBETWEEN(1587,2416)))</f>
        <v>57268938.899491273</v>
      </c>
      <c r="B6813">
        <v>225982594.93398148</v>
      </c>
    </row>
    <row r="6814" spans="1:2" x14ac:dyDescent="0.25">
      <c r="A6814">
        <f ca="1">27082.0910742962*((RANDBETWEEN(1587,2416)))</f>
        <v>48585271.387287423</v>
      </c>
      <c r="B6814">
        <v>210589664.18478066</v>
      </c>
    </row>
    <row r="6815" spans="1:2" x14ac:dyDescent="0.25">
      <c r="A6815">
        <f ca="1">27197.6279333169*((RANDBETWEEN(1587,2416)))</f>
        <v>44984876.601706125</v>
      </c>
      <c r="B6815">
        <v>253259713.69284666</v>
      </c>
    </row>
    <row r="6816" spans="1:2" x14ac:dyDescent="0.25">
      <c r="A6816">
        <f ca="1">27246.9926056094*((RANDBETWEEN(1587,2416)))</f>
        <v>58226823.198187239</v>
      </c>
      <c r="B6816">
        <v>212432404.17801434</v>
      </c>
    </row>
    <row r="6817" spans="1:2" x14ac:dyDescent="0.25">
      <c r="A6817">
        <f ca="1">29454.2070762493*((RANDBETWEEN(1587,2416)))</f>
        <v>48157628.5696676</v>
      </c>
      <c r="B6817">
        <v>248457653.08016962</v>
      </c>
    </row>
    <row r="6818" spans="1:2" x14ac:dyDescent="0.25">
      <c r="A6818">
        <f ca="1">29974.0465610716*((RANDBETWEEN(1587,2416)))</f>
        <v>54732609.020516701</v>
      </c>
      <c r="B6818">
        <v>249816979.64107618</v>
      </c>
    </row>
    <row r="6819" spans="1:2" x14ac:dyDescent="0.25">
      <c r="A6819">
        <f ca="1">27488.8537480219*((RANDBETWEEN(1587,2416)))</f>
        <v>54455419.274831325</v>
      </c>
      <c r="B6819">
        <v>237715737.82145318</v>
      </c>
    </row>
    <row r="6820" spans="1:2" x14ac:dyDescent="0.25">
      <c r="A6820">
        <f ca="1">27373.567361433*((RANDBETWEEN(1587,2416)))</f>
        <v>45768604.628316015</v>
      </c>
      <c r="B6820">
        <v>218471654.92876312</v>
      </c>
    </row>
    <row r="6821" spans="1:2" x14ac:dyDescent="0.25">
      <c r="A6821">
        <f ca="1">26909.6527487703*((RANDBETWEEN(1587,2416)))</f>
        <v>63237683.959610194</v>
      </c>
      <c r="B6821">
        <v>225958714.29862729</v>
      </c>
    </row>
    <row r="6822" spans="1:2" x14ac:dyDescent="0.25">
      <c r="A6822">
        <f ca="1">29770.101545816*((RANDBETWEEN(1587,2416)))</f>
        <v>65434683.197703481</v>
      </c>
      <c r="B6822">
        <v>263591813.09520099</v>
      </c>
    </row>
    <row r="6823" spans="1:2" x14ac:dyDescent="0.25">
      <c r="A6823">
        <f ca="1">28651.9184442554*((RANDBETWEEN(1587,2416)))</f>
        <v>57848223.338951685</v>
      </c>
      <c r="B6823">
        <v>242237849.60909951</v>
      </c>
    </row>
    <row r="6824" spans="1:2" x14ac:dyDescent="0.25">
      <c r="A6824">
        <f ca="1">27480.7076923112*((RANDBETWEEN(1587,2416)))</f>
        <v>46689722.369236708</v>
      </c>
      <c r="B6824">
        <v>232879939.34548497</v>
      </c>
    </row>
    <row r="6825" spans="1:2" x14ac:dyDescent="0.25">
      <c r="A6825">
        <f ca="1">27279.0402396508*((RANDBETWEEN(1587,2416)))</f>
        <v>60804980.694181569</v>
      </c>
      <c r="B6825">
        <v>231900757.19465709</v>
      </c>
    </row>
    <row r="6826" spans="1:2" x14ac:dyDescent="0.25">
      <c r="A6826">
        <f ca="1">33094.8277940861*((RANDBETWEEN(1587,2416)))</f>
        <v>60497345.207589395</v>
      </c>
      <c r="B6826">
        <v>234453562.94351113</v>
      </c>
    </row>
    <row r="6827" spans="1:2" x14ac:dyDescent="0.25">
      <c r="A6827">
        <f ca="1">29669.030806204*((RANDBETWEEN(1587,2416)))</f>
        <v>62987352.401570991</v>
      </c>
      <c r="B6827">
        <v>228399917.02321872</v>
      </c>
    </row>
    <row r="6828" spans="1:2" x14ac:dyDescent="0.25">
      <c r="A6828">
        <f ca="1">30402.2529899734*((RANDBETWEEN(1587,2416)))</f>
        <v>59558013.60735783</v>
      </c>
      <c r="B6828">
        <v>245420583.64823499</v>
      </c>
    </row>
    <row r="6829" spans="1:2" x14ac:dyDescent="0.25">
      <c r="A6829">
        <f ca="1">29568.913998416*((RANDBETWEEN(1587,2416)))</f>
        <v>60291015.642770216</v>
      </c>
      <c r="B6829">
        <v>221257396.39690524</v>
      </c>
    </row>
    <row r="6830" spans="1:2" x14ac:dyDescent="0.25">
      <c r="A6830">
        <f ca="1">29809.5354990497*((RANDBETWEEN(1587,2416)))</f>
        <v>56190974.415708676</v>
      </c>
      <c r="B6830">
        <v>222794016.94361535</v>
      </c>
    </row>
    <row r="6831" spans="1:2" x14ac:dyDescent="0.25">
      <c r="A6831">
        <f ca="1">26512.6311158979*((RANDBETWEEN(1587,2416)))</f>
        <v>44567732.905824333</v>
      </c>
      <c r="B6831">
        <v>266675605.74578044</v>
      </c>
    </row>
    <row r="6832" spans="1:2" x14ac:dyDescent="0.25">
      <c r="A6832">
        <f ca="1">33405.5214976622*((RANDBETWEEN(1587,2416)))</f>
        <v>53281806.78877122</v>
      </c>
      <c r="B6832">
        <v>249620399.39178684</v>
      </c>
    </row>
    <row r="6833" spans="1:2" x14ac:dyDescent="0.25">
      <c r="A6833">
        <f ca="1">28525.3857132362*((RANDBETWEEN(1587,2416)))</f>
        <v>63982440.154788859</v>
      </c>
      <c r="B6833">
        <v>214436351.35040665</v>
      </c>
    </row>
    <row r="6834" spans="1:2" x14ac:dyDescent="0.25">
      <c r="A6834">
        <f ca="1">30212.3388202664*((RANDBETWEEN(1587,2416)))</f>
        <v>72690887.201561004</v>
      </c>
      <c r="B6834">
        <v>225112795.74781087</v>
      </c>
    </row>
    <row r="6835" spans="1:2" x14ac:dyDescent="0.25">
      <c r="A6835">
        <f ca="1">34013.9932205891*((RANDBETWEEN(1587,2416)))</f>
        <v>68266084.3937224</v>
      </c>
      <c r="B6835">
        <v>245391169.68279159</v>
      </c>
    </row>
    <row r="6836" spans="1:2" x14ac:dyDescent="0.25">
      <c r="A6836">
        <f ca="1">25741.1092707896*((RANDBETWEEN(1587,2416)))</f>
        <v>42781723.608052343</v>
      </c>
      <c r="B6836">
        <v>211430504.23082411</v>
      </c>
    </row>
    <row r="6837" spans="1:2" x14ac:dyDescent="0.25">
      <c r="A6837">
        <f ca="1">29917.2951538858*((RANDBETWEEN(1587,2416)))</f>
        <v>70455230.087401018</v>
      </c>
      <c r="B6837">
        <v>231806524.48044893</v>
      </c>
    </row>
    <row r="6838" spans="1:2" x14ac:dyDescent="0.25">
      <c r="A6838">
        <f ca="1">30837.1131952496*((RANDBETWEEN(1587,2416)))</f>
        <v>52145558.413167007</v>
      </c>
      <c r="B6838">
        <v>209910033.35035488</v>
      </c>
    </row>
    <row r="6839" spans="1:2" x14ac:dyDescent="0.25">
      <c r="A6839">
        <f ca="1">24921.785124298*((RANDBETWEEN(1587,2416)))</f>
        <v>58541273.256976008</v>
      </c>
      <c r="B6839">
        <v>226915563.61595878</v>
      </c>
    </row>
    <row r="6840" spans="1:2" x14ac:dyDescent="0.25">
      <c r="A6840">
        <f ca="1">30370.5094520021*((RANDBETWEEN(1587,2416)))</f>
        <v>53269873.578811735</v>
      </c>
      <c r="B6840">
        <v>251333710.53362358</v>
      </c>
    </row>
    <row r="6841" spans="1:2" x14ac:dyDescent="0.25">
      <c r="A6841">
        <f ca="1">32729.0061341781*((RANDBETWEEN(1587,2416)))</f>
        <v>59861352.219411775</v>
      </c>
      <c r="B6841">
        <v>236935766.27303785</v>
      </c>
    </row>
    <row r="6842" spans="1:2" x14ac:dyDescent="0.25">
      <c r="A6842">
        <f ca="1">29272.0885454865*((RANDBETWEEN(1587,2416)))</f>
        <v>48152585.657325275</v>
      </c>
      <c r="B6842">
        <v>222963718.24478635</v>
      </c>
    </row>
    <row r="6843" spans="1:2" x14ac:dyDescent="0.25">
      <c r="A6843">
        <f ca="1">27423.2415056462*((RANDBETWEEN(1587,2416)))</f>
        <v>58246964.957992449</v>
      </c>
      <c r="B6843">
        <v>246218322.51699165</v>
      </c>
    </row>
    <row r="6844" spans="1:2" x14ac:dyDescent="0.25">
      <c r="A6844">
        <f ca="1">28529.9772372551*((RANDBETWEEN(1587,2416)))</f>
        <v>68471945.369412333</v>
      </c>
      <c r="B6844">
        <v>262295843.19296312</v>
      </c>
    </row>
    <row r="6845" spans="1:2" x14ac:dyDescent="0.25">
      <c r="A6845">
        <f ca="1">29265.9272876391*((RANDBETWEEN(1587,2416)))</f>
        <v>69769970.653731689</v>
      </c>
      <c r="B6845">
        <v>239918519.29548162</v>
      </c>
    </row>
    <row r="6846" spans="1:2" x14ac:dyDescent="0.25">
      <c r="A6846">
        <f ca="1">33792.5341546152*((RANDBETWEEN(1587,2416)))</f>
        <v>74816670.618317977</v>
      </c>
      <c r="B6846">
        <v>253615647.21689108</v>
      </c>
    </row>
    <row r="6847" spans="1:2" x14ac:dyDescent="0.25">
      <c r="A6847">
        <f ca="1">26766.2356456454*((RANDBETWEEN(1587,2416)))</f>
        <v>47670665.684894405</v>
      </c>
      <c r="B6847">
        <v>253619520.44747865</v>
      </c>
    </row>
    <row r="6848" spans="1:2" x14ac:dyDescent="0.25">
      <c r="A6848">
        <f ca="1">31516.4596515519*((RANDBETWEEN(1587,2416)))</f>
        <v>65680301.91383408</v>
      </c>
      <c r="B6848">
        <v>234560824.37685275</v>
      </c>
    </row>
    <row r="6849" spans="1:2" x14ac:dyDescent="0.25">
      <c r="A6849">
        <f ca="1">32216.4512887771*((RANDBETWEEN(1587,2416)))</f>
        <v>58440642.637841575</v>
      </c>
      <c r="B6849">
        <v>219833231.73777094</v>
      </c>
    </row>
    <row r="6850" spans="1:2" x14ac:dyDescent="0.25">
      <c r="A6850">
        <f ca="1">28765.3803427832*((RANDBETWEEN(1587,2416)))</f>
        <v>65441240.2798317</v>
      </c>
      <c r="B6850">
        <v>227930464.49848005</v>
      </c>
    </row>
    <row r="6851" spans="1:2" x14ac:dyDescent="0.25">
      <c r="A6851">
        <f ca="1">28445.838138482*((RANDBETWEEN(1587,2416)))</f>
        <v>61784360.436782822</v>
      </c>
      <c r="B6851">
        <v>256611166.27236792</v>
      </c>
    </row>
    <row r="6852" spans="1:2" x14ac:dyDescent="0.25">
      <c r="A6852">
        <f ca="1">29220.7691155893*((RANDBETWEEN(1587,2416)))</f>
        <v>52071410.563980103</v>
      </c>
      <c r="B6852">
        <v>240607289.91480207</v>
      </c>
    </row>
    <row r="6853" spans="1:2" x14ac:dyDescent="0.25">
      <c r="A6853">
        <f ca="1">31745.3920824463*((RANDBETWEEN(1587,2416)))</f>
        <v>63839983.477799542</v>
      </c>
      <c r="B6853">
        <v>243598511.73434067</v>
      </c>
    </row>
    <row r="6854" spans="1:2" x14ac:dyDescent="0.25">
      <c r="A6854">
        <f ca="1">27781.328797877*((RANDBETWEEN(1587,2416)))</f>
        <v>61869019.232871987</v>
      </c>
      <c r="B6854">
        <v>244082107.71599662</v>
      </c>
    </row>
    <row r="6855" spans="1:2" x14ac:dyDescent="0.25">
      <c r="A6855">
        <f ca="1">30277.0841401191*((RANDBETWEEN(1587,2416)))</f>
        <v>55800666.070239536</v>
      </c>
      <c r="B6855">
        <v>257668886.01419738</v>
      </c>
    </row>
    <row r="6856" spans="1:2" x14ac:dyDescent="0.25">
      <c r="A6856">
        <f ca="1">32925.7699311666*((RANDBETWEEN(1587,2416)))</f>
        <v>61077303.222314082</v>
      </c>
      <c r="B6856">
        <v>259645520.38146156</v>
      </c>
    </row>
    <row r="6857" spans="1:2" x14ac:dyDescent="0.25">
      <c r="A6857">
        <f ca="1">27279.4549677063*((RANDBETWEEN(1587,2416)))</f>
        <v>64625028.818496257</v>
      </c>
      <c r="B6857">
        <v>254859927.82433939</v>
      </c>
    </row>
    <row r="6858" spans="1:2" x14ac:dyDescent="0.25">
      <c r="A6858">
        <f ca="1">30432.1967851729*((RANDBETWEEN(1587,2416)))</f>
        <v>66037867.023825146</v>
      </c>
      <c r="B6858">
        <v>254652320.58582532</v>
      </c>
    </row>
    <row r="6859" spans="1:2" x14ac:dyDescent="0.25">
      <c r="A6859">
        <f ca="1">28639.2558747626*((RANDBETWEEN(1587,2416)))</f>
        <v>49717748.198587939</v>
      </c>
      <c r="B6859">
        <v>246769532.05657151</v>
      </c>
    </row>
    <row r="6860" spans="1:2" x14ac:dyDescent="0.25">
      <c r="A6860">
        <f ca="1">30018.8189138574*((RANDBETWEEN(1587,2416)))</f>
        <v>55204607.982583702</v>
      </c>
      <c r="B6860">
        <v>246474141.03249663</v>
      </c>
    </row>
    <row r="6861" spans="1:2" x14ac:dyDescent="0.25">
      <c r="A6861">
        <f ca="1">31956.2905379423*((RANDBETWEEN(1587,2416)))</f>
        <v>76503359.547833934</v>
      </c>
      <c r="B6861">
        <v>222114867.07230058</v>
      </c>
    </row>
    <row r="6862" spans="1:2" x14ac:dyDescent="0.25">
      <c r="A6862">
        <f ca="1">30166.848738569*((RANDBETWEEN(1587,2416)))</f>
        <v>72852939.703644171</v>
      </c>
      <c r="B6862">
        <v>213808947.72495392</v>
      </c>
    </row>
    <row r="6863" spans="1:2" x14ac:dyDescent="0.25">
      <c r="A6863">
        <f ca="1">31629.2883644423*((RANDBETWEEN(1587,2416)))</f>
        <v>50701749.248201065</v>
      </c>
      <c r="B6863">
        <v>250509483.77177551</v>
      </c>
    </row>
    <row r="6864" spans="1:2" x14ac:dyDescent="0.25">
      <c r="A6864">
        <f ca="1">33191.3573455139*((RANDBETWEEN(1587,2416)))</f>
        <v>70398868.929835007</v>
      </c>
      <c r="B6864">
        <v>234109763.45105144</v>
      </c>
    </row>
    <row r="6865" spans="1:2" x14ac:dyDescent="0.25">
      <c r="A6865">
        <f ca="1">34388.300523517*((RANDBETWEEN(1587,2416)))</f>
        <v>71321335.285774216</v>
      </c>
      <c r="B6865">
        <v>255509939.04881033</v>
      </c>
    </row>
    <row r="6866" spans="1:2" x14ac:dyDescent="0.25">
      <c r="A6866">
        <f ca="1">31695.2015023293*((RANDBETWEEN(1587,2416)))</f>
        <v>67891121.617989361</v>
      </c>
      <c r="B6866">
        <v>255539913.08216029</v>
      </c>
    </row>
    <row r="6867" spans="1:2" x14ac:dyDescent="0.25">
      <c r="A6867">
        <f ca="1">33982.9600125227*((RANDBETWEEN(1587,2416)))</f>
        <v>81457155.150016978</v>
      </c>
      <c r="B6867">
        <v>234797877.50122046</v>
      </c>
    </row>
    <row r="6868" spans="1:2" x14ac:dyDescent="0.25">
      <c r="A6868">
        <f ca="1">27865.9174960852*((RANDBETWEEN(1587,2416)))</f>
        <v>56038360.084627315</v>
      </c>
      <c r="B6868">
        <v>254404447.39813721</v>
      </c>
    </row>
    <row r="6869" spans="1:2" x14ac:dyDescent="0.25">
      <c r="A6869">
        <f ca="1">32801.9248228913*((RANDBETWEEN(1587,2416)))</f>
        <v>59305880.07978756</v>
      </c>
      <c r="B6869">
        <v>243661329.94514394</v>
      </c>
    </row>
    <row r="6870" spans="1:2" x14ac:dyDescent="0.25">
      <c r="A6870">
        <f ca="1">32488.6267013829*((RANDBETWEEN(1587,2416)))</f>
        <v>62020788.372939907</v>
      </c>
      <c r="B6870">
        <v>233170598.4399282</v>
      </c>
    </row>
    <row r="6871" spans="1:2" x14ac:dyDescent="0.25">
      <c r="A6871">
        <f ca="1">28957.8989221381*((RANDBETWEEN(1587,2416)))</f>
        <v>60029724.465592332</v>
      </c>
      <c r="B6871">
        <v>264046663.14686188</v>
      </c>
    </row>
    <row r="6872" spans="1:2" x14ac:dyDescent="0.25">
      <c r="A6872">
        <f ca="1">30654.5044123363*((RANDBETWEEN(1587,2416)))</f>
        <v>72896411.49253574</v>
      </c>
      <c r="B6872">
        <v>247954373.23490828</v>
      </c>
    </row>
    <row r="6873" spans="1:2" x14ac:dyDescent="0.25">
      <c r="A6873">
        <f ca="1">31681.4149030917*((RANDBETWEEN(1587,2416)))</f>
        <v>70269378.255057484</v>
      </c>
      <c r="B6873">
        <v>250017878.51341429</v>
      </c>
    </row>
    <row r="6874" spans="1:2" x14ac:dyDescent="0.25">
      <c r="A6874">
        <f ca="1">29468.9796821162*((RANDBETWEEN(1587,2416)))</f>
        <v>64006623.869556479</v>
      </c>
      <c r="B6874">
        <v>212988091.98527461</v>
      </c>
    </row>
    <row r="6875" spans="1:2" x14ac:dyDescent="0.25">
      <c r="A6875">
        <f ca="1">30333.5521364815*((RANDBETWEEN(1587,2416)))</f>
        <v>49989693.920921437</v>
      </c>
      <c r="B6875">
        <v>247508285.67970005</v>
      </c>
    </row>
    <row r="6876" spans="1:2" x14ac:dyDescent="0.25">
      <c r="A6876">
        <f ca="1">29568.1636927948*((RANDBETWEEN(1587,2416)))</f>
        <v>51921695.444547631</v>
      </c>
      <c r="B6876">
        <v>227323014.70448098</v>
      </c>
    </row>
    <row r="6877" spans="1:2" x14ac:dyDescent="0.25">
      <c r="A6877">
        <f ca="1">29541.0971151465*((RANDBETWEEN(1587,2416)))</f>
        <v>50426652.775555156</v>
      </c>
      <c r="B6877">
        <v>238834230.30143476</v>
      </c>
    </row>
    <row r="6878" spans="1:2" x14ac:dyDescent="0.25">
      <c r="A6878">
        <f ca="1">30320.8621841715*((RANDBETWEEN(1587,2416)))</f>
        <v>56457445.386927307</v>
      </c>
      <c r="B6878">
        <v>216477269.18650156</v>
      </c>
    </row>
    <row r="6879" spans="1:2" x14ac:dyDescent="0.25">
      <c r="A6879">
        <f ca="1">27307.7147511683*((RANDBETWEEN(1587,2416)))</f>
        <v>51911965.741970994</v>
      </c>
      <c r="B6879">
        <v>247567406.91310665</v>
      </c>
    </row>
    <row r="6880" spans="1:2" x14ac:dyDescent="0.25">
      <c r="A6880">
        <f ca="1">25677.449287042*((RANDBETWEEN(1587,2416)))</f>
        <v>47631668.427462876</v>
      </c>
      <c r="B6880">
        <v>205682280.05602968</v>
      </c>
    </row>
    <row r="6881" spans="1:2" x14ac:dyDescent="0.25">
      <c r="A6881">
        <f ca="1">29566.9688206018*((RANDBETWEEN(1587,2416)))</f>
        <v>69659778.541337788</v>
      </c>
      <c r="B6881">
        <v>228950412.22477221</v>
      </c>
    </row>
    <row r="6882" spans="1:2" x14ac:dyDescent="0.25">
      <c r="A6882">
        <f ca="1">32228.690577177*((RANDBETWEEN(1587,2416)))</f>
        <v>62491431.029146142</v>
      </c>
      <c r="B6882">
        <v>252283382.38732129</v>
      </c>
    </row>
    <row r="6883" spans="1:2" x14ac:dyDescent="0.25">
      <c r="A6883">
        <f ca="1">32167.2353042288*((RANDBETWEEN(1587,2416)))</f>
        <v>71186091.728258446</v>
      </c>
      <c r="B6883">
        <v>210659692.59472835</v>
      </c>
    </row>
    <row r="6884" spans="1:2" x14ac:dyDescent="0.25">
      <c r="A6884">
        <f ca="1">26701.2162777051*((RANDBETWEEN(1587,2416)))</f>
        <v>42535037.530384228</v>
      </c>
      <c r="B6884">
        <v>227457783.59784943</v>
      </c>
    </row>
    <row r="6885" spans="1:2" x14ac:dyDescent="0.25">
      <c r="A6885">
        <f ca="1">26255.405075434*((RANDBETWEEN(1587,2416)))</f>
        <v>42323712.981599666</v>
      </c>
      <c r="B6885">
        <v>207939773.48938271</v>
      </c>
    </row>
    <row r="6886" spans="1:2" x14ac:dyDescent="0.25">
      <c r="A6886">
        <f ca="1">26657.1330570255*((RANDBETWEEN(1587,2416)))</f>
        <v>59978549.378307447</v>
      </c>
      <c r="B6886">
        <v>231131843.86646169</v>
      </c>
    </row>
    <row r="6887" spans="1:2" x14ac:dyDescent="0.25">
      <c r="A6887">
        <f ca="1">30886.1138511093*((RANDBETWEEN(1587,2416)))</f>
        <v>53587407.531674698</v>
      </c>
      <c r="B6887">
        <v>251229142.56030989</v>
      </c>
    </row>
    <row r="6888" spans="1:2" x14ac:dyDescent="0.25">
      <c r="A6888">
        <f ca="1">31293.244663497*((RANDBETWEEN(1587,2416)))</f>
        <v>75354133.149700835</v>
      </c>
      <c r="B6888">
        <v>229603848.16892588</v>
      </c>
    </row>
    <row r="6889" spans="1:2" x14ac:dyDescent="0.25">
      <c r="A6889">
        <f ca="1">29024.9365316579*((RANDBETWEEN(1587,2416)))</f>
        <v>48442619.071337014</v>
      </c>
      <c r="B6889">
        <v>242496590.39446524</v>
      </c>
    </row>
    <row r="6890" spans="1:2" x14ac:dyDescent="0.25">
      <c r="A6890">
        <f ca="1">29256.5709890905*((RANDBETWEEN(1587,2416)))</f>
        <v>58571655.120159194</v>
      </c>
      <c r="B6890">
        <v>249755237.31097752</v>
      </c>
    </row>
    <row r="6891" spans="1:2" x14ac:dyDescent="0.25">
      <c r="A6891">
        <f ca="1">29526.7479709993*((RANDBETWEEN(1587,2416)))</f>
        <v>59437343.665621616</v>
      </c>
      <c r="B6891">
        <v>251716926.18882638</v>
      </c>
    </row>
    <row r="6892" spans="1:2" x14ac:dyDescent="0.25">
      <c r="A6892">
        <f ca="1">27755.9824557401*((RANDBETWEEN(1587,2416)))</f>
        <v>44687131.7537416</v>
      </c>
      <c r="B6892">
        <v>242098858.52135456</v>
      </c>
    </row>
    <row r="6893" spans="1:2" x14ac:dyDescent="0.25">
      <c r="A6893">
        <f ca="1">28083.615348173*((RANDBETWEEN(1587,2416)))</f>
        <v>65097820.377065033</v>
      </c>
      <c r="B6893">
        <v>204717520.52461457</v>
      </c>
    </row>
    <row r="6894" spans="1:2" x14ac:dyDescent="0.25">
      <c r="A6894">
        <f ca="1">27929.3737686533*((RANDBETWEEN(1587,2416)))</f>
        <v>61109469.805813402</v>
      </c>
      <c r="B6894">
        <v>230083622.21684226</v>
      </c>
    </row>
    <row r="6895" spans="1:2" x14ac:dyDescent="0.25">
      <c r="A6895">
        <f ca="1">31006.5242798836*((RANDBETWEEN(1587,2416)))</f>
        <v>68431399.085703075</v>
      </c>
      <c r="B6895">
        <v>264662549.85917723</v>
      </c>
    </row>
    <row r="6896" spans="1:2" x14ac:dyDescent="0.25">
      <c r="A6896">
        <f ca="1">30748.5862238061*((RANDBETWEEN(1587,2416)))</f>
        <v>52764573.960051186</v>
      </c>
      <c r="B6896">
        <v>262503957.24209857</v>
      </c>
    </row>
    <row r="6897" spans="1:2" x14ac:dyDescent="0.25">
      <c r="A6897">
        <f ca="1">32857.4011621397*((RANDBETWEEN(1587,2416)))</f>
        <v>67751961.196332142</v>
      </c>
      <c r="B6897">
        <v>267279001.11187062</v>
      </c>
    </row>
    <row r="6898" spans="1:2" x14ac:dyDescent="0.25">
      <c r="A6898">
        <f ca="1">27091.502813191*((RANDBETWEEN(1587,2416)))</f>
        <v>59438757.17214103</v>
      </c>
      <c r="B6898">
        <v>225215355.80027387</v>
      </c>
    </row>
    <row r="6899" spans="1:2" x14ac:dyDescent="0.25">
      <c r="A6899">
        <f ca="1">29673.0974964636*((RANDBETWEEN(1587,2416)))</f>
        <v>51749882.03383249</v>
      </c>
      <c r="B6899">
        <v>212739443.72800899</v>
      </c>
    </row>
    <row r="6900" spans="1:2" x14ac:dyDescent="0.25">
      <c r="A6900">
        <f ca="1">29743.3908287047*((RANDBETWEEN(1587,2416)))</f>
        <v>48541213.832446113</v>
      </c>
      <c r="B6900">
        <v>243558709.26351368</v>
      </c>
    </row>
    <row r="6901" spans="1:2" x14ac:dyDescent="0.25">
      <c r="A6901">
        <f ca="1">28647.9225789037*((RANDBETWEEN(1587,2416)))</f>
        <v>61908160.693011001</v>
      </c>
      <c r="B6901">
        <v>234342776.52599663</v>
      </c>
    </row>
    <row r="6902" spans="1:2" x14ac:dyDescent="0.25">
      <c r="A6902">
        <f ca="1">27561.2370755726*((RANDBETWEEN(1587,2416)))</f>
        <v>48397532.30470556</v>
      </c>
      <c r="B6902">
        <v>208580235.43889496</v>
      </c>
    </row>
    <row r="6903" spans="1:2" x14ac:dyDescent="0.25">
      <c r="A6903">
        <f ca="1">29397.7673318974*((RANDBETWEEN(1587,2416)))</f>
        <v>65997987.660109632</v>
      </c>
      <c r="B6903">
        <v>229512623.43829453</v>
      </c>
    </row>
    <row r="6904" spans="1:2" x14ac:dyDescent="0.25">
      <c r="A6904">
        <f ca="1">30692.8708269446*((RANDBETWEEN(1587,2416)))</f>
        <v>60986734.333138861</v>
      </c>
      <c r="B6904">
        <v>219113174.28080297</v>
      </c>
    </row>
    <row r="6905" spans="1:2" x14ac:dyDescent="0.25">
      <c r="A6905">
        <f ca="1">28284.9544115633*((RANDBETWEEN(1587,2416)))</f>
        <v>48650121.587888859</v>
      </c>
      <c r="B6905">
        <v>216580137.94326544</v>
      </c>
    </row>
    <row r="6906" spans="1:2" x14ac:dyDescent="0.25">
      <c r="A6906">
        <f ca="1">29697.0598210069*((RANDBETWEEN(1587,2416)))</f>
        <v>66966869.896370515</v>
      </c>
      <c r="B6906">
        <v>234553883.02662656</v>
      </c>
    </row>
    <row r="6907" spans="1:2" x14ac:dyDescent="0.25">
      <c r="A6907">
        <f ca="1">26793.1070050819*((RANDBETWEEN(1587,2416)))</f>
        <v>46459247.54681205</v>
      </c>
      <c r="B6907">
        <v>230270479.98103431</v>
      </c>
    </row>
    <row r="6908" spans="1:2" x14ac:dyDescent="0.25">
      <c r="A6908">
        <f ca="1">26743.1854059436*((RANDBETWEEN(1587,2416)))</f>
        <v>60974462.725551486</v>
      </c>
      <c r="B6908">
        <v>206068673.40645814</v>
      </c>
    </row>
    <row r="6909" spans="1:2" x14ac:dyDescent="0.25">
      <c r="A6909">
        <f ca="1">30238.8213329782*((RANDBETWEEN(1587,2416)))</f>
        <v>60810269.700619094</v>
      </c>
      <c r="B6909">
        <v>235170956.15056181</v>
      </c>
    </row>
    <row r="6910" spans="1:2" x14ac:dyDescent="0.25">
      <c r="A6910">
        <f ca="1">31124.6147776099*((RANDBETWEEN(1587,2416)))</f>
        <v>68941021.732405975</v>
      </c>
      <c r="B6910">
        <v>228505201.93576968</v>
      </c>
    </row>
    <row r="6911" spans="1:2" x14ac:dyDescent="0.25">
      <c r="A6911">
        <f ca="1">28951.3923163748*((RANDBETWEEN(1587,2416)))</f>
        <v>53733784.139191665</v>
      </c>
      <c r="B6911">
        <v>231632955.04737735</v>
      </c>
    </row>
    <row r="6912" spans="1:2" x14ac:dyDescent="0.25">
      <c r="A6912">
        <f ca="1">32053.1167832871*((RANDBETWEEN(1587,2416)))</f>
        <v>63689543.048391484</v>
      </c>
      <c r="B6912">
        <v>225709401.08061346</v>
      </c>
    </row>
    <row r="6913" spans="1:2" x14ac:dyDescent="0.25">
      <c r="A6913">
        <f ca="1">26656.6625379948*((RANDBETWEEN(1587,2416)))</f>
        <v>56245557.955168962</v>
      </c>
      <c r="B6913">
        <v>204887309.72366351</v>
      </c>
    </row>
    <row r="6914" spans="1:2" x14ac:dyDescent="0.25">
      <c r="A6914">
        <f ca="1">31932.9596395511*((RANDBETWEEN(1587,2416)))</f>
        <v>53870902.911922783</v>
      </c>
      <c r="B6914">
        <v>217461711.16428012</v>
      </c>
    </row>
    <row r="6915" spans="1:2" x14ac:dyDescent="0.25">
      <c r="A6915">
        <f ca="1">28178.6973675785*((RANDBETWEEN(1587,2416)))</f>
        <v>59203443.169282384</v>
      </c>
      <c r="B6915">
        <v>261135747.04833427</v>
      </c>
    </row>
    <row r="6916" spans="1:2" x14ac:dyDescent="0.25">
      <c r="A6916">
        <f ca="1">29188.8747403542*((RANDBETWEEN(1587,2416)))</f>
        <v>68681422.264053494</v>
      </c>
      <c r="B6916">
        <v>247420448.88183475</v>
      </c>
    </row>
    <row r="6917" spans="1:2" x14ac:dyDescent="0.25">
      <c r="A6917">
        <f ca="1">26102.6529500781*((RANDBETWEEN(1587,2416)))</f>
        <v>53066693.447508723</v>
      </c>
      <c r="B6917">
        <v>221528225.10082686</v>
      </c>
    </row>
    <row r="6918" spans="1:2" x14ac:dyDescent="0.25">
      <c r="A6918">
        <f ca="1">30049.3748987063*((RANDBETWEEN(1587,2416)))</f>
        <v>63584477.285662465</v>
      </c>
      <c r="B6918">
        <v>214945025.50273278</v>
      </c>
    </row>
    <row r="6919" spans="1:2" x14ac:dyDescent="0.25">
      <c r="A6919">
        <f ca="1">27220.878074662*((RANDBETWEEN(1587,2416)))</f>
        <v>60920325.131093524</v>
      </c>
      <c r="B6919">
        <v>212681769.80196071</v>
      </c>
    </row>
    <row r="6920" spans="1:2" x14ac:dyDescent="0.25">
      <c r="A6920">
        <f ca="1">30890.7027903492*((RANDBETWEEN(1587,2416)))</f>
        <v>58352537.570969641</v>
      </c>
      <c r="B6920">
        <v>236968317.01461709</v>
      </c>
    </row>
    <row r="6921" spans="1:2" x14ac:dyDescent="0.25">
      <c r="A6921">
        <f ca="1">28226.6632060002*((RANDBETWEEN(1587,2416)))</f>
        <v>65909258.586010434</v>
      </c>
      <c r="B6921">
        <v>264121126.32261416</v>
      </c>
    </row>
    <row r="6922" spans="1:2" x14ac:dyDescent="0.25">
      <c r="A6922">
        <f ca="1">26855.6711671115*((RANDBETWEEN(1587,2416)))</f>
        <v>46863146.186609522</v>
      </c>
      <c r="B6922">
        <v>212995613.72670123</v>
      </c>
    </row>
    <row r="6923" spans="1:2" x14ac:dyDescent="0.25">
      <c r="A6923">
        <f ca="1">27432.9361927458*((RANDBETWEEN(1587,2416)))</f>
        <v>57773763.621922642</v>
      </c>
      <c r="B6923">
        <v>252100828.9819352</v>
      </c>
    </row>
    <row r="6924" spans="1:2" x14ac:dyDescent="0.25">
      <c r="A6924">
        <f ca="1">30216.5789028851*((RANDBETWEEN(1587,2416)))</f>
        <v>69709647.528956026</v>
      </c>
      <c r="B6924">
        <v>263192968.47076842</v>
      </c>
    </row>
    <row r="6925" spans="1:2" x14ac:dyDescent="0.25">
      <c r="A6925">
        <f ca="1">29147.0115467249*((RANDBETWEEN(1587,2416)))</f>
        <v>64006837.35660778</v>
      </c>
      <c r="B6925">
        <v>258990972.17630768</v>
      </c>
    </row>
    <row r="6926" spans="1:2" x14ac:dyDescent="0.25">
      <c r="A6926">
        <f ca="1">32964.8410242484*((RANDBETWEEN(1587,2416)))</f>
        <v>78621145.842832446</v>
      </c>
      <c r="B6926">
        <v>234631943.31325635</v>
      </c>
    </row>
    <row r="6927" spans="1:2" x14ac:dyDescent="0.25">
      <c r="A6927">
        <f ca="1">34928.8061573107*((RANDBETWEEN(1587,2416)))</f>
        <v>83689419.552916557</v>
      </c>
      <c r="B6927">
        <v>263442825.5719651</v>
      </c>
    </row>
    <row r="6928" spans="1:2" x14ac:dyDescent="0.25">
      <c r="A6928">
        <f ca="1">26202.0156980639*((RANDBETWEEN(1587,2416)))</f>
        <v>56543949.876421981</v>
      </c>
      <c r="B6928">
        <v>230887383.22457621</v>
      </c>
    </row>
    <row r="6929" spans="1:2" x14ac:dyDescent="0.25">
      <c r="A6929">
        <f ca="1">31798.7887209011*((RANDBETWEEN(1587,2416)))</f>
        <v>62611814.991454348</v>
      </c>
      <c r="B6929">
        <v>204192566.97758457</v>
      </c>
    </row>
    <row r="6930" spans="1:2" x14ac:dyDescent="0.25">
      <c r="A6930">
        <f ca="1">27686.3055921*((RANDBETWEEN(1587,2416)))</f>
        <v>50444448.788806193</v>
      </c>
      <c r="B6930">
        <v>252562938.55277461</v>
      </c>
    </row>
    <row r="6931" spans="1:2" x14ac:dyDescent="0.25">
      <c r="A6931">
        <f ca="1">29338.4107899046*((RANDBETWEEN(1587,2416)))</f>
        <v>53865322.210264824</v>
      </c>
      <c r="B6931">
        <v>228932520.12987092</v>
      </c>
    </row>
    <row r="6932" spans="1:2" x14ac:dyDescent="0.25">
      <c r="A6932">
        <f ca="1">26052.0208261759*((RANDBETWEEN(1587,2416)))</f>
        <v>49811463.819648363</v>
      </c>
      <c r="B6932">
        <v>209627940.94840205</v>
      </c>
    </row>
    <row r="6933" spans="1:2" x14ac:dyDescent="0.25">
      <c r="A6933">
        <f ca="1">29224.8392366011*((RANDBETWEEN(1587,2416)))</f>
        <v>58625027.508621775</v>
      </c>
      <c r="B6933">
        <v>254635925.81592026</v>
      </c>
    </row>
    <row r="6934" spans="1:2" x14ac:dyDescent="0.25">
      <c r="A6934">
        <f ca="1">30726.5584951414*((RANDBETWEEN(1587,2416)))</f>
        <v>50637368.399993084</v>
      </c>
      <c r="B6934">
        <v>209101889.99375001</v>
      </c>
    </row>
    <row r="6935" spans="1:2" x14ac:dyDescent="0.25">
      <c r="A6935">
        <f ca="1">31331.6586314309*((RANDBETWEEN(1587,2416)))</f>
        <v>55707689.046684124</v>
      </c>
      <c r="B6935">
        <v>253850745.62865412</v>
      </c>
    </row>
    <row r="6936" spans="1:2" x14ac:dyDescent="0.25">
      <c r="A6936">
        <f ca="1">32647.3227956575*((RANDBETWEEN(1587,2416)))</f>
        <v>63988752.679488681</v>
      </c>
      <c r="B6936">
        <v>207409798.59691495</v>
      </c>
    </row>
    <row r="6937" spans="1:2" x14ac:dyDescent="0.25">
      <c r="A6937">
        <f ca="1">33731.1335857268*((RANDBETWEEN(1587,2416)))</f>
        <v>75422814.697685122</v>
      </c>
      <c r="B6937">
        <v>222924687.65631258</v>
      </c>
    </row>
    <row r="6938" spans="1:2" x14ac:dyDescent="0.25">
      <c r="A6938">
        <f ca="1">25883.7831022388*((RANDBETWEEN(1587,2416)))</f>
        <v>46668460.933336481</v>
      </c>
      <c r="B6938">
        <v>221949212.61899987</v>
      </c>
    </row>
    <row r="6939" spans="1:2" x14ac:dyDescent="0.25">
      <c r="A6939">
        <f ca="1">32952.1183031761*((RANDBETWEEN(1587,2416)))</f>
        <v>67255273.456782341</v>
      </c>
      <c r="B6939">
        <v>264197091.21897072</v>
      </c>
    </row>
    <row r="6940" spans="1:2" x14ac:dyDescent="0.25">
      <c r="A6940">
        <f ca="1">27354.2829149744*((RANDBETWEEN(1587,2416)))</f>
        <v>53422914.532944955</v>
      </c>
      <c r="B6940">
        <v>247076751.48982352</v>
      </c>
    </row>
    <row r="6941" spans="1:2" x14ac:dyDescent="0.25">
      <c r="A6941">
        <f ca="1">33318.9239842571*((RANDBETWEEN(1587,2416)))</f>
        <v>74467795.104814589</v>
      </c>
      <c r="B6941">
        <v>245947861.5177063</v>
      </c>
    </row>
    <row r="6942" spans="1:2" x14ac:dyDescent="0.25">
      <c r="A6942">
        <f ca="1">29119.9194460979*((RANDBETWEEN(1587,2416)))</f>
        <v>64733580.928675711</v>
      </c>
      <c r="B6942">
        <v>227742849.74873492</v>
      </c>
    </row>
    <row r="6943" spans="1:2" x14ac:dyDescent="0.25">
      <c r="A6943">
        <f ca="1">28145.1502331994*((RANDBETWEEN(1587,2416)))</f>
        <v>48240787.499703713</v>
      </c>
      <c r="B6943">
        <v>264131471.03237382</v>
      </c>
    </row>
    <row r="6944" spans="1:2" x14ac:dyDescent="0.25">
      <c r="A6944">
        <f ca="1">31421.6585409856*((RANDBETWEEN(1587,2416)))</f>
        <v>59386934.642462857</v>
      </c>
      <c r="B6944">
        <v>247016424.05394349</v>
      </c>
    </row>
    <row r="6945" spans="1:2" x14ac:dyDescent="0.25">
      <c r="A6945">
        <f ca="1">29035.9757552986*((RANDBETWEEN(1587,2416)))</f>
        <v>56562080.771321759</v>
      </c>
      <c r="B6945">
        <v>211586474.40794128</v>
      </c>
    </row>
    <row r="6946" spans="1:2" x14ac:dyDescent="0.25">
      <c r="A6946">
        <f ca="1">30602.3012264593*((RANDBETWEEN(1587,2416)))</f>
        <v>71823600.978499934</v>
      </c>
      <c r="B6946">
        <v>219299442.48116514</v>
      </c>
    </row>
    <row r="6947" spans="1:2" x14ac:dyDescent="0.25">
      <c r="A6947">
        <f ca="1">32085.7072728262*((RANDBETWEEN(1587,2416)))</f>
        <v>64524357.325653508</v>
      </c>
      <c r="B6947">
        <v>261014115.62280163</v>
      </c>
    </row>
    <row r="6948" spans="1:2" x14ac:dyDescent="0.25">
      <c r="A6948">
        <f ca="1">33192.6755089561*((RANDBETWEEN(1587,2416)))</f>
        <v>69040765.058628708</v>
      </c>
      <c r="B6948">
        <v>209970297.657902</v>
      </c>
    </row>
    <row r="6949" spans="1:2" x14ac:dyDescent="0.25">
      <c r="A6949">
        <f ca="1">29311.6870424978*((RANDBETWEEN(1587,2416)))</f>
        <v>69879061.909314707</v>
      </c>
      <c r="B6949">
        <v>216735083.33370835</v>
      </c>
    </row>
    <row r="6950" spans="1:2" x14ac:dyDescent="0.25">
      <c r="A6950">
        <f ca="1">29078.2552693993*((RANDBETWEEN(1587,2416)))</f>
        <v>62460092.318669625</v>
      </c>
      <c r="B6950">
        <v>253916055.86506146</v>
      </c>
    </row>
    <row r="6951" spans="1:2" x14ac:dyDescent="0.25">
      <c r="A6951">
        <f ca="1">27757.9688189719*((RANDBETWEEN(1587,2416)))</f>
        <v>59846180.773703381</v>
      </c>
      <c r="B6951">
        <v>256761871.34306192</v>
      </c>
    </row>
    <row r="6952" spans="1:2" x14ac:dyDescent="0.25">
      <c r="A6952">
        <f ca="1">30749.6653192844*((RANDBETWEEN(1587,2416)))</f>
        <v>54980401.590880521</v>
      </c>
      <c r="B6952">
        <v>264937867.88160551</v>
      </c>
    </row>
    <row r="6953" spans="1:2" x14ac:dyDescent="0.25">
      <c r="A6953">
        <f ca="1">26351.8617253036*((RANDBETWEEN(1587,2416)))</f>
        <v>41952163.866683379</v>
      </c>
      <c r="B6953">
        <v>229108142.71584648</v>
      </c>
    </row>
    <row r="6954" spans="1:2" x14ac:dyDescent="0.25">
      <c r="A6954">
        <f ca="1">29991.1813610206*((RANDBETWEEN(1587,2416)))</f>
        <v>65770660.724718101</v>
      </c>
      <c r="B6954">
        <v>210409458.44591546</v>
      </c>
    </row>
    <row r="6955" spans="1:2" x14ac:dyDescent="0.25">
      <c r="A6955">
        <f ca="1">30639.5677960202*((RANDBETWEEN(1587,2416)))</f>
        <v>70287168.524070412</v>
      </c>
      <c r="B6955">
        <v>245923802.34064969</v>
      </c>
    </row>
    <row r="6956" spans="1:2" x14ac:dyDescent="0.25">
      <c r="A6956">
        <f ca="1">27449.7913784519*((RANDBETWEEN(1587,2416)))</f>
        <v>47597938.250235543</v>
      </c>
      <c r="B6956">
        <v>230370501.67682222</v>
      </c>
    </row>
    <row r="6957" spans="1:2" x14ac:dyDescent="0.25">
      <c r="A6957">
        <f ca="1">28597.5217932461*((RANDBETWEEN(1587,2416)))</f>
        <v>51189564.009910524</v>
      </c>
      <c r="B6957">
        <v>232581517.06743214</v>
      </c>
    </row>
    <row r="6958" spans="1:2" x14ac:dyDescent="0.25">
      <c r="A6958">
        <f ca="1">27711.8654289839*((RANDBETWEEN(1587,2416)))</f>
        <v>56892459.725703999</v>
      </c>
      <c r="B6958">
        <v>249878117.32681265</v>
      </c>
    </row>
    <row r="6959" spans="1:2" x14ac:dyDescent="0.25">
      <c r="A6959">
        <f ca="1">27079.7438241567*((RANDBETWEEN(1587,2416)))</f>
        <v>55188517.913631447</v>
      </c>
      <c r="B6959">
        <v>215722175.5822244</v>
      </c>
    </row>
    <row r="6960" spans="1:2" x14ac:dyDescent="0.25">
      <c r="A6960">
        <f ca="1">28187.4971000176*((RANDBETWEEN(1587,2416)))</f>
        <v>46734870.191829138</v>
      </c>
      <c r="B6960">
        <v>222844223.21091944</v>
      </c>
    </row>
    <row r="6961" spans="1:2" x14ac:dyDescent="0.25">
      <c r="A6961">
        <f ca="1">31852.7728153533*((RANDBETWEEN(1587,2416)))</f>
        <v>69470897.510285586</v>
      </c>
      <c r="B6961">
        <v>213462784.93164766</v>
      </c>
    </row>
    <row r="6962" spans="1:2" x14ac:dyDescent="0.25">
      <c r="A6962">
        <f ca="1">27794.4088435781*((RANDBETWEEN(1587,2416)))</f>
        <v>59952539.875598043</v>
      </c>
      <c r="B6962">
        <v>264331496.70174235</v>
      </c>
    </row>
    <row r="6963" spans="1:2" x14ac:dyDescent="0.25">
      <c r="A6963">
        <f ca="1">28887.967762888*((RANDBETWEEN(1587,2416)))</f>
        <v>49282873.003486864</v>
      </c>
      <c r="B6963">
        <v>205319269.66941518</v>
      </c>
    </row>
    <row r="6964" spans="1:2" x14ac:dyDescent="0.25">
      <c r="A6964">
        <f ca="1">29801.8848211128*((RANDBETWEEN(1587,2416)))</f>
        <v>53255968.175328545</v>
      </c>
      <c r="B6964">
        <v>218016842.14200276</v>
      </c>
    </row>
    <row r="6965" spans="1:2" x14ac:dyDescent="0.25">
      <c r="A6965">
        <f ca="1">31621.0275811015*((RANDBETWEEN(1587,2416)))</f>
        <v>56601639.370171659</v>
      </c>
      <c r="B6965">
        <v>208347552.9055725</v>
      </c>
    </row>
    <row r="6966" spans="1:2" x14ac:dyDescent="0.25">
      <c r="A6966">
        <f ca="1">33422.276078189*((RANDBETWEEN(1587,2416)))</f>
        <v>66644018.499908902</v>
      </c>
      <c r="B6966">
        <v>249282456.80346909</v>
      </c>
    </row>
    <row r="6967" spans="1:2" x14ac:dyDescent="0.25">
      <c r="A6967">
        <f ca="1">26484.3119907558*((RANDBETWEEN(1587,2416)))</f>
        <v>54849010.132855192</v>
      </c>
      <c r="B6967">
        <v>210631545.32184106</v>
      </c>
    </row>
    <row r="6968" spans="1:2" x14ac:dyDescent="0.25">
      <c r="A6968">
        <f ca="1">27335.2170239558*((RANDBETWEEN(1587,2416)))</f>
        <v>60574840.925086133</v>
      </c>
      <c r="B6968">
        <v>229196310.19449323</v>
      </c>
    </row>
    <row r="6969" spans="1:2" x14ac:dyDescent="0.25">
      <c r="A6969">
        <f ca="1">29676.0925442978*((RANDBETWEEN(1587,2416)))</f>
        <v>49024904.88318003</v>
      </c>
      <c r="B6969">
        <v>237689199.55706641</v>
      </c>
    </row>
    <row r="6970" spans="1:2" x14ac:dyDescent="0.25">
      <c r="A6970">
        <f ca="1">31499.3336368948*((RANDBETWEEN(1587,2416)))</f>
        <v>53076377.178167805</v>
      </c>
      <c r="B6970">
        <v>264041894.65102172</v>
      </c>
    </row>
    <row r="6971" spans="1:2" x14ac:dyDescent="0.25">
      <c r="A6971">
        <f ca="1">29788.0744134037*((RANDBETWEEN(1587,2416)))</f>
        <v>53052560.530271962</v>
      </c>
      <c r="B6971">
        <v>227952807.86361292</v>
      </c>
    </row>
    <row r="6972" spans="1:2" x14ac:dyDescent="0.25">
      <c r="A6972">
        <f ca="1">31762.5489011077*((RANDBETWEEN(1587,2416)))</f>
        <v>52344680.589025475</v>
      </c>
      <c r="B6972">
        <v>226850289.23944449</v>
      </c>
    </row>
    <row r="6973" spans="1:2" x14ac:dyDescent="0.25">
      <c r="A6973">
        <f ca="1">26146.02887711*((RANDBETWEEN(1587,2416)))</f>
        <v>47768794.758480012</v>
      </c>
      <c r="B6973">
        <v>225088240.46299949</v>
      </c>
    </row>
    <row r="6974" spans="1:2" x14ac:dyDescent="0.25">
      <c r="A6974">
        <f ca="1">29431.3598881097*((RANDBETWEEN(1587,2416)))</f>
        <v>69693460.215043694</v>
      </c>
      <c r="B6974">
        <v>252414828.41564703</v>
      </c>
    </row>
    <row r="6975" spans="1:2" x14ac:dyDescent="0.25">
      <c r="A6975">
        <f ca="1">26828.5355027311*((RANDBETWEEN(1587,2416)))</f>
        <v>47432850.768828563</v>
      </c>
      <c r="B6975">
        <v>213620712.63800687</v>
      </c>
    </row>
    <row r="6976" spans="1:2" x14ac:dyDescent="0.25">
      <c r="A6976">
        <f ca="1">28155.6125275026*((RANDBETWEEN(1587,2416)))</f>
        <v>60787967.446878091</v>
      </c>
      <c r="B6976">
        <v>210039807.33540142</v>
      </c>
    </row>
    <row r="6977" spans="1:2" x14ac:dyDescent="0.25">
      <c r="A6977">
        <f ca="1">27402.245103551*((RANDBETWEEN(1587,2416)))</f>
        <v>60915190.865193881</v>
      </c>
      <c r="B6977">
        <v>236834515.26733691</v>
      </c>
    </row>
    <row r="6978" spans="1:2" x14ac:dyDescent="0.25">
      <c r="A6978">
        <f ca="1">32107.2741608436*((RANDBETWEEN(1587,2416)))</f>
        <v>74071481.489066184</v>
      </c>
      <c r="B6978">
        <v>262446387.28892431</v>
      </c>
    </row>
    <row r="6979" spans="1:2" x14ac:dyDescent="0.25">
      <c r="A6979">
        <f ca="1">30144.1821478444*((RANDBETWEEN(1587,2416)))</f>
        <v>72496758.065565839</v>
      </c>
      <c r="B6979">
        <v>231244994.68582782</v>
      </c>
    </row>
    <row r="6980" spans="1:2" x14ac:dyDescent="0.25">
      <c r="A6980">
        <f ca="1">29502.9112282714*((RANDBETWEEN(1587,2416)))</f>
        <v>66706082.287121542</v>
      </c>
      <c r="B6980">
        <v>205832765.26894322</v>
      </c>
    </row>
    <row r="6981" spans="1:2" x14ac:dyDescent="0.25">
      <c r="A6981">
        <f ca="1">31872.6502461887*((RANDBETWEEN(1587,2416)))</f>
        <v>57115789.241170205</v>
      </c>
      <c r="B6981">
        <v>245805840.45292336</v>
      </c>
    </row>
    <row r="6982" spans="1:2" x14ac:dyDescent="0.25">
      <c r="A6982">
        <f ca="1">31405.572830225*((RANDBETWEEN(1587,2416)))</f>
        <v>60675566.707994789</v>
      </c>
      <c r="B6982">
        <v>232451355.13731229</v>
      </c>
    </row>
    <row r="6983" spans="1:2" x14ac:dyDescent="0.25">
      <c r="A6983">
        <f ca="1">30475.5138903983*((RANDBETWEEN(1587,2416)))</f>
        <v>57050162.002825603</v>
      </c>
      <c r="B6983">
        <v>204148825.07252213</v>
      </c>
    </row>
    <row r="6984" spans="1:2" x14ac:dyDescent="0.25">
      <c r="A6984">
        <f ca="1">26608.178789097*((RANDBETWEEN(1587,2416)))</f>
        <v>58564601.51480259</v>
      </c>
      <c r="B6984">
        <v>238311040.02650088</v>
      </c>
    </row>
    <row r="6985" spans="1:2" x14ac:dyDescent="0.25">
      <c r="A6985">
        <f ca="1">26685.4284180237*((RANDBETWEEN(1587,2416)))</f>
        <v>47206522.871483982</v>
      </c>
      <c r="B6985">
        <v>228197532.8029629</v>
      </c>
    </row>
    <row r="6986" spans="1:2" x14ac:dyDescent="0.25">
      <c r="A6986">
        <f ca="1">29763.6658751497*((RANDBETWEEN(1587,2416)))</f>
        <v>60539296.390054502</v>
      </c>
      <c r="B6986">
        <v>223801817.12696695</v>
      </c>
    </row>
    <row r="6987" spans="1:2" x14ac:dyDescent="0.25">
      <c r="A6987">
        <f ca="1">26252.986287822*((RANDBETWEEN(1587,2416)))</f>
        <v>53424827.095717669</v>
      </c>
      <c r="B6987">
        <v>258022331.39118546</v>
      </c>
    </row>
    <row r="6988" spans="1:2" x14ac:dyDescent="0.25">
      <c r="A6988">
        <f ca="1">28388.0702960577*((RANDBETWEEN(1587,2416)))</f>
        <v>55896110.412937678</v>
      </c>
      <c r="B6988">
        <v>217929874.29432458</v>
      </c>
    </row>
    <row r="6989" spans="1:2" x14ac:dyDescent="0.25">
      <c r="A6989">
        <f ca="1">28903.9656572674*((RANDBETWEEN(1587,2416)))</f>
        <v>64687075.140964381</v>
      </c>
      <c r="B6989">
        <v>222040206.57429254</v>
      </c>
    </row>
    <row r="6990" spans="1:2" x14ac:dyDescent="0.25">
      <c r="A6990">
        <f ca="1">31665.2180634437*((RANDBETWEEN(1587,2416)))</f>
        <v>75806532.043884262</v>
      </c>
      <c r="B6990">
        <v>205643755.15586817</v>
      </c>
    </row>
    <row r="6991" spans="1:2" x14ac:dyDescent="0.25">
      <c r="A6991">
        <f ca="1">32203.4845840005*((RANDBETWEEN(1587,2416)))</f>
        <v>53747615.770696886</v>
      </c>
      <c r="B6991">
        <v>217619569.62486571</v>
      </c>
    </row>
    <row r="6992" spans="1:2" x14ac:dyDescent="0.25">
      <c r="A6992">
        <f ca="1">31707.2224056379*((RANDBETWEEN(1587,2416)))</f>
        <v>50446190.847369909</v>
      </c>
      <c r="B6992">
        <v>240371836.52322403</v>
      </c>
    </row>
    <row r="6993" spans="1:2" x14ac:dyDescent="0.25">
      <c r="A6993">
        <f ca="1">31616.5168412538*((RANDBETWEEN(1587,2416)))</f>
        <v>55297287.955352813</v>
      </c>
      <c r="B6993">
        <v>234052127.56279552</v>
      </c>
    </row>
    <row r="6994" spans="1:2" x14ac:dyDescent="0.25">
      <c r="A6994">
        <f ca="1">29740.7569124755*((RANDBETWEEN(1587,2416)))</f>
        <v>70128704.799617305</v>
      </c>
      <c r="B6994">
        <v>205721464.74726158</v>
      </c>
    </row>
    <row r="6995" spans="1:2" x14ac:dyDescent="0.25">
      <c r="A6995">
        <f ca="1">26153.2257413081*((RANDBETWEEN(1587,2416)))</f>
        <v>59263209.529804185</v>
      </c>
      <c r="B6995">
        <v>252016194.40477377</v>
      </c>
    </row>
    <row r="6996" spans="1:2" x14ac:dyDescent="0.25">
      <c r="A6996">
        <f ca="1">31880.2880255751*((RANDBETWEEN(1587,2416)))</f>
        <v>52634355.530224562</v>
      </c>
      <c r="B6996">
        <v>235345989.20747942</v>
      </c>
    </row>
    <row r="6997" spans="1:2" x14ac:dyDescent="0.25">
      <c r="A6997">
        <f ca="1">26340.7969253429*((RANDBETWEEN(1587,2416)))</f>
        <v>52681593.850685783</v>
      </c>
      <c r="B6997">
        <v>221723824.28048223</v>
      </c>
    </row>
    <row r="6998" spans="1:2" x14ac:dyDescent="0.25">
      <c r="A6998">
        <f ca="1">31116.7557098604*((RANDBETWEEN(1587,2416)))</f>
        <v>58592851.001667224</v>
      </c>
      <c r="B6998">
        <v>230666482.62756345</v>
      </c>
    </row>
    <row r="6999" spans="1:2" x14ac:dyDescent="0.25">
      <c r="A6999">
        <f ca="1">30647.1956138323*((RANDBETWEEN(1587,2416)))</f>
        <v>68772306.957439676</v>
      </c>
      <c r="B6999">
        <v>218382405.8556596</v>
      </c>
    </row>
    <row r="7000" spans="1:2" x14ac:dyDescent="0.25">
      <c r="A7000">
        <f ca="1">27542.3441388584*((RANDBETWEEN(1587,2416)))</f>
        <v>50182151.020999916</v>
      </c>
      <c r="B7000">
        <v>263610328.61943153</v>
      </c>
    </row>
    <row r="7001" spans="1:2" x14ac:dyDescent="0.25">
      <c r="A7001">
        <f ca="1">31680.6130404906*((RANDBETWEEN(1587,2416)))</f>
        <v>69887432.367322251</v>
      </c>
      <c r="B7001">
        <v>266884064.11033362</v>
      </c>
    </row>
    <row r="7002" spans="1:2" x14ac:dyDescent="0.25">
      <c r="A7002">
        <f ca="1">28052.35386106*((RANDBETWEEN(1587,2416)))</f>
        <v>51027231.673268177</v>
      </c>
      <c r="B7002">
        <v>246213437.22695088</v>
      </c>
    </row>
    <row r="7003" spans="1:2" x14ac:dyDescent="0.25">
      <c r="A7003">
        <f ca="1">29936.6718840762*((RANDBETWEEN(1587,2416)))</f>
        <v>50922278.874813557</v>
      </c>
      <c r="B7003">
        <v>243385370.66161513</v>
      </c>
    </row>
    <row r="7004" spans="1:2" x14ac:dyDescent="0.25">
      <c r="A7004">
        <f ca="1">27782.825165541*((RANDBETWEEN(1587,2416)))</f>
        <v>53287458.667507723</v>
      </c>
      <c r="B7004">
        <v>234422657.91814175</v>
      </c>
    </row>
    <row r="7005" spans="1:2" x14ac:dyDescent="0.25">
      <c r="A7005">
        <f ca="1">30758.7891586397*((RANDBETWEEN(1587,2416)))</f>
        <v>64009040.23912929</v>
      </c>
      <c r="B7005">
        <v>267451033.65598491</v>
      </c>
    </row>
    <row r="7006" spans="1:2" x14ac:dyDescent="0.25">
      <c r="A7006">
        <f ca="1">30083.013664348*((RANDBETWEEN(1587,2416)))</f>
        <v>70484501.015567333</v>
      </c>
      <c r="B7006">
        <v>209985873.86801666</v>
      </c>
    </row>
    <row r="7007" spans="1:2" x14ac:dyDescent="0.25">
      <c r="A7007">
        <f ca="1">32484.9708766959*((RANDBETWEEN(1587,2416)))</f>
        <v>77671565.366179928</v>
      </c>
      <c r="B7007">
        <v>207588993.08393845</v>
      </c>
    </row>
    <row r="7008" spans="1:2" x14ac:dyDescent="0.25">
      <c r="A7008">
        <f ca="1">29997.3620992801*((RANDBETWEEN(1587,2416)))</f>
        <v>70973758.726896748</v>
      </c>
      <c r="B7008">
        <v>211982834.3049508</v>
      </c>
    </row>
    <row r="7009" spans="1:2" x14ac:dyDescent="0.25">
      <c r="A7009">
        <f ca="1">27397.1574072566*((RANDBETWEEN(1587,2416)))</f>
        <v>62794284.777432233</v>
      </c>
      <c r="B7009">
        <v>216716142.574514</v>
      </c>
    </row>
    <row r="7010" spans="1:2" x14ac:dyDescent="0.25">
      <c r="A7010">
        <f ca="1">32066.6402858479*((RANDBETWEEN(1587,2416)))</f>
        <v>70706941.830294549</v>
      </c>
      <c r="B7010">
        <v>236103233.80989355</v>
      </c>
    </row>
    <row r="7011" spans="1:2" x14ac:dyDescent="0.25">
      <c r="A7011">
        <f ca="1">29692.328746751*((RANDBETWEEN(1587,2416)))</f>
        <v>57900041.056164376</v>
      </c>
      <c r="B7011">
        <v>247470895.96176681</v>
      </c>
    </row>
    <row r="7012" spans="1:2" x14ac:dyDescent="0.25">
      <c r="A7012">
        <f ca="1">33012.5044305697*((RANDBETWEEN(1587,2416)))</f>
        <v>79758210.70425649</v>
      </c>
      <c r="B7012">
        <v>243508522.70724553</v>
      </c>
    </row>
    <row r="7013" spans="1:2" x14ac:dyDescent="0.25">
      <c r="A7013">
        <f ca="1">31723.5031182272*((RANDBETWEEN(1587,2416)))</f>
        <v>54723042.878941923</v>
      </c>
      <c r="B7013">
        <v>244531042.6751658</v>
      </c>
    </row>
    <row r="7014" spans="1:2" x14ac:dyDescent="0.25">
      <c r="A7014">
        <f ca="1">28222.7993951544*((RANDBETWEEN(1587,2416)))</f>
        <v>48571437.759060755</v>
      </c>
      <c r="B7014">
        <v>253671078.8360621</v>
      </c>
    </row>
    <row r="7015" spans="1:2" x14ac:dyDescent="0.25">
      <c r="A7015">
        <f ca="1">33009.9633750317*((RANDBETWEEN(1587,2416)))</f>
        <v>78794782.576200709</v>
      </c>
      <c r="B7015">
        <v>229325622.526651</v>
      </c>
    </row>
    <row r="7016" spans="1:2" x14ac:dyDescent="0.25">
      <c r="A7016">
        <f ca="1">26339.3089491272*((RANDBETWEEN(1587,2416)))</f>
        <v>62424162.209431387</v>
      </c>
      <c r="B7016">
        <v>246292255.99787784</v>
      </c>
    </row>
    <row r="7017" spans="1:2" x14ac:dyDescent="0.25">
      <c r="A7017">
        <f ca="1">31340.8481809114*((RANDBETWEEN(1587,2416)))</f>
        <v>57949228.28650523</v>
      </c>
      <c r="B7017">
        <v>262856984.34495178</v>
      </c>
    </row>
    <row r="7018" spans="1:2" x14ac:dyDescent="0.25">
      <c r="A7018">
        <f ca="1">28685.4341278732*((RANDBETWEEN(1587,2416)))</f>
        <v>59665702.985976353</v>
      </c>
      <c r="B7018">
        <v>245796688.11125159</v>
      </c>
    </row>
    <row r="7019" spans="1:2" x14ac:dyDescent="0.25">
      <c r="A7019">
        <f ca="1">31255.5430234841*((RANDBETWEEN(1587,2416)))</f>
        <v>58260332.19577428</v>
      </c>
      <c r="B7019">
        <v>230835716.35976213</v>
      </c>
    </row>
    <row r="7020" spans="1:2" x14ac:dyDescent="0.25">
      <c r="A7020">
        <f ca="1">28437.4563693511*((RANDBETWEEN(1587,2416)))</f>
        <v>61879905.059707947</v>
      </c>
      <c r="B7020">
        <v>232038030.92161351</v>
      </c>
    </row>
    <row r="7021" spans="1:2" x14ac:dyDescent="0.25">
      <c r="A7021">
        <f ca="1">27167.9481314988*((RANDBETWEEN(1587,2416)))</f>
        <v>54091384.729814067</v>
      </c>
      <c r="B7021">
        <v>216285715.66457337</v>
      </c>
    </row>
    <row r="7022" spans="1:2" x14ac:dyDescent="0.25">
      <c r="A7022">
        <f ca="1">28662.4115971304*((RANDBETWEEN(1587,2416)))</f>
        <v>49156035.88907861</v>
      </c>
      <c r="B7022">
        <v>239272964.85377297</v>
      </c>
    </row>
    <row r="7023" spans="1:2" x14ac:dyDescent="0.25">
      <c r="A7023">
        <f ca="1">32689.329014565*((RANDBETWEEN(1587,2416)))</f>
        <v>68320697.640440822</v>
      </c>
      <c r="B7023">
        <v>258421969.69419</v>
      </c>
    </row>
    <row r="7024" spans="1:2" x14ac:dyDescent="0.25">
      <c r="A7024">
        <f ca="1">29734.4110585766*((RANDBETWEEN(1587,2416)))</f>
        <v>56108833.667533964</v>
      </c>
      <c r="B7024">
        <v>257528452.90794313</v>
      </c>
    </row>
    <row r="7025" spans="1:2" x14ac:dyDescent="0.25">
      <c r="A7025">
        <f ca="1">27588.4660384327*((RANDBETWEEN(1587,2416)))</f>
        <v>58846198.059976928</v>
      </c>
      <c r="B7025">
        <v>224529141.08799785</v>
      </c>
    </row>
    <row r="7026" spans="1:2" x14ac:dyDescent="0.25">
      <c r="A7026">
        <f ca="1">27890.1801950494*((RANDBETWEEN(1587,2416)))</f>
        <v>57900014.084922493</v>
      </c>
      <c r="B7026">
        <v>224312745.93865481</v>
      </c>
    </row>
    <row r="7027" spans="1:2" x14ac:dyDescent="0.25">
      <c r="A7027">
        <f ca="1">29245.530814427*((RANDBETWEEN(1587,2416)))</f>
        <v>48284371.374619059</v>
      </c>
      <c r="B7027">
        <v>208433804.48126358</v>
      </c>
    </row>
    <row r="7028" spans="1:2" x14ac:dyDescent="0.25">
      <c r="A7028">
        <f ca="1">28473.7819971609*((RANDBETWEEN(1587,2416)))</f>
        <v>63923640.5836263</v>
      </c>
      <c r="B7028">
        <v>221707222.79484832</v>
      </c>
    </row>
    <row r="7029" spans="1:2" x14ac:dyDescent="0.25">
      <c r="A7029">
        <f ca="1">26454.8483546741*((RANDBETWEEN(1587,2416)))</f>
        <v>44629329.174335338</v>
      </c>
      <c r="B7029">
        <v>242692011.36222258</v>
      </c>
    </row>
    <row r="7030" spans="1:2" x14ac:dyDescent="0.25">
      <c r="A7030">
        <f ca="1">26662.9667256719*((RANDBETWEEN(1587,2416)))</f>
        <v>46100269.468686767</v>
      </c>
      <c r="B7030">
        <v>254231132.42675912</v>
      </c>
    </row>
    <row r="7031" spans="1:2" x14ac:dyDescent="0.25">
      <c r="A7031">
        <f ca="1">26588.0601595567*((RANDBETWEEN(1587,2416)))</f>
        <v>58493732.351024814</v>
      </c>
      <c r="B7031">
        <v>206760941.64165005</v>
      </c>
    </row>
    <row r="7032" spans="1:2" x14ac:dyDescent="0.25">
      <c r="A7032">
        <f ca="1">30764.8814931875*((RANDBETWEEN(1587,2416)))</f>
        <v>56053614.080587603</v>
      </c>
      <c r="B7032">
        <v>207256829.08295861</v>
      </c>
    </row>
    <row r="7033" spans="1:2" x14ac:dyDescent="0.25">
      <c r="A7033">
        <f ca="1">31676.6566251221*((RANDBETWEEN(1587,2416)))</f>
        <v>72729603.611280456</v>
      </c>
      <c r="B7033">
        <v>221811510.3148618</v>
      </c>
    </row>
    <row r="7034" spans="1:2" x14ac:dyDescent="0.25">
      <c r="A7034">
        <f ca="1">26548.1798835943*((RANDBETWEEN(1587,2416)))</f>
        <v>53600775.184976831</v>
      </c>
      <c r="B7034">
        <v>250619557.31853193</v>
      </c>
    </row>
    <row r="7035" spans="1:2" x14ac:dyDescent="0.25">
      <c r="A7035">
        <f ca="1">33632.2395429596*((RANDBETWEEN(1587,2416)))</f>
        <v>66188247.420544423</v>
      </c>
      <c r="B7035">
        <v>253896197.89454544</v>
      </c>
    </row>
    <row r="7036" spans="1:2" x14ac:dyDescent="0.25">
      <c r="A7036">
        <f ca="1">27452.4994134405*((RANDBETWEEN(1587,2416)))</f>
        <v>59571923.727165975</v>
      </c>
      <c r="B7036">
        <v>265583966.05298638</v>
      </c>
    </row>
    <row r="7037" spans="1:2" x14ac:dyDescent="0.25">
      <c r="A7037">
        <f ca="1">30345.2204414704*((RANDBETWEEN(1587,2416)))</f>
        <v>65818783.137549289</v>
      </c>
      <c r="B7037">
        <v>241458252.68422985</v>
      </c>
    </row>
    <row r="7038" spans="1:2" x14ac:dyDescent="0.25">
      <c r="A7038">
        <f ca="1">32469.4099552444*((RANDBETWEEN(1587,2416)))</f>
        <v>62049042.424471967</v>
      </c>
      <c r="B7038">
        <v>266620310.05756143</v>
      </c>
    </row>
    <row r="7039" spans="1:2" x14ac:dyDescent="0.25">
      <c r="A7039">
        <f ca="1">29796.4059077445*((RANDBETWEEN(1587,2416)))</f>
        <v>69276643.735506043</v>
      </c>
      <c r="B7039">
        <v>242027187.17666221</v>
      </c>
    </row>
    <row r="7040" spans="1:2" x14ac:dyDescent="0.25">
      <c r="A7040">
        <f ca="1">27869.2974009423*((RANDBETWEEN(1587,2416)))</f>
        <v>44841699.518116131</v>
      </c>
      <c r="B7040">
        <v>253927548.00879049</v>
      </c>
    </row>
    <row r="7041" spans="1:2" x14ac:dyDescent="0.25">
      <c r="A7041">
        <f ca="1">27562.2176958291*((RANDBETWEEN(1587,2416)))</f>
        <v>64109718.36049848</v>
      </c>
      <c r="B7041">
        <v>209799497.26120764</v>
      </c>
    </row>
    <row r="7042" spans="1:2" x14ac:dyDescent="0.25">
      <c r="A7042">
        <f ca="1">27822.2876632943*((RANDBETWEEN(1587,2416)))</f>
        <v>54949018.135006279</v>
      </c>
      <c r="B7042">
        <v>232196603.64898545</v>
      </c>
    </row>
    <row r="7043" spans="1:2" x14ac:dyDescent="0.25">
      <c r="A7043">
        <f ca="1">31641.1442469637*((RANDBETWEEN(1587,2416)))</f>
        <v>61985001.579801902</v>
      </c>
      <c r="B7043">
        <v>258832991.37355238</v>
      </c>
    </row>
    <row r="7044" spans="1:2" x14ac:dyDescent="0.25">
      <c r="A7044">
        <f ca="1">29471.5277735511*((RANDBETWEEN(1587,2416)))</f>
        <v>70731666.656522557</v>
      </c>
      <c r="B7044">
        <v>267416109.83092093</v>
      </c>
    </row>
    <row r="7045" spans="1:2" x14ac:dyDescent="0.25">
      <c r="A7045">
        <f ca="1">32384.492211664*((RANDBETWEEN(1587,2416)))</f>
        <v>58486392.934265107</v>
      </c>
      <c r="B7045">
        <v>253776345.33408239</v>
      </c>
    </row>
    <row r="7046" spans="1:2" x14ac:dyDescent="0.25">
      <c r="A7046">
        <f ca="1">32297.2592321674*((RANDBETWEEN(1587,2416)))</f>
        <v>62882763.725029938</v>
      </c>
      <c r="B7046">
        <v>263796850.97966808</v>
      </c>
    </row>
    <row r="7047" spans="1:2" x14ac:dyDescent="0.25">
      <c r="A7047">
        <f ca="1">31215.9839300448*((RANDBETWEEN(1587,2416)))</f>
        <v>53722708.34360712</v>
      </c>
      <c r="B7047">
        <v>223501802.35670415</v>
      </c>
    </row>
    <row r="7048" spans="1:2" x14ac:dyDescent="0.25">
      <c r="A7048">
        <f ca="1">29520.7667747922*((RANDBETWEEN(1587,2416)))</f>
        <v>61344153.358018234</v>
      </c>
      <c r="B7048">
        <v>221502486.96212924</v>
      </c>
    </row>
    <row r="7049" spans="1:2" x14ac:dyDescent="0.25">
      <c r="A7049">
        <f ca="1">26603.4699008985*((RANDBETWEEN(1587,2416)))</f>
        <v>60629307.904147677</v>
      </c>
      <c r="B7049">
        <v>231558028.8520982</v>
      </c>
    </row>
    <row r="7050" spans="1:2" x14ac:dyDescent="0.25">
      <c r="A7050">
        <f ca="1">31073.4124163797*((RANDBETWEEN(1587,2416)))</f>
        <v>60375640.325025827</v>
      </c>
      <c r="B7050">
        <v>252712927.8671093</v>
      </c>
    </row>
    <row r="7051" spans="1:2" x14ac:dyDescent="0.25">
      <c r="A7051">
        <f ca="1">31261.3608050978*((RANDBETWEEN(1587,2416)))</f>
        <v>66805528.040494017</v>
      </c>
      <c r="B7051">
        <v>249892038.20242003</v>
      </c>
    </row>
    <row r="7052" spans="1:2" x14ac:dyDescent="0.25">
      <c r="A7052">
        <f ca="1">31058.2852478784*((RANDBETWEEN(1587,2416)))</f>
        <v>67676003.555126965</v>
      </c>
      <c r="B7052">
        <v>267248080.05555856</v>
      </c>
    </row>
    <row r="7053" spans="1:2" x14ac:dyDescent="0.25">
      <c r="A7053">
        <f ca="1">30067.36341381*((RANDBETWEEN(1587,2416)))</f>
        <v>54181388.871685587</v>
      </c>
      <c r="B7053">
        <v>212924779.81901377</v>
      </c>
    </row>
    <row r="7054" spans="1:2" x14ac:dyDescent="0.25">
      <c r="A7054">
        <f ca="1">29362.3115021625*((RANDBETWEEN(1587,2416)))</f>
        <v>61690216.46604342</v>
      </c>
      <c r="B7054">
        <v>267050442.13562164</v>
      </c>
    </row>
    <row r="7055" spans="1:2" x14ac:dyDescent="0.25">
      <c r="A7055">
        <f ca="1">29654.2361316376*((RANDBETWEEN(1587,2416)))</f>
        <v>48810872.672675446</v>
      </c>
      <c r="B7055">
        <v>212073595.17221332</v>
      </c>
    </row>
    <row r="7056" spans="1:2" x14ac:dyDescent="0.25">
      <c r="A7056">
        <f ca="1">29718.5563195144*((RANDBETWEEN(1587,2416)))</f>
        <v>65410542.459251113</v>
      </c>
      <c r="B7056">
        <v>248828286.76473877</v>
      </c>
    </row>
    <row r="7057" spans="1:2" x14ac:dyDescent="0.25">
      <c r="A7057">
        <f ca="1">31710.7200030354*((RANDBETWEEN(1587,2416)))</f>
        <v>63040911.366034396</v>
      </c>
      <c r="B7057">
        <v>251370545.55127239</v>
      </c>
    </row>
    <row r="7058" spans="1:2" x14ac:dyDescent="0.25">
      <c r="A7058">
        <f ca="1">32073.2587542817*((RANDBETWEEN(1587,2416)))</f>
        <v>57282840.135147162</v>
      </c>
      <c r="B7058">
        <v>244508011.05819589</v>
      </c>
    </row>
    <row r="7059" spans="1:2" x14ac:dyDescent="0.25">
      <c r="A7059">
        <f ca="1">28011.755607065*((RANDBETWEEN(1587,2416)))</f>
        <v>56751816.859913789</v>
      </c>
      <c r="B7059">
        <v>227767501.10363972</v>
      </c>
    </row>
    <row r="7060" spans="1:2" x14ac:dyDescent="0.25">
      <c r="A7060">
        <f ca="1">31771.0921854852*((RANDBETWEEN(1587,2416)))</f>
        <v>71675583.970454544</v>
      </c>
      <c r="B7060">
        <v>231059920.38616151</v>
      </c>
    </row>
    <row r="7061" spans="1:2" x14ac:dyDescent="0.25">
      <c r="A7061">
        <f ca="1">27633.4765424967*((RANDBETWEEN(1587,2416)))</f>
        <v>52172003.712233685</v>
      </c>
      <c r="B7061">
        <v>235253097.48280177</v>
      </c>
    </row>
    <row r="7062" spans="1:2" x14ac:dyDescent="0.25">
      <c r="A7062">
        <f ca="1">31815.832304719*((RANDBETWEEN(1587,2416)))</f>
        <v>66113299.529206112</v>
      </c>
      <c r="B7062">
        <v>205984935.70243376</v>
      </c>
    </row>
    <row r="7063" spans="1:2" x14ac:dyDescent="0.25">
      <c r="A7063">
        <f ca="1">27779.3373133815*((RANDBETWEEN(1587,2416)))</f>
        <v>55003087.88049534</v>
      </c>
      <c r="B7063">
        <v>266322042.50351739</v>
      </c>
    </row>
    <row r="7064" spans="1:2" x14ac:dyDescent="0.25">
      <c r="A7064">
        <f ca="1">26038.4667619687*((RANDBETWEEN(1587,2416)))</f>
        <v>46582817.037161976</v>
      </c>
      <c r="B7064">
        <v>221466160.29065293</v>
      </c>
    </row>
    <row r="7065" spans="1:2" x14ac:dyDescent="0.25">
      <c r="A7065">
        <f ca="1">31284.995600297*((RANDBETWEEN(1587,2416)))</f>
        <v>71361074.964277551</v>
      </c>
      <c r="B7065">
        <v>214180050.04906932</v>
      </c>
    </row>
    <row r="7066" spans="1:2" x14ac:dyDescent="0.25">
      <c r="A7066">
        <f ca="1">28599.74156954*((RANDBETWEEN(1587,2416)))</f>
        <v>48762559.376065627</v>
      </c>
      <c r="B7066">
        <v>228253898.33643818</v>
      </c>
    </row>
    <row r="7067" spans="1:2" x14ac:dyDescent="0.25">
      <c r="A7067">
        <f ca="1">26418.2439890127*((RANDBETWEEN(1587,2416)))</f>
        <v>58701338.143586166</v>
      </c>
      <c r="B7067">
        <v>206150906.94560167</v>
      </c>
    </row>
    <row r="7068" spans="1:2" x14ac:dyDescent="0.25">
      <c r="A7068">
        <f ca="1">29145.5702353861*((RANDBETWEEN(1587,2416)))</f>
        <v>61409716.485958576</v>
      </c>
      <c r="B7068">
        <v>254634498.65440649</v>
      </c>
    </row>
    <row r="7069" spans="1:2" x14ac:dyDescent="0.25">
      <c r="A7069">
        <f ca="1">26078.3273096622*((RANDBETWEEN(1587,2416)))</f>
        <v>50904894.908460654</v>
      </c>
      <c r="B7069">
        <v>254793428.7030305</v>
      </c>
    </row>
    <row r="7070" spans="1:2" x14ac:dyDescent="0.25">
      <c r="A7070">
        <f ca="1">31611.0823454454*((RANDBETWEEN(1587,2416)))</f>
        <v>64328552.572981395</v>
      </c>
      <c r="B7070">
        <v>253586787.60252523</v>
      </c>
    </row>
    <row r="7071" spans="1:2" x14ac:dyDescent="0.25">
      <c r="A7071">
        <f ca="1">32324.4055303913*((RANDBETWEEN(1587,2416)))</f>
        <v>65683192.037755109</v>
      </c>
      <c r="B7071">
        <v>265908524.59538975</v>
      </c>
    </row>
    <row r="7072" spans="1:2" x14ac:dyDescent="0.25">
      <c r="A7072">
        <f ca="1">30804.2123545743*((RANDBETWEEN(1587,2416)))</f>
        <v>65058496.49286098</v>
      </c>
      <c r="B7072">
        <v>246991587.91815588</v>
      </c>
    </row>
    <row r="7073" spans="1:2" x14ac:dyDescent="0.25">
      <c r="A7073">
        <f ca="1">27207.0752254703*((RANDBETWEEN(1587,2416)))</f>
        <v>54985499.030675463</v>
      </c>
      <c r="B7073">
        <v>226103008.12197757</v>
      </c>
    </row>
    <row r="7074" spans="1:2" x14ac:dyDescent="0.25">
      <c r="A7074">
        <f ca="1">32004.7034796051*((RANDBETWEEN(1587,2416)))</f>
        <v>69066150.108987898</v>
      </c>
      <c r="B7074">
        <v>258417999.28457111</v>
      </c>
    </row>
    <row r="7075" spans="1:2" x14ac:dyDescent="0.25">
      <c r="A7075">
        <f ca="1">30184.8159364137*((RANDBETWEEN(1587,2416)))</f>
        <v>60701664.848127887</v>
      </c>
      <c r="B7075">
        <v>214025618.35770085</v>
      </c>
    </row>
    <row r="7076" spans="1:2" x14ac:dyDescent="0.25">
      <c r="A7076">
        <f ca="1">29204.6662083526*((RANDBETWEEN(1587,2416)))</f>
        <v>51487826.525325716</v>
      </c>
      <c r="B7076">
        <v>209947038.33138031</v>
      </c>
    </row>
    <row r="7077" spans="1:2" x14ac:dyDescent="0.25">
      <c r="A7077">
        <f ca="1">29326.9197808451*((RANDBETWEEN(1587,2416)))</f>
        <v>51937974.931876734</v>
      </c>
      <c r="B7077">
        <v>245900445.95240211</v>
      </c>
    </row>
    <row r="7078" spans="1:2" x14ac:dyDescent="0.25">
      <c r="A7078">
        <f ca="1">29829.8708061377*((RANDBETWEEN(1587,2416)))</f>
        <v>62672558.563695513</v>
      </c>
      <c r="B7078">
        <v>267909993.52377063</v>
      </c>
    </row>
    <row r="7079" spans="1:2" x14ac:dyDescent="0.25">
      <c r="A7079">
        <f ca="1">28708.098852356*((RANDBETWEEN(1587,2416)))</f>
        <v>46564536.33852151</v>
      </c>
      <c r="B7079">
        <v>215845161.72710007</v>
      </c>
    </row>
    <row r="7080" spans="1:2" x14ac:dyDescent="0.25">
      <c r="A7080">
        <f ca="1">26503.0311037789*((RANDBETWEEN(1587,2416)))</f>
        <v>56053910.784492284</v>
      </c>
      <c r="B7080">
        <v>241905729.55557472</v>
      </c>
    </row>
    <row r="7081" spans="1:2" x14ac:dyDescent="0.25">
      <c r="A7081">
        <f ca="1">33049.8747708903*((RANDBETWEEN(1587,2416)))</f>
        <v>78724801.704260662</v>
      </c>
      <c r="B7081">
        <v>267654139.88456535</v>
      </c>
    </row>
    <row r="7082" spans="1:2" x14ac:dyDescent="0.25">
      <c r="A7082">
        <f ca="1">33845.5729829439*((RANDBETWEEN(1587,2416)))</f>
        <v>73207974.36210762</v>
      </c>
      <c r="B7082">
        <v>242658981.90172175</v>
      </c>
    </row>
    <row r="7083" spans="1:2" x14ac:dyDescent="0.25">
      <c r="A7083">
        <f ca="1">25544.5365231721*((RANDBETWEEN(1587,2416)))</f>
        <v>48841153.832305089</v>
      </c>
      <c r="B7083">
        <v>247269725.57674745</v>
      </c>
    </row>
    <row r="7084" spans="1:2" x14ac:dyDescent="0.25">
      <c r="A7084">
        <f ca="1">31639.1024126057*((RANDBETWEEN(1587,2416)))</f>
        <v>66347197.75923416</v>
      </c>
      <c r="B7084">
        <v>229925676.48780251</v>
      </c>
    </row>
    <row r="7085" spans="1:2" x14ac:dyDescent="0.25">
      <c r="A7085">
        <f ca="1">33803.4864151526*((RANDBETWEEN(1587,2416)))</f>
        <v>59325118.658592872</v>
      </c>
      <c r="B7085">
        <v>224135378.03871149</v>
      </c>
    </row>
    <row r="7086" spans="1:2" x14ac:dyDescent="0.25">
      <c r="A7086">
        <f ca="1">29722.4614646777*((RANDBETWEEN(1587,2416)))</f>
        <v>51925140.178791896</v>
      </c>
      <c r="B7086">
        <v>235293264.27095738</v>
      </c>
    </row>
    <row r="7087" spans="1:2" x14ac:dyDescent="0.25">
      <c r="A7087">
        <f ca="1">25849.3706921078*((RANDBETWEEN(1587,2416)))</f>
        <v>49346448.651233859</v>
      </c>
      <c r="B7087">
        <v>243073834.05613095</v>
      </c>
    </row>
    <row r="7088" spans="1:2" x14ac:dyDescent="0.25">
      <c r="A7088">
        <f ca="1">30994.6418766669*((RANDBETWEEN(1587,2416)))</f>
        <v>62206246.246470407</v>
      </c>
      <c r="B7088">
        <v>257616856.31163841</v>
      </c>
    </row>
    <row r="7089" spans="1:2" x14ac:dyDescent="0.25">
      <c r="A7089">
        <f ca="1">31781.5084836196*((RANDBETWEEN(1587,2416)))</f>
        <v>67472142.51072444</v>
      </c>
      <c r="B7089">
        <v>261921475.47399306</v>
      </c>
    </row>
    <row r="7090" spans="1:2" x14ac:dyDescent="0.25">
      <c r="A7090">
        <f ca="1">30448.443147717*((RANDBETWEEN(1587,2416)))</f>
        <v>69909625.467158273</v>
      </c>
      <c r="B7090">
        <v>235248641.45327652</v>
      </c>
    </row>
    <row r="7091" spans="1:2" x14ac:dyDescent="0.25">
      <c r="A7091">
        <f ca="1">26182.4396259124*((RANDBETWEEN(1587,2416)))</f>
        <v>50924845.072399557</v>
      </c>
      <c r="B7091">
        <v>244053391.95010284</v>
      </c>
    </row>
    <row r="7092" spans="1:2" x14ac:dyDescent="0.25">
      <c r="A7092">
        <f ca="1">29977.1639483659*((RANDBETWEEN(1587,2416)))</f>
        <v>57196428.813482083</v>
      </c>
      <c r="B7092">
        <v>234843680.99871248</v>
      </c>
    </row>
    <row r="7093" spans="1:2" x14ac:dyDescent="0.25">
      <c r="A7093">
        <f ca="1">27916.7822277597*((RANDBETWEEN(1587,2416)))</f>
        <v>47737697.609469093</v>
      </c>
      <c r="B7093">
        <v>218307646.43987176</v>
      </c>
    </row>
    <row r="7094" spans="1:2" x14ac:dyDescent="0.25">
      <c r="A7094">
        <f ca="1">30827.2168930417*((RANDBETWEEN(1587,2416)))</f>
        <v>61592779.352297403</v>
      </c>
      <c r="B7094">
        <v>217081254.95565525</v>
      </c>
    </row>
    <row r="7095" spans="1:2" x14ac:dyDescent="0.25">
      <c r="A7095">
        <f ca="1">27932.5251584837*((RANDBETWEEN(1587,2416)))</f>
        <v>48127740.848067388</v>
      </c>
      <c r="B7095">
        <v>235280608.76340097</v>
      </c>
    </row>
    <row r="7096" spans="1:2" x14ac:dyDescent="0.25">
      <c r="A7096">
        <f ca="1">28711.8334528089*((RANDBETWEEN(1587,2416)))</f>
        <v>45651815.18996609</v>
      </c>
      <c r="B7096">
        <v>214444097.54724306</v>
      </c>
    </row>
    <row r="7097" spans="1:2" x14ac:dyDescent="0.25">
      <c r="A7097">
        <f ca="1">27334.4107739737*((RANDBETWEEN(1587,2416)))</f>
        <v>48190566.194515631</v>
      </c>
      <c r="B7097">
        <v>252008462.30892003</v>
      </c>
    </row>
    <row r="7098" spans="1:2" x14ac:dyDescent="0.25">
      <c r="A7098">
        <f ca="1">27585.4494542447*((RANDBETWEEN(1587,2416)))</f>
        <v>54426091.773224808</v>
      </c>
      <c r="B7098">
        <v>204825247.31060258</v>
      </c>
    </row>
    <row r="7099" spans="1:2" x14ac:dyDescent="0.25">
      <c r="A7099">
        <f ca="1">28429.6290155253*((RANDBETWEEN(1587,2416)))</f>
        <v>47335332.310849659</v>
      </c>
      <c r="B7099">
        <v>237978432.70831138</v>
      </c>
    </row>
    <row r="7100" spans="1:2" x14ac:dyDescent="0.25">
      <c r="A7100">
        <f ca="1">29674.8438630397*((RANDBETWEEN(1587,2416)))</f>
        <v>54661062.395719096</v>
      </c>
      <c r="B7100">
        <v>220459012.27009881</v>
      </c>
    </row>
    <row r="7101" spans="1:2" x14ac:dyDescent="0.25">
      <c r="A7101">
        <f ca="1">30853.9814535817*((RANDBETWEEN(1587,2416)))</f>
        <v>67755343.272065431</v>
      </c>
      <c r="B7101">
        <v>243237819.10472411</v>
      </c>
    </row>
    <row r="7102" spans="1:2" x14ac:dyDescent="0.25">
      <c r="A7102">
        <f ca="1">31645.7233249164*((RANDBETWEEN(1587,2416)))</f>
        <v>68323116.658494577</v>
      </c>
      <c r="B7102">
        <v>246373194.29156852</v>
      </c>
    </row>
    <row r="7103" spans="1:2" x14ac:dyDescent="0.25">
      <c r="A7103">
        <f ca="1">29404.5816490866*((RANDBETWEEN(1587,2416)))</f>
        <v>58779758.716524132</v>
      </c>
      <c r="B7103">
        <v>262009723.39106125</v>
      </c>
    </row>
    <row r="7104" spans="1:2" x14ac:dyDescent="0.25">
      <c r="A7104">
        <f ca="1">33381.2336391933*((RANDBETWEEN(1587,2416)))</f>
        <v>61955569.634342745</v>
      </c>
      <c r="B7104">
        <v>264022531.25288278</v>
      </c>
    </row>
    <row r="7105" spans="1:2" x14ac:dyDescent="0.25">
      <c r="A7105">
        <f ca="1">29690.5744761677*((RANDBETWEEN(1587,2416)))</f>
        <v>66061528.209473021</v>
      </c>
      <c r="B7105">
        <v>230221857.72195387</v>
      </c>
    </row>
    <row r="7106" spans="1:2" x14ac:dyDescent="0.25">
      <c r="A7106">
        <f ca="1">27191.3301606858*((RANDBETWEEN(1587,2416)))</f>
        <v>50575874.098875545</v>
      </c>
      <c r="B7106">
        <v>208745298.74381074</v>
      </c>
    </row>
    <row r="7107" spans="1:2" x14ac:dyDescent="0.25">
      <c r="A7107">
        <f ca="1">27484.9164492212*((RANDBETWEEN(1587,2416)))</f>
        <v>47274056.292660512</v>
      </c>
      <c r="B7107">
        <v>241197019.05618241</v>
      </c>
    </row>
    <row r="7108" spans="1:2" x14ac:dyDescent="0.25">
      <c r="A7108">
        <f ca="1">27623.0509362718*((RANDBETWEEN(1587,2416)))</f>
        <v>51903712.709254712</v>
      </c>
      <c r="B7108">
        <v>233813582.14484811</v>
      </c>
    </row>
    <row r="7109" spans="1:2" x14ac:dyDescent="0.25">
      <c r="A7109">
        <f ca="1">27683.2647077499*((RANDBETWEEN(1587,2416)))</f>
        <v>56197027.356732361</v>
      </c>
      <c r="B7109">
        <v>221124963.78121978</v>
      </c>
    </row>
    <row r="7110" spans="1:2" x14ac:dyDescent="0.25">
      <c r="A7110">
        <f ca="1">29257.1861658883*((RANDBETWEEN(1587,2416)))</f>
        <v>64892438.915940322</v>
      </c>
      <c r="B7110">
        <v>251886264.0183216</v>
      </c>
    </row>
    <row r="7111" spans="1:2" x14ac:dyDescent="0.25">
      <c r="A7111">
        <f ca="1">30281.8125839136*((RANDBETWEEN(1587,2416)))</f>
        <v>56475580.468998857</v>
      </c>
      <c r="B7111">
        <v>227158095.18471929</v>
      </c>
    </row>
    <row r="7112" spans="1:2" x14ac:dyDescent="0.25">
      <c r="A7112">
        <f ca="1">29051.593377032*((RANDBETWEEN(1587,2416)))</f>
        <v>68300296.029402167</v>
      </c>
      <c r="B7112">
        <v>243063520.24601445</v>
      </c>
    </row>
    <row r="7113" spans="1:2" x14ac:dyDescent="0.25">
      <c r="A7113">
        <f ca="1">30535.3166057343*((RANDBETWEEN(1587,2416)))</f>
        <v>58475131.299981251</v>
      </c>
      <c r="B7113">
        <v>245211289.37251651</v>
      </c>
    </row>
    <row r="7114" spans="1:2" x14ac:dyDescent="0.25">
      <c r="A7114">
        <f ca="1">28769.8030182826*((RANDBETWEEN(1587,2416)))</f>
        <v>45743986.79906939</v>
      </c>
      <c r="B7114">
        <v>229064432.41564256</v>
      </c>
    </row>
    <row r="7115" spans="1:2" x14ac:dyDescent="0.25">
      <c r="A7115">
        <f ca="1">31070.3742394642*((RANDBETWEEN(1587,2416)))</f>
        <v>66273108.252777144</v>
      </c>
      <c r="B7115">
        <v>224607463.39617285</v>
      </c>
    </row>
    <row r="7116" spans="1:2" x14ac:dyDescent="0.25">
      <c r="A7116">
        <f ca="1">30738.0113722646*((RANDBETWEEN(1587,2416)))</f>
        <v>70820378.201697737</v>
      </c>
      <c r="B7116">
        <v>265751635.0272986</v>
      </c>
    </row>
    <row r="7117" spans="1:2" x14ac:dyDescent="0.25">
      <c r="A7117">
        <f ca="1">32699.2642590505*((RANDBETWEEN(1587,2416)))</f>
        <v>76548977.630437151</v>
      </c>
      <c r="B7117">
        <v>265081460.67016804</v>
      </c>
    </row>
    <row r="7118" spans="1:2" x14ac:dyDescent="0.25">
      <c r="A7118">
        <f ca="1">27803.9768352864*((RANDBETWEEN(1587,2416)))</f>
        <v>63810126.83698228</v>
      </c>
      <c r="B7118">
        <v>211593926.60738057</v>
      </c>
    </row>
    <row r="7119" spans="1:2" x14ac:dyDescent="0.25">
      <c r="A7119">
        <f ca="1">27790.8840349763*((RANDBETWEEN(1587,2416)))</f>
        <v>62473907.310626715</v>
      </c>
      <c r="B7119">
        <v>203884202.95051458</v>
      </c>
    </row>
    <row r="7120" spans="1:2" x14ac:dyDescent="0.25">
      <c r="A7120">
        <f ca="1">30028.2696212442*((RANDBETWEEN(1587,2416)))</f>
        <v>64080327.371735103</v>
      </c>
      <c r="B7120">
        <v>228613695.07304803</v>
      </c>
    </row>
    <row r="7121" spans="1:2" x14ac:dyDescent="0.25">
      <c r="A7121">
        <f ca="1">27770.9580680756*((RANDBETWEEN(1587,2416)))</f>
        <v>47988215.541634597</v>
      </c>
      <c r="B7121">
        <v>213657235.73191416</v>
      </c>
    </row>
    <row r="7122" spans="1:2" x14ac:dyDescent="0.25">
      <c r="A7122">
        <f ca="1">33011.4452292701*((RANDBETWEEN(1587,2416)))</f>
        <v>55162124.978110284</v>
      </c>
      <c r="B7122">
        <v>267315369.73171043</v>
      </c>
    </row>
    <row r="7123" spans="1:2" x14ac:dyDescent="0.25">
      <c r="A7123">
        <f ca="1">32534.4474409535*((RANDBETWEEN(1587,2416)))</f>
        <v>60579141.135055475</v>
      </c>
      <c r="B7123">
        <v>261514106.30013594</v>
      </c>
    </row>
    <row r="7124" spans="1:2" x14ac:dyDescent="0.25">
      <c r="A7124">
        <f ca="1">27505.6652461215*((RANDBETWEEN(1587,2416)))</f>
        <v>46512079.931191452</v>
      </c>
      <c r="B7124">
        <v>217690683.43691018</v>
      </c>
    </row>
    <row r="7125" spans="1:2" x14ac:dyDescent="0.25">
      <c r="A7125">
        <f ca="1">25996.9949374955*((RANDBETWEEN(1587,2416)))</f>
        <v>51084095.052178606</v>
      </c>
      <c r="B7125">
        <v>207637133.95618042</v>
      </c>
    </row>
    <row r="7126" spans="1:2" x14ac:dyDescent="0.25">
      <c r="A7126">
        <f ca="1">27598.701634559*((RANDBETWEEN(1587,2416)))</f>
        <v>54424639.623350307</v>
      </c>
      <c r="B7126">
        <v>203729153.61485687</v>
      </c>
    </row>
    <row r="7127" spans="1:2" x14ac:dyDescent="0.25">
      <c r="A7127">
        <f ca="1">29356.6209147839*((RANDBETWEEN(1587,2416)))</f>
        <v>51168590.254468389</v>
      </c>
      <c r="B7127">
        <v>213092644.29123634</v>
      </c>
    </row>
    <row r="7128" spans="1:2" x14ac:dyDescent="0.25">
      <c r="A7128">
        <f ca="1">27303.2169682646*((RANDBETWEEN(1587,2416)))</f>
        <v>65800752.893517792</v>
      </c>
      <c r="B7128">
        <v>236999216.40017459</v>
      </c>
    </row>
    <row r="7129" spans="1:2" x14ac:dyDescent="0.25">
      <c r="A7129">
        <f ca="1">28495.9493572385*((RANDBETWEEN(1587,2416)))</f>
        <v>52973969.855106287</v>
      </c>
      <c r="B7129">
        <v>235963432.92178139</v>
      </c>
    </row>
    <row r="7130" spans="1:2" x14ac:dyDescent="0.25">
      <c r="A7130">
        <f ca="1">32428.4373858026*((RANDBETWEEN(1587,2416)))</f>
        <v>53831206.060432374</v>
      </c>
      <c r="B7130">
        <v>230378865.89244032</v>
      </c>
    </row>
    <row r="7131" spans="1:2" x14ac:dyDescent="0.25">
      <c r="A7131">
        <f ca="1">31560.9487476319*((RANDBETWEEN(1587,2416)))</f>
        <v>54347953.743422084</v>
      </c>
      <c r="B7131">
        <v>231264673.09841746</v>
      </c>
    </row>
    <row r="7132" spans="1:2" x14ac:dyDescent="0.25">
      <c r="A7132">
        <f ca="1">32790.4709643744*((RANDBETWEEN(1587,2416)))</f>
        <v>70204398.334725678</v>
      </c>
      <c r="B7132">
        <v>216285987.30006897</v>
      </c>
    </row>
    <row r="7133" spans="1:2" x14ac:dyDescent="0.25">
      <c r="A7133">
        <f ca="1">28232.5227268578*((RANDBETWEEN(1587,2416)))</f>
        <v>47938823.590204552</v>
      </c>
      <c r="B7133">
        <v>213555886.60533801</v>
      </c>
    </row>
    <row r="7134" spans="1:2" x14ac:dyDescent="0.25">
      <c r="A7134">
        <f ca="1">29047.4893733582*((RANDBETWEEN(1587,2416)))</f>
        <v>51094533.807737097</v>
      </c>
      <c r="B7134">
        <v>267478182.26544201</v>
      </c>
    </row>
    <row r="7135" spans="1:2" x14ac:dyDescent="0.25">
      <c r="A7135">
        <f ca="1">31353.5072447662*((RANDBETWEEN(1587,2416)))</f>
        <v>57659099.823125072</v>
      </c>
      <c r="B7135">
        <v>241041941.91403806</v>
      </c>
    </row>
    <row r="7136" spans="1:2" x14ac:dyDescent="0.25">
      <c r="A7136">
        <f ca="1">33243.3936471518*((RANDBETWEEN(1587,2416)))</f>
        <v>72071677.427025095</v>
      </c>
      <c r="B7136">
        <v>225085490.12833691</v>
      </c>
    </row>
    <row r="7137" spans="1:2" x14ac:dyDescent="0.25">
      <c r="A7137">
        <f ca="1">33079.9104201406*((RANDBETWEEN(1587,2416)))</f>
        <v>79755664.022958919</v>
      </c>
      <c r="B7137">
        <v>247154579.67076796</v>
      </c>
    </row>
    <row r="7138" spans="1:2" x14ac:dyDescent="0.25">
      <c r="A7138">
        <f ca="1">28793.0083813474*((RANDBETWEEN(1587,2416)))</f>
        <v>53785339.656356871</v>
      </c>
      <c r="B7138">
        <v>222448697.57101768</v>
      </c>
    </row>
    <row r="7139" spans="1:2" x14ac:dyDescent="0.25">
      <c r="A7139">
        <f ca="1">28109.9044685649*((RANDBETWEEN(1587,2416)))</f>
        <v>58243722.058866575</v>
      </c>
      <c r="B7139">
        <v>254274603.42587891</v>
      </c>
    </row>
    <row r="7140" spans="1:2" x14ac:dyDescent="0.25">
      <c r="A7140">
        <f ca="1">29289.2012259126*((RANDBETWEEN(1587,2416)))</f>
        <v>49586617.675470069</v>
      </c>
      <c r="B7140">
        <v>205863741.25560027</v>
      </c>
    </row>
    <row r="7141" spans="1:2" x14ac:dyDescent="0.25">
      <c r="A7141">
        <f ca="1">29580.1033453178*((RANDBETWEEN(1587,2416)))</f>
        <v>60165930.204376437</v>
      </c>
      <c r="B7141">
        <v>255649021.92820179</v>
      </c>
    </row>
    <row r="7142" spans="1:2" x14ac:dyDescent="0.25">
      <c r="A7142">
        <f ca="1">27810.3699483196*((RANDBETWEEN(1587,2416)))</f>
        <v>62211797.574391007</v>
      </c>
      <c r="B7142">
        <v>253719368.447523</v>
      </c>
    </row>
    <row r="7143" spans="1:2" x14ac:dyDescent="0.25">
      <c r="A7143">
        <f ca="1">29265.3396673177*((RANDBETWEEN(1587,2416)))</f>
        <v>66168932.987805374</v>
      </c>
      <c r="B7143">
        <v>210271061.50527403</v>
      </c>
    </row>
    <row r="7144" spans="1:2" x14ac:dyDescent="0.25">
      <c r="A7144">
        <f ca="1">28230.0762653203*((RANDBETWEEN(1587,2416)))</f>
        <v>60355903.05525478</v>
      </c>
      <c r="B7144">
        <v>238799836.36415839</v>
      </c>
    </row>
    <row r="7145" spans="1:2" x14ac:dyDescent="0.25">
      <c r="A7145">
        <f ca="1">32186.2931812743*((RANDBETWEEN(1587,2416)))</f>
        <v>77536780.273689836</v>
      </c>
      <c r="B7145">
        <v>221542817.12421963</v>
      </c>
    </row>
    <row r="7146" spans="1:2" x14ac:dyDescent="0.25">
      <c r="A7146">
        <f ca="1">26426.0428242046*((RANDBETWEEN(1587,2416)))</f>
        <v>62418313.150771298</v>
      </c>
      <c r="B7146">
        <v>242128907.20869195</v>
      </c>
    </row>
    <row r="7147" spans="1:2" x14ac:dyDescent="0.25">
      <c r="A7147">
        <f ca="1">28770.4231688692*((RANDBETWEEN(1587,2416)))</f>
        <v>58288877.340129025</v>
      </c>
      <c r="B7147">
        <v>244679244.06698978</v>
      </c>
    </row>
    <row r="7148" spans="1:2" x14ac:dyDescent="0.25">
      <c r="A7148">
        <f ca="1">33339.5432001277*((RANDBETWEEN(1587,2416)))</f>
        <v>75380707.17548883</v>
      </c>
      <c r="B7148">
        <v>258221388.86185127</v>
      </c>
    </row>
    <row r="7149" spans="1:2" x14ac:dyDescent="0.25">
      <c r="A7149">
        <f ca="1">27702.1582293579*((RANDBETWEEN(1587,2416)))</f>
        <v>55071890.559963413</v>
      </c>
      <c r="B7149">
        <v>248567560.59756213</v>
      </c>
    </row>
    <row r="7150" spans="1:2" x14ac:dyDescent="0.25">
      <c r="A7150">
        <f ca="1">28444.9400482803*((RANDBETWEEN(1587,2416)))</f>
        <v>68011851.655438289</v>
      </c>
      <c r="B7150">
        <v>249614611.42857504</v>
      </c>
    </row>
    <row r="7151" spans="1:2" x14ac:dyDescent="0.25">
      <c r="A7151">
        <f ca="1">28232.0861104573*((RANDBETWEEN(1587,2416)))</f>
        <v>53640963.609868921</v>
      </c>
      <c r="B7151">
        <v>211067060.10451221</v>
      </c>
    </row>
    <row r="7152" spans="1:2" x14ac:dyDescent="0.25">
      <c r="A7152">
        <f ca="1">28664.6362025262*((RANDBETWEEN(1587,2416)))</f>
        <v>61227662.928595945</v>
      </c>
      <c r="B7152">
        <v>266245119.93018338</v>
      </c>
    </row>
    <row r="7153" spans="1:2" x14ac:dyDescent="0.25">
      <c r="A7153">
        <f ca="1">29518.3292670768*((RANDBETWEEN(1587,2416)))</f>
        <v>52985401.034402929</v>
      </c>
      <c r="B7153">
        <v>220951198.72789353</v>
      </c>
    </row>
    <row r="7154" spans="1:2" x14ac:dyDescent="0.25">
      <c r="A7154">
        <f ca="1">33192.2094777206*((RANDBETWEEN(1587,2416)))</f>
        <v>77371040.292566612</v>
      </c>
      <c r="B7154">
        <v>237585285.11854643</v>
      </c>
    </row>
    <row r="7155" spans="1:2" x14ac:dyDescent="0.25">
      <c r="A7155">
        <f ca="1">34228.9680712222*((RANDBETWEEN(1587,2416)))</f>
        <v>76467514.671110332</v>
      </c>
      <c r="B7155">
        <v>246433739.13702807</v>
      </c>
    </row>
    <row r="7156" spans="1:2" x14ac:dyDescent="0.25">
      <c r="A7156">
        <f ca="1">31731.7958109785*((RANDBETWEEN(1587,2416)))</f>
        <v>53944052.878663473</v>
      </c>
      <c r="B7156">
        <v>224865609.50193399</v>
      </c>
    </row>
    <row r="7157" spans="1:2" x14ac:dyDescent="0.25">
      <c r="A7157">
        <f ca="1">32835.0970919723*((RANDBETWEEN(1587,2416)))</f>
        <v>73747628.068569854</v>
      </c>
      <c r="B7157">
        <v>252621824.54310173</v>
      </c>
    </row>
    <row r="7158" spans="1:2" x14ac:dyDescent="0.25">
      <c r="A7158">
        <f ca="1">30512.1580376548*((RANDBETWEEN(1587,2416)))</f>
        <v>57515417.900979288</v>
      </c>
      <c r="B7158">
        <v>220950283.98889732</v>
      </c>
    </row>
    <row r="7159" spans="1:2" x14ac:dyDescent="0.25">
      <c r="A7159">
        <f ca="1">28477.2893825289*((RANDBETWEEN(1587,2416)))</f>
        <v>54562486.456925444</v>
      </c>
      <c r="B7159">
        <v>213577541.39254957</v>
      </c>
    </row>
    <row r="7160" spans="1:2" x14ac:dyDescent="0.25">
      <c r="A7160">
        <f ca="1">32506.546675728*((RANDBETWEEN(1587,2416)))</f>
        <v>64623014.791347235</v>
      </c>
      <c r="B7160">
        <v>222016151.9838649</v>
      </c>
    </row>
    <row r="7161" spans="1:2" x14ac:dyDescent="0.25">
      <c r="A7161">
        <f ca="1">30636.2885261672*((RANDBETWEEN(1587,2416)))</f>
        <v>49201879.373024486</v>
      </c>
      <c r="B7161">
        <v>208545366.1352967</v>
      </c>
    </row>
    <row r="7162" spans="1:2" x14ac:dyDescent="0.25">
      <c r="A7162">
        <f ca="1">31058.2343485083*((RANDBETWEEN(1587,2416)))</f>
        <v>57923607.059967995</v>
      </c>
      <c r="B7162">
        <v>248336481.01738822</v>
      </c>
    </row>
    <row r="7163" spans="1:2" x14ac:dyDescent="0.25">
      <c r="A7163">
        <f ca="1">30667.9923990614*((RANDBETWEEN(1587,2416)))</f>
        <v>50264839.542061597</v>
      </c>
      <c r="B7163">
        <v>218690162.9921861</v>
      </c>
    </row>
    <row r="7164" spans="1:2" x14ac:dyDescent="0.25">
      <c r="A7164">
        <f ca="1">29824.721141716*((RANDBETWEEN(1587,2416)))</f>
        <v>48017801.038162708</v>
      </c>
      <c r="B7164">
        <v>204389964.68362319</v>
      </c>
    </row>
    <row r="7165" spans="1:2" x14ac:dyDescent="0.25">
      <c r="A7165">
        <f ca="1">30440.4003530364*((RANDBETWEEN(1587,2416)))</f>
        <v>61337406.711368345</v>
      </c>
      <c r="B7165">
        <v>249184002.67989799</v>
      </c>
    </row>
    <row r="7166" spans="1:2" x14ac:dyDescent="0.25">
      <c r="A7166">
        <f ca="1">27244.8191508568*((RANDBETWEEN(1587,2416)))</f>
        <v>43346507.269013166</v>
      </c>
      <c r="B7166">
        <v>212219855.2143997</v>
      </c>
    </row>
    <row r="7167" spans="1:2" x14ac:dyDescent="0.25">
      <c r="A7167">
        <f ca="1">26473.9534986579*((RANDBETWEEN(1587,2416)))</f>
        <v>49268027.461002342</v>
      </c>
      <c r="B7167">
        <v>266494411.79726344</v>
      </c>
    </row>
    <row r="7168" spans="1:2" x14ac:dyDescent="0.25">
      <c r="A7168">
        <f ca="1">30799.4800464614*((RANDBETWEEN(1587,2416)))</f>
        <v>56486246.405210249</v>
      </c>
      <c r="B7168">
        <v>220529882.99819878</v>
      </c>
    </row>
    <row r="7169" spans="1:2" x14ac:dyDescent="0.25">
      <c r="A7169">
        <f ca="1">28693.9421766609*((RANDBETWEEN(1587,2416)))</f>
        <v>53686365.812532514</v>
      </c>
      <c r="B7169">
        <v>207329702.49648523</v>
      </c>
    </row>
    <row r="7170" spans="1:2" x14ac:dyDescent="0.25">
      <c r="A7170">
        <f ca="1">31231.2801762716*((RANDBETWEEN(1587,2416)))</f>
        <v>60370064.580732942</v>
      </c>
      <c r="B7170">
        <v>263982963.24016786</v>
      </c>
    </row>
    <row r="7171" spans="1:2" x14ac:dyDescent="0.25">
      <c r="A7171">
        <f ca="1">31011.0103028979*((RANDBETWEEN(1587,2416)))</f>
        <v>67262881.346985474</v>
      </c>
      <c r="B7171">
        <v>262837793.19597214</v>
      </c>
    </row>
    <row r="7172" spans="1:2" x14ac:dyDescent="0.25">
      <c r="A7172">
        <f ca="1">30233.9571728743*((RANDBETWEEN(1587,2416)))</f>
        <v>68449679.039387405</v>
      </c>
      <c r="B7172">
        <v>205452289.73117259</v>
      </c>
    </row>
    <row r="7173" spans="1:2" x14ac:dyDescent="0.25">
      <c r="A7173">
        <f ca="1">32909.0107317438*((RANDBETWEEN(1587,2416)))</f>
        <v>58512221.081040479</v>
      </c>
      <c r="B7173">
        <v>263013833.72189671</v>
      </c>
    </row>
    <row r="7174" spans="1:2" x14ac:dyDescent="0.25">
      <c r="A7174">
        <f ca="1">32847.1270427785*((RANDBETWEEN(1587,2416)))</f>
        <v>70424240.379717156</v>
      </c>
      <c r="B7174">
        <v>224611065.64842379</v>
      </c>
    </row>
    <row r="7175" spans="1:2" x14ac:dyDescent="0.25">
      <c r="A7175">
        <f ca="1">29859.9407939102*((RANDBETWEEN(1587,2416)))</f>
        <v>55479769.995085225</v>
      </c>
      <c r="B7175">
        <v>259350102.27911419</v>
      </c>
    </row>
    <row r="7176" spans="1:2" x14ac:dyDescent="0.25">
      <c r="A7176">
        <f ca="1">27734.0206561913*((RANDBETWEEN(1587,2416)))</f>
        <v>57104348.531097881</v>
      </c>
      <c r="B7176">
        <v>266050281.87867486</v>
      </c>
    </row>
    <row r="7177" spans="1:2" x14ac:dyDescent="0.25">
      <c r="A7177">
        <f ca="1">27153.9826259934*((RANDBETWEEN(1587,2416)))</f>
        <v>51891260.798273377</v>
      </c>
      <c r="B7177">
        <v>227988265.12617326</v>
      </c>
    </row>
    <row r="7178" spans="1:2" x14ac:dyDescent="0.25">
      <c r="A7178">
        <f ca="1">33409.4084090724*((RANDBETWEEN(1587,2416)))</f>
        <v>54357107.481560819</v>
      </c>
      <c r="B7178">
        <v>247421634.15403241</v>
      </c>
    </row>
    <row r="7179" spans="1:2" x14ac:dyDescent="0.25">
      <c r="A7179">
        <f ca="1">31804.7158517852*((RANDBETWEEN(1587,2416)))</f>
        <v>70670078.622666687</v>
      </c>
      <c r="B7179">
        <v>224346088.57387006</v>
      </c>
    </row>
    <row r="7180" spans="1:2" x14ac:dyDescent="0.25">
      <c r="A7180">
        <f ca="1">31997.2847345353*((RANDBETWEEN(1587,2416)))</f>
        <v>73113795.61841321</v>
      </c>
      <c r="B7180">
        <v>241414667.22105354</v>
      </c>
    </row>
    <row r="7181" spans="1:2" x14ac:dyDescent="0.25">
      <c r="A7181">
        <f ca="1">29620.6610110014*((RANDBETWEEN(1587,2416)))</f>
        <v>57878771.615496807</v>
      </c>
      <c r="B7181">
        <v>241954159.8053419</v>
      </c>
    </row>
    <row r="7182" spans="1:2" x14ac:dyDescent="0.25">
      <c r="A7182">
        <f ca="1">31828.6370422538*((RANDBETWEEN(1587,2416)))</f>
        <v>56845945.757465377</v>
      </c>
      <c r="B7182">
        <v>250922311.49731672</v>
      </c>
    </row>
    <row r="7183" spans="1:2" x14ac:dyDescent="0.25">
      <c r="A7183">
        <f ca="1">32026.9893892774*((RANDBETWEEN(1587,2416)))</f>
        <v>69082216.112671241</v>
      </c>
      <c r="B7183">
        <v>244360355.03297153</v>
      </c>
    </row>
    <row r="7184" spans="1:2" x14ac:dyDescent="0.25">
      <c r="A7184">
        <f ca="1">25202.035268071*((RANDBETWEEN(1587,2416)))</f>
        <v>45540077.729404278</v>
      </c>
      <c r="B7184">
        <v>248160271.3217873</v>
      </c>
    </row>
    <row r="7185" spans="1:2" x14ac:dyDescent="0.25">
      <c r="A7185">
        <f ca="1">27238.422993307*((RANDBETWEEN(1587,2416)))</f>
        <v>50418320.960611269</v>
      </c>
      <c r="B7185">
        <v>224737537.51763961</v>
      </c>
    </row>
    <row r="7186" spans="1:2" x14ac:dyDescent="0.25">
      <c r="A7186">
        <f ca="1">29669.558001239*((RANDBETWEEN(1587,2416)))</f>
        <v>49221796.724055536</v>
      </c>
      <c r="B7186">
        <v>249637751.41402638</v>
      </c>
    </row>
    <row r="7187" spans="1:2" x14ac:dyDescent="0.25">
      <c r="A7187">
        <f ca="1">30183.1459096458*((RANDBETWEEN(1587,2416)))</f>
        <v>58464753.626983888</v>
      </c>
      <c r="B7187">
        <v>264580907.26666462</v>
      </c>
    </row>
    <row r="7188" spans="1:2" x14ac:dyDescent="0.25">
      <c r="A7188">
        <f ca="1">33527.022356989*((RANDBETWEEN(1587,2416)))</f>
        <v>62092045.405143641</v>
      </c>
      <c r="B7188">
        <v>232848431.17803296</v>
      </c>
    </row>
    <row r="7189" spans="1:2" x14ac:dyDescent="0.25">
      <c r="A7189">
        <f ca="1">30801.4899758566*((RANDBETWEEN(1587,2416)))</f>
        <v>50329634.620549738</v>
      </c>
      <c r="B7189">
        <v>255486160.2061587</v>
      </c>
    </row>
    <row r="7190" spans="1:2" x14ac:dyDescent="0.25">
      <c r="A7190">
        <f ca="1">27254.1171470394*((RANDBETWEEN(1587,2416)))</f>
        <v>49820526.144788101</v>
      </c>
      <c r="B7190">
        <v>221787115.67765543</v>
      </c>
    </row>
    <row r="7191" spans="1:2" x14ac:dyDescent="0.25">
      <c r="A7191">
        <f ca="1">33256.0587413721*((RANDBETWEEN(1587,2416)))</f>
        <v>63984657.018399864</v>
      </c>
      <c r="B7191">
        <v>226512898.15815958</v>
      </c>
    </row>
    <row r="7192" spans="1:2" x14ac:dyDescent="0.25">
      <c r="A7192">
        <f ca="1">32110.3745600158*((RANDBETWEEN(1587,2416)))</f>
        <v>76551132.951077655</v>
      </c>
      <c r="B7192">
        <v>223522837.44917166</v>
      </c>
    </row>
    <row r="7193" spans="1:2" x14ac:dyDescent="0.25">
      <c r="A7193">
        <f ca="1">29144.4401514843*((RANDBETWEEN(1587,2416)))</f>
        <v>47039126.404495612</v>
      </c>
      <c r="B7193">
        <v>224495353.14666814</v>
      </c>
    </row>
    <row r="7194" spans="1:2" x14ac:dyDescent="0.25">
      <c r="A7194">
        <f ca="1">25640.5707360771*((RANDBETWEEN(1587,2416)))</f>
        <v>56178490.482744984</v>
      </c>
      <c r="B7194">
        <v>238926620.23331222</v>
      </c>
    </row>
    <row r="7195" spans="1:2" x14ac:dyDescent="0.25">
      <c r="A7195">
        <f ca="1">31596.8236614699*((RANDBETWEEN(1587,2416)))</f>
        <v>62087758.494788431</v>
      </c>
      <c r="B7195">
        <v>238497422.61187857</v>
      </c>
    </row>
    <row r="7196" spans="1:2" x14ac:dyDescent="0.25">
      <c r="A7196">
        <f ca="1">26879.6221588825*((RANDBETWEEN(1587,2416)))</f>
        <v>43141793.56500636</v>
      </c>
      <c r="B7196">
        <v>208010650.24590546</v>
      </c>
    </row>
    <row r="7197" spans="1:2" x14ac:dyDescent="0.25">
      <c r="A7197">
        <f ca="1">30129.0591485462*((RANDBETWEEN(1587,2416)))</f>
        <v>53358563.752075277</v>
      </c>
      <c r="B7197">
        <v>206284055.04760224</v>
      </c>
    </row>
    <row r="7198" spans="1:2" x14ac:dyDescent="0.25">
      <c r="A7198">
        <f ca="1">32002.1566801087*((RANDBETWEEN(1587,2416)))</f>
        <v>51587476.56833522</v>
      </c>
      <c r="B7198">
        <v>206555647.4755235</v>
      </c>
    </row>
    <row r="7199" spans="1:2" x14ac:dyDescent="0.25">
      <c r="A7199">
        <f ca="1">28692.9430929371*((RANDBETWEEN(1587,2416)))</f>
        <v>64272192.52817902</v>
      </c>
      <c r="B7199">
        <v>225447963.71232879</v>
      </c>
    </row>
    <row r="7200" spans="1:2" x14ac:dyDescent="0.25">
      <c r="A7200">
        <f ca="1">32837.174097096*((RANDBETWEEN(1587,2416)))</f>
        <v>59468122.289840922</v>
      </c>
      <c r="B7200">
        <v>207146817.25259903</v>
      </c>
    </row>
    <row r="7201" spans="1:2" x14ac:dyDescent="0.25">
      <c r="A7201">
        <f ca="1">27624.6744607673*((RANDBETWEEN(1587,2416)))</f>
        <v>63757748.655450985</v>
      </c>
      <c r="B7201">
        <v>256031791.3734419</v>
      </c>
    </row>
    <row r="7202" spans="1:2" x14ac:dyDescent="0.25">
      <c r="A7202">
        <f ca="1">32052.0634708023*((RANDBETWEEN(1587,2416)))</f>
        <v>56155215.200845636</v>
      </c>
      <c r="B7202">
        <v>224358108.12957147</v>
      </c>
    </row>
    <row r="7203" spans="1:2" x14ac:dyDescent="0.25">
      <c r="A7203">
        <f ca="1">31000.0787116913*((RANDBETWEEN(1587,2416)))</f>
        <v>57939147.112150945</v>
      </c>
      <c r="B7203">
        <v>237085829.68398893</v>
      </c>
    </row>
    <row r="7204" spans="1:2" x14ac:dyDescent="0.25">
      <c r="A7204">
        <f ca="1">31766.1682254864*((RANDBETWEEN(1587,2416)))</f>
        <v>59815694.768590964</v>
      </c>
      <c r="B7204">
        <v>205707792.51958239</v>
      </c>
    </row>
    <row r="7205" spans="1:2" x14ac:dyDescent="0.25">
      <c r="A7205">
        <f ca="1">28331.0425293784*((RANDBETWEEN(1587,2416)))</f>
        <v>56407105.675992377</v>
      </c>
      <c r="B7205">
        <v>214298393.16222444</v>
      </c>
    </row>
    <row r="7206" spans="1:2" x14ac:dyDescent="0.25">
      <c r="A7206">
        <f ca="1">29194.6933229496*((RANDBETWEEN(1587,2416)))</f>
        <v>61746776.378038399</v>
      </c>
      <c r="B7206">
        <v>234040785.28159621</v>
      </c>
    </row>
    <row r="7207" spans="1:2" x14ac:dyDescent="0.25">
      <c r="A7207">
        <f ca="1">26841.1415290348*((RANDBETWEEN(1587,2416)))</f>
        <v>52608637.396908291</v>
      </c>
      <c r="B7207">
        <v>203762687.10233295</v>
      </c>
    </row>
    <row r="7208" spans="1:2" x14ac:dyDescent="0.25">
      <c r="A7208">
        <f ca="1">30165.2843795393*((RANDBETWEEN(1587,2416)))</f>
        <v>70194616.75118795</v>
      </c>
      <c r="B7208">
        <v>204940304.86410835</v>
      </c>
    </row>
    <row r="7209" spans="1:2" x14ac:dyDescent="0.25">
      <c r="A7209">
        <f ca="1">31890.4289965595*((RANDBETWEEN(1587,2416)))</f>
        <v>54883428.303078979</v>
      </c>
      <c r="B7209">
        <v>228171506.57159048</v>
      </c>
    </row>
    <row r="7210" spans="1:2" x14ac:dyDescent="0.25">
      <c r="A7210">
        <f ca="1">28391.121792853*((RANDBETWEEN(1587,2416)))</f>
        <v>53204962.239806548</v>
      </c>
      <c r="B7210">
        <v>233352909.12266129</v>
      </c>
    </row>
    <row r="7211" spans="1:2" x14ac:dyDescent="0.25">
      <c r="A7211">
        <f ca="1">27740.8301563435*((RANDBETWEEN(1587,2416)))</f>
        <v>61224012.155050024</v>
      </c>
      <c r="B7211">
        <v>229150197.21617556</v>
      </c>
    </row>
    <row r="7212" spans="1:2" x14ac:dyDescent="0.25">
      <c r="A7212">
        <f ca="1">29836.6595383854*((RANDBETWEEN(1587,2416)))</f>
        <v>57912956.164006099</v>
      </c>
      <c r="B7212">
        <v>243284755.75176078</v>
      </c>
    </row>
    <row r="7213" spans="1:2" x14ac:dyDescent="0.25">
      <c r="A7213">
        <f ca="1">33970.3210881059*((RANDBETWEEN(1587,2416)))</f>
        <v>77010717.906736016</v>
      </c>
      <c r="B7213">
        <v>240478189.28327009</v>
      </c>
    </row>
    <row r="7214" spans="1:2" x14ac:dyDescent="0.25">
      <c r="A7214">
        <f ca="1">32116.0628347572*((RANDBETWEEN(1587,2416)))</f>
        <v>52445530.609158568</v>
      </c>
      <c r="B7214">
        <v>221190873.17265382</v>
      </c>
    </row>
    <row r="7215" spans="1:2" x14ac:dyDescent="0.25">
      <c r="A7215">
        <f ca="1">29967.3416608776*((RANDBETWEEN(1587,2416)))</f>
        <v>57177687.888954535</v>
      </c>
      <c r="B7215">
        <v>211163365.92799118</v>
      </c>
    </row>
    <row r="7216" spans="1:2" x14ac:dyDescent="0.25">
      <c r="A7216">
        <f ca="1">30226.5088565327*((RANDBETWEEN(1587,2416)))</f>
        <v>54800660.556893766</v>
      </c>
      <c r="B7216">
        <v>265543631.0990231</v>
      </c>
    </row>
    <row r="7217" spans="1:2" x14ac:dyDescent="0.25">
      <c r="A7217">
        <f ca="1">26691.4844780937*((RANDBETWEEN(1587,2416)))</f>
        <v>51194267.228983805</v>
      </c>
      <c r="B7217">
        <v>257310019.06425178</v>
      </c>
    </row>
    <row r="7218" spans="1:2" x14ac:dyDescent="0.25">
      <c r="A7218">
        <f ca="1">30151.7517065032*((RANDBETWEEN(1587,2416)))</f>
        <v>71911927.820010051</v>
      </c>
      <c r="B7218">
        <v>221302776.57469872</v>
      </c>
    </row>
    <row r="7219" spans="1:2" x14ac:dyDescent="0.25">
      <c r="A7219">
        <f ca="1">25928.5619053207*((RANDBETWEEN(1587,2416)))</f>
        <v>60413549.239397146</v>
      </c>
      <c r="B7219">
        <v>230409829.86437541</v>
      </c>
    </row>
    <row r="7220" spans="1:2" x14ac:dyDescent="0.25">
      <c r="A7220">
        <f ca="1">33367.6102208077*((RANDBETWEEN(1587,2416)))</f>
        <v>63698767.911521859</v>
      </c>
      <c r="B7220">
        <v>240000708.61380368</v>
      </c>
    </row>
    <row r="7221" spans="1:2" x14ac:dyDescent="0.25">
      <c r="A7221">
        <f ca="1">32791.2329942681*((RANDBETWEEN(1587,2416)))</f>
        <v>53744830.877605386</v>
      </c>
      <c r="B7221">
        <v>218729906.88035372</v>
      </c>
    </row>
    <row r="7222" spans="1:2" x14ac:dyDescent="0.25">
      <c r="A7222">
        <f ca="1">30597.0382051596*((RANDBETWEEN(1587,2416)))</f>
        <v>72178413.125971466</v>
      </c>
      <c r="B7222">
        <v>216066253.87392733</v>
      </c>
    </row>
    <row r="7223" spans="1:2" x14ac:dyDescent="0.25">
      <c r="A7223">
        <f ca="1">28772.6711097905*((RANDBETWEEN(1587,2416)))</f>
        <v>50726219.166560665</v>
      </c>
      <c r="B7223">
        <v>230879798.72266072</v>
      </c>
    </row>
    <row r="7224" spans="1:2" x14ac:dyDescent="0.25">
      <c r="A7224">
        <f ca="1">29289.7719579333*((RANDBETWEEN(1587,2416)))</f>
        <v>47713038.519473359</v>
      </c>
      <c r="B7224">
        <v>265843055.14919621</v>
      </c>
    </row>
    <row r="7225" spans="1:2" x14ac:dyDescent="0.25">
      <c r="A7225">
        <f ca="1">30689.6449561341*((RANDBETWEEN(1587,2416)))</f>
        <v>52356534.295164704</v>
      </c>
      <c r="B7225">
        <v>228953351.56733432</v>
      </c>
    </row>
    <row r="7226" spans="1:2" x14ac:dyDescent="0.25">
      <c r="A7226">
        <f ca="1">32250.1615207303*((RANDBETWEEN(1587,2416)))</f>
        <v>51213256.494919762</v>
      </c>
      <c r="B7226">
        <v>263942669.875451</v>
      </c>
    </row>
    <row r="7227" spans="1:2" x14ac:dyDescent="0.25">
      <c r="A7227">
        <f ca="1">31827.9223186051*((RANDBETWEEN(1587,2416)))</f>
        <v>59931977.725933366</v>
      </c>
      <c r="B7227">
        <v>205534684.28091824</v>
      </c>
    </row>
    <row r="7228" spans="1:2" x14ac:dyDescent="0.25">
      <c r="A7228">
        <f ca="1">29349.9064133174*((RANDBETWEEN(1587,2416)))</f>
        <v>56146370.968676113</v>
      </c>
      <c r="B7228">
        <v>243263101.0288012</v>
      </c>
    </row>
    <row r="7229" spans="1:2" x14ac:dyDescent="0.25">
      <c r="A7229">
        <f ca="1">27624.4339364055*((RANDBETWEEN(1587,2416)))</f>
        <v>44420089.76974009</v>
      </c>
      <c r="B7229">
        <v>262572420.02669337</v>
      </c>
    </row>
    <row r="7230" spans="1:2" x14ac:dyDescent="0.25">
      <c r="A7230">
        <f ca="1">26643.0667382765*((RANDBETWEEN(1587,2416)))</f>
        <v>54085425.478701375</v>
      </c>
      <c r="B7230">
        <v>233030882.43811452</v>
      </c>
    </row>
    <row r="7231" spans="1:2" x14ac:dyDescent="0.25">
      <c r="A7231">
        <f ca="1">27035.8813759864*((RANDBETWEEN(1587,2416)))</f>
        <v>51341138.732998237</v>
      </c>
      <c r="B7231">
        <v>245546759.15965611</v>
      </c>
    </row>
    <row r="7232" spans="1:2" x14ac:dyDescent="0.25">
      <c r="A7232">
        <f ca="1">31763.5496858612*((RANDBETWEEN(1587,2416)))</f>
        <v>66004656.24721957</v>
      </c>
      <c r="B7232">
        <v>234310338.79009646</v>
      </c>
    </row>
    <row r="7233" spans="1:2" x14ac:dyDescent="0.25">
      <c r="A7233">
        <f ca="1">33586.1124836832*((RANDBETWEEN(1587,2416)))</f>
        <v>62671685.894552991</v>
      </c>
      <c r="B7233">
        <v>249366404.3743217</v>
      </c>
    </row>
    <row r="7234" spans="1:2" x14ac:dyDescent="0.25">
      <c r="A7234">
        <f ca="1">30324.7153268778*((RANDBETWEEN(1587,2416)))</f>
        <v>54918059.456975646</v>
      </c>
      <c r="B7234">
        <v>216023403.65321532</v>
      </c>
    </row>
    <row r="7235" spans="1:2" x14ac:dyDescent="0.25">
      <c r="A7235">
        <f ca="1">27437.0165780823*((RANDBETWEEN(1587,2416)))</f>
        <v>48453771.27689334</v>
      </c>
      <c r="B7235">
        <v>248080661.20065004</v>
      </c>
    </row>
    <row r="7236" spans="1:2" x14ac:dyDescent="0.25">
      <c r="A7236">
        <f ca="1">31547.9693928054*((RANDBETWEEN(1587,2416)))</f>
        <v>74989523.246698409</v>
      </c>
      <c r="B7236">
        <v>248506753.20509034</v>
      </c>
    </row>
    <row r="7237" spans="1:2" x14ac:dyDescent="0.25">
      <c r="A7237">
        <f ca="1">29718.0280724504*((RANDBETWEEN(1587,2416)))</f>
        <v>63537144.018898845</v>
      </c>
      <c r="B7237">
        <v>264213444.30399036</v>
      </c>
    </row>
    <row r="7238" spans="1:2" x14ac:dyDescent="0.25">
      <c r="A7238">
        <f ca="1">28105.0415592441*((RANDBETWEEN(1587,2416)))</f>
        <v>46766789.154582262</v>
      </c>
      <c r="B7238">
        <v>207491588.59105965</v>
      </c>
    </row>
    <row r="7239" spans="1:2" x14ac:dyDescent="0.25">
      <c r="A7239">
        <f ca="1">28165.9238299864*((RANDBETWEEN(1587,2416)))</f>
        <v>47403249.805867031</v>
      </c>
      <c r="B7239">
        <v>214780376.53445321</v>
      </c>
    </row>
    <row r="7240" spans="1:2" x14ac:dyDescent="0.25">
      <c r="A7240">
        <f ca="1">31045.2114360985*((RANDBETWEEN(1587,2416)))</f>
        <v>51193553.658126488</v>
      </c>
      <c r="B7240">
        <v>243756423.68964571</v>
      </c>
    </row>
    <row r="7241" spans="1:2" x14ac:dyDescent="0.25">
      <c r="A7241">
        <f ca="1">31791.9277683789*((RANDBETWEEN(1587,2416)))</f>
        <v>74329527.122469828</v>
      </c>
      <c r="B7241">
        <v>239338732.84272993</v>
      </c>
    </row>
    <row r="7242" spans="1:2" x14ac:dyDescent="0.25">
      <c r="A7242">
        <f ca="1">31015.1538515862*((RANDBETWEEN(1587,2416)))</f>
        <v>59735186.318155013</v>
      </c>
      <c r="B7242">
        <v>231783829.56250861</v>
      </c>
    </row>
    <row r="7243" spans="1:2" x14ac:dyDescent="0.25">
      <c r="A7243">
        <f ca="1">29142.9482419546*((RANDBETWEEN(1587,2416)))</f>
        <v>68107070.041447863</v>
      </c>
      <c r="B7243">
        <v>265747954.72677055</v>
      </c>
    </row>
    <row r="7244" spans="1:2" x14ac:dyDescent="0.25">
      <c r="A7244">
        <f ca="1">31324.4952110732*((RANDBETWEEN(1587,2416)))</f>
        <v>65342897.01029861</v>
      </c>
      <c r="B7244">
        <v>211867751.03711957</v>
      </c>
    </row>
    <row r="7245" spans="1:2" x14ac:dyDescent="0.25">
      <c r="A7245">
        <f ca="1">29776.3383696413*((RANDBETWEEN(1587,2416)))</f>
        <v>47344378.007729687</v>
      </c>
      <c r="B7245">
        <v>252819577.15279898</v>
      </c>
    </row>
    <row r="7246" spans="1:2" x14ac:dyDescent="0.25">
      <c r="A7246">
        <f ca="1">29285.6806792204*((RANDBETWEEN(1587,2416)))</f>
        <v>59391360.417458996</v>
      </c>
      <c r="B7246">
        <v>253356322.48996162</v>
      </c>
    </row>
    <row r="7247" spans="1:2" x14ac:dyDescent="0.25">
      <c r="A7247">
        <f ca="1">28256.0438590009*((RANDBETWEEN(1587,2416)))</f>
        <v>66119142.630062044</v>
      </c>
      <c r="B7247">
        <v>218736877.66609567</v>
      </c>
    </row>
    <row r="7248" spans="1:2" x14ac:dyDescent="0.25">
      <c r="A7248">
        <f ca="1">31136.8688957808*((RANDBETWEEN(1587,2416)))</f>
        <v>66228120.141325854</v>
      </c>
      <c r="B7248">
        <v>241336316.43173435</v>
      </c>
    </row>
    <row r="7249" spans="1:2" x14ac:dyDescent="0.25">
      <c r="A7249">
        <f ca="1">27367.0479678093*((RANDBETWEEN(1587,2416)))</f>
        <v>59194924.754371494</v>
      </c>
      <c r="B7249">
        <v>265128225.99198222</v>
      </c>
    </row>
    <row r="7250" spans="1:2" x14ac:dyDescent="0.25">
      <c r="A7250">
        <f ca="1">27169.2544269306*((RANDBETWEEN(1587,2416)))</f>
        <v>60016883.029089689</v>
      </c>
      <c r="B7250">
        <v>261117226.98247737</v>
      </c>
    </row>
    <row r="7251" spans="1:2" x14ac:dyDescent="0.25">
      <c r="A7251">
        <f ca="1">28838.5982071464*((RANDBETWEEN(1587,2416)))</f>
        <v>52140185.5585206</v>
      </c>
      <c r="B7251">
        <v>245598781.31364694</v>
      </c>
    </row>
    <row r="7252" spans="1:2" x14ac:dyDescent="0.25">
      <c r="A7252">
        <f ca="1">30664.9231823052*((RANDBETWEEN(1587,2416)))</f>
        <v>73319831.328891739</v>
      </c>
      <c r="B7252">
        <v>251344183.58300579</v>
      </c>
    </row>
    <row r="7253" spans="1:2" x14ac:dyDescent="0.25">
      <c r="A7253">
        <f ca="1">31533.9260604308*((RANDBETWEEN(1587,2416)))</f>
        <v>53891479.637276158</v>
      </c>
      <c r="B7253">
        <v>234761316.5820263</v>
      </c>
    </row>
    <row r="7254" spans="1:2" x14ac:dyDescent="0.25">
      <c r="A7254">
        <f ca="1">27406.0210211664*((RANDBETWEEN(1587,2416)))</f>
        <v>58210388.648957536</v>
      </c>
      <c r="B7254">
        <v>225866365.58104092</v>
      </c>
    </row>
    <row r="7255" spans="1:2" x14ac:dyDescent="0.25">
      <c r="A7255">
        <f ca="1">27191.7601099428*((RANDBETWEEN(1587,2416)))</f>
        <v>54954547.182194427</v>
      </c>
      <c r="B7255">
        <v>243141786.37409016</v>
      </c>
    </row>
    <row r="7256" spans="1:2" x14ac:dyDescent="0.25">
      <c r="A7256">
        <f ca="1">34268.6463718784*((RANDBETWEEN(1587,2416)))</f>
        <v>67406427.413484722</v>
      </c>
      <c r="B7256">
        <v>226424972.41671783</v>
      </c>
    </row>
    <row r="7257" spans="1:2" x14ac:dyDescent="0.25">
      <c r="A7257">
        <f ca="1">26311.5245633055*((RANDBETWEEN(1587,2416)))</f>
        <v>59148307.218310758</v>
      </c>
      <c r="B7257">
        <v>224807867.26320389</v>
      </c>
    </row>
    <row r="7258" spans="1:2" x14ac:dyDescent="0.25">
      <c r="A7258">
        <f ca="1">31275.7411695344*((RANDBETWEEN(1587,2416)))</f>
        <v>51636248.670901284</v>
      </c>
      <c r="B7258">
        <v>238129648.31225595</v>
      </c>
    </row>
    <row r="7259" spans="1:2" x14ac:dyDescent="0.25">
      <c r="A7259">
        <f ca="1">29564.1186889993*((RANDBETWEEN(1587,2416)))</f>
        <v>70510423.073263258</v>
      </c>
      <c r="B7259">
        <v>255953869.13757679</v>
      </c>
    </row>
    <row r="7260" spans="1:2" x14ac:dyDescent="0.25">
      <c r="A7260">
        <f ca="1">31333.1635350171*((RANDBETWEEN(1587,2416)))</f>
        <v>75136926.156971052</v>
      </c>
      <c r="B7260">
        <v>212938971.96281254</v>
      </c>
    </row>
    <row r="7261" spans="1:2" x14ac:dyDescent="0.25">
      <c r="A7261">
        <f ca="1">31454.5700781715*((RANDBETWEEN(1587,2416)))</f>
        <v>68508053.630257443</v>
      </c>
      <c r="B7261">
        <v>247505074.33164212</v>
      </c>
    </row>
    <row r="7262" spans="1:2" x14ac:dyDescent="0.25">
      <c r="A7262">
        <f ca="1">27777.4664384707*((RANDBETWEEN(1587,2416)))</f>
        <v>50554988.918016732</v>
      </c>
      <c r="B7262">
        <v>219803777.7476598</v>
      </c>
    </row>
    <row r="7263" spans="1:2" x14ac:dyDescent="0.25">
      <c r="A7263">
        <f ca="1">29592.3180743933*((RANDBETWEEN(1587,2416)))</f>
        <v>49419171.184236772</v>
      </c>
      <c r="B7263">
        <v>242079327.5996291</v>
      </c>
    </row>
    <row r="7264" spans="1:2" x14ac:dyDescent="0.25">
      <c r="A7264">
        <f ca="1">29917.2413069466*((RANDBETWEEN(1587,2416)))</f>
        <v>70425186.036552399</v>
      </c>
      <c r="B7264">
        <v>265942253.57453761</v>
      </c>
    </row>
    <row r="7265" spans="1:2" x14ac:dyDescent="0.25">
      <c r="A7265">
        <f ca="1">27430.0150667223*((RANDBETWEEN(1587,2416)))</f>
        <v>62897024.547994345</v>
      </c>
      <c r="B7265">
        <v>216554846.75355077</v>
      </c>
    </row>
    <row r="7266" spans="1:2" x14ac:dyDescent="0.25">
      <c r="A7266">
        <f ca="1">28933.8747118118*((RANDBETWEEN(1587,2416)))</f>
        <v>67473795.827945217</v>
      </c>
      <c r="B7266">
        <v>235504988.44643766</v>
      </c>
    </row>
    <row r="7267" spans="1:2" x14ac:dyDescent="0.25">
      <c r="A7267">
        <f ca="1">28573.56113929*((RANDBETWEEN(1587,2416)))</f>
        <v>68176516.878345981</v>
      </c>
      <c r="B7267">
        <v>223057172.2167502</v>
      </c>
    </row>
    <row r="7268" spans="1:2" x14ac:dyDescent="0.25">
      <c r="A7268">
        <f ca="1">26490.8066452255*((RANDBETWEEN(1587,2416)))</f>
        <v>50173587.786057107</v>
      </c>
      <c r="B7268">
        <v>213357617.85450771</v>
      </c>
    </row>
    <row r="7269" spans="1:2" x14ac:dyDescent="0.25">
      <c r="A7269">
        <f ca="1">26396.0218488047*((RANDBETWEEN(1587,2416)))</f>
        <v>54402201.030386433</v>
      </c>
      <c r="B7269">
        <v>238553116.9843387</v>
      </c>
    </row>
    <row r="7270" spans="1:2" x14ac:dyDescent="0.25">
      <c r="A7270">
        <f ca="1">30002.9554326648*((RANDBETWEEN(1587,2416)))</f>
        <v>62376144.344510041</v>
      </c>
      <c r="B7270">
        <v>259180011.21877995</v>
      </c>
    </row>
    <row r="7271" spans="1:2" x14ac:dyDescent="0.25">
      <c r="A7271">
        <f ca="1">29269.3933944508*((RANDBETWEEN(1587,2416)))</f>
        <v>52450752.962855913</v>
      </c>
      <c r="B7271">
        <v>206448849.9640156</v>
      </c>
    </row>
    <row r="7272" spans="1:2" x14ac:dyDescent="0.25">
      <c r="A7272">
        <f ca="1">27413.471933031*((RANDBETWEEN(1587,2416)))</f>
        <v>54443155.258999608</v>
      </c>
      <c r="B7272">
        <v>262288135.72859949</v>
      </c>
    </row>
    <row r="7273" spans="1:2" x14ac:dyDescent="0.25">
      <c r="A7273">
        <f ca="1">27555.7338595273*((RANDBETWEEN(1587,2416)))</f>
        <v>49214540.673115693</v>
      </c>
      <c r="B7273">
        <v>220552727.42146301</v>
      </c>
    </row>
    <row r="7274" spans="1:2" x14ac:dyDescent="0.25">
      <c r="A7274">
        <f ca="1">30326.4852112877*((RANDBETWEEN(1587,2416)))</f>
        <v>52828737.238063239</v>
      </c>
      <c r="B7274">
        <v>238864669.31129029</v>
      </c>
    </row>
    <row r="7275" spans="1:2" x14ac:dyDescent="0.25">
      <c r="A7275">
        <f ca="1">31538.4680031949*((RANDBETWEEN(1587,2416)))</f>
        <v>69920783.563083023</v>
      </c>
      <c r="B7275">
        <v>212984822.50132072</v>
      </c>
    </row>
    <row r="7276" spans="1:2" x14ac:dyDescent="0.25">
      <c r="A7276">
        <f ca="1">30783.168345122*((RANDBETWEEN(1587,2416)))</f>
        <v>58241754.508970737</v>
      </c>
      <c r="B7276">
        <v>238042231.9600032</v>
      </c>
    </row>
    <row r="7277" spans="1:2" x14ac:dyDescent="0.25">
      <c r="A7277">
        <f ca="1">25026.439256241*((RANDBETWEEN(1587,2416)))</f>
        <v>47400075.951320507</v>
      </c>
      <c r="B7277">
        <v>261467221.7772679</v>
      </c>
    </row>
    <row r="7278" spans="1:2" x14ac:dyDescent="0.25">
      <c r="A7278">
        <f ca="1">31730.8338036791*((RANDBETWEEN(1587,2416)))</f>
        <v>59717429.218524113</v>
      </c>
      <c r="B7278">
        <v>263338995.58989313</v>
      </c>
    </row>
    <row r="7279" spans="1:2" x14ac:dyDescent="0.25">
      <c r="A7279">
        <f ca="1">28241.3132331419*((RANDBETWEEN(1587,2416)))</f>
        <v>46541684.208217829</v>
      </c>
      <c r="B7279">
        <v>231932337.66337767</v>
      </c>
    </row>
    <row r="7280" spans="1:2" x14ac:dyDescent="0.25">
      <c r="A7280">
        <f ca="1">24592.8434295066*((RANDBETWEEN(1587,2416)))</f>
        <v>56120868.706134044</v>
      </c>
      <c r="B7280">
        <v>230179061.48728567</v>
      </c>
    </row>
    <row r="7281" spans="1:2" x14ac:dyDescent="0.25">
      <c r="A7281">
        <f ca="1">32341.7390218849*((RANDBETWEEN(1587,2416)))</f>
        <v>69146638.028789818</v>
      </c>
      <c r="B7281">
        <v>205437925.81892478</v>
      </c>
    </row>
    <row r="7282" spans="1:2" x14ac:dyDescent="0.25">
      <c r="A7282">
        <f ca="1">27455.7988523967*((RANDBETWEEN(1587,2416)))</f>
        <v>57108061.612985089</v>
      </c>
      <c r="B7282">
        <v>240332982.40316534</v>
      </c>
    </row>
    <row r="7283" spans="1:2" x14ac:dyDescent="0.25">
      <c r="A7283">
        <f ca="1">27279.8364959145*((RANDBETWEEN(1587,2416)))</f>
        <v>64298574.620870546</v>
      </c>
      <c r="B7283">
        <v>225432159.49893177</v>
      </c>
    </row>
    <row r="7284" spans="1:2" x14ac:dyDescent="0.25">
      <c r="A7284">
        <f ca="1">32662.1054192969*((RANDBETWEEN(1587,2416)))</f>
        <v>76919258.262444124</v>
      </c>
      <c r="B7284">
        <v>259899162.35840288</v>
      </c>
    </row>
    <row r="7285" spans="1:2" x14ac:dyDescent="0.25">
      <c r="A7285">
        <f ca="1">33942.3306329302*((RANDBETWEEN(1587,2416)))</f>
        <v>82004670.809159473</v>
      </c>
      <c r="B7285">
        <v>255393325.40197134</v>
      </c>
    </row>
    <row r="7286" spans="1:2" x14ac:dyDescent="0.25">
      <c r="A7286">
        <f ca="1">29315.6134699314*((RANDBETWEEN(1587,2416)))</f>
        <v>53002629.153635956</v>
      </c>
      <c r="B7286">
        <v>218792448.06201589</v>
      </c>
    </row>
    <row r="7287" spans="1:2" x14ac:dyDescent="0.25">
      <c r="A7287">
        <f ca="1">27477.8267031038*((RANDBETWEEN(1587,2416)))</f>
        <v>53004727.710287221</v>
      </c>
      <c r="B7287">
        <v>249201091.47167432</v>
      </c>
    </row>
    <row r="7288" spans="1:2" x14ac:dyDescent="0.25">
      <c r="A7288">
        <f ca="1">26366.101899388*((RANDBETWEEN(1587,2416)))</f>
        <v>42475790.159914136</v>
      </c>
      <c r="B7288">
        <v>257796167.49138212</v>
      </c>
    </row>
    <row r="7289" spans="1:2" x14ac:dyDescent="0.25">
      <c r="A7289">
        <f ca="1">30893.0029814005*((RANDBETWEEN(1587,2416)))</f>
        <v>51498635.969994657</v>
      </c>
      <c r="B7289">
        <v>217090395.89701137</v>
      </c>
    </row>
    <row r="7290" spans="1:2" x14ac:dyDescent="0.25">
      <c r="A7290">
        <f ca="1">27778.6821035677*((RANDBETWEEN(1587,2416)))</f>
        <v>62113133.183577299</v>
      </c>
      <c r="B7290">
        <v>246004025.16837409</v>
      </c>
    </row>
    <row r="7291" spans="1:2" x14ac:dyDescent="0.25">
      <c r="A7291">
        <f ca="1">29406.0413959037*((RANDBETWEEN(1587,2416)))</f>
        <v>47226102.481821403</v>
      </c>
      <c r="B7291">
        <v>257708766.71940872</v>
      </c>
    </row>
    <row r="7292" spans="1:2" x14ac:dyDescent="0.25">
      <c r="A7292">
        <f ca="1">29533.5035326871*((RANDBETWEEN(1587,2416)))</f>
        <v>54991383.577863321</v>
      </c>
      <c r="B7292">
        <v>261820860.39829093</v>
      </c>
    </row>
    <row r="7293" spans="1:2" x14ac:dyDescent="0.25">
      <c r="A7293">
        <f ca="1">29024.1269432676*((RANDBETWEEN(1587,2416)))</f>
        <v>53317321.194782674</v>
      </c>
      <c r="B7293">
        <v>237708180.36338979</v>
      </c>
    </row>
    <row r="7294" spans="1:2" x14ac:dyDescent="0.25">
      <c r="A7294">
        <f ca="1">31352.9353058549*((RANDBETWEEN(1587,2416)))</f>
        <v>70669516.179396972</v>
      </c>
      <c r="B7294">
        <v>262146553.52444485</v>
      </c>
    </row>
    <row r="7295" spans="1:2" x14ac:dyDescent="0.25">
      <c r="A7295">
        <f ca="1">32485.4117948151*((RANDBETWEEN(1587,2416)))</f>
        <v>53146133.696317576</v>
      </c>
      <c r="B7295">
        <v>237312090.025213</v>
      </c>
    </row>
    <row r="7296" spans="1:2" x14ac:dyDescent="0.25">
      <c r="A7296">
        <f ca="1">29000.1396908773*((RANDBETWEEN(1587,2416)))</f>
        <v>66062318.215818562</v>
      </c>
      <c r="B7296">
        <v>224649013.22944558</v>
      </c>
    </row>
    <row r="7297" spans="1:2" x14ac:dyDescent="0.25">
      <c r="A7297">
        <f ca="1">32301.0938757274*((RANDBETWEEN(1587,2416)))</f>
        <v>66314145.726868428</v>
      </c>
      <c r="B7297">
        <v>259944655.49602363</v>
      </c>
    </row>
    <row r="7298" spans="1:2" x14ac:dyDescent="0.25">
      <c r="A7298">
        <f ca="1">30305.5742691349*((RANDBETWEEN(1587,2416)))</f>
        <v>69551292.947664484</v>
      </c>
      <c r="B7298">
        <v>249375292.5124979</v>
      </c>
    </row>
    <row r="7299" spans="1:2" x14ac:dyDescent="0.25">
      <c r="A7299">
        <f ca="1">27566.8862799615*((RANDBETWEEN(1587,2416)))</f>
        <v>64975150.961869396</v>
      </c>
      <c r="B7299">
        <v>205400502.12219173</v>
      </c>
    </row>
    <row r="7300" spans="1:2" x14ac:dyDescent="0.25">
      <c r="A7300">
        <f ca="1">27219.8374904911*((RANDBETWEEN(1587,2416)))</f>
        <v>51636031.71946162</v>
      </c>
      <c r="B7300">
        <v>241706522.39330095</v>
      </c>
    </row>
    <row r="7301" spans="1:2" x14ac:dyDescent="0.25">
      <c r="A7301">
        <f ca="1">25952.2779079909*((RANDBETWEEN(1587,2416)))</f>
        <v>55226447.388204686</v>
      </c>
      <c r="B7301">
        <v>214525054.81200933</v>
      </c>
    </row>
    <row r="7302" spans="1:2" x14ac:dyDescent="0.25">
      <c r="A7302">
        <f ca="1">32584.7832788097*((RANDBETWEEN(1587,2416)))</f>
        <v>55557055.49037046</v>
      </c>
      <c r="B7302">
        <v>261708125.73778677</v>
      </c>
    </row>
    <row r="7303" spans="1:2" x14ac:dyDescent="0.25">
      <c r="A7303">
        <f ca="1">33079.3438725753*((RANDBETWEEN(1587,2416)))</f>
        <v>78464203.665748537</v>
      </c>
      <c r="B7303">
        <v>250529839.8676084</v>
      </c>
    </row>
    <row r="7304" spans="1:2" x14ac:dyDescent="0.25">
      <c r="A7304">
        <f ca="1">31221.3918079427*((RANDBETWEEN(1587,2416)))</f>
        <v>53076366.07350257</v>
      </c>
      <c r="B7304">
        <v>213070445.6301648</v>
      </c>
    </row>
    <row r="7305" spans="1:2" x14ac:dyDescent="0.25">
      <c r="A7305">
        <f ca="1">27820.5871360514*((RANDBETWEEN(1587,2416)))</f>
        <v>46571662.865750007</v>
      </c>
      <c r="B7305">
        <v>223594723.68361267</v>
      </c>
    </row>
    <row r="7306" spans="1:2" x14ac:dyDescent="0.25">
      <c r="A7306">
        <f ca="1">29779.550838155*((RANDBETWEEN(1587,2416)))</f>
        <v>58397699.193621993</v>
      </c>
      <c r="B7306">
        <v>209232370.80619848</v>
      </c>
    </row>
    <row r="7307" spans="1:2" x14ac:dyDescent="0.25">
      <c r="A7307">
        <f ca="1">27365.0119858348*((RANDBETWEEN(1587,2416)))</f>
        <v>51063112.365567721</v>
      </c>
      <c r="B7307">
        <v>230429862.03491068</v>
      </c>
    </row>
    <row r="7308" spans="1:2" x14ac:dyDescent="0.25">
      <c r="A7308">
        <f ca="1">30728.3409731907*((RANDBETWEEN(1587,2416)))</f>
        <v>64068590.929102629</v>
      </c>
      <c r="B7308">
        <v>206826466.69245765</v>
      </c>
    </row>
    <row r="7309" spans="1:2" x14ac:dyDescent="0.25">
      <c r="A7309">
        <f ca="1">30253.5956564425*((RANDBETWEEN(1587,2416)))</f>
        <v>70218595.518603146</v>
      </c>
      <c r="B7309">
        <v>231168370.60023725</v>
      </c>
    </row>
    <row r="7310" spans="1:2" x14ac:dyDescent="0.25">
      <c r="A7310">
        <f ca="1">28913.9250695209*((RANDBETWEEN(1587,2416)))</f>
        <v>67369445.411983773</v>
      </c>
      <c r="B7310">
        <v>234091324.32770696</v>
      </c>
    </row>
    <row r="7311" spans="1:2" x14ac:dyDescent="0.25">
      <c r="A7311">
        <f ca="1">30859.1750989453*((RANDBETWEEN(1587,2416)))</f>
        <v>51874273.341327049</v>
      </c>
      <c r="B7311">
        <v>218360678.33903387</v>
      </c>
    </row>
    <row r="7312" spans="1:2" x14ac:dyDescent="0.25">
      <c r="A7312">
        <f ca="1">26872.7695162219*((RANDBETWEEN(1587,2416)))</f>
        <v>43721996.002893038</v>
      </c>
      <c r="B7312">
        <v>257896129.04304135</v>
      </c>
    </row>
    <row r="7313" spans="1:2" x14ac:dyDescent="0.25">
      <c r="A7313">
        <f ca="1">29926.5854723817*((RANDBETWEEN(1587,2416)))</f>
        <v>67035551.458134972</v>
      </c>
      <c r="B7313">
        <v>264414401.36591762</v>
      </c>
    </row>
    <row r="7314" spans="1:2" x14ac:dyDescent="0.25">
      <c r="A7314">
        <f ca="1">28931.654559982*((RANDBETWEEN(1587,2416)))</f>
        <v>65183017.723639436</v>
      </c>
      <c r="B7314">
        <v>235359006.73057801</v>
      </c>
    </row>
    <row r="7315" spans="1:2" x14ac:dyDescent="0.25">
      <c r="A7315">
        <f ca="1">27882.4814756131*((RANDBETWEEN(1587,2416)))</f>
        <v>53255539.618420959</v>
      </c>
      <c r="B7315">
        <v>203793433.08057183</v>
      </c>
    </row>
    <row r="7316" spans="1:2" x14ac:dyDescent="0.25">
      <c r="A7316">
        <f ca="1">30379.6885923202*((RANDBETWEEN(1587,2416)))</f>
        <v>71817583.832244948</v>
      </c>
      <c r="B7316">
        <v>222712777.41585743</v>
      </c>
    </row>
    <row r="7317" spans="1:2" x14ac:dyDescent="0.25">
      <c r="A7317">
        <f ca="1">31700.3931600374*((RANDBETWEEN(1587,2416)))</f>
        <v>71072281.46480374</v>
      </c>
      <c r="B7317">
        <v>255733547.51183623</v>
      </c>
    </row>
    <row r="7318" spans="1:2" x14ac:dyDescent="0.25">
      <c r="A7318">
        <f ca="1">27259.065079757*((RANDBETWEEN(1587,2416)))</f>
        <v>50729120.113427721</v>
      </c>
      <c r="B7318">
        <v>256361204.04625642</v>
      </c>
    </row>
    <row r="7319" spans="1:2" x14ac:dyDescent="0.25">
      <c r="A7319">
        <f ca="1">30801.5102663521*((RANDBETWEEN(1587,2416)))</f>
        <v>61479814.491638869</v>
      </c>
      <c r="B7319">
        <v>206777957.21545616</v>
      </c>
    </row>
    <row r="7320" spans="1:2" x14ac:dyDescent="0.25">
      <c r="A7320">
        <f ca="1">28816.7596147159*((RANDBETWEEN(1587,2416)))</f>
        <v>56538482.364072576</v>
      </c>
      <c r="B7320">
        <v>210252373.41706833</v>
      </c>
    </row>
    <row r="7321" spans="1:2" x14ac:dyDescent="0.25">
      <c r="A7321">
        <f ca="1">26282.6636431668*((RANDBETWEEN(1587,2416)))</f>
        <v>62342478.161591746</v>
      </c>
      <c r="B7321">
        <v>247063146.05406389</v>
      </c>
    </row>
    <row r="7322" spans="1:2" x14ac:dyDescent="0.25">
      <c r="A7322">
        <f ca="1">26861.5967290909*((RANDBETWEEN(1587,2416)))</f>
        <v>46658593.518430859</v>
      </c>
      <c r="B7322">
        <v>212459354.14108586</v>
      </c>
    </row>
    <row r="7323" spans="1:2" x14ac:dyDescent="0.25">
      <c r="A7323">
        <f ca="1">28898.4120862315*((RANDBETWEEN(1587,2416)))</f>
        <v>65397106.551141955</v>
      </c>
      <c r="B7323">
        <v>221630957.30290744</v>
      </c>
    </row>
    <row r="7324" spans="1:2" x14ac:dyDescent="0.25">
      <c r="A7324">
        <f ca="1">29821.5694536365*((RANDBETWEEN(1587,2416)))</f>
        <v>50875597.487903796</v>
      </c>
      <c r="B7324">
        <v>240907627.89087331</v>
      </c>
    </row>
    <row r="7325" spans="1:2" x14ac:dyDescent="0.25">
      <c r="A7325">
        <f ca="1">29904.1452155837*((RANDBETWEEN(1587,2416)))</f>
        <v>60884839.658928446</v>
      </c>
      <c r="B7325">
        <v>245123484.06121138</v>
      </c>
    </row>
    <row r="7326" spans="1:2" x14ac:dyDescent="0.25">
      <c r="A7326">
        <f ca="1">34546.9233563966*((RANDBETWEEN(1587,2416)))</f>
        <v>56691501.227846898</v>
      </c>
      <c r="B7326">
        <v>204185609.30779099</v>
      </c>
    </row>
    <row r="7327" spans="1:2" x14ac:dyDescent="0.25">
      <c r="A7327">
        <f ca="1">33266.8891866603*((RANDBETWEEN(1587,2416)))</f>
        <v>55588971.830909424</v>
      </c>
      <c r="B7327">
        <v>264280649.17025775</v>
      </c>
    </row>
    <row r="7328" spans="1:2" x14ac:dyDescent="0.25">
      <c r="A7328">
        <f ca="1">28659.7139230715*((RANDBETWEEN(1587,2416)))</f>
        <v>58867052.39798893</v>
      </c>
      <c r="B7328">
        <v>204676795.38617772</v>
      </c>
    </row>
    <row r="7329" spans="1:2" x14ac:dyDescent="0.25">
      <c r="A7329">
        <f ca="1">27847.2079197221*((RANDBETWEEN(1587,2416)))</f>
        <v>49261710.809988372</v>
      </c>
      <c r="B7329">
        <v>244714998.09569189</v>
      </c>
    </row>
    <row r="7330" spans="1:2" x14ac:dyDescent="0.25">
      <c r="A7330">
        <f ca="1">31706.6018430327*((RANDBETWEEN(1587,2416)))</f>
        <v>50793976.152538344</v>
      </c>
      <c r="B7330">
        <v>210195118.56808531</v>
      </c>
    </row>
    <row r="7331" spans="1:2" x14ac:dyDescent="0.25">
      <c r="A7331">
        <f ca="1">30354.2086199872*((RANDBETWEEN(1587,2416)))</f>
        <v>61406564.038234018</v>
      </c>
      <c r="B7331">
        <v>239498919.51295531</v>
      </c>
    </row>
    <row r="7332" spans="1:2" x14ac:dyDescent="0.25">
      <c r="A7332">
        <f ca="1">25916.8034765185*((RANDBETWEEN(1587,2416)))</f>
        <v>59660481.602945626</v>
      </c>
      <c r="B7332">
        <v>230938265.33954874</v>
      </c>
    </row>
    <row r="7333" spans="1:2" x14ac:dyDescent="0.25">
      <c r="A7333">
        <f ca="1">32681.286754111*((RANDBETWEEN(1587,2416)))</f>
        <v>74546015.086127296</v>
      </c>
      <c r="B7333">
        <v>233801069.64747059</v>
      </c>
    </row>
    <row r="7334" spans="1:2" x14ac:dyDescent="0.25">
      <c r="A7334">
        <f ca="1">32305.4893621636*((RANDBETWEEN(1587,2416)))</f>
        <v>64869422.639224544</v>
      </c>
      <c r="B7334">
        <v>252867413.2760213</v>
      </c>
    </row>
    <row r="7335" spans="1:2" x14ac:dyDescent="0.25">
      <c r="A7335">
        <f ca="1">29388.3728400185*((RANDBETWEEN(1587,2416)))</f>
        <v>47814882.610710055</v>
      </c>
      <c r="B7335">
        <v>253433670.68477875</v>
      </c>
    </row>
    <row r="7336" spans="1:2" x14ac:dyDescent="0.25">
      <c r="A7336">
        <f ca="1">31127.098972604*((RANDBETWEEN(1587,2416)))</f>
        <v>61725037.262673795</v>
      </c>
      <c r="B7336">
        <v>207103606.64542964</v>
      </c>
    </row>
    <row r="7337" spans="1:2" x14ac:dyDescent="0.25">
      <c r="A7337">
        <f ca="1">31206.6907980401*((RANDBETWEEN(1587,2416)))</f>
        <v>73304516.684596166</v>
      </c>
      <c r="B7337">
        <v>262501058.17019475</v>
      </c>
    </row>
    <row r="7338" spans="1:2" x14ac:dyDescent="0.25">
      <c r="A7338">
        <f ca="1">28318.1230656101*((RANDBETWEEN(1587,2416)))</f>
        <v>59241513.453256331</v>
      </c>
      <c r="B7338">
        <v>264155598.64097589</v>
      </c>
    </row>
    <row r="7339" spans="1:2" x14ac:dyDescent="0.25">
      <c r="A7339">
        <f ca="1">30605.8271782951*((RANDBETWEEN(1587,2416)))</f>
        <v>66812520.730218142</v>
      </c>
      <c r="B7339">
        <v>250459686.9764578</v>
      </c>
    </row>
    <row r="7340" spans="1:2" x14ac:dyDescent="0.25">
      <c r="A7340">
        <f ca="1">30786.2855248523*((RANDBETWEEN(1587,2416)))</f>
        <v>49381201.981863089</v>
      </c>
      <c r="B7340">
        <v>262709928.27243477</v>
      </c>
    </row>
    <row r="7341" spans="1:2" x14ac:dyDescent="0.25">
      <c r="A7341">
        <f ca="1">35030.3593409842*((RANDBETWEEN(1587,2416)))</f>
        <v>67223259.575348601</v>
      </c>
      <c r="B7341">
        <v>236332686.91185975</v>
      </c>
    </row>
    <row r="7342" spans="1:2" x14ac:dyDescent="0.25">
      <c r="A7342">
        <f ca="1">30368.5668557416*((RANDBETWEEN(1587,2416)))</f>
        <v>56607008.619102359</v>
      </c>
      <c r="B7342">
        <v>248553493.51113126</v>
      </c>
    </row>
    <row r="7343" spans="1:2" x14ac:dyDescent="0.25">
      <c r="A7343">
        <f ca="1">33084.2881432677*((RANDBETWEEN(1587,2416)))</f>
        <v>54555991.148248516</v>
      </c>
      <c r="B7343">
        <v>254858996.24805182</v>
      </c>
    </row>
    <row r="7344" spans="1:2" x14ac:dyDescent="0.25">
      <c r="A7344">
        <f ca="1">28753.5141967449*((RANDBETWEEN(1587,2416)))</f>
        <v>53337768.834961697</v>
      </c>
      <c r="B7344">
        <v>207144262.52554676</v>
      </c>
    </row>
    <row r="7345" spans="1:2" x14ac:dyDescent="0.25">
      <c r="A7345">
        <f ca="1">29315.1782625918*((RANDBETWEEN(1587,2416)))</f>
        <v>67307649.290910691</v>
      </c>
      <c r="B7345">
        <v>239906579.50468567</v>
      </c>
    </row>
    <row r="7346" spans="1:2" x14ac:dyDescent="0.25">
      <c r="A7346">
        <f ca="1">26083.5897052537*((RANDBETWEEN(1587,2416)))</f>
        <v>42046746.604869038</v>
      </c>
      <c r="B7346">
        <v>222090217.78882444</v>
      </c>
    </row>
    <row r="7347" spans="1:2" x14ac:dyDescent="0.25">
      <c r="A7347">
        <f ca="1">29018.7409391081*((RANDBETWEEN(1587,2416)))</f>
        <v>55774020.084965698</v>
      </c>
      <c r="B7347">
        <v>267583409.31481552</v>
      </c>
    </row>
    <row r="7348" spans="1:2" x14ac:dyDescent="0.25">
      <c r="A7348">
        <f ca="1">31964.3087870294*((RANDBETWEEN(1587,2416)))</f>
        <v>56544862.244254984</v>
      </c>
      <c r="B7348">
        <v>216812105.87730879</v>
      </c>
    </row>
    <row r="7349" spans="1:2" x14ac:dyDescent="0.25">
      <c r="A7349">
        <f ca="1">26974.6860646386*((RANDBETWEEN(1587,2416)))</f>
        <v>51845346.61623551</v>
      </c>
      <c r="B7349">
        <v>239432580.51110995</v>
      </c>
    </row>
    <row r="7350" spans="1:2" x14ac:dyDescent="0.25">
      <c r="A7350">
        <f ca="1">26151.9158712914*((RANDBETWEEN(1587,2416)))</f>
        <v>49139449.922156461</v>
      </c>
      <c r="B7350">
        <v>235812820.94588691</v>
      </c>
    </row>
    <row r="7351" spans="1:2" x14ac:dyDescent="0.25">
      <c r="A7351">
        <f ca="1">30910.2831541623*((RANDBETWEEN(1587,2416)))</f>
        <v>49765555.878201246</v>
      </c>
      <c r="B7351">
        <v>216570606.10159755</v>
      </c>
    </row>
    <row r="7352" spans="1:2" x14ac:dyDescent="0.25">
      <c r="A7352">
        <f ca="1">31241.2266748446*((RANDBETWEEN(1587,2416)))</f>
        <v>61607699.002793573</v>
      </c>
      <c r="B7352">
        <v>261266083.6892398</v>
      </c>
    </row>
    <row r="7353" spans="1:2" x14ac:dyDescent="0.25">
      <c r="A7353">
        <f ca="1">26663.02326279*((RANDBETWEEN(1587,2416)))</f>
        <v>47513507.454291739</v>
      </c>
      <c r="B7353">
        <v>260768181.48662877</v>
      </c>
    </row>
    <row r="7354" spans="1:2" x14ac:dyDescent="0.25">
      <c r="A7354">
        <f ca="1">27760.0756591153*((RANDBETWEEN(1587,2416)))</f>
        <v>63820413.940306023</v>
      </c>
      <c r="B7354">
        <v>245707496.52385843</v>
      </c>
    </row>
    <row r="7355" spans="1:2" x14ac:dyDescent="0.25">
      <c r="A7355">
        <f ca="1">25284.7983556236*((RANDBETWEEN(1587,2416)))</f>
        <v>53376209.328721374</v>
      </c>
      <c r="B7355">
        <v>206477641.90857407</v>
      </c>
    </row>
    <row r="7356" spans="1:2" x14ac:dyDescent="0.25">
      <c r="A7356">
        <f ca="1">29594.2301005843*((RANDBETWEEN(1587,2416)))</f>
        <v>50103031.560289197</v>
      </c>
      <c r="B7356">
        <v>235495099.93973964</v>
      </c>
    </row>
    <row r="7357" spans="1:2" x14ac:dyDescent="0.25">
      <c r="A7357">
        <f ca="1">32057.1559558181*((RANDBETWEEN(1587,2416)))</f>
        <v>69307571.176478624</v>
      </c>
      <c r="B7357">
        <v>264048389.03534037</v>
      </c>
    </row>
    <row r="7358" spans="1:2" x14ac:dyDescent="0.25">
      <c r="A7358">
        <f ca="1">27796.6913234677*((RANDBETWEEN(1587,2416)))</f>
        <v>49644890.703713305</v>
      </c>
      <c r="B7358">
        <v>233320832.94809914</v>
      </c>
    </row>
    <row r="7359" spans="1:2" x14ac:dyDescent="0.25">
      <c r="A7359">
        <f ca="1">27126.5832558877*((RANDBETWEEN(1587,2416)))</f>
        <v>44134950.957329325</v>
      </c>
      <c r="B7359">
        <v>246144122.03536916</v>
      </c>
    </row>
    <row r="7360" spans="1:2" x14ac:dyDescent="0.25">
      <c r="A7360">
        <f ca="1">30587.1341313361*((RANDBETWEEN(1587,2416)))</f>
        <v>53925117.473545521</v>
      </c>
      <c r="B7360">
        <v>235993841.05659294</v>
      </c>
    </row>
    <row r="7361" spans="1:2" x14ac:dyDescent="0.25">
      <c r="A7361">
        <f ca="1">28314.3270982277*((RANDBETWEEN(1587,2416)))</f>
        <v>64783180.400745094</v>
      </c>
      <c r="B7361">
        <v>234340431.01130971</v>
      </c>
    </row>
    <row r="7362" spans="1:2" x14ac:dyDescent="0.25">
      <c r="A7362">
        <f ca="1">29817.9496553827*((RANDBETWEEN(1587,2416)))</f>
        <v>48305078.441719905</v>
      </c>
      <c r="B7362">
        <v>240766419.85769564</v>
      </c>
    </row>
    <row r="7363" spans="1:2" x14ac:dyDescent="0.25">
      <c r="A7363">
        <f ca="1">33003.0371390781*((RANDBETWEEN(1587,2416)))</f>
        <v>56732220.842075244</v>
      </c>
      <c r="B7363">
        <v>244563450.95572913</v>
      </c>
    </row>
    <row r="7364" spans="1:2" x14ac:dyDescent="0.25">
      <c r="A7364">
        <f ca="1">34135.2024064995*((RANDBETWEEN(1587,2416)))</f>
        <v>77589315.069973379</v>
      </c>
      <c r="B7364">
        <v>229531745.15736753</v>
      </c>
    </row>
    <row r="7365" spans="1:2" x14ac:dyDescent="0.25">
      <c r="A7365">
        <f ca="1">32479.9536608446*((RANDBETWEEN(1587,2416)))</f>
        <v>57197198.396747254</v>
      </c>
      <c r="B7365">
        <v>249655966.13619179</v>
      </c>
    </row>
    <row r="7366" spans="1:2" x14ac:dyDescent="0.25">
      <c r="A7366">
        <f ca="1">31712.8889199774*((RANDBETWEEN(1587,2416)))</f>
        <v>60032498.725517131</v>
      </c>
      <c r="B7366">
        <v>250377086.58685473</v>
      </c>
    </row>
    <row r="7367" spans="1:2" x14ac:dyDescent="0.25">
      <c r="A7367">
        <f ca="1">26421.5951676285*((RANDBETWEEN(1587,2416)))</f>
        <v>45867889.211003028</v>
      </c>
      <c r="B7367">
        <v>210014886.28259718</v>
      </c>
    </row>
    <row r="7368" spans="1:2" x14ac:dyDescent="0.25">
      <c r="A7368">
        <f ca="1">27432.5549579307*((RANDBETWEEN(1587,2416)))</f>
        <v>49076840.819737941</v>
      </c>
      <c r="B7368">
        <v>219566885.6903809</v>
      </c>
    </row>
    <row r="7369" spans="1:2" x14ac:dyDescent="0.25">
      <c r="A7369">
        <f ca="1">28635.924897856*((RANDBETWEEN(1587,2416)))</f>
        <v>69069850.853628621</v>
      </c>
      <c r="B7369">
        <v>219660427.13915944</v>
      </c>
    </row>
    <row r="7370" spans="1:2" x14ac:dyDescent="0.25">
      <c r="A7370">
        <f ca="1">31995.9544228283*((RANDBETWEEN(1587,2416)))</f>
        <v>71510958.13502118</v>
      </c>
      <c r="B7370">
        <v>256500898.00450799</v>
      </c>
    </row>
    <row r="7371" spans="1:2" x14ac:dyDescent="0.25">
      <c r="A7371">
        <f ca="1">27706.9984742089*((RANDBETWEEN(1587,2416)))</f>
        <v>60428963.672249518</v>
      </c>
      <c r="B7371">
        <v>215813757.49073625</v>
      </c>
    </row>
    <row r="7372" spans="1:2" x14ac:dyDescent="0.25">
      <c r="A7372">
        <f ca="1">28128.7575884398*((RANDBETWEEN(1587,2416)))</f>
        <v>53838442.024273701</v>
      </c>
      <c r="B7372">
        <v>265662335.56076109</v>
      </c>
    </row>
    <row r="7373" spans="1:2" x14ac:dyDescent="0.25">
      <c r="A7373">
        <f ca="1">31891.0328341135*((RANDBETWEEN(1587,2416)))</f>
        <v>61167000.975829639</v>
      </c>
      <c r="B7373">
        <v>254572949.54748014</v>
      </c>
    </row>
    <row r="7374" spans="1:2" x14ac:dyDescent="0.25">
      <c r="A7374">
        <f ca="1">30472.912085155*((RANDBETWEEN(1587,2416)))</f>
        <v>71763707.960539907</v>
      </c>
      <c r="B7374">
        <v>216427552.55534369</v>
      </c>
    </row>
    <row r="7375" spans="1:2" x14ac:dyDescent="0.25">
      <c r="A7375">
        <f ca="1">32943.0504234371*((RANDBETWEEN(1587,2416)))</f>
        <v>66017873.048567973</v>
      </c>
      <c r="B7375">
        <v>263154330.05217707</v>
      </c>
    </row>
    <row r="7376" spans="1:2" x14ac:dyDescent="0.25">
      <c r="A7376">
        <f ca="1">32924.8972625417*((RANDBETWEEN(1587,2416)))</f>
        <v>68714260.586924508</v>
      </c>
      <c r="B7376">
        <v>247824129.32936978</v>
      </c>
    </row>
    <row r="7377" spans="1:2" x14ac:dyDescent="0.25">
      <c r="A7377">
        <f ca="1">30822.9019544905*((RANDBETWEEN(1587,2416)))</f>
        <v>70615268.377737701</v>
      </c>
      <c r="B7377">
        <v>212312917.75138313</v>
      </c>
    </row>
    <row r="7378" spans="1:2" x14ac:dyDescent="0.25">
      <c r="A7378">
        <f ca="1">35125.7833341877*((RANDBETWEEN(1587,2416)))</f>
        <v>57044272.13472075</v>
      </c>
      <c r="B7378">
        <v>229832774.75358832</v>
      </c>
    </row>
    <row r="7379" spans="1:2" x14ac:dyDescent="0.25">
      <c r="A7379">
        <f ca="1">28030.5811266587*((RANDBETWEEN(1587,2416)))</f>
        <v>61246819.76174929</v>
      </c>
      <c r="B7379">
        <v>227167091.21518421</v>
      </c>
    </row>
    <row r="7380" spans="1:2" x14ac:dyDescent="0.25">
      <c r="A7380">
        <f ca="1">31233.7076124169*((RANDBETWEEN(1587,2416)))</f>
        <v>55221195.058753058</v>
      </c>
      <c r="B7380">
        <v>246742384.78057829</v>
      </c>
    </row>
    <row r="7381" spans="1:2" x14ac:dyDescent="0.25">
      <c r="A7381">
        <f ca="1">26678.1330338267*((RANDBETWEEN(1587,2416)))</f>
        <v>48287420.791226327</v>
      </c>
      <c r="B7381">
        <v>217449249.3224718</v>
      </c>
    </row>
    <row r="7382" spans="1:2" x14ac:dyDescent="0.25">
      <c r="A7382">
        <f ca="1">31906.68214557*((RANDBETWEEN(1587,2416)))</f>
        <v>54081826.236741185</v>
      </c>
      <c r="B7382">
        <v>255064291.40926665</v>
      </c>
    </row>
    <row r="7383" spans="1:2" x14ac:dyDescent="0.25">
      <c r="A7383">
        <f ca="1">32602.2253471087*((RANDBETWEEN(1587,2416)))</f>
        <v>60933559.173746087</v>
      </c>
      <c r="B7383">
        <v>215026528.56942034</v>
      </c>
    </row>
    <row r="7384" spans="1:2" x14ac:dyDescent="0.25">
      <c r="A7384">
        <f ca="1">28082.1391355511*((RANDBETWEEN(1587,2416)))</f>
        <v>48217032.895741239</v>
      </c>
      <c r="B7384">
        <v>207643342.06284001</v>
      </c>
    </row>
    <row r="7385" spans="1:2" x14ac:dyDescent="0.25">
      <c r="A7385">
        <f ca="1">31172.4044595649*((RANDBETWEEN(1587,2416)))</f>
        <v>55081638.680051126</v>
      </c>
      <c r="B7385">
        <v>229985296.8590126</v>
      </c>
    </row>
    <row r="7386" spans="1:2" x14ac:dyDescent="0.25">
      <c r="A7386">
        <f ca="1">27435.6984437376*((RANDBETWEEN(1587,2416)))</f>
        <v>62306471.165728174</v>
      </c>
      <c r="B7386">
        <v>244179032.21696538</v>
      </c>
    </row>
    <row r="7387" spans="1:2" x14ac:dyDescent="0.25">
      <c r="A7387">
        <f ca="1">30628.4378850996*((RANDBETWEEN(1587,2416)))</f>
        <v>66310568.021240726</v>
      </c>
      <c r="B7387">
        <v>213977517.17177275</v>
      </c>
    </row>
    <row r="7388" spans="1:2" x14ac:dyDescent="0.25">
      <c r="A7388">
        <f ca="1">25567.817786853*((RANDBETWEEN(1587,2416)))</f>
        <v>57527590.020419218</v>
      </c>
      <c r="B7388">
        <v>263457456.76486227</v>
      </c>
    </row>
    <row r="7389" spans="1:2" x14ac:dyDescent="0.25">
      <c r="A7389">
        <f ca="1">32805.8584417839*((RANDBETWEEN(1587,2416)))</f>
        <v>79160536.420024499</v>
      </c>
      <c r="B7389">
        <v>254361196.71896464</v>
      </c>
    </row>
    <row r="7390" spans="1:2" x14ac:dyDescent="0.25">
      <c r="A7390">
        <f ca="1">28146.1822954259*((RANDBETWEEN(1587,2416)))</f>
        <v>45540522.953999162</v>
      </c>
      <c r="B7390">
        <v>244026891.73085976</v>
      </c>
    </row>
    <row r="7391" spans="1:2" x14ac:dyDescent="0.25">
      <c r="A7391">
        <f ca="1">25381.3271324398*((RANDBETWEEN(1587,2416)))</f>
        <v>54011464.137831919</v>
      </c>
      <c r="B7391">
        <v>262536829.51089096</v>
      </c>
    </row>
    <row r="7392" spans="1:2" x14ac:dyDescent="0.25">
      <c r="A7392">
        <f ca="1">28881.3593590789*((RANDBETWEEN(1587,2416)))</f>
        <v>56145362.594049424</v>
      </c>
      <c r="B7392">
        <v>235867181.69845912</v>
      </c>
    </row>
    <row r="7393" spans="1:2" x14ac:dyDescent="0.25">
      <c r="A7393">
        <f ca="1">29356.9825361229*((RANDBETWEEN(1587,2416)))</f>
        <v>52372856.844443321</v>
      </c>
      <c r="B7393">
        <v>225241908.25187209</v>
      </c>
    </row>
    <row r="7394" spans="1:2" x14ac:dyDescent="0.25">
      <c r="A7394">
        <f ca="1">28556.5751844133*((RANDBETWEEN(1587,2416)))</f>
        <v>48174942.336105168</v>
      </c>
      <c r="B7394">
        <v>213772630.12417817</v>
      </c>
    </row>
    <row r="7395" spans="1:2" x14ac:dyDescent="0.25">
      <c r="A7395">
        <f ca="1">27504.4455921353*((RANDBETWEEN(1587,2416)))</f>
        <v>55283935.640192039</v>
      </c>
      <c r="B7395">
        <v>220511932.16816527</v>
      </c>
    </row>
    <row r="7396" spans="1:2" x14ac:dyDescent="0.25">
      <c r="A7396">
        <f ca="1">31790.8461532599*((RANDBETWEEN(1587,2416)))</f>
        <v>53567575.768242873</v>
      </c>
      <c r="B7396">
        <v>236210601.34758684</v>
      </c>
    </row>
    <row r="7397" spans="1:2" x14ac:dyDescent="0.25">
      <c r="A7397">
        <f ca="1">28757.6522103558*((RANDBETWEEN(1587,2416)))</f>
        <v>56738847.811032027</v>
      </c>
      <c r="B7397">
        <v>209988418.98997891</v>
      </c>
    </row>
    <row r="7398" spans="1:2" x14ac:dyDescent="0.25">
      <c r="A7398">
        <f ca="1">32926.3826135716*((RANDBETWEEN(1587,2416)))</f>
        <v>73788023.437013865</v>
      </c>
      <c r="B7398">
        <v>226305594.7574861</v>
      </c>
    </row>
    <row r="7399" spans="1:2" x14ac:dyDescent="0.25">
      <c r="A7399">
        <f ca="1">30522.5953995943*((RANDBETWEEN(1587,2416)))</f>
        <v>65257308.964332566</v>
      </c>
      <c r="B7399">
        <v>208649186.821576</v>
      </c>
    </row>
    <row r="7400" spans="1:2" x14ac:dyDescent="0.25">
      <c r="A7400">
        <f ca="1">30860.3405414151*((RANDBETWEEN(1587,2416)))</f>
        <v>66689195.909998089</v>
      </c>
      <c r="B7400">
        <v>220354816.79102561</v>
      </c>
    </row>
    <row r="7401" spans="1:2" x14ac:dyDescent="0.25">
      <c r="A7401">
        <f ca="1">30073.2810336635*((RANDBETWEEN(1587,2416)))</f>
        <v>61018687.217303239</v>
      </c>
      <c r="B7401">
        <v>248699210.06209683</v>
      </c>
    </row>
    <row r="7402" spans="1:2" x14ac:dyDescent="0.25">
      <c r="A7402">
        <f ca="1">25596.5514959096*((RANDBETWEEN(1587,2416)))</f>
        <v>60766213.251289316</v>
      </c>
      <c r="B7402">
        <v>228449881.10460961</v>
      </c>
    </row>
    <row r="7403" spans="1:2" x14ac:dyDescent="0.25">
      <c r="A7403">
        <f ca="1">28127.3199691075*((RANDBETWEEN(1587,2416)))</f>
        <v>59461154.414693244</v>
      </c>
      <c r="B7403">
        <v>243528644.9937444</v>
      </c>
    </row>
    <row r="7404" spans="1:2" x14ac:dyDescent="0.25">
      <c r="A7404">
        <f ca="1">25458.4100629026*((RANDBETWEEN(1587,2416)))</f>
        <v>54073662.973605111</v>
      </c>
      <c r="B7404">
        <v>224034701.18260363</v>
      </c>
    </row>
    <row r="7405" spans="1:2" x14ac:dyDescent="0.25">
      <c r="A7405">
        <f ca="1">32784.5637427946*((RANDBETWEEN(1587,2416)))</f>
        <v>71240857.013092637</v>
      </c>
      <c r="B7405">
        <v>233043696.34469813</v>
      </c>
    </row>
    <row r="7406" spans="1:2" x14ac:dyDescent="0.25">
      <c r="A7406">
        <f ca="1">29792.8281572307*((RANDBETWEEN(1587,2416)))</f>
        <v>71651751.718139842</v>
      </c>
      <c r="B7406">
        <v>220493492.2628299</v>
      </c>
    </row>
    <row r="7407" spans="1:2" x14ac:dyDescent="0.25">
      <c r="A7407">
        <f ca="1">31268.6774669386*((RANDBETWEEN(1587,2416)))</f>
        <v>51249362.368312329</v>
      </c>
      <c r="B7407">
        <v>253041012.8005372</v>
      </c>
    </row>
    <row r="7408" spans="1:2" x14ac:dyDescent="0.25">
      <c r="A7408">
        <f ca="1">29657.7597255484*((RANDBETWEEN(1587,2416)))</f>
        <v>63289659.254320301</v>
      </c>
      <c r="B7408">
        <v>217493240.4987644</v>
      </c>
    </row>
    <row r="7409" spans="1:2" x14ac:dyDescent="0.25">
      <c r="A7409">
        <f ca="1">27937.4732939723*((RANDBETWEEN(1587,2416)))</f>
        <v>50455076.768914044</v>
      </c>
      <c r="B7409">
        <v>255317676.82332215</v>
      </c>
    </row>
    <row r="7410" spans="1:2" x14ac:dyDescent="0.25">
      <c r="A7410">
        <f ca="1">33094.6583480753*((RANDBETWEEN(1587,2416)))</f>
        <v>68671416.072256327</v>
      </c>
      <c r="B7410">
        <v>247529570.14752999</v>
      </c>
    </row>
    <row r="7411" spans="1:2" x14ac:dyDescent="0.25">
      <c r="A7411">
        <f ca="1">31187.6722363955*((RANDBETWEEN(1587,2416)))</f>
        <v>64776795.234993428</v>
      </c>
      <c r="B7411">
        <v>258065451.70106441</v>
      </c>
    </row>
    <row r="7412" spans="1:2" x14ac:dyDescent="0.25">
      <c r="A7412">
        <f ca="1">29655.5906187297*((RANDBETWEEN(1587,2416)))</f>
        <v>52075217.126489423</v>
      </c>
      <c r="B7412">
        <v>215260466.09464616</v>
      </c>
    </row>
    <row r="7413" spans="1:2" x14ac:dyDescent="0.25">
      <c r="A7413">
        <f ca="1">32400.5980036604*((RANDBETWEEN(1587,2416)))</f>
        <v>69272478.531825945</v>
      </c>
      <c r="B7413">
        <v>235135736.2246556</v>
      </c>
    </row>
    <row r="7414" spans="1:2" x14ac:dyDescent="0.25">
      <c r="A7414">
        <f ca="1">26088.3956867359*((RANDBETWEEN(1587,2416)))</f>
        <v>61933851.360311113</v>
      </c>
      <c r="B7414">
        <v>204853330.81403893</v>
      </c>
    </row>
    <row r="7415" spans="1:2" x14ac:dyDescent="0.25">
      <c r="A7415">
        <f ca="1">32686.7423457202*((RANDBETWEEN(1587,2416)))</f>
        <v>74296965.351822048</v>
      </c>
      <c r="B7415">
        <v>244716805.39045298</v>
      </c>
    </row>
    <row r="7416" spans="1:2" x14ac:dyDescent="0.25">
      <c r="A7416">
        <f ca="1">31730.9056156816*((RANDBETWEEN(1587,2416)))</f>
        <v>68729141.563566417</v>
      </c>
      <c r="B7416">
        <v>236475777.7632035</v>
      </c>
    </row>
    <row r="7417" spans="1:2" x14ac:dyDescent="0.25">
      <c r="A7417">
        <f ca="1">31306.2969821477*((RANDBETWEEN(1587,2416)))</f>
        <v>51624083.723561503</v>
      </c>
      <c r="B7417">
        <v>230422727.91021076</v>
      </c>
    </row>
    <row r="7418" spans="1:2" x14ac:dyDescent="0.25">
      <c r="A7418">
        <f ca="1">27190.5765486073*((RANDBETWEEN(1587,2416)))</f>
        <v>51852429.47819411</v>
      </c>
      <c r="B7418">
        <v>250489640.04598317</v>
      </c>
    </row>
    <row r="7419" spans="1:2" x14ac:dyDescent="0.25">
      <c r="A7419">
        <f ca="1">32191.0554468244*((RANDBETWEEN(1587,2416)))</f>
        <v>63867054.006499708</v>
      </c>
      <c r="B7419">
        <v>252974175.64660627</v>
      </c>
    </row>
    <row r="7420" spans="1:2" x14ac:dyDescent="0.25">
      <c r="A7420">
        <f ca="1">26614.1063001576*((RANDBETWEEN(1587,2416)))</f>
        <v>48916727.379689597</v>
      </c>
      <c r="B7420">
        <v>262822756.51222977</v>
      </c>
    </row>
    <row r="7421" spans="1:2" x14ac:dyDescent="0.25">
      <c r="A7421">
        <f ca="1">31492.7200955157*((RANDBETWEEN(1587,2416)))</f>
        <v>69976824.052235961</v>
      </c>
      <c r="B7421">
        <v>236361708.08602685</v>
      </c>
    </row>
    <row r="7422" spans="1:2" x14ac:dyDescent="0.25">
      <c r="A7422">
        <f ca="1">30883.5448858238*((RANDBETWEEN(1587,2416)))</f>
        <v>58555201.103521928</v>
      </c>
      <c r="B7422">
        <v>250176950.95120993</v>
      </c>
    </row>
    <row r="7423" spans="1:2" x14ac:dyDescent="0.25">
      <c r="A7423">
        <f ca="1">31545.7302886097*((RANDBETWEEN(1587,2416)))</f>
        <v>61072533.838748313</v>
      </c>
      <c r="B7423">
        <v>229306094.20783198</v>
      </c>
    </row>
    <row r="7424" spans="1:2" x14ac:dyDescent="0.25">
      <c r="A7424">
        <f ca="1">28294.8501730411*((RANDBETWEEN(1587,2416)))</f>
        <v>54637355.684142277</v>
      </c>
      <c r="B7424">
        <v>204815706.05372977</v>
      </c>
    </row>
    <row r="7425" spans="1:2" x14ac:dyDescent="0.25">
      <c r="A7425">
        <f ca="1">28776.7405522523*((RANDBETWEEN(1587,2416)))</f>
        <v>59049871.613221675</v>
      </c>
      <c r="B7425">
        <v>251856317.26300454</v>
      </c>
    </row>
    <row r="7426" spans="1:2" x14ac:dyDescent="0.25">
      <c r="A7426">
        <f ca="1">26818.2915982224*((RANDBETWEEN(1587,2416)))</f>
        <v>55674773.357909672</v>
      </c>
      <c r="B7426">
        <v>214777026.29156065</v>
      </c>
    </row>
    <row r="7427" spans="1:2" x14ac:dyDescent="0.25">
      <c r="A7427">
        <f ca="1">30249.1299878861*((RANDBETWEEN(1587,2416)))</f>
        <v>54690427.018097989</v>
      </c>
      <c r="B7427">
        <v>241424194.6259833</v>
      </c>
    </row>
    <row r="7428" spans="1:2" x14ac:dyDescent="0.25">
      <c r="A7428">
        <f ca="1">30015.4619118543*((RANDBETWEEN(1587,2416)))</f>
        <v>53427522.203100666</v>
      </c>
      <c r="B7428">
        <v>222777544.95964095</v>
      </c>
    </row>
    <row r="7429" spans="1:2" x14ac:dyDescent="0.25">
      <c r="A7429">
        <f ca="1">25984.0402707425*((RANDBETWEEN(1587,2416)))</f>
        <v>57996377.884297214</v>
      </c>
      <c r="B7429">
        <v>266243683.91142887</v>
      </c>
    </row>
    <row r="7430" spans="1:2" x14ac:dyDescent="0.25">
      <c r="A7430">
        <f ca="1">33159.7290967697*((RANDBETWEEN(1587,2416)))</f>
        <v>70398104.872442022</v>
      </c>
      <c r="B7430">
        <v>217576355.57046884</v>
      </c>
    </row>
    <row r="7431" spans="1:2" x14ac:dyDescent="0.25">
      <c r="A7431">
        <f ca="1">27771.8279885677*((RANDBETWEEN(1587,2416)))</f>
        <v>62097807.382437281</v>
      </c>
      <c r="B7431">
        <v>246491773.79657385</v>
      </c>
    </row>
    <row r="7432" spans="1:2" x14ac:dyDescent="0.25">
      <c r="A7432">
        <f ca="1">34490.9531330541*((RANDBETWEEN(1587,2416)))</f>
        <v>75880096.892718986</v>
      </c>
      <c r="B7432">
        <v>239090530.7581701</v>
      </c>
    </row>
    <row r="7433" spans="1:2" x14ac:dyDescent="0.25">
      <c r="A7433">
        <f ca="1">28065.4497835209*((RANDBETWEEN(1587,2416)))</f>
        <v>62978869.31422101</v>
      </c>
      <c r="B7433">
        <v>223591937.85905758</v>
      </c>
    </row>
    <row r="7434" spans="1:2" x14ac:dyDescent="0.25">
      <c r="A7434">
        <f ca="1">31458.2387660475*((RANDBETWEEN(1587,2416)))</f>
        <v>75845813.664940625</v>
      </c>
      <c r="B7434">
        <v>243635159.19149134</v>
      </c>
    </row>
    <row r="7435" spans="1:2" x14ac:dyDescent="0.25">
      <c r="A7435">
        <f ca="1">29251.8793461638*((RANDBETWEEN(1587,2416)))</f>
        <v>55988097.068557493</v>
      </c>
      <c r="B7435">
        <v>238669948.73915157</v>
      </c>
    </row>
    <row r="7436" spans="1:2" x14ac:dyDescent="0.25">
      <c r="A7436">
        <f ca="1">29624.6905120748*((RANDBETWEEN(1587,2416)))</f>
        <v>69558773.322351545</v>
      </c>
      <c r="B7436">
        <v>207245089.4928776</v>
      </c>
    </row>
    <row r="7437" spans="1:2" x14ac:dyDescent="0.25">
      <c r="A7437">
        <f ca="1">31604.4882690762*((RANDBETWEEN(1587,2416)))</f>
        <v>63777857.326995708</v>
      </c>
      <c r="B7437">
        <v>240244164.35649562</v>
      </c>
    </row>
    <row r="7438" spans="1:2" x14ac:dyDescent="0.25">
      <c r="A7438">
        <f ca="1">27966.1368964312*((RANDBETWEEN(1587,2416)))</f>
        <v>52576337.365290582</v>
      </c>
      <c r="B7438">
        <v>245090180.61658999</v>
      </c>
    </row>
    <row r="7439" spans="1:2" x14ac:dyDescent="0.25">
      <c r="A7439">
        <f ca="1">30832.3459990606*((RANDBETWEEN(1587,2416)))</f>
        <v>49115927.176503606</v>
      </c>
      <c r="B7439">
        <v>209528616.44202763</v>
      </c>
    </row>
    <row r="7440" spans="1:2" x14ac:dyDescent="0.25">
      <c r="A7440">
        <f ca="1">32292.0857503914*((RANDBETWEEN(1587,2416)))</f>
        <v>57415328.464195997</v>
      </c>
      <c r="B7440">
        <v>241964258.07527685</v>
      </c>
    </row>
    <row r="7441" spans="1:2" x14ac:dyDescent="0.25">
      <c r="A7441">
        <f ca="1">29066.3616748564*((RANDBETWEEN(1587,2416)))</f>
        <v>63742531.152960174</v>
      </c>
      <c r="B7441">
        <v>204815767.03388357</v>
      </c>
    </row>
    <row r="7442" spans="1:2" x14ac:dyDescent="0.25">
      <c r="A7442">
        <f ca="1">32596.6629489977*((RANDBETWEEN(1587,2416)))</f>
        <v>55446923.676245153</v>
      </c>
      <c r="B7442">
        <v>244494314.40657854</v>
      </c>
    </row>
    <row r="7443" spans="1:2" x14ac:dyDescent="0.25">
      <c r="A7443">
        <f ca="1">26709.0481992688*((RANDBETWEEN(1587,2416)))</f>
        <v>49251484.879451677</v>
      </c>
      <c r="B7443">
        <v>209260289.53220323</v>
      </c>
    </row>
    <row r="7444" spans="1:2" x14ac:dyDescent="0.25">
      <c r="A7444">
        <f ca="1">29240.2956310741*((RANDBETWEEN(1587,2416)))</f>
        <v>48977495.182049081</v>
      </c>
      <c r="B7444">
        <v>210622457.29367357</v>
      </c>
    </row>
    <row r="7445" spans="1:2" x14ac:dyDescent="0.25">
      <c r="A7445">
        <f ca="1">29351.1941288287*((RANDBETWEEN(1587,2416)))</f>
        <v>52949554.208406903</v>
      </c>
      <c r="B7445">
        <v>241999408.60177121</v>
      </c>
    </row>
    <row r="7446" spans="1:2" x14ac:dyDescent="0.25">
      <c r="A7446">
        <f ca="1">27932.0325964688*((RANDBETWEEN(1587,2416)))</f>
        <v>54411599.497921251</v>
      </c>
      <c r="B7446">
        <v>209121730.70455417</v>
      </c>
    </row>
    <row r="7447" spans="1:2" x14ac:dyDescent="0.25">
      <c r="A7447">
        <f ca="1">29123.9779796785*((RANDBETWEEN(1587,2416)))</f>
        <v>61771957.29489813</v>
      </c>
      <c r="B7447">
        <v>205606058.69775921</v>
      </c>
    </row>
    <row r="7448" spans="1:2" x14ac:dyDescent="0.25">
      <c r="A7448">
        <f ca="1">32493.2474821362*((RANDBETWEEN(1587,2416)))</f>
        <v>71940049.925449535</v>
      </c>
      <c r="B7448">
        <v>209274910.65306836</v>
      </c>
    </row>
    <row r="7449" spans="1:2" x14ac:dyDescent="0.25">
      <c r="A7449">
        <f ca="1">33866.3767915321*((RANDBETWEEN(1587,2416)))</f>
        <v>60688547.210425615</v>
      </c>
      <c r="B7449">
        <v>236994637.53160727</v>
      </c>
    </row>
    <row r="7450" spans="1:2" x14ac:dyDescent="0.25">
      <c r="A7450">
        <f ca="1">27134.2300219374*((RANDBETWEEN(1587,2416)))</f>
        <v>53237359.303041145</v>
      </c>
      <c r="B7450">
        <v>249504848.15599549</v>
      </c>
    </row>
    <row r="7451" spans="1:2" x14ac:dyDescent="0.25">
      <c r="A7451">
        <f ca="1">30482.7850059488*((RANDBETWEEN(1587,2416)))</f>
        <v>65537987.762789898</v>
      </c>
      <c r="B7451">
        <v>205844824.16619152</v>
      </c>
    </row>
    <row r="7452" spans="1:2" x14ac:dyDescent="0.25">
      <c r="A7452">
        <f ca="1">31280.7526451027*((RANDBETWEEN(1587,2416)))</f>
        <v>56430477.771765269</v>
      </c>
      <c r="B7452">
        <v>215090696.03852993</v>
      </c>
    </row>
    <row r="7453" spans="1:2" x14ac:dyDescent="0.25">
      <c r="A7453">
        <f ca="1">29656.135406142*((RANDBETWEEN(1587,2416)))</f>
        <v>54507976.876488946</v>
      </c>
      <c r="B7453">
        <v>213340832.87368804</v>
      </c>
    </row>
    <row r="7454" spans="1:2" x14ac:dyDescent="0.25">
      <c r="A7454">
        <f ca="1">32184.5450452957*((RANDBETWEEN(1587,2416)))</f>
        <v>67909390.045573965</v>
      </c>
      <c r="B7454">
        <v>226327808.62920675</v>
      </c>
    </row>
    <row r="7455" spans="1:2" x14ac:dyDescent="0.25">
      <c r="A7455">
        <f ca="1">30508.7738758921*((RANDBETWEEN(1587,2416)))</f>
        <v>53603915.699942484</v>
      </c>
      <c r="B7455">
        <v>256627472.08594763</v>
      </c>
    </row>
    <row r="7456" spans="1:2" x14ac:dyDescent="0.25">
      <c r="A7456">
        <f ca="1">29177.4587206262*((RANDBETWEEN(1587,2416)))</f>
        <v>59288596.12031237</v>
      </c>
      <c r="B7456">
        <v>224515179.05129629</v>
      </c>
    </row>
    <row r="7457" spans="1:2" x14ac:dyDescent="0.25">
      <c r="A7457">
        <f ca="1">30986.5554594438*((RANDBETWEEN(1587,2416)))</f>
        <v>61694231.919752598</v>
      </c>
      <c r="B7457">
        <v>256377804.16737434</v>
      </c>
    </row>
    <row r="7458" spans="1:2" x14ac:dyDescent="0.25">
      <c r="A7458">
        <f ca="1">26602.1452200246*((RANDBETWEEN(1587,2416)))</f>
        <v>57886267.998773456</v>
      </c>
      <c r="B7458">
        <v>225434639.94277984</v>
      </c>
    </row>
    <row r="7459" spans="1:2" x14ac:dyDescent="0.25">
      <c r="A7459">
        <f ca="1">29375.4868176662*((RANDBETWEEN(1587,2416)))</f>
        <v>51818358.746363223</v>
      </c>
      <c r="B7459">
        <v>254293207.88314492</v>
      </c>
    </row>
    <row r="7460" spans="1:2" x14ac:dyDescent="0.25">
      <c r="A7460">
        <f ca="1">32165.9041622408*((RANDBETWEEN(1587,2416)))</f>
        <v>55100193.829918519</v>
      </c>
      <c r="B7460">
        <v>248999757.50897413</v>
      </c>
    </row>
    <row r="7461" spans="1:2" x14ac:dyDescent="0.25">
      <c r="A7461">
        <f ca="1">28587.3290367103*((RANDBETWEEN(1587,2416)))</f>
        <v>50542397.736903891</v>
      </c>
      <c r="B7461">
        <v>263354431.87427223</v>
      </c>
    </row>
    <row r="7462" spans="1:2" x14ac:dyDescent="0.25">
      <c r="A7462">
        <f ca="1">28586.9779506773*((RANDBETWEEN(1587,2416)))</f>
        <v>66378962.801472701</v>
      </c>
      <c r="B7462">
        <v>203722443.19082743</v>
      </c>
    </row>
    <row r="7463" spans="1:2" x14ac:dyDescent="0.25">
      <c r="A7463">
        <f ca="1">27186.5246666564*((RANDBETWEEN(1587,2416)))</f>
        <v>46869568.525315672</v>
      </c>
      <c r="B7463">
        <v>231553716.19450992</v>
      </c>
    </row>
    <row r="7464" spans="1:2" x14ac:dyDescent="0.25">
      <c r="A7464">
        <f ca="1">26364.6108293909*((RANDBETWEEN(1587,2416)))</f>
        <v>52096470.998876318</v>
      </c>
      <c r="B7464">
        <v>239925796.79510182</v>
      </c>
    </row>
    <row r="7465" spans="1:2" x14ac:dyDescent="0.25">
      <c r="A7465">
        <f ca="1">26811.1145549638*((RANDBETWEEN(1587,2416)))</f>
        <v>53514984.651707746</v>
      </c>
      <c r="B7465">
        <v>207588247.65991631</v>
      </c>
    </row>
    <row r="7466" spans="1:2" x14ac:dyDescent="0.25">
      <c r="A7466">
        <f ca="1">29150.171011833*((RANDBETWEEN(1587,2416)))</f>
        <v>48855686.61583212</v>
      </c>
      <c r="B7466">
        <v>224437153.3448835</v>
      </c>
    </row>
    <row r="7467" spans="1:2" x14ac:dyDescent="0.25">
      <c r="A7467">
        <f ca="1">27316.7892426946*((RANDBETWEEN(1587,2416)))</f>
        <v>58676463.293308064</v>
      </c>
      <c r="B7467">
        <v>231390671.96486181</v>
      </c>
    </row>
    <row r="7468" spans="1:2" x14ac:dyDescent="0.25">
      <c r="A7468">
        <f ca="1">28261.3671313483*((RANDBETWEEN(1587,2416)))</f>
        <v>60055405.15411523</v>
      </c>
      <c r="B7468">
        <v>267088678.21283752</v>
      </c>
    </row>
    <row r="7469" spans="1:2" x14ac:dyDescent="0.25">
      <c r="A7469">
        <f ca="1">26551.3684542259*((RANDBETWEEN(1587,2416)))</f>
        <v>50766216.484479979</v>
      </c>
      <c r="B7469">
        <v>248954515.87198761</v>
      </c>
    </row>
    <row r="7470" spans="1:2" x14ac:dyDescent="0.25">
      <c r="A7470">
        <f ca="1">26427.2901723603*((RANDBETWEEN(1587,2416)))</f>
        <v>62844096.029872715</v>
      </c>
      <c r="B7470">
        <v>223123490.25709176</v>
      </c>
    </row>
    <row r="7471" spans="1:2" x14ac:dyDescent="0.25">
      <c r="A7471">
        <f ca="1">26333.940648377*((RANDBETWEEN(1587,2416)))</f>
        <v>50008153.291267842</v>
      </c>
      <c r="B7471">
        <v>244857444.73762712</v>
      </c>
    </row>
    <row r="7472" spans="1:2" x14ac:dyDescent="0.25">
      <c r="A7472">
        <f ca="1">27829.4713031161*((RANDBETWEEN(1587,2416)))</f>
        <v>51428862.968158513</v>
      </c>
      <c r="B7472">
        <v>223076965.7744953</v>
      </c>
    </row>
    <row r="7473" spans="1:2" x14ac:dyDescent="0.25">
      <c r="A7473">
        <f ca="1">32841.9229880923*((RANDBETWEEN(1587,2416)))</f>
        <v>72974752.879541025</v>
      </c>
      <c r="B7473">
        <v>216094425.29348445</v>
      </c>
    </row>
    <row r="7474" spans="1:2" x14ac:dyDescent="0.25">
      <c r="A7474">
        <f ca="1">27233.9832660212*((RANDBETWEEN(1587,2416)))</f>
        <v>44990540.355467014</v>
      </c>
      <c r="B7474">
        <v>214583051.89661193</v>
      </c>
    </row>
    <row r="7475" spans="1:2" x14ac:dyDescent="0.25">
      <c r="A7475">
        <f ca="1">30337.6296477351*((RANDBETWEEN(1587,2416)))</f>
        <v>55062797.810639292</v>
      </c>
      <c r="B7475">
        <v>262690861.58847639</v>
      </c>
    </row>
    <row r="7476" spans="1:2" x14ac:dyDescent="0.25">
      <c r="A7476">
        <f ca="1">27035.922899967*((RANDBETWEEN(1587,2416)))</f>
        <v>47745439.841341689</v>
      </c>
      <c r="B7476">
        <v>236294240.83807147</v>
      </c>
    </row>
    <row r="7477" spans="1:2" x14ac:dyDescent="0.25">
      <c r="A7477">
        <f ca="1">28275.6670163236*((RANDBETWEEN(1587,2416)))</f>
        <v>52309983.980198748</v>
      </c>
      <c r="B7477">
        <v>209747837.70587119</v>
      </c>
    </row>
    <row r="7478" spans="1:2" x14ac:dyDescent="0.25">
      <c r="A7478">
        <f ca="1">31964.1409551592*((RANDBETWEEN(1587,2416)))</f>
        <v>56736350.195407659</v>
      </c>
      <c r="B7478">
        <v>220651972.59479195</v>
      </c>
    </row>
    <row r="7479" spans="1:2" x14ac:dyDescent="0.25">
      <c r="A7479">
        <f ca="1">28441.8776768199*((RANDBETWEEN(1587,2416)))</f>
        <v>49403541.52463612</v>
      </c>
      <c r="B7479">
        <v>236993456.93624455</v>
      </c>
    </row>
    <row r="7480" spans="1:2" x14ac:dyDescent="0.25">
      <c r="A7480">
        <f ca="1">28671.3859294775*((RANDBETWEEN(1587,2416)))</f>
        <v>64023204.780523174</v>
      </c>
      <c r="B7480">
        <v>208575934.82234085</v>
      </c>
    </row>
    <row r="7481" spans="1:2" x14ac:dyDescent="0.25">
      <c r="A7481">
        <f ca="1">28499.0052664469*((RANDBETWEEN(1587,2416)))</f>
        <v>46139889.526377581</v>
      </c>
      <c r="B7481">
        <v>228434702.94312796</v>
      </c>
    </row>
    <row r="7482" spans="1:2" x14ac:dyDescent="0.25">
      <c r="A7482">
        <f ca="1">32328.3584066561*((RANDBETWEEN(1587,2416)))</f>
        <v>67275313.844251424</v>
      </c>
      <c r="B7482">
        <v>255496804.15976942</v>
      </c>
    </row>
    <row r="7483" spans="1:2" x14ac:dyDescent="0.25">
      <c r="A7483">
        <f ca="1">28674.4914846193*((RANDBETWEEN(1587,2416)))</f>
        <v>58639335.086046375</v>
      </c>
      <c r="B7483">
        <v>267623522.41167164</v>
      </c>
    </row>
    <row r="7484" spans="1:2" x14ac:dyDescent="0.25">
      <c r="A7484">
        <f ca="1">27018.430109161*((RANDBETWEEN(1587,2416)))</f>
        <v>52199606.970898978</v>
      </c>
      <c r="B7484">
        <v>224941004.05788407</v>
      </c>
    </row>
    <row r="7485" spans="1:2" x14ac:dyDescent="0.25">
      <c r="A7485">
        <f ca="1">27318.8787923*((RANDBETWEEN(1587,2416)))</f>
        <v>53818191.220831096</v>
      </c>
      <c r="B7485">
        <v>208622947.23820785</v>
      </c>
    </row>
    <row r="7486" spans="1:2" x14ac:dyDescent="0.25">
      <c r="A7486">
        <f ca="1">30489.9046103796*((RANDBETWEEN(1587,2416)))</f>
        <v>49180216.136542343</v>
      </c>
      <c r="B7486">
        <v>239799451.58503017</v>
      </c>
    </row>
    <row r="7487" spans="1:2" x14ac:dyDescent="0.25">
      <c r="A7487">
        <f ca="1">33164.9665986972*((RANDBETWEEN(1587,2416)))</f>
        <v>62383302.172149479</v>
      </c>
      <c r="B7487">
        <v>243712971.99762583</v>
      </c>
    </row>
    <row r="7488" spans="1:2" x14ac:dyDescent="0.25">
      <c r="A7488">
        <f ca="1">30345.6636988862*((RANDBETWEEN(1587,2416)))</f>
        <v>65212831.288906381</v>
      </c>
      <c r="B7488">
        <v>220873103.29013842</v>
      </c>
    </row>
    <row r="7489" spans="1:2" x14ac:dyDescent="0.25">
      <c r="A7489">
        <f ca="1">27728.5259693365*((RANDBETWEEN(1587,2416)))</f>
        <v>44337913.024969026</v>
      </c>
      <c r="B7489">
        <v>266485757.99127489</v>
      </c>
    </row>
    <row r="7490" spans="1:2" x14ac:dyDescent="0.25">
      <c r="A7490">
        <f ca="1">30423.4459114891*((RANDBETWEEN(1587,2416)))</f>
        <v>51080965.685390137</v>
      </c>
      <c r="B7490">
        <v>251015505.16592336</v>
      </c>
    </row>
    <row r="7491" spans="1:2" x14ac:dyDescent="0.25">
      <c r="A7491">
        <f ca="1">29564.6632255083*((RANDBETWEEN(1587,2416)))</f>
        <v>70127381.170905709</v>
      </c>
      <c r="B7491">
        <v>222091397.63825464</v>
      </c>
    </row>
    <row r="7492" spans="1:2" x14ac:dyDescent="0.25">
      <c r="A7492">
        <f ca="1">27234.9958471761*((RANDBETWEEN(1587,2416)))</f>
        <v>56567086.374584749</v>
      </c>
      <c r="B7492">
        <v>225026630.23085558</v>
      </c>
    </row>
    <row r="7493" spans="1:2" x14ac:dyDescent="0.25">
      <c r="A7493">
        <f ca="1">27320.2082173803*((RANDBETWEEN(1587,2416)))</f>
        <v>44368018.145025648</v>
      </c>
      <c r="B7493">
        <v>256491597.98378754</v>
      </c>
    </row>
    <row r="7494" spans="1:2" x14ac:dyDescent="0.25">
      <c r="A7494">
        <f ca="1">33119.6485320047*((RANDBETWEEN(1587,2416)))</f>
        <v>58356820.713392295</v>
      </c>
      <c r="B7494">
        <v>239785623.83893737</v>
      </c>
    </row>
    <row r="7495" spans="1:2" x14ac:dyDescent="0.25">
      <c r="A7495">
        <f ca="1">28152.0551156119*((RANDBETWEEN(1587,2416)))</f>
        <v>51377500.585991733</v>
      </c>
      <c r="B7495">
        <v>231072156.30479521</v>
      </c>
    </row>
    <row r="7496" spans="1:2" x14ac:dyDescent="0.25">
      <c r="A7496">
        <f ca="1">33021.5481525589*((RANDBETWEEN(1587,2416)))</f>
        <v>65052449.860540956</v>
      </c>
      <c r="B7496">
        <v>251288867.66950527</v>
      </c>
    </row>
    <row r="7497" spans="1:2" x14ac:dyDescent="0.25">
      <c r="A7497">
        <f ca="1">27322.3120719376*((RANDBETWEEN(1587,2416)))</f>
        <v>51065401.262451425</v>
      </c>
      <c r="B7497">
        <v>260592628.0548456</v>
      </c>
    </row>
    <row r="7498" spans="1:2" x14ac:dyDescent="0.25">
      <c r="A7498">
        <f ca="1">27176.2968068541*((RANDBETWEEN(1587,2416)))</f>
        <v>62858774.514253557</v>
      </c>
      <c r="B7498">
        <v>223973361.18435729</v>
      </c>
    </row>
    <row r="7499" spans="1:2" x14ac:dyDescent="0.25">
      <c r="A7499">
        <f ca="1">26737.7509576865*((RANDBETWEEN(1587,2416)))</f>
        <v>61282925.19501742</v>
      </c>
      <c r="B7499">
        <v>267078181.3057858</v>
      </c>
    </row>
    <row r="7500" spans="1:2" x14ac:dyDescent="0.25">
      <c r="A7500">
        <f ca="1">26922.3601001093*((RANDBETWEEN(1587,2416)))</f>
        <v>64936732.561463602</v>
      </c>
      <c r="B7500">
        <v>207887577.85780126</v>
      </c>
    </row>
    <row r="7501" spans="1:2" x14ac:dyDescent="0.25">
      <c r="A7501">
        <f ca="1">29589.7047613932*((RANDBETWEEN(1587,2416)))</f>
        <v>49030140.789628588</v>
      </c>
      <c r="B7501">
        <v>233793019.42820936</v>
      </c>
    </row>
    <row r="7502" spans="1:2" x14ac:dyDescent="0.25">
      <c r="A7502">
        <f ca="1">30044.0683090374*((RANDBETWEEN(1587,2416)))</f>
        <v>48731478.797258645</v>
      </c>
      <c r="B7502">
        <v>252296907.37553573</v>
      </c>
    </row>
    <row r="7503" spans="1:2" x14ac:dyDescent="0.25">
      <c r="A7503">
        <f ca="1">30553.6260886569*((RANDBETWEEN(1587,2416)))</f>
        <v>48733033.611407682</v>
      </c>
      <c r="B7503">
        <v>212062545.80322537</v>
      </c>
    </row>
    <row r="7504" spans="1:2" x14ac:dyDescent="0.25">
      <c r="A7504">
        <f ca="1">30209.6919908084*((RANDBETWEEN(1587,2416)))</f>
        <v>67005096.835613042</v>
      </c>
      <c r="B7504">
        <v>219279763.96574369</v>
      </c>
    </row>
    <row r="7505" spans="1:2" x14ac:dyDescent="0.25">
      <c r="A7505">
        <f ca="1">26963.1473889783*((RANDBETWEEN(1587,2416)))</f>
        <v>49342559.721830346</v>
      </c>
      <c r="B7505">
        <v>206613073.81839573</v>
      </c>
    </row>
    <row r="7506" spans="1:2" x14ac:dyDescent="0.25">
      <c r="A7506">
        <f ca="1">33396.3698321636*((RANDBETWEEN(1587,2416)))</f>
        <v>74607490.205053553</v>
      </c>
      <c r="B7506">
        <v>231251002.68969825</v>
      </c>
    </row>
    <row r="7507" spans="1:2" x14ac:dyDescent="0.25">
      <c r="A7507">
        <f ca="1">31016.238904539*((RANDBETWEEN(1587,2416)))</f>
        <v>54526547.994179524</v>
      </c>
      <c r="B7507">
        <v>221191609.74628749</v>
      </c>
    </row>
    <row r="7508" spans="1:2" x14ac:dyDescent="0.25">
      <c r="A7508">
        <f ca="1">29785.3784730688*((RANDBETWEEN(1587,2416)))</f>
        <v>54864667.147392794</v>
      </c>
      <c r="B7508">
        <v>262255849.2395542</v>
      </c>
    </row>
    <row r="7509" spans="1:2" x14ac:dyDescent="0.25">
      <c r="A7509">
        <f ca="1">27760.2537023864*((RANDBETWEEN(1587,2416)))</f>
        <v>44444166.177520558</v>
      </c>
      <c r="B7509">
        <v>249202352.68516383</v>
      </c>
    </row>
    <row r="7510" spans="1:2" x14ac:dyDescent="0.25">
      <c r="A7510">
        <f ca="1">31405.9467807565*((RANDBETWEEN(1587,2416)))</f>
        <v>51285911.092975296</v>
      </c>
      <c r="B7510">
        <v>242108896.86955199</v>
      </c>
    </row>
    <row r="7511" spans="1:2" x14ac:dyDescent="0.25">
      <c r="A7511">
        <f ca="1">29790.1354587467*((RANDBETWEEN(1587,2416)))</f>
        <v>54754268.973176457</v>
      </c>
      <c r="B7511">
        <v>229178191.21944296</v>
      </c>
    </row>
    <row r="7512" spans="1:2" x14ac:dyDescent="0.25">
      <c r="A7512">
        <f ca="1">28180.6941889865*((RANDBETWEEN(1587,2416)))</f>
        <v>59714890.986462325</v>
      </c>
      <c r="B7512">
        <v>257947893.46535361</v>
      </c>
    </row>
    <row r="7513" spans="1:2" x14ac:dyDescent="0.25">
      <c r="A7513">
        <f ca="1">27103.3593811696*((RANDBETWEEN(1587,2416)))</f>
        <v>52472103.761944436</v>
      </c>
      <c r="B7513">
        <v>221655488.64063939</v>
      </c>
    </row>
    <row r="7514" spans="1:2" x14ac:dyDescent="0.25">
      <c r="A7514">
        <f ca="1">30764.4008962055*((RANDBETWEEN(1587,2416)))</f>
        <v>55806623.225716829</v>
      </c>
      <c r="B7514">
        <v>266355899.89033127</v>
      </c>
    </row>
    <row r="7515" spans="1:2" x14ac:dyDescent="0.25">
      <c r="A7515">
        <f ca="1">33344.2550575466*((RANDBETWEEN(1587,2416)))</f>
        <v>62087002.917151824</v>
      </c>
      <c r="B7515">
        <v>213037216.51991904</v>
      </c>
    </row>
    <row r="7516" spans="1:2" x14ac:dyDescent="0.25">
      <c r="A7516">
        <f ca="1">28610.8388928275*((RANDBETWEEN(1587,2416)))</f>
        <v>58137224.63022539</v>
      </c>
      <c r="B7516">
        <v>242347571.88496751</v>
      </c>
    </row>
    <row r="7517" spans="1:2" x14ac:dyDescent="0.25">
      <c r="A7517">
        <f ca="1">27354.1403431922*((RANDBETWEEN(1587,2416)))</f>
        <v>45271102.267983198</v>
      </c>
      <c r="B7517">
        <v>255389964.74927893</v>
      </c>
    </row>
    <row r="7518" spans="1:2" x14ac:dyDescent="0.25">
      <c r="A7518">
        <f ca="1">31236.4974429729*((RANDBETWEEN(1587,2416)))</f>
        <v>57725047.274613999</v>
      </c>
      <c r="B7518">
        <v>267821474.84594414</v>
      </c>
    </row>
    <row r="7519" spans="1:2" x14ac:dyDescent="0.25">
      <c r="A7519">
        <f ca="1">26682.9236484957*((RANDBETWEEN(1587,2416)))</f>
        <v>43519848.470696554</v>
      </c>
      <c r="B7519">
        <v>204399120.30639908</v>
      </c>
    </row>
    <row r="7520" spans="1:2" x14ac:dyDescent="0.25">
      <c r="A7520">
        <f ca="1">30658.2693647187*((RANDBETWEEN(1587,2416)))</f>
        <v>68735839.915699244</v>
      </c>
      <c r="B7520">
        <v>255098297.21432698</v>
      </c>
    </row>
    <row r="7521" spans="1:2" x14ac:dyDescent="0.25">
      <c r="A7521">
        <f ca="1">27724.9823978607*((RANDBETWEEN(1587,2416)))</f>
        <v>51318942.418440096</v>
      </c>
      <c r="B7521">
        <v>237265095.10397786</v>
      </c>
    </row>
    <row r="7522" spans="1:2" x14ac:dyDescent="0.25">
      <c r="A7522">
        <f ca="1">31655.6981566285*((RANDBETWEEN(1587,2416)))</f>
        <v>71035386.663474441</v>
      </c>
      <c r="B7522">
        <v>256321479.69582945</v>
      </c>
    </row>
    <row r="7523" spans="1:2" x14ac:dyDescent="0.25">
      <c r="A7523">
        <f ca="1">31706.765926016*((RANDBETWEEN(1587,2416)))</f>
        <v>68930509.123158693</v>
      </c>
      <c r="B7523">
        <v>241313114.83133292</v>
      </c>
    </row>
    <row r="7524" spans="1:2" x14ac:dyDescent="0.25">
      <c r="A7524">
        <f ca="1">28074.075137573*((RANDBETWEEN(1587,2416)))</f>
        <v>47473261.057635948</v>
      </c>
      <c r="B7524">
        <v>250575436.27695572</v>
      </c>
    </row>
    <row r="7525" spans="1:2" x14ac:dyDescent="0.25">
      <c r="A7525">
        <f ca="1">30741.3875899545*((RANDBETWEEN(1587,2416)))</f>
        <v>70797415.619665265</v>
      </c>
      <c r="B7525">
        <v>222679088.59377044</v>
      </c>
    </row>
    <row r="7526" spans="1:2" x14ac:dyDescent="0.25">
      <c r="A7526">
        <f ca="1">33968.4410856061*((RANDBETWEEN(1587,2416)))</f>
        <v>79927741.874431178</v>
      </c>
      <c r="B7526">
        <v>223851443.36251339</v>
      </c>
    </row>
    <row r="7527" spans="1:2" x14ac:dyDescent="0.25">
      <c r="A7527">
        <f ca="1">29061.7900559233*((RANDBETWEEN(1587,2416)))</f>
        <v>64894977.194876768</v>
      </c>
      <c r="B7527">
        <v>205154860.23223373</v>
      </c>
    </row>
    <row r="7528" spans="1:2" x14ac:dyDescent="0.25">
      <c r="A7528">
        <f ca="1">31729.6763728185*((RANDBETWEEN(1587,2416)))</f>
        <v>63935297.891229182</v>
      </c>
      <c r="B7528">
        <v>253259456.91340458</v>
      </c>
    </row>
    <row r="7529" spans="1:2" x14ac:dyDescent="0.25">
      <c r="A7529">
        <f ca="1">30687.4389787276*((RANDBETWEEN(1587,2416)))</f>
        <v>69414986.969881892</v>
      </c>
      <c r="B7529">
        <v>236274864.70632824</v>
      </c>
    </row>
    <row r="7530" spans="1:2" x14ac:dyDescent="0.25">
      <c r="A7530">
        <f ca="1">32063.0367072828*((RANDBETWEEN(1587,2416)))</f>
        <v>58002033.403474599</v>
      </c>
      <c r="B7530">
        <v>212490627.52040571</v>
      </c>
    </row>
    <row r="7531" spans="1:2" x14ac:dyDescent="0.25">
      <c r="A7531">
        <f ca="1">31774.1174258714*((RANDBETWEEN(1587,2416)))</f>
        <v>61895980.745597586</v>
      </c>
      <c r="B7531">
        <v>228958752.90688115</v>
      </c>
    </row>
    <row r="7532" spans="1:2" x14ac:dyDescent="0.25">
      <c r="A7532">
        <f ca="1">32968.3388609659*((RANDBETWEEN(1587,2416)))</f>
        <v>72958933.899317518</v>
      </c>
      <c r="B7532">
        <v>206217315.70681748</v>
      </c>
    </row>
    <row r="7533" spans="1:2" x14ac:dyDescent="0.25">
      <c r="A7533">
        <f ca="1">32514.6838486552*((RANDBETWEEN(1587,2416)))</f>
        <v>67142822.147473022</v>
      </c>
      <c r="B7533">
        <v>257546770.23981634</v>
      </c>
    </row>
    <row r="7534" spans="1:2" x14ac:dyDescent="0.25">
      <c r="A7534">
        <f ca="1">28679.8195679647*((RANDBETWEEN(1587,2416)))</f>
        <v>65131870.238847852</v>
      </c>
      <c r="B7534">
        <v>267880911.91257524</v>
      </c>
    </row>
    <row r="7535" spans="1:2" x14ac:dyDescent="0.25">
      <c r="A7535">
        <f ca="1">30511.6998393403*((RANDBETWEEN(1587,2416)))</f>
        <v>69688722.433053359</v>
      </c>
      <c r="B7535">
        <v>267372801.93875033</v>
      </c>
    </row>
    <row r="7536" spans="1:2" x14ac:dyDescent="0.25">
      <c r="A7536">
        <f ca="1">26498.9254608716*((RANDBETWEEN(1587,2416)))</f>
        <v>56681201.560804345</v>
      </c>
      <c r="B7536">
        <v>240924996.7989296</v>
      </c>
    </row>
    <row r="7537" spans="1:2" x14ac:dyDescent="0.25">
      <c r="A7537">
        <f ca="1">25663.9246058167*((RANDBETWEEN(1587,2416)))</f>
        <v>44013630.69897557</v>
      </c>
      <c r="B7537">
        <v>254891293.04243982</v>
      </c>
    </row>
    <row r="7538" spans="1:2" x14ac:dyDescent="0.25">
      <c r="A7538">
        <f ca="1">26923.3275978876*((RANDBETWEEN(1587,2416)))</f>
        <v>62058270.113130994</v>
      </c>
      <c r="B7538">
        <v>208932116.9325518</v>
      </c>
    </row>
    <row r="7539" spans="1:2" x14ac:dyDescent="0.25">
      <c r="A7539">
        <f ca="1">29035.9629699417*((RANDBETWEEN(1587,2416)))</f>
        <v>68408728.757182539</v>
      </c>
      <c r="B7539">
        <v>257211705.76820919</v>
      </c>
    </row>
    <row r="7540" spans="1:2" x14ac:dyDescent="0.25">
      <c r="A7540">
        <f ca="1">27260.4599629919*((RANDBETWEEN(1587,2416)))</f>
        <v>55693119.704392418</v>
      </c>
      <c r="B7540">
        <v>233065890.22362804</v>
      </c>
    </row>
    <row r="7541" spans="1:2" x14ac:dyDescent="0.25">
      <c r="A7541">
        <f ca="1">33675.8679135047*((RANDBETWEEN(1587,2416)))</f>
        <v>74491019.824672431</v>
      </c>
      <c r="B7541">
        <v>222551948.35099608</v>
      </c>
    </row>
    <row r="7542" spans="1:2" x14ac:dyDescent="0.25">
      <c r="A7542">
        <f ca="1">26837.0643412756*((RANDBETWEEN(1587,2416)))</f>
        <v>64704162.126815386</v>
      </c>
      <c r="B7542">
        <v>221152886.58361125</v>
      </c>
    </row>
    <row r="7543" spans="1:2" x14ac:dyDescent="0.25">
      <c r="A7543">
        <f ca="1">29314.048781063*((RANDBETWEEN(1587,2416)))</f>
        <v>58833295.903593443</v>
      </c>
      <c r="B7543">
        <v>256311784.83309114</v>
      </c>
    </row>
    <row r="7544" spans="1:2" x14ac:dyDescent="0.25">
      <c r="A7544">
        <f ca="1">29637.4038538479*((RANDBETWEEN(1587,2416)))</f>
        <v>52191468.186626211</v>
      </c>
      <c r="B7544">
        <v>265697529.8915185</v>
      </c>
    </row>
    <row r="7545" spans="1:2" x14ac:dyDescent="0.25">
      <c r="A7545">
        <f ca="1">26726.8277922534*((RANDBETWEEN(1587,2416)))</f>
        <v>59280104.043218128</v>
      </c>
      <c r="B7545">
        <v>263230336.27436298</v>
      </c>
    </row>
    <row r="7546" spans="1:2" x14ac:dyDescent="0.25">
      <c r="A7546">
        <f ca="1">26628.9440991005*((RANDBETWEEN(1587,2416)))</f>
        <v>43298663.10513749</v>
      </c>
      <c r="B7546">
        <v>205458736.46433923</v>
      </c>
    </row>
    <row r="7547" spans="1:2" x14ac:dyDescent="0.25">
      <c r="A7547">
        <f ca="1">32374.3055329726*((RANDBETWEEN(1587,2416)))</f>
        <v>58111878.43168582</v>
      </c>
      <c r="B7547">
        <v>251594591.85549963</v>
      </c>
    </row>
    <row r="7548" spans="1:2" x14ac:dyDescent="0.25">
      <c r="A7548">
        <f ca="1">31469.2887391664*((RANDBETWEEN(1587,2416)))</f>
        <v>54253053.786322951</v>
      </c>
      <c r="B7548">
        <v>266797416.61896527</v>
      </c>
    </row>
    <row r="7549" spans="1:2" x14ac:dyDescent="0.25">
      <c r="A7549">
        <f ca="1">31599.2006985284*((RANDBETWEEN(1587,2416)))</f>
        <v>66800710.276688948</v>
      </c>
      <c r="B7549">
        <v>262437674.80696499</v>
      </c>
    </row>
    <row r="7550" spans="1:2" x14ac:dyDescent="0.25">
      <c r="A7550">
        <f ca="1">27449.3075378428*((RANDBETWEEN(1587,2416)))</f>
        <v>62392276.033516601</v>
      </c>
      <c r="B7550">
        <v>267584436.19633794</v>
      </c>
    </row>
    <row r="7551" spans="1:2" x14ac:dyDescent="0.25">
      <c r="A7551">
        <f ca="1">27332.8774680021*((RANDBETWEEN(1587,2416)))</f>
        <v>44333927.253099352</v>
      </c>
      <c r="B7551">
        <v>203815481.41634077</v>
      </c>
    </row>
    <row r="7552" spans="1:2" x14ac:dyDescent="0.25">
      <c r="A7552">
        <f ca="1">32205.3987315005*((RANDBETWEEN(1587,2416)))</f>
        <v>61930981.760675415</v>
      </c>
      <c r="B7552">
        <v>226855024.15332094</v>
      </c>
    </row>
    <row r="7553" spans="1:2" x14ac:dyDescent="0.25">
      <c r="A7553">
        <f ca="1">27576.3632930032*((RANDBETWEEN(1587,2416)))</f>
        <v>62653497.40170332</v>
      </c>
      <c r="B7553">
        <v>233388137.25611147</v>
      </c>
    </row>
    <row r="7554" spans="1:2" x14ac:dyDescent="0.25">
      <c r="A7554">
        <f ca="1">27777.6082932922*((RANDBETWEEN(1587,2416)))</f>
        <v>63582945.383345924</v>
      </c>
      <c r="B7554">
        <v>214789081.21251664</v>
      </c>
    </row>
    <row r="7555" spans="1:2" x14ac:dyDescent="0.25">
      <c r="A7555">
        <f ca="1">33047.4355775152*((RANDBETWEEN(1587,2416)))</f>
        <v>77231856.944653049</v>
      </c>
      <c r="B7555">
        <v>255435801.90981746</v>
      </c>
    </row>
    <row r="7556" spans="1:2" x14ac:dyDescent="0.25">
      <c r="A7556">
        <f ca="1">32647.6413187554*((RANDBETWEEN(1587,2416)))</f>
        <v>55043923.26342155</v>
      </c>
      <c r="B7556">
        <v>207052455.0550929</v>
      </c>
    </row>
    <row r="7557" spans="1:2" x14ac:dyDescent="0.25">
      <c r="A7557">
        <f ca="1">27249.7962709895*((RANDBETWEEN(1587,2416)))</f>
        <v>59895052.203634888</v>
      </c>
      <c r="B7557">
        <v>259618875.12034699</v>
      </c>
    </row>
    <row r="7558" spans="1:2" x14ac:dyDescent="0.25">
      <c r="A7558">
        <f ca="1">29059.6346896743*((RANDBETWEEN(1587,2416)))</f>
        <v>53731264.541207723</v>
      </c>
      <c r="B7558">
        <v>248582665.40178943</v>
      </c>
    </row>
    <row r="7559" spans="1:2" x14ac:dyDescent="0.25">
      <c r="A7559">
        <f ca="1">34284.1147074557*((RANDBETWEEN(1587,2416)))</f>
        <v>80704806.021350697</v>
      </c>
      <c r="B7559">
        <v>254967487.32908374</v>
      </c>
    </row>
    <row r="7560" spans="1:2" x14ac:dyDescent="0.25">
      <c r="A7560">
        <f ca="1">28621.9079401397*((RANDBETWEEN(1587,2416)))</f>
        <v>54181271.73068437</v>
      </c>
      <c r="B7560">
        <v>257720774.80327177</v>
      </c>
    </row>
    <row r="7561" spans="1:2" x14ac:dyDescent="0.25">
      <c r="A7561">
        <f ca="1">32351.7436342738*((RANDBETWEEN(1587,2416)))</f>
        <v>60821278.032434732</v>
      </c>
      <c r="B7561">
        <v>204882489.73588288</v>
      </c>
    </row>
    <row r="7562" spans="1:2" x14ac:dyDescent="0.25">
      <c r="A7562">
        <f ca="1">28725.9808418107*((RANDBETWEEN(1587,2416)))</f>
        <v>57509413.645305097</v>
      </c>
      <c r="B7562">
        <v>238112175.73945975</v>
      </c>
    </row>
    <row r="7563" spans="1:2" x14ac:dyDescent="0.25">
      <c r="A7563">
        <f ca="1">30026.5995956418*((RANDBETWEEN(1587,2416)))</f>
        <v>58702002.20947963</v>
      </c>
      <c r="B7563">
        <v>224453758.66089082</v>
      </c>
    </row>
    <row r="7564" spans="1:2" x14ac:dyDescent="0.25">
      <c r="A7564">
        <f ca="1">27432.1310709676*((RANDBETWEEN(1587,2416)))</f>
        <v>61063923.763973862</v>
      </c>
      <c r="B7564">
        <v>252675803.82137018</v>
      </c>
    </row>
    <row r="7565" spans="1:2" x14ac:dyDescent="0.25">
      <c r="A7565">
        <f ca="1">29519.1934609438*((RANDBETWEEN(1587,2416)))</f>
        <v>57119639.346926212</v>
      </c>
      <c r="B7565">
        <v>247058115.56292754</v>
      </c>
    </row>
    <row r="7566" spans="1:2" x14ac:dyDescent="0.25">
      <c r="A7566">
        <f ca="1">31332.0466719535*((RANDBETWEEN(1587,2416)))</f>
        <v>66925251.691292755</v>
      </c>
      <c r="B7566">
        <v>235959698.38770854</v>
      </c>
    </row>
    <row r="7567" spans="1:2" x14ac:dyDescent="0.25">
      <c r="A7567">
        <f ca="1">28355.9885238415*((RANDBETWEEN(1587,2416)))</f>
        <v>45936701.408623233</v>
      </c>
      <c r="B7567">
        <v>211306053.15760311</v>
      </c>
    </row>
    <row r="7568" spans="1:2" x14ac:dyDescent="0.25">
      <c r="A7568">
        <f ca="1">29108.492181264*((RANDBETWEEN(1587,2416)))</f>
        <v>58566286.268703073</v>
      </c>
      <c r="B7568">
        <v>240833925.32900244</v>
      </c>
    </row>
    <row r="7569" spans="1:2" x14ac:dyDescent="0.25">
      <c r="A7569">
        <f ca="1">27312.7873278427*((RANDBETWEEN(1587,2416)))</f>
        <v>44465217.76972799</v>
      </c>
      <c r="B7569">
        <v>257376625.49139759</v>
      </c>
    </row>
    <row r="7570" spans="1:2" x14ac:dyDescent="0.25">
      <c r="A7570">
        <f ca="1">28375.5635051675*((RANDBETWEEN(1587,2416)))</f>
        <v>49628860.570537888</v>
      </c>
      <c r="B7570">
        <v>244106177.40048772</v>
      </c>
    </row>
    <row r="7571" spans="1:2" x14ac:dyDescent="0.25">
      <c r="A7571">
        <f ca="1">27356.5983451294*((RANDBETWEEN(1587,2416)))</f>
        <v>45001604.277737938</v>
      </c>
      <c r="B7571">
        <v>230603334.73485005</v>
      </c>
    </row>
    <row r="7572" spans="1:2" x14ac:dyDescent="0.25">
      <c r="A7572">
        <f ca="1">25966.5785864891*((RANDBETWEEN(1587,2416)))</f>
        <v>57775637.354938187</v>
      </c>
      <c r="B7572">
        <v>219098306.61153808</v>
      </c>
    </row>
    <row r="7573" spans="1:2" x14ac:dyDescent="0.25">
      <c r="A7573">
        <f ca="1">33263.2064273138*((RANDBETWEEN(1587,2416)))</f>
        <v>58809348.963490762</v>
      </c>
      <c r="B7573">
        <v>228971230.42591345</v>
      </c>
    </row>
    <row r="7574" spans="1:2" x14ac:dyDescent="0.25">
      <c r="A7574">
        <f ca="1">33844.2172920826*((RANDBETWEEN(1587,2416)))</f>
        <v>56587531.31236209</v>
      </c>
      <c r="B7574">
        <v>258697411.46618468</v>
      </c>
    </row>
    <row r="7575" spans="1:2" x14ac:dyDescent="0.25">
      <c r="A7575">
        <f ca="1">31363.6437120095*((RANDBETWEEN(1587,2416)))</f>
        <v>61817741.756370634</v>
      </c>
      <c r="B7575">
        <v>263890746.57928705</v>
      </c>
    </row>
    <row r="7576" spans="1:2" x14ac:dyDescent="0.25">
      <c r="A7576">
        <f ca="1">28890.5412010336*((RANDBETWEEN(1587,2416)))</f>
        <v>48160532.18212302</v>
      </c>
      <c r="B7576">
        <v>256581331.68378496</v>
      </c>
    </row>
    <row r="7577" spans="1:2" x14ac:dyDescent="0.25">
      <c r="A7577">
        <f ca="1">31115.9991123198*((RANDBETWEEN(1587,2416)))</f>
        <v>60302806.279675968</v>
      </c>
      <c r="B7577">
        <v>221572014.0402649</v>
      </c>
    </row>
    <row r="7578" spans="1:2" x14ac:dyDescent="0.25">
      <c r="A7578">
        <f ca="1">31492.3037769827*((RANDBETWEEN(1587,2416)))</f>
        <v>70101868.207563519</v>
      </c>
      <c r="B7578">
        <v>240727032.49645323</v>
      </c>
    </row>
    <row r="7579" spans="1:2" x14ac:dyDescent="0.25">
      <c r="A7579">
        <f ca="1">30001.7825769644*((RANDBETWEEN(1587,2416)))</f>
        <v>68194051.797440141</v>
      </c>
      <c r="B7579">
        <v>263935055.76268613</v>
      </c>
    </row>
    <row r="7580" spans="1:2" x14ac:dyDescent="0.25">
      <c r="A7580">
        <f ca="1">31884.2254483657*((RANDBETWEEN(1587,2416)))</f>
        <v>65617735.972736694</v>
      </c>
      <c r="B7580">
        <v>204708047.03800872</v>
      </c>
    </row>
    <row r="7581" spans="1:2" x14ac:dyDescent="0.25">
      <c r="A7581">
        <f ca="1">28546.5038215821*((RANDBETWEEN(1587,2416)))</f>
        <v>64971842.697920904</v>
      </c>
      <c r="B7581">
        <v>231004306.29552439</v>
      </c>
    </row>
    <row r="7582" spans="1:2" x14ac:dyDescent="0.25">
      <c r="A7582">
        <f ca="1">30188.1454915894*((RANDBETWEEN(1587,2416)))</f>
        <v>65659216.444206975</v>
      </c>
      <c r="B7582">
        <v>255626728.75566924</v>
      </c>
    </row>
    <row r="7583" spans="1:2" x14ac:dyDescent="0.25">
      <c r="A7583">
        <f ca="1">29654.191280207*((RANDBETWEEN(1587,2416)))</f>
        <v>51479676.0624393</v>
      </c>
      <c r="B7583">
        <v>240252479.64347875</v>
      </c>
    </row>
    <row r="7584" spans="1:2" x14ac:dyDescent="0.25">
      <c r="A7584">
        <f ca="1">29248.9005801323*((RANDBETWEEN(1587,2416)))</f>
        <v>50951584.810590521</v>
      </c>
      <c r="B7584">
        <v>220126070.09572053</v>
      </c>
    </row>
    <row r="7585" spans="1:2" x14ac:dyDescent="0.25">
      <c r="A7585">
        <f ca="1">29744.5729068024*((RANDBETWEEN(1587,2416)))</f>
        <v>63950831.749625117</v>
      </c>
      <c r="B7585">
        <v>209386621.53188694</v>
      </c>
    </row>
    <row r="7586" spans="1:2" x14ac:dyDescent="0.25">
      <c r="A7586">
        <f ca="1">29617.3744532466*((RANDBETWEEN(1587,2416)))</f>
        <v>64950902.175969757</v>
      </c>
      <c r="B7586">
        <v>210937107.41707027</v>
      </c>
    </row>
    <row r="7587" spans="1:2" x14ac:dyDescent="0.25">
      <c r="A7587">
        <f ca="1">29184.140130293*((RANDBETWEEN(1587,2416)))</f>
        <v>55916812.48964148</v>
      </c>
      <c r="B7587">
        <v>207588574.0651044</v>
      </c>
    </row>
    <row r="7588" spans="1:2" x14ac:dyDescent="0.25">
      <c r="A7588">
        <f ca="1">30407.8376432715*((RANDBETWEEN(1587,2416)))</f>
        <v>52088625.882924043</v>
      </c>
      <c r="B7588">
        <v>210783794.0664933</v>
      </c>
    </row>
    <row r="7589" spans="1:2" x14ac:dyDescent="0.25">
      <c r="A7589">
        <f ca="1">26790.4310344111*((RANDBETWEEN(1587,2416)))</f>
        <v>64377405.775689907</v>
      </c>
      <c r="B7589">
        <v>258521336.41221154</v>
      </c>
    </row>
    <row r="7590" spans="1:2" x14ac:dyDescent="0.25">
      <c r="A7590">
        <f ca="1">28890.3938471152*((RANDBETWEEN(1587,2416)))</f>
        <v>60438703.928164989</v>
      </c>
      <c r="B7590">
        <v>213402460.48134127</v>
      </c>
    </row>
    <row r="7591" spans="1:2" x14ac:dyDescent="0.25">
      <c r="A7591">
        <f ca="1">27285.169515461*((RANDBETWEEN(1587,2416)))</f>
        <v>60027372.934014112</v>
      </c>
      <c r="B7591">
        <v>224474969.22006196</v>
      </c>
    </row>
    <row r="7592" spans="1:2" x14ac:dyDescent="0.25">
      <c r="A7592">
        <f ca="1">28563.4732139431*((RANDBETWEEN(1587,2416)))</f>
        <v>64781957.249222927</v>
      </c>
      <c r="B7592">
        <v>209315799.83423263</v>
      </c>
    </row>
    <row r="7593" spans="1:2" x14ac:dyDescent="0.25">
      <c r="A7593">
        <f ca="1">32558.5905882744*((RANDBETWEEN(1587,2416)))</f>
        <v>64693919.498901218</v>
      </c>
      <c r="B7593">
        <v>264917823.97056386</v>
      </c>
    </row>
    <row r="7594" spans="1:2" x14ac:dyDescent="0.25">
      <c r="A7594">
        <f ca="1">29176.9504042251*((RANDBETWEEN(1587,2416)))</f>
        <v>59316740.171789683</v>
      </c>
      <c r="B7594">
        <v>214284048.54822558</v>
      </c>
    </row>
    <row r="7595" spans="1:2" x14ac:dyDescent="0.25">
      <c r="A7595">
        <f ca="1">28351.8049313349*((RANDBETWEEN(1587,2416)))</f>
        <v>49814121.264355384</v>
      </c>
      <c r="B7595">
        <v>234345064.63437563</v>
      </c>
    </row>
    <row r="7596" spans="1:2" x14ac:dyDescent="0.25">
      <c r="A7596">
        <f ca="1">33851.6547733487*((RANDBETWEEN(1587,2416)))</f>
        <v>71765508.119499177</v>
      </c>
      <c r="B7596">
        <v>259429152.96840578</v>
      </c>
    </row>
    <row r="7597" spans="1:2" x14ac:dyDescent="0.25">
      <c r="A7597">
        <f ca="1">26423.2267156473*((RANDBETWEEN(1587,2416)))</f>
        <v>63759246.064857133</v>
      </c>
      <c r="B7597">
        <v>207212709.27476668</v>
      </c>
    </row>
    <row r="7598" spans="1:2" x14ac:dyDescent="0.25">
      <c r="A7598">
        <f ca="1">27997.4534070346*((RANDBETWEEN(1587,2416)))</f>
        <v>51991270.976863183</v>
      </c>
      <c r="B7598">
        <v>214278901.26248041</v>
      </c>
    </row>
    <row r="7599" spans="1:2" x14ac:dyDescent="0.25">
      <c r="A7599">
        <f ca="1">28762.6948394398*((RANDBETWEEN(1587,2416)))</f>
        <v>52233053.828422658</v>
      </c>
      <c r="B7599">
        <v>219991725.20637643</v>
      </c>
    </row>
    <row r="7600" spans="1:2" x14ac:dyDescent="0.25">
      <c r="A7600">
        <f ca="1">27307.8623199719*((RANDBETWEEN(1587,2416)))</f>
        <v>45494898.625073142</v>
      </c>
      <c r="B7600">
        <v>228623762.06570557</v>
      </c>
    </row>
    <row r="7601" spans="1:2" x14ac:dyDescent="0.25">
      <c r="A7601">
        <f ca="1">31396.7804227832*((RANDBETWEEN(1587,2416)))</f>
        <v>65368096.840234563</v>
      </c>
      <c r="B7601">
        <v>212773261.46185678</v>
      </c>
    </row>
    <row r="7602" spans="1:2" x14ac:dyDescent="0.25">
      <c r="A7602">
        <f ca="1">28856.2891564816*((RANDBETWEEN(1587,2416)))</f>
        <v>63195273.252694756</v>
      </c>
      <c r="B7602">
        <v>219395057.98647177</v>
      </c>
    </row>
    <row r="7603" spans="1:2" x14ac:dyDescent="0.25">
      <c r="A7603">
        <f ca="1">26709.5412463068*((RANDBETWEEN(1587,2416)))</f>
        <v>64476832.568584718</v>
      </c>
      <c r="B7603">
        <v>253750801.94438425</v>
      </c>
    </row>
    <row r="7604" spans="1:2" x14ac:dyDescent="0.25">
      <c r="A7604">
        <f ca="1">30384.6681327657*((RANDBETWEEN(1587,2416)))</f>
        <v>54905095.315907665</v>
      </c>
      <c r="B7604">
        <v>258910021.71984613</v>
      </c>
    </row>
    <row r="7605" spans="1:2" x14ac:dyDescent="0.25">
      <c r="A7605">
        <f ca="1">25351.9885291276*((RANDBETWEEN(1587,2416)))</f>
        <v>48701169.964454196</v>
      </c>
      <c r="B7605">
        <v>204242148.24739507</v>
      </c>
    </row>
    <row r="7606" spans="1:2" x14ac:dyDescent="0.25">
      <c r="A7606">
        <f ca="1">30971.981597668*((RANDBETWEEN(1587,2416)))</f>
        <v>55470819.04142347</v>
      </c>
      <c r="B7606">
        <v>261302693.21357182</v>
      </c>
    </row>
    <row r="7607" spans="1:2" x14ac:dyDescent="0.25">
      <c r="A7607">
        <f ca="1">28470.2116248092*((RANDBETWEEN(1587,2416)))</f>
        <v>51872725.580402456</v>
      </c>
      <c r="B7607">
        <v>210460686.0102036</v>
      </c>
    </row>
    <row r="7608" spans="1:2" x14ac:dyDescent="0.25">
      <c r="A7608">
        <f ca="1">28207.2023472906*((RANDBETWEEN(1587,2416)))</f>
        <v>45611046.195568934</v>
      </c>
      <c r="B7608">
        <v>221716993.3112601</v>
      </c>
    </row>
    <row r="7609" spans="1:2" x14ac:dyDescent="0.25">
      <c r="A7609">
        <f ca="1">28999.471353017*((RANDBETWEEN(1587,2416)))</f>
        <v>68525750.807179153</v>
      </c>
      <c r="B7609">
        <v>250496413.38109511</v>
      </c>
    </row>
    <row r="7610" spans="1:2" x14ac:dyDescent="0.25">
      <c r="A7610">
        <f ca="1">32785.3910622833*((RANDBETWEEN(1587,2416)))</f>
        <v>71767221.035338059</v>
      </c>
      <c r="B7610">
        <v>242642963.83427188</v>
      </c>
    </row>
    <row r="7611" spans="1:2" x14ac:dyDescent="0.25">
      <c r="A7611">
        <f ca="1">29833.2371899224*((RANDBETWEEN(1587,2416)))</f>
        <v>59875307.040174186</v>
      </c>
      <c r="B7611">
        <v>253257050.8384726</v>
      </c>
    </row>
    <row r="7612" spans="1:2" x14ac:dyDescent="0.25">
      <c r="A7612">
        <f ca="1">26830.9413186638*((RANDBETWEEN(1587,2416)))</f>
        <v>62891726.450947896</v>
      </c>
      <c r="B7612">
        <v>209443858.83332583</v>
      </c>
    </row>
    <row r="7613" spans="1:2" x14ac:dyDescent="0.25">
      <c r="A7613">
        <f ca="1">27508.5957701823*((RANDBETWEEN(1587,2416)))</f>
        <v>54742105.582662791</v>
      </c>
      <c r="B7613">
        <v>217436614.61488655</v>
      </c>
    </row>
    <row r="7614" spans="1:2" x14ac:dyDescent="0.25">
      <c r="A7614">
        <f ca="1">27548.3263293903*((RANDBETWEEN(1587,2416)))</f>
        <v>55151749.311439455</v>
      </c>
      <c r="B7614">
        <v>259881795.27020681</v>
      </c>
    </row>
    <row r="7615" spans="1:2" x14ac:dyDescent="0.25">
      <c r="A7615">
        <f ca="1">30326.922119525*((RANDBETWEEN(1587,2416)))</f>
        <v>72996901.541696697</v>
      </c>
      <c r="B7615">
        <v>228188045.11262259</v>
      </c>
    </row>
    <row r="7616" spans="1:2" x14ac:dyDescent="0.25">
      <c r="A7616">
        <f ca="1">31103.1216467941*((RANDBETWEEN(1587,2416)))</f>
        <v>51444563.203797363</v>
      </c>
      <c r="B7616">
        <v>258080309.60907468</v>
      </c>
    </row>
    <row r="7617" spans="1:2" x14ac:dyDescent="0.25">
      <c r="A7617">
        <f ca="1">31446.7940102837*((RANDBETWEEN(1587,2416)))</f>
        <v>75472305.624680921</v>
      </c>
      <c r="B7617">
        <v>234085624.00251034</v>
      </c>
    </row>
    <row r="7618" spans="1:2" x14ac:dyDescent="0.25">
      <c r="A7618">
        <f ca="1">32724.3681980425*((RANDBETWEEN(1587,2416)))</f>
        <v>59623798.856833428</v>
      </c>
      <c r="B7618">
        <v>256067135.53042033</v>
      </c>
    </row>
    <row r="7619" spans="1:2" x14ac:dyDescent="0.25">
      <c r="A7619">
        <f ca="1">32066.920298379*((RANDBETWEEN(1587,2416)))</f>
        <v>57431854.254396729</v>
      </c>
      <c r="B7619">
        <v>262649482.43833709</v>
      </c>
    </row>
    <row r="7620" spans="1:2" x14ac:dyDescent="0.25">
      <c r="A7620">
        <f ca="1">29348.998768784*((RANDBETWEEN(1587,2416)))</f>
        <v>65536314.250694633</v>
      </c>
      <c r="B7620">
        <v>207703179.82403952</v>
      </c>
    </row>
    <row r="7621" spans="1:2" x14ac:dyDescent="0.25">
      <c r="A7621">
        <f ca="1">27709.4883357395*((RANDBETWEEN(1587,2416)))</f>
        <v>50957749.049424917</v>
      </c>
      <c r="B7621">
        <v>210661053.89679736</v>
      </c>
    </row>
    <row r="7622" spans="1:2" x14ac:dyDescent="0.25">
      <c r="A7622">
        <f ca="1">30603.7708467352*((RANDBETWEEN(1587,2416)))</f>
        <v>65492069.612013295</v>
      </c>
      <c r="B7622">
        <v>253188878.90540332</v>
      </c>
    </row>
    <row r="7623" spans="1:2" x14ac:dyDescent="0.25">
      <c r="A7623">
        <f ca="1">31523.4861562391*((RANDBETWEEN(1587,2416)))</f>
        <v>67523307.346664131</v>
      </c>
      <c r="B7623">
        <v>216521456.62357891</v>
      </c>
    </row>
    <row r="7624" spans="1:2" x14ac:dyDescent="0.25">
      <c r="A7624">
        <f ca="1">31883.2841273823*((RANDBETWEEN(1587,2416)))</f>
        <v>63224552.424599007</v>
      </c>
      <c r="B7624">
        <v>224725553.47317487</v>
      </c>
    </row>
    <row r="7625" spans="1:2" x14ac:dyDescent="0.25">
      <c r="A7625">
        <f ca="1">31222.1837677084*((RANDBETWEEN(1587,2416)))</f>
        <v>53764600.447993919</v>
      </c>
      <c r="B7625">
        <v>211339420.1698508</v>
      </c>
    </row>
    <row r="7626" spans="1:2" x14ac:dyDescent="0.25">
      <c r="A7626">
        <f ca="1">28076.7408298327*((RANDBETWEEN(1587,2416)))</f>
        <v>57978469.813604496</v>
      </c>
      <c r="B7626">
        <v>223196463.00334942</v>
      </c>
    </row>
    <row r="7627" spans="1:2" x14ac:dyDescent="0.25">
      <c r="A7627">
        <f ca="1">33165.2349365895*((RANDBETWEEN(1587,2416)))</f>
        <v>57972830.669158533</v>
      </c>
      <c r="B7627">
        <v>258994281.15003535</v>
      </c>
    </row>
    <row r="7628" spans="1:2" x14ac:dyDescent="0.25">
      <c r="A7628">
        <f ca="1">28525.290795741*((RANDBETWEEN(1587,2416)))</f>
        <v>60131312.997421928</v>
      </c>
      <c r="B7628">
        <v>246089068.39986417</v>
      </c>
    </row>
    <row r="7629" spans="1:2" x14ac:dyDescent="0.25">
      <c r="A7629">
        <f ca="1">34213.8029041505*((RANDBETWEEN(1587,2416)))</f>
        <v>75954642.447214067</v>
      </c>
      <c r="B7629">
        <v>250165939.46586293</v>
      </c>
    </row>
    <row r="7630" spans="1:2" x14ac:dyDescent="0.25">
      <c r="A7630">
        <f ca="1">29954.9281392421*((RANDBETWEEN(1587,2416)))</f>
        <v>66859399.606788263</v>
      </c>
      <c r="B7630">
        <v>260845588.40409508</v>
      </c>
    </row>
    <row r="7631" spans="1:2" x14ac:dyDescent="0.25">
      <c r="A7631">
        <f ca="1">27872.4472322218*((RANDBETWEEN(1587,2416)))</f>
        <v>44902512.491109326</v>
      </c>
      <c r="B7631">
        <v>208082771.21286303</v>
      </c>
    </row>
    <row r="7632" spans="1:2" x14ac:dyDescent="0.25">
      <c r="A7632">
        <f ca="1">30424.492113518*((RANDBETWEEN(1587,2416)))</f>
        <v>71497556.466767266</v>
      </c>
      <c r="B7632">
        <v>246043548.29090941</v>
      </c>
    </row>
    <row r="7633" spans="1:2" x14ac:dyDescent="0.25">
      <c r="A7633">
        <f ca="1">29187.8340245256*((RANDBETWEEN(1587,2416)))</f>
        <v>60302065.094669908</v>
      </c>
      <c r="B7633">
        <v>249741375.91271561</v>
      </c>
    </row>
    <row r="7634" spans="1:2" x14ac:dyDescent="0.25">
      <c r="A7634">
        <f ca="1">27313.003156386*((RANDBETWEEN(1587,2416)))</f>
        <v>65523894.572169997</v>
      </c>
      <c r="B7634">
        <v>206363710.31565446</v>
      </c>
    </row>
    <row r="7635" spans="1:2" x14ac:dyDescent="0.25">
      <c r="A7635">
        <f ca="1">30166.3987318511*((RANDBETWEEN(1587,2416)))</f>
        <v>65068922.064602897</v>
      </c>
      <c r="B7635">
        <v>263810699.70938104</v>
      </c>
    </row>
    <row r="7636" spans="1:2" x14ac:dyDescent="0.25">
      <c r="A7636">
        <f ca="1">26958.5709609392*((RANDBETWEEN(1587,2416)))</f>
        <v>50196859.129268818</v>
      </c>
      <c r="B7636">
        <v>213615337.53349721</v>
      </c>
    </row>
    <row r="7637" spans="1:2" x14ac:dyDescent="0.25">
      <c r="A7637">
        <f ca="1">33210.2329041338*((RANDBETWEEN(1587,2416)))</f>
        <v>61571771.804264121</v>
      </c>
      <c r="B7637">
        <v>224331241.91015404</v>
      </c>
    </row>
    <row r="7638" spans="1:2" x14ac:dyDescent="0.25">
      <c r="A7638">
        <f ca="1">29579.5352453238*((RANDBETWEEN(1587,2416)))</f>
        <v>57206821.164456196</v>
      </c>
      <c r="B7638">
        <v>225069975.24811998</v>
      </c>
    </row>
    <row r="7639" spans="1:2" x14ac:dyDescent="0.25">
      <c r="A7639">
        <f ca="1">30129.236904324*((RANDBETWEEN(1587,2416)))</f>
        <v>72370427.044186324</v>
      </c>
      <c r="B7639">
        <v>250259848.19036886</v>
      </c>
    </row>
    <row r="7640" spans="1:2" x14ac:dyDescent="0.25">
      <c r="A7640">
        <f ca="1">31820.4869761276*((RANDBETWEEN(1587,2416)))</f>
        <v>59440669.671406329</v>
      </c>
      <c r="B7640">
        <v>264345735.70788956</v>
      </c>
    </row>
    <row r="7641" spans="1:2" x14ac:dyDescent="0.25">
      <c r="A7641">
        <f ca="1">31111.5991739091*((RANDBETWEEN(1587,2416)))</f>
        <v>56623110.496514648</v>
      </c>
      <c r="B7641">
        <v>233800983.77466434</v>
      </c>
    </row>
    <row r="7642" spans="1:2" x14ac:dyDescent="0.25">
      <c r="A7642">
        <f ca="1">32915.316754028*((RANDBETWEEN(1587,2416)))</f>
        <v>74783599.665151596</v>
      </c>
      <c r="B7642">
        <v>224640638.83840069</v>
      </c>
    </row>
    <row r="7643" spans="1:2" x14ac:dyDescent="0.25">
      <c r="A7643">
        <f ca="1">30562.2434346801*((RANDBETWEEN(1587,2416)))</f>
        <v>66167257.036082469</v>
      </c>
      <c r="B7643">
        <v>252408916.44394609</v>
      </c>
    </row>
    <row r="7644" spans="1:2" x14ac:dyDescent="0.25">
      <c r="A7644">
        <f ca="1">28135.294445626*((RANDBETWEEN(1587,2416)))</f>
        <v>66202347.830557987</v>
      </c>
      <c r="B7644">
        <v>211079633.70065141</v>
      </c>
    </row>
    <row r="7645" spans="1:2" x14ac:dyDescent="0.25">
      <c r="A7645">
        <f ca="1">28508.0349677193*((RANDBETWEEN(1587,2416)))</f>
        <v>55191555.697504655</v>
      </c>
      <c r="B7645">
        <v>231970638.31681678</v>
      </c>
    </row>
    <row r="7646" spans="1:2" x14ac:dyDescent="0.25">
      <c r="A7646">
        <f ca="1">30951.3536736303*((RANDBETWEEN(1587,2416)))</f>
        <v>60943215.383378007</v>
      </c>
      <c r="B7646">
        <v>209917484.252417</v>
      </c>
    </row>
    <row r="7647" spans="1:2" x14ac:dyDescent="0.25">
      <c r="A7647">
        <f ca="1">25683.9922443359*((RANDBETWEEN(1587,2416)))</f>
        <v>60383065.766433612</v>
      </c>
      <c r="B7647">
        <v>236986292.03325486</v>
      </c>
    </row>
    <row r="7648" spans="1:2" x14ac:dyDescent="0.25">
      <c r="A7648">
        <f ca="1">31625.6064967979*((RANDBETWEEN(1587,2416)))</f>
        <v>66160768.791301288</v>
      </c>
      <c r="B7648">
        <v>225322644.2907629</v>
      </c>
    </row>
    <row r="7649" spans="1:2" x14ac:dyDescent="0.25">
      <c r="A7649">
        <f ca="1">27154.2198962229*((RANDBETWEEN(1587,2416)))</f>
        <v>44125607.331362277</v>
      </c>
      <c r="B7649">
        <v>236396331.70692244</v>
      </c>
    </row>
    <row r="7650" spans="1:2" x14ac:dyDescent="0.25">
      <c r="A7650">
        <f ca="1">27315.1707583307*((RANDBETWEEN(1587,2416)))</f>
        <v>47883494.339353792</v>
      </c>
      <c r="B7650">
        <v>220413765.91003805</v>
      </c>
    </row>
    <row r="7651" spans="1:2" x14ac:dyDescent="0.25">
      <c r="A7651">
        <f ca="1">31062.0235851439*((RANDBETWEEN(1587,2416)))</f>
        <v>53364556.51927726</v>
      </c>
      <c r="B7651">
        <v>214986687.56927413</v>
      </c>
    </row>
    <row r="7652" spans="1:2" x14ac:dyDescent="0.25">
      <c r="A7652">
        <f ca="1">31396.4128280027*((RANDBETWEEN(1587,2416)))</f>
        <v>69229090.285746023</v>
      </c>
      <c r="B7652">
        <v>251624332.74210888</v>
      </c>
    </row>
    <row r="7653" spans="1:2" x14ac:dyDescent="0.25">
      <c r="A7653">
        <f ca="1">29758.6080749012*((RANDBETWEEN(1587,2416)))</f>
        <v>53029839.589473985</v>
      </c>
      <c r="B7653">
        <v>254021519.55618826</v>
      </c>
    </row>
    <row r="7654" spans="1:2" x14ac:dyDescent="0.25">
      <c r="A7654">
        <f ca="1">29342.3657088958*((RANDBETWEEN(1587,2416)))</f>
        <v>66343088.867813416</v>
      </c>
      <c r="B7654">
        <v>249267413.51917887</v>
      </c>
    </row>
    <row r="7655" spans="1:2" x14ac:dyDescent="0.25">
      <c r="A7655">
        <f ca="1">30781.183807592*((RANDBETWEEN(1587,2416)))</f>
        <v>50388797.893028103</v>
      </c>
      <c r="B7655">
        <v>238662731.10479313</v>
      </c>
    </row>
    <row r="7656" spans="1:2" x14ac:dyDescent="0.25">
      <c r="A7656">
        <f ca="1">33677.5797310705*((RANDBETWEEN(1587,2416)))</f>
        <v>79613798.48425068</v>
      </c>
      <c r="B7656">
        <v>258539219.27736968</v>
      </c>
    </row>
    <row r="7657" spans="1:2" x14ac:dyDescent="0.25">
      <c r="A7657">
        <f ca="1">29753.3954823264*((RANDBETWEEN(1587,2416)))</f>
        <v>57691833.840230867</v>
      </c>
      <c r="B7657">
        <v>205284633.13799497</v>
      </c>
    </row>
    <row r="7658" spans="1:2" x14ac:dyDescent="0.25">
      <c r="A7658">
        <f ca="1">30443.9011528739*((RANDBETWEEN(1587,2416)))</f>
        <v>72639148.150757015</v>
      </c>
      <c r="B7658">
        <v>212951230.91364348</v>
      </c>
    </row>
    <row r="7659" spans="1:2" x14ac:dyDescent="0.25">
      <c r="A7659">
        <f ca="1">29811.5053120639*((RANDBETWEEN(1587,2416)))</f>
        <v>65555500.181228571</v>
      </c>
      <c r="B7659">
        <v>239731040.63525325</v>
      </c>
    </row>
    <row r="7660" spans="1:2" x14ac:dyDescent="0.25">
      <c r="A7660">
        <f ca="1">32321.3910628104*((RANDBETWEEN(1587,2416)))</f>
        <v>65256888.555814125</v>
      </c>
      <c r="B7660">
        <v>258011442.70267695</v>
      </c>
    </row>
    <row r="7661" spans="1:2" x14ac:dyDescent="0.25">
      <c r="A7661">
        <f ca="1">31651.5742844953*((RANDBETWEEN(1587,2416)))</f>
        <v>64854075.70893091</v>
      </c>
      <c r="B7661">
        <v>229218148.56434056</v>
      </c>
    </row>
    <row r="7662" spans="1:2" x14ac:dyDescent="0.25">
      <c r="A7662">
        <f ca="1">28334.2290800848*((RANDBETWEEN(1587,2416)))</f>
        <v>64432036.928112872</v>
      </c>
      <c r="B7662">
        <v>255793733.74993396</v>
      </c>
    </row>
    <row r="7663" spans="1:2" x14ac:dyDescent="0.25">
      <c r="A7663">
        <f ca="1">30296.0739383231*((RANDBETWEEN(1587,2416)))</f>
        <v>58744087.366408579</v>
      </c>
      <c r="B7663">
        <v>212372752.00844896</v>
      </c>
    </row>
    <row r="7664" spans="1:2" x14ac:dyDescent="0.25">
      <c r="A7664">
        <f ca="1">29271.8980049615*((RANDBETWEEN(1587,2416)))</f>
        <v>54592089.779253274</v>
      </c>
      <c r="B7664">
        <v>255202400.7430113</v>
      </c>
    </row>
    <row r="7665" spans="1:2" x14ac:dyDescent="0.25">
      <c r="A7665">
        <f ca="1">30996.2382372807*((RANDBETWEEN(1587,2416)))</f>
        <v>72810163.619372293</v>
      </c>
      <c r="B7665">
        <v>213056241.29276386</v>
      </c>
    </row>
    <row r="7666" spans="1:2" x14ac:dyDescent="0.25">
      <c r="A7666">
        <f ca="1">27559.9256650189*((RANDBETWEEN(1587,2416)))</f>
        <v>64049267.245503992</v>
      </c>
      <c r="B7666">
        <v>252274773.50795624</v>
      </c>
    </row>
    <row r="7667" spans="1:2" x14ac:dyDescent="0.25">
      <c r="A7667">
        <f ca="1">27657.3382058732*((RANDBETWEEN(1587,2416)))</f>
        <v>61454605.493450217</v>
      </c>
      <c r="B7667">
        <v>214128568.16379315</v>
      </c>
    </row>
    <row r="7668" spans="1:2" x14ac:dyDescent="0.25">
      <c r="A7668">
        <f ca="1">24466.1145075982*((RANDBETWEEN(1587,2416)))</f>
        <v>48002516.663907662</v>
      </c>
      <c r="B7668">
        <v>244345312.12144467</v>
      </c>
    </row>
    <row r="7669" spans="1:2" x14ac:dyDescent="0.25">
      <c r="A7669">
        <f ca="1">32483.9246751407*((RANDBETWEEN(1587,2416)))</f>
        <v>65909883.165860519</v>
      </c>
      <c r="B7669">
        <v>239435683.67304248</v>
      </c>
    </row>
    <row r="7670" spans="1:2" x14ac:dyDescent="0.25">
      <c r="A7670">
        <f ca="1">32495.7564162743*((RANDBETWEEN(1587,2416)))</f>
        <v>78314772.963221043</v>
      </c>
      <c r="B7670">
        <v>209988046.96877468</v>
      </c>
    </row>
    <row r="7671" spans="1:2" x14ac:dyDescent="0.25">
      <c r="A7671">
        <f ca="1">28087.793724576*((RANDBETWEEN(1587,2416)))</f>
        <v>55276778.049965538</v>
      </c>
      <c r="B7671">
        <v>255666847.1603401</v>
      </c>
    </row>
    <row r="7672" spans="1:2" x14ac:dyDescent="0.25">
      <c r="A7672">
        <f ca="1">27324.0826156978*((RANDBETWEEN(1587,2416)))</f>
        <v>53801118.670309037</v>
      </c>
      <c r="B7672">
        <v>208729669.26718906</v>
      </c>
    </row>
    <row r="7673" spans="1:2" x14ac:dyDescent="0.25">
      <c r="A7673">
        <f ca="1">32848.2743904357*((RANDBETWEEN(1587,2416)))</f>
        <v>60670762.79913488</v>
      </c>
      <c r="B7673">
        <v>212227619.75893557</v>
      </c>
    </row>
    <row r="7674" spans="1:2" x14ac:dyDescent="0.25">
      <c r="A7674">
        <f ca="1">27532.207313134*((RANDBETWEEN(1587,2416)))</f>
        <v>62663303.844692983</v>
      </c>
      <c r="B7674">
        <v>215173647.11407149</v>
      </c>
    </row>
    <row r="7675" spans="1:2" x14ac:dyDescent="0.25">
      <c r="A7675">
        <f ca="1">26906.5996588416*((RANDBETWEEN(1587,2416)))</f>
        <v>45229994.026512794</v>
      </c>
      <c r="B7675">
        <v>234495217.89761597</v>
      </c>
    </row>
    <row r="7676" spans="1:2" x14ac:dyDescent="0.25">
      <c r="A7676">
        <f ca="1">30089.9665937326*((RANDBETWEEN(1587,2416)))</f>
        <v>62496860.615182579</v>
      </c>
      <c r="B7676">
        <v>228554191.32658285</v>
      </c>
    </row>
    <row r="7677" spans="1:2" x14ac:dyDescent="0.25">
      <c r="A7677">
        <f ca="1">33802.9355927669*((RANDBETWEEN(1587,2416)))</f>
        <v>57363581.70092541</v>
      </c>
      <c r="B7677">
        <v>264424543.75526255</v>
      </c>
    </row>
    <row r="7678" spans="1:2" x14ac:dyDescent="0.25">
      <c r="A7678">
        <f ca="1">28995.668305087*((RANDBETWEEN(1587,2416)))</f>
        <v>48277787.72796993</v>
      </c>
      <c r="B7678">
        <v>228776716.51219565</v>
      </c>
    </row>
    <row r="7679" spans="1:2" x14ac:dyDescent="0.25">
      <c r="A7679">
        <f ca="1">28234.2850728167*((RANDBETWEEN(1587,2416)))</f>
        <v>59150827.227550954</v>
      </c>
      <c r="B7679">
        <v>245678117.35108525</v>
      </c>
    </row>
    <row r="7680" spans="1:2" x14ac:dyDescent="0.25">
      <c r="A7680">
        <f ca="1">26893.2062400405*((RANDBETWEEN(1587,2416)))</f>
        <v>48891848.944393687</v>
      </c>
      <c r="B7680">
        <v>267837630.68227652</v>
      </c>
    </row>
    <row r="7681" spans="1:2" x14ac:dyDescent="0.25">
      <c r="A7681">
        <f ca="1">29178.4876264697*((RANDBETWEEN(1587,2416)))</f>
        <v>48027790.633169189</v>
      </c>
      <c r="B7681">
        <v>242991773.33420876</v>
      </c>
    </row>
    <row r="7682" spans="1:2" x14ac:dyDescent="0.25">
      <c r="A7682">
        <f ca="1">32077.766600057*((RANDBETWEEN(1587,2416)))</f>
        <v>65823577.063316964</v>
      </c>
      <c r="B7682">
        <v>216625513.63952011</v>
      </c>
    </row>
    <row r="7683" spans="1:2" x14ac:dyDescent="0.25">
      <c r="A7683">
        <f ca="1">30714.3270600102*((RANDBETWEEN(1587,2416)))</f>
        <v>55900075.24921862</v>
      </c>
      <c r="B7683">
        <v>257633327.61608452</v>
      </c>
    </row>
    <row r="7684" spans="1:2" x14ac:dyDescent="0.25">
      <c r="A7684">
        <f ca="1">31149.9973752511*((RANDBETWEEN(1587,2416)))</f>
        <v>62081944.768875517</v>
      </c>
      <c r="B7684">
        <v>239988180.3683441</v>
      </c>
    </row>
    <row r="7685" spans="1:2" x14ac:dyDescent="0.25">
      <c r="A7685">
        <f ca="1">28921.8895604695*((RANDBETWEEN(1587,2416)))</f>
        <v>48328477.455544583</v>
      </c>
      <c r="B7685">
        <v>255495609.08706972</v>
      </c>
    </row>
    <row r="7686" spans="1:2" x14ac:dyDescent="0.25">
      <c r="A7686">
        <f ca="1">27572.867499486*((RANDBETWEEN(1587,2416)))</f>
        <v>45412512.771653421</v>
      </c>
      <c r="B7686">
        <v>236828889.68285999</v>
      </c>
    </row>
    <row r="7687" spans="1:2" x14ac:dyDescent="0.25">
      <c r="A7687">
        <f ca="1">30679.0885323101*((RANDBETWEEN(1587,2416)))</f>
        <v>58198230.945792228</v>
      </c>
      <c r="B7687">
        <v>232780904.24259144</v>
      </c>
    </row>
    <row r="7688" spans="1:2" x14ac:dyDescent="0.25">
      <c r="A7688">
        <f ca="1">34194.76767341*((RANDBETWEEN(1587,2416)))</f>
        <v>72766465.609016463</v>
      </c>
      <c r="B7688">
        <v>260964059.79347467</v>
      </c>
    </row>
    <row r="7689" spans="1:2" x14ac:dyDescent="0.25">
      <c r="A7689">
        <f ca="1">34725.6794348881*((RANDBETWEEN(1587,2416)))</f>
        <v>65666259.811373465</v>
      </c>
      <c r="B7689">
        <v>228946198.68502909</v>
      </c>
    </row>
    <row r="7690" spans="1:2" x14ac:dyDescent="0.25">
      <c r="A7690">
        <f ca="1">29088.8433459538*((RANDBETWEEN(1587,2416)))</f>
        <v>49072878.724623993</v>
      </c>
      <c r="B7690">
        <v>235151535.1756075</v>
      </c>
    </row>
    <row r="7691" spans="1:2" x14ac:dyDescent="0.25">
      <c r="A7691">
        <f ca="1">30833.5111244165*((RANDBETWEEN(1587,2416)))</f>
        <v>52077800.289139494</v>
      </c>
      <c r="B7691">
        <v>267488387.86518502</v>
      </c>
    </row>
    <row r="7692" spans="1:2" x14ac:dyDescent="0.25">
      <c r="A7692">
        <f ca="1">28505.8787072973*((RANDBETWEEN(1587,2416)))</f>
        <v>47519299.805064537</v>
      </c>
      <c r="B7692">
        <v>257646173.68395329</v>
      </c>
    </row>
    <row r="7693" spans="1:2" x14ac:dyDescent="0.25">
      <c r="A7693">
        <f ca="1">30544.1862372863*((RANDBETWEEN(1587,2416)))</f>
        <v>71656660.912673667</v>
      </c>
      <c r="B7693">
        <v>249879712.65335006</v>
      </c>
    </row>
    <row r="7694" spans="1:2" x14ac:dyDescent="0.25">
      <c r="A7694">
        <f ca="1">30799.0016735157*((RANDBETWEEN(1587,2416)))</f>
        <v>70806904.847412631</v>
      </c>
      <c r="B7694">
        <v>230063039.32146478</v>
      </c>
    </row>
    <row r="7695" spans="1:2" x14ac:dyDescent="0.25">
      <c r="A7695">
        <f ca="1">27159.315021531*((RANDBETWEEN(1587,2416)))</f>
        <v>58745598.391571507</v>
      </c>
      <c r="B7695">
        <v>226054785.74003685</v>
      </c>
    </row>
    <row r="7696" spans="1:2" x14ac:dyDescent="0.25">
      <c r="A7696">
        <f ca="1">28499.5589418708*((RANDBETWEEN(1587,2416)))</f>
        <v>52638685.36563544</v>
      </c>
      <c r="B7696">
        <v>225541464.39602432</v>
      </c>
    </row>
    <row r="7697" spans="1:2" x14ac:dyDescent="0.25">
      <c r="A7697">
        <f ca="1">28849.0993921199*((RANDBETWEEN(1587,2416)))</f>
        <v>57438556.889710717</v>
      </c>
      <c r="B7697">
        <v>260469375.96076763</v>
      </c>
    </row>
    <row r="7698" spans="1:2" x14ac:dyDescent="0.25">
      <c r="A7698">
        <f ca="1">27407.850730877*((RANDBETWEEN(1587,2416)))</f>
        <v>53226046.119363114</v>
      </c>
      <c r="B7698">
        <v>239382307.73713982</v>
      </c>
    </row>
    <row r="7699" spans="1:2" x14ac:dyDescent="0.25">
      <c r="A7699">
        <f ca="1">30388.5132916728*((RANDBETWEEN(1587,2416)))</f>
        <v>62053344.141595781</v>
      </c>
      <c r="B7699">
        <v>258782541.8249349</v>
      </c>
    </row>
    <row r="7700" spans="1:2" x14ac:dyDescent="0.25">
      <c r="A7700">
        <f ca="1">27131.6982605636*((RANDBETWEEN(1587,2416)))</f>
        <v>50844802.540296219</v>
      </c>
      <c r="B7700">
        <v>230048344.40359244</v>
      </c>
    </row>
    <row r="7701" spans="1:2" x14ac:dyDescent="0.25">
      <c r="A7701">
        <f ca="1">27142.1273729956*((RANDBETWEEN(1587,2416)))</f>
        <v>50511499.041144729</v>
      </c>
      <c r="B7701">
        <v>230812689.46605161</v>
      </c>
    </row>
    <row r="7702" spans="1:2" x14ac:dyDescent="0.25">
      <c r="A7702">
        <f ca="1">29339.732573768*((RANDBETWEEN(1587,2416)))</f>
        <v>64224674.603978246</v>
      </c>
      <c r="B7702">
        <v>232622007.6327199</v>
      </c>
    </row>
    <row r="7703" spans="1:2" x14ac:dyDescent="0.25">
      <c r="A7703">
        <f ca="1">33212.718816061*((RANDBETWEEN(1587,2416)))</f>
        <v>70444176.608865306</v>
      </c>
      <c r="B7703">
        <v>261593459.76404893</v>
      </c>
    </row>
    <row r="7704" spans="1:2" x14ac:dyDescent="0.25">
      <c r="A7704">
        <f ca="1">29738.0530753964*((RANDBETWEEN(1587,2416)))</f>
        <v>58821868.983133979</v>
      </c>
      <c r="B7704">
        <v>229646264.63653767</v>
      </c>
    </row>
    <row r="7705" spans="1:2" x14ac:dyDescent="0.25">
      <c r="A7705">
        <f ca="1">32018.2186792549*((RANDBETWEEN(1587,2416)))</f>
        <v>70696226.843794778</v>
      </c>
      <c r="B7705">
        <v>230274522.64959478</v>
      </c>
    </row>
    <row r="7706" spans="1:2" x14ac:dyDescent="0.25">
      <c r="A7706">
        <f ca="1">26249.7095444153*((RANDBETWEEN(1587,2416)))</f>
        <v>54231899.91876211</v>
      </c>
      <c r="B7706">
        <v>213198415.9311437</v>
      </c>
    </row>
    <row r="7707" spans="1:2" x14ac:dyDescent="0.25">
      <c r="A7707">
        <f ca="1">29651.4899320888*((RANDBETWEEN(1587,2416)))</f>
        <v>66893761.286792442</v>
      </c>
      <c r="B7707">
        <v>217632303.97087958</v>
      </c>
    </row>
    <row r="7708" spans="1:2" x14ac:dyDescent="0.25">
      <c r="A7708">
        <f ca="1">29646.5550580333*((RANDBETWEEN(1587,2416)))</f>
        <v>47968126.083897941</v>
      </c>
      <c r="B7708">
        <v>214677631.18223464</v>
      </c>
    </row>
    <row r="7709" spans="1:2" x14ac:dyDescent="0.25">
      <c r="A7709">
        <f ca="1">30482.6796894409*((RANDBETWEEN(1587,2416)))</f>
        <v>58039022.128695443</v>
      </c>
      <c r="B7709">
        <v>265543408.2922681</v>
      </c>
    </row>
    <row r="7710" spans="1:2" x14ac:dyDescent="0.25">
      <c r="A7710">
        <f ca="1">28533.0060262529*((RANDBETWEEN(1587,2416)))</f>
        <v>49561831.467601284</v>
      </c>
      <c r="B7710">
        <v>243498448.92273062</v>
      </c>
    </row>
    <row r="7711" spans="1:2" x14ac:dyDescent="0.25">
      <c r="A7711">
        <f ca="1">30272.741131633*((RANDBETWEEN(1587,2416)))</f>
        <v>72079396.634418249</v>
      </c>
      <c r="B7711">
        <v>249914395.72216955</v>
      </c>
    </row>
    <row r="7712" spans="1:2" x14ac:dyDescent="0.25">
      <c r="A7712">
        <f ca="1">29487.1281323745*((RANDBETWEEN(1587,2416)))</f>
        <v>49007606.956006393</v>
      </c>
      <c r="B7712">
        <v>229085929.12275812</v>
      </c>
    </row>
    <row r="7713" spans="1:2" x14ac:dyDescent="0.25">
      <c r="A7713">
        <f ca="1">31748.1374109572*((RANDBETWEEN(1587,2416)))</f>
        <v>69242687.693297565</v>
      </c>
      <c r="B7713">
        <v>231937869.1303795</v>
      </c>
    </row>
    <row r="7714" spans="1:2" x14ac:dyDescent="0.25">
      <c r="A7714">
        <f ca="1">29499.5875021454*((RANDBETWEEN(1587,2416)))</f>
        <v>58055188.204222232</v>
      </c>
      <c r="B7714">
        <v>238420523.78984386</v>
      </c>
    </row>
    <row r="7715" spans="1:2" x14ac:dyDescent="0.25">
      <c r="A7715">
        <f ca="1">31451.3736461307*((RANDBETWEEN(1587,2416)))</f>
        <v>61298727.236308679</v>
      </c>
      <c r="B7715">
        <v>238737121.95352417</v>
      </c>
    </row>
    <row r="7716" spans="1:2" x14ac:dyDescent="0.25">
      <c r="A7716">
        <f ca="1">30414.3101783928*((RANDBETWEEN(1587,2416)))</f>
        <v>71869014.951542124</v>
      </c>
      <c r="B7716">
        <v>233846711.34012747</v>
      </c>
    </row>
    <row r="7717" spans="1:2" x14ac:dyDescent="0.25">
      <c r="A7717">
        <f ca="1">30184.000697892*((RANDBETWEEN(1587,2416)))</f>
        <v>58647513.356004186</v>
      </c>
      <c r="B7717">
        <v>233867640.74150378</v>
      </c>
    </row>
    <row r="7718" spans="1:2" x14ac:dyDescent="0.25">
      <c r="A7718">
        <f ca="1">25671.3681539118*((RANDBETWEEN(1587,2416)))</f>
        <v>54397629.118139051</v>
      </c>
      <c r="B7718">
        <v>250459415.21081764</v>
      </c>
    </row>
    <row r="7719" spans="1:2" x14ac:dyDescent="0.25">
      <c r="A7719">
        <f ca="1">31254.4650155008*((RANDBETWEEN(1587,2416)))</f>
        <v>71541470.420481309</v>
      </c>
      <c r="B7719">
        <v>232458283.83076167</v>
      </c>
    </row>
    <row r="7720" spans="1:2" x14ac:dyDescent="0.25">
      <c r="A7720">
        <f ca="1">28160.7681972078*((RANDBETWEEN(1587,2416)))</f>
        <v>57391645.585909478</v>
      </c>
      <c r="B7720">
        <v>224714229.01669496</v>
      </c>
    </row>
    <row r="7721" spans="1:2" x14ac:dyDescent="0.25">
      <c r="A7721">
        <f ca="1">33447.5359125629*((RANDBETWEEN(1587,2416)))</f>
        <v>57730446.985083558</v>
      </c>
      <c r="B7721">
        <v>230566320.48328733</v>
      </c>
    </row>
    <row r="7722" spans="1:2" x14ac:dyDescent="0.25">
      <c r="A7722">
        <f ca="1">31351.679506528*((RANDBETWEEN(1587,2416)))</f>
        <v>68283957.965217903</v>
      </c>
      <c r="B7722">
        <v>257716213.1929079</v>
      </c>
    </row>
    <row r="7723" spans="1:2" x14ac:dyDescent="0.25">
      <c r="A7723">
        <f ca="1">31809.427481844*((RANDBETWEEN(1587,2416)))</f>
        <v>58402108.856665559</v>
      </c>
      <c r="B7723">
        <v>267019002.09590268</v>
      </c>
    </row>
    <row r="7724" spans="1:2" x14ac:dyDescent="0.25">
      <c r="A7724">
        <f ca="1">27078.7382962021*((RANDBETWEEN(1587,2416)))</f>
        <v>44300815.852586567</v>
      </c>
      <c r="B7724">
        <v>218647411.60737818</v>
      </c>
    </row>
    <row r="7725" spans="1:2" x14ac:dyDescent="0.25">
      <c r="A7725">
        <f ca="1">31811.8110711423*((RANDBETWEEN(1587,2416)))</f>
        <v>55161680.397360705</v>
      </c>
      <c r="B7725">
        <v>235895132.9375402</v>
      </c>
    </row>
    <row r="7726" spans="1:2" x14ac:dyDescent="0.25">
      <c r="A7726">
        <f ca="1">29847.9704093092*((RANDBETWEEN(1587,2416)))</f>
        <v>70560602.047606841</v>
      </c>
      <c r="B7726">
        <v>226284484.7012502</v>
      </c>
    </row>
    <row r="7727" spans="1:2" x14ac:dyDescent="0.25">
      <c r="A7727">
        <f ca="1">29386.4372867268*((RANDBETWEEN(1587,2416)))</f>
        <v>50280194.197589509</v>
      </c>
      <c r="B7727">
        <v>265193866.39131555</v>
      </c>
    </row>
    <row r="7728" spans="1:2" x14ac:dyDescent="0.25">
      <c r="A7728">
        <f ca="1">27320.7105744057*((RANDBETWEEN(1587,2416)))</f>
        <v>53002178.514347076</v>
      </c>
      <c r="B7728">
        <v>238780130.43951142</v>
      </c>
    </row>
    <row r="7729" spans="1:2" x14ac:dyDescent="0.25">
      <c r="A7729">
        <f ca="1">28872.5886923716*((RANDBETWEEN(1587,2416)))</f>
        <v>66435826.581147067</v>
      </c>
      <c r="B7729">
        <v>221902848.9831813</v>
      </c>
    </row>
    <row r="7730" spans="1:2" x14ac:dyDescent="0.25">
      <c r="A7730">
        <f ca="1">28055.6012121448*((RANDBETWEEN(1587,2416)))</f>
        <v>47778688.864282548</v>
      </c>
      <c r="B7730">
        <v>219772819.34270331</v>
      </c>
    </row>
    <row r="7731" spans="1:2" x14ac:dyDescent="0.25">
      <c r="A7731">
        <f ca="1">29108.8267092812*((RANDBETWEEN(1587,2416)))</f>
        <v>52046582.156194791</v>
      </c>
      <c r="B7731">
        <v>236818401.23017004</v>
      </c>
    </row>
    <row r="7732" spans="1:2" x14ac:dyDescent="0.25">
      <c r="A7732">
        <f ca="1">31532.0903815988*((RANDBETWEEN(1587,2416)))</f>
        <v>69559791.381806925</v>
      </c>
      <c r="B7732">
        <v>252296061.11448577</v>
      </c>
    </row>
    <row r="7733" spans="1:2" x14ac:dyDescent="0.25">
      <c r="A7733">
        <f ca="1">26584.5111891015*((RANDBETWEEN(1587,2416)))</f>
        <v>43120077.148722559</v>
      </c>
      <c r="B7733">
        <v>232245568.31587559</v>
      </c>
    </row>
    <row r="7734" spans="1:2" x14ac:dyDescent="0.25">
      <c r="A7734">
        <f ca="1">27477.5329008451*((RANDBETWEEN(1587,2416)))</f>
        <v>61110033.171479471</v>
      </c>
      <c r="B7734">
        <v>213574662.20499483</v>
      </c>
    </row>
    <row r="7735" spans="1:2" x14ac:dyDescent="0.25">
      <c r="A7735">
        <f ca="1">30760.6690663358*((RANDBETWEEN(1587,2416)))</f>
        <v>66596848.52861701</v>
      </c>
      <c r="B7735">
        <v>256506711.90128615</v>
      </c>
    </row>
    <row r="7736" spans="1:2" x14ac:dyDescent="0.25">
      <c r="A7736">
        <f ca="1">27445.7862971331*((RANDBETWEEN(1587,2416)))</f>
        <v>52641018.117901243</v>
      </c>
      <c r="B7736">
        <v>252904600.50219539</v>
      </c>
    </row>
    <row r="7737" spans="1:2" x14ac:dyDescent="0.25">
      <c r="A7737">
        <f ca="1">33184.0672168049*((RANDBETWEEN(1587,2416)))</f>
        <v>76223802.397000819</v>
      </c>
      <c r="B7737">
        <v>261441352.6347608</v>
      </c>
    </row>
    <row r="7738" spans="1:2" x14ac:dyDescent="0.25">
      <c r="A7738">
        <f ca="1">31794.0619906664*((RANDBETWEEN(1587,2416)))</f>
        <v>57610840.327087566</v>
      </c>
      <c r="B7738">
        <v>224728024.3489016</v>
      </c>
    </row>
    <row r="7739" spans="1:2" x14ac:dyDescent="0.25">
      <c r="A7739">
        <f ca="1">28872.665946424*((RANDBETWEEN(1587,2416)))</f>
        <v>67302184.321114257</v>
      </c>
      <c r="B7739">
        <v>209403657.59003246</v>
      </c>
    </row>
    <row r="7740" spans="1:2" x14ac:dyDescent="0.25">
      <c r="A7740">
        <f ca="1">27221.8700952545*((RANDBETWEEN(1587,2416)))</f>
        <v>50714343.987459198</v>
      </c>
      <c r="B7740">
        <v>212018895.62358981</v>
      </c>
    </row>
    <row r="7741" spans="1:2" x14ac:dyDescent="0.25">
      <c r="A7741">
        <f ca="1">33101.1503122877*((RANDBETWEEN(1587,2416)))</f>
        <v>76397454.92076011</v>
      </c>
      <c r="B7741">
        <v>225131341.50118613</v>
      </c>
    </row>
    <row r="7742" spans="1:2" x14ac:dyDescent="0.25">
      <c r="A7742">
        <f ca="1">26618.9900644964*((RANDBETWEEN(1587,2416)))</f>
        <v>53025028.208476797</v>
      </c>
      <c r="B7742">
        <v>225001469.72530997</v>
      </c>
    </row>
    <row r="7743" spans="1:2" x14ac:dyDescent="0.25">
      <c r="A7743">
        <f ca="1">30386.9115668702*((RANDBETWEEN(1587,2416)))</f>
        <v>60348406.371804178</v>
      </c>
      <c r="B7743">
        <v>240498431.92475492</v>
      </c>
    </row>
    <row r="7744" spans="1:2" x14ac:dyDescent="0.25">
      <c r="A7744">
        <f ca="1">26978.7042351632*((RANDBETWEEN(1587,2416)))</f>
        <v>47293668.524241127</v>
      </c>
      <c r="B7744">
        <v>208118237.51511705</v>
      </c>
    </row>
    <row r="7745" spans="1:2" x14ac:dyDescent="0.25">
      <c r="A7745">
        <f ca="1">26293.8523920453*((RANDBETWEEN(1587,2416)))</f>
        <v>45172838.409533858</v>
      </c>
      <c r="B7745">
        <v>212898389.70667517</v>
      </c>
    </row>
    <row r="7746" spans="1:2" x14ac:dyDescent="0.25">
      <c r="A7746">
        <f ca="1">24890.4572400002*((RANDBETWEEN(1587,2416)))</f>
        <v>50751642.312360309</v>
      </c>
      <c r="B7746">
        <v>223527464.1762332</v>
      </c>
    </row>
    <row r="7747" spans="1:2" x14ac:dyDescent="0.25">
      <c r="A7747">
        <f ca="1">32256.3225428197*((RANDBETWEEN(1587,2416)))</f>
        <v>66125461.212780483</v>
      </c>
      <c r="B7747">
        <v>246052077.48995748</v>
      </c>
    </row>
    <row r="7748" spans="1:2" x14ac:dyDescent="0.25">
      <c r="A7748">
        <f ca="1">31652.7375048353*((RANDBETWEEN(1587,2416)))</f>
        <v>63906877.022262417</v>
      </c>
      <c r="B7748">
        <v>224369114.3559103</v>
      </c>
    </row>
    <row r="7749" spans="1:2" x14ac:dyDescent="0.25">
      <c r="A7749">
        <f ca="1">29832.1712287124*((RANDBETWEEN(1587,2416)))</f>
        <v>53996229.923969366</v>
      </c>
      <c r="B7749">
        <v>216744542.18175906</v>
      </c>
    </row>
    <row r="7750" spans="1:2" x14ac:dyDescent="0.25">
      <c r="A7750">
        <f ca="1">26507.2808015715*((RANDBETWEEN(1587,2416)))</f>
        <v>49064976.76370886</v>
      </c>
      <c r="B7750">
        <v>249571163.18606529</v>
      </c>
    </row>
    <row r="7751" spans="1:2" x14ac:dyDescent="0.25">
      <c r="A7751">
        <f ca="1">29220.2772438261*((RANDBETWEEN(1587,2416)))</f>
        <v>65979386.016559348</v>
      </c>
      <c r="B7751">
        <v>210050034.3737742</v>
      </c>
    </row>
    <row r="7752" spans="1:2" x14ac:dyDescent="0.25">
      <c r="A7752">
        <f ca="1">26271.9323256294*((RANDBETWEEN(1587,2416)))</f>
        <v>42166451.382635139</v>
      </c>
      <c r="B7752">
        <v>258305065.57100484</v>
      </c>
    </row>
    <row r="7753" spans="1:2" x14ac:dyDescent="0.25">
      <c r="A7753">
        <f ca="1">28945.5327686873*((RANDBETWEEN(1587,2416)))</f>
        <v>68369348.399639368</v>
      </c>
      <c r="B7753">
        <v>204656815.37778515</v>
      </c>
    </row>
    <row r="7754" spans="1:2" x14ac:dyDescent="0.25">
      <c r="A7754">
        <f ca="1">27356.94016523*((RANDBETWEEN(1587,2416)))</f>
        <v>48476497.972787552</v>
      </c>
      <c r="B7754">
        <v>209875542.29003319</v>
      </c>
    </row>
    <row r="7755" spans="1:2" x14ac:dyDescent="0.25">
      <c r="A7755">
        <f ca="1">28719.0659021756*((RANDBETWEEN(1587,2416)))</f>
        <v>62751158.996253699</v>
      </c>
      <c r="B7755">
        <v>238711704.11263603</v>
      </c>
    </row>
    <row r="7756" spans="1:2" x14ac:dyDescent="0.25">
      <c r="A7756">
        <f ca="1">26750.9550271764*((RANDBETWEEN(1587,2416)))</f>
        <v>51575841.292396195</v>
      </c>
      <c r="B7756">
        <v>214500171.97158176</v>
      </c>
    </row>
    <row r="7757" spans="1:2" x14ac:dyDescent="0.25">
      <c r="A7757">
        <f ca="1">33064.4396187325*((RANDBETWEEN(1587,2416)))</f>
        <v>79718363.920764178</v>
      </c>
      <c r="B7757">
        <v>209870217.38346508</v>
      </c>
    </row>
    <row r="7758" spans="1:2" x14ac:dyDescent="0.25">
      <c r="A7758">
        <f ca="1">32378.0038225555*((RANDBETWEEN(1587,2416)))</f>
        <v>77998611.208536133</v>
      </c>
      <c r="B7758">
        <v>230171583.43938076</v>
      </c>
    </row>
    <row r="7759" spans="1:2" x14ac:dyDescent="0.25">
      <c r="A7759">
        <f ca="1">29280.7347920009*((RANDBETWEEN(1587,2416)))</f>
        <v>54667131.856665619</v>
      </c>
      <c r="B7759">
        <v>232153149.89745882</v>
      </c>
    </row>
    <row r="7760" spans="1:2" x14ac:dyDescent="0.25">
      <c r="A7760">
        <f ca="1">27820.5443998032*((RANDBETWEEN(1587,2416)))</f>
        <v>56726090.031198815</v>
      </c>
      <c r="B7760">
        <v>267542888.19175786</v>
      </c>
    </row>
    <row r="7761" spans="1:2" x14ac:dyDescent="0.25">
      <c r="A7761">
        <f ca="1">26135.0898413239*((RANDBETWEEN(1587,2416)))</f>
        <v>58307385.435993589</v>
      </c>
      <c r="B7761">
        <v>237761941.92399478</v>
      </c>
    </row>
    <row r="7762" spans="1:2" x14ac:dyDescent="0.25">
      <c r="A7762">
        <f ca="1">28253.8550647982*((RANDBETWEEN(1587,2416)))</f>
        <v>51478523.92806223</v>
      </c>
      <c r="B7762">
        <v>223376000.01458904</v>
      </c>
    </row>
    <row r="7763" spans="1:2" x14ac:dyDescent="0.25">
      <c r="A7763">
        <f ca="1">29965.98045354*((RANDBETWEEN(1587,2416)))</f>
        <v>69551040.632666379</v>
      </c>
      <c r="B7763">
        <v>246378561.41247621</v>
      </c>
    </row>
    <row r="7764" spans="1:2" x14ac:dyDescent="0.25">
      <c r="A7764">
        <f ca="1">26317.3561674291*((RANDBETWEEN(1587,2416)))</f>
        <v>57635010.006669745</v>
      </c>
      <c r="B7764">
        <v>226562965.60591853</v>
      </c>
    </row>
    <row r="7765" spans="1:2" x14ac:dyDescent="0.25">
      <c r="A7765">
        <f ca="1">30757.5166683539*((RANDBETWEEN(1587,2416)))</f>
        <v>57670343.753163546</v>
      </c>
      <c r="B7765">
        <v>265314870.52972543</v>
      </c>
    </row>
    <row r="7766" spans="1:2" x14ac:dyDescent="0.25">
      <c r="A7766">
        <f ca="1">32471.1555628995*((RANDBETWEEN(1587,2416)))</f>
        <v>61760137.880634755</v>
      </c>
      <c r="B7766">
        <v>221518696.83430243</v>
      </c>
    </row>
    <row r="7767" spans="1:2" x14ac:dyDescent="0.25">
      <c r="A7767">
        <f ca="1">32594.3742781214*((RANDBETWEEN(1587,2416)))</f>
        <v>66003607.913195856</v>
      </c>
      <c r="B7767">
        <v>247007967.71639425</v>
      </c>
    </row>
    <row r="7768" spans="1:2" x14ac:dyDescent="0.25">
      <c r="A7768">
        <f ca="1">28219.3127360721*((RANDBETWEEN(1587,2416)))</f>
        <v>62026049.393886477</v>
      </c>
      <c r="B7768">
        <v>240673226.33756423</v>
      </c>
    </row>
    <row r="7769" spans="1:2" x14ac:dyDescent="0.25">
      <c r="A7769">
        <f ca="1">30675.7485840022*((RANDBETWEEN(1587,2416)))</f>
        <v>52424854.330059752</v>
      </c>
      <c r="B7769">
        <v>219131081.97567773</v>
      </c>
    </row>
    <row r="7770" spans="1:2" x14ac:dyDescent="0.25">
      <c r="A7770">
        <f ca="1">31555.1727902075*((RANDBETWEEN(1587,2416)))</f>
        <v>67244073.215932146</v>
      </c>
      <c r="B7770">
        <v>206816471.27364546</v>
      </c>
    </row>
    <row r="7771" spans="1:2" x14ac:dyDescent="0.25">
      <c r="A7771">
        <f ca="1">30672.5138114251*((RANDBETWEEN(1587,2416)))</f>
        <v>55609267.54011365</v>
      </c>
      <c r="B7771">
        <v>206230492.42222261</v>
      </c>
    </row>
    <row r="7772" spans="1:2" x14ac:dyDescent="0.25">
      <c r="A7772">
        <f ca="1">29760.3259479552*((RANDBETWEEN(1587,2416)))</f>
        <v>50890157.371003345</v>
      </c>
      <c r="B7772">
        <v>267404507.88084275</v>
      </c>
    </row>
    <row r="7773" spans="1:2" x14ac:dyDescent="0.25">
      <c r="A7773">
        <f ca="1">29465.8807630241*((RANDBETWEEN(1587,2416)))</f>
        <v>56073571.092034802</v>
      </c>
      <c r="B7773">
        <v>208807166.83933583</v>
      </c>
    </row>
    <row r="7774" spans="1:2" x14ac:dyDescent="0.25">
      <c r="A7774">
        <f ca="1">33697.78924453*((RANDBETWEEN(1587,2416)))</f>
        <v>64901942.084964871</v>
      </c>
      <c r="B7774">
        <v>248651266.64239529</v>
      </c>
    </row>
    <row r="7775" spans="1:2" x14ac:dyDescent="0.25">
      <c r="A7775">
        <f ca="1">28556.0204301569*((RANDBETWEEN(1587,2416)))</f>
        <v>55512903.716224924</v>
      </c>
      <c r="B7775">
        <v>219054444.77105436</v>
      </c>
    </row>
    <row r="7776" spans="1:2" x14ac:dyDescent="0.25">
      <c r="A7776">
        <f ca="1">29035.106263924*((RANDBETWEEN(1587,2416)))</f>
        <v>53656876.375731565</v>
      </c>
      <c r="B7776">
        <v>230032835.8488254</v>
      </c>
    </row>
    <row r="7777" spans="1:2" x14ac:dyDescent="0.25">
      <c r="A7777">
        <f ca="1">29640.7202661113*((RANDBETWEEN(1587,2416)))</f>
        <v>67462279.325669259</v>
      </c>
      <c r="B7777">
        <v>211188769.14550728</v>
      </c>
    </row>
    <row r="7778" spans="1:2" x14ac:dyDescent="0.25">
      <c r="A7778">
        <f ca="1">27656.7517138376*((RANDBETWEEN(1587,2416)))</f>
        <v>65269934.044656791</v>
      </c>
      <c r="B7778">
        <v>232387166.18829238</v>
      </c>
    </row>
    <row r="7779" spans="1:2" x14ac:dyDescent="0.25">
      <c r="A7779">
        <f ca="1">30084.2677248429*((RANDBETWEEN(1587,2416)))</f>
        <v>66696821.545976676</v>
      </c>
      <c r="B7779">
        <v>252535135.28739691</v>
      </c>
    </row>
    <row r="7780" spans="1:2" x14ac:dyDescent="0.25">
      <c r="A7780">
        <f ca="1">27422.5327499398*((RANDBETWEEN(1587,2416)))</f>
        <v>45932742.356149122</v>
      </c>
      <c r="B7780">
        <v>211839653.13752913</v>
      </c>
    </row>
    <row r="7781" spans="1:2" x14ac:dyDescent="0.25">
      <c r="A7781">
        <f ca="1">28129.2240376368*((RANDBETWEEN(1587,2416)))</f>
        <v>59296404.271338299</v>
      </c>
      <c r="B7781">
        <v>225223763.77843612</v>
      </c>
    </row>
    <row r="7782" spans="1:2" x14ac:dyDescent="0.25">
      <c r="A7782">
        <f ca="1">29651.2136146405*((RANDBETWEEN(1587,2416)))</f>
        <v>68968722.867653891</v>
      </c>
      <c r="B7782">
        <v>259360562.61247301</v>
      </c>
    </row>
    <row r="7783" spans="1:2" x14ac:dyDescent="0.25">
      <c r="A7783">
        <f ca="1">31589.0767563303*((RANDBETWEEN(1587,2416)))</f>
        <v>60429903.834859952</v>
      </c>
      <c r="B7783">
        <v>264341724.42670488</v>
      </c>
    </row>
    <row r="7784" spans="1:2" x14ac:dyDescent="0.25">
      <c r="A7784">
        <f ca="1">32453.0298374185*((RANDBETWEEN(1587,2416)))</f>
        <v>65295496.032886088</v>
      </c>
      <c r="B7784">
        <v>240369775.76762873</v>
      </c>
    </row>
    <row r="7785" spans="1:2" x14ac:dyDescent="0.25">
      <c r="A7785">
        <f ca="1">27671.7063313904*((RANDBETWEEN(1587,2416)))</f>
        <v>64751792.815453507</v>
      </c>
      <c r="B7785">
        <v>209095380.57850546</v>
      </c>
    </row>
    <row r="7786" spans="1:2" x14ac:dyDescent="0.25">
      <c r="A7786">
        <f ca="1">32641.545314107*((RANDBETWEEN(1587,2416)))</f>
        <v>73182344.59422797</v>
      </c>
      <c r="B7786">
        <v>243672694.91823319</v>
      </c>
    </row>
    <row r="7787" spans="1:2" x14ac:dyDescent="0.25">
      <c r="A7787">
        <f ca="1">28985.1199807016*((RANDBETWEEN(1587,2416)))</f>
        <v>48521090.847694539</v>
      </c>
      <c r="B7787">
        <v>213877496.33416736</v>
      </c>
    </row>
    <row r="7788" spans="1:2" x14ac:dyDescent="0.25">
      <c r="A7788">
        <f ca="1">28486.8040458849*((RANDBETWEEN(1587,2416)))</f>
        <v>65491162.501489311</v>
      </c>
      <c r="B7788">
        <v>234149699.45251942</v>
      </c>
    </row>
    <row r="7789" spans="1:2" x14ac:dyDescent="0.25">
      <c r="A7789">
        <f ca="1">29072.8025071657*((RANDBETWEEN(1587,2416)))</f>
        <v>53697466.230734967</v>
      </c>
      <c r="B7789">
        <v>258370923.51642272</v>
      </c>
    </row>
    <row r="7790" spans="1:2" x14ac:dyDescent="0.25">
      <c r="A7790">
        <f ca="1">30878.5503860107*((RANDBETWEEN(1587,2416)))</f>
        <v>49158652.214529075</v>
      </c>
      <c r="B7790">
        <v>261661947.00680986</v>
      </c>
    </row>
    <row r="7791" spans="1:2" x14ac:dyDescent="0.25">
      <c r="A7791">
        <f ca="1">28243.0692023655*((RANDBETWEEN(1587,2416)))</f>
        <v>52729810.200816326</v>
      </c>
      <c r="B7791">
        <v>211229845.11216229</v>
      </c>
    </row>
    <row r="7792" spans="1:2" x14ac:dyDescent="0.25">
      <c r="A7792">
        <f ca="1">31625.7871551229*((RANDBETWEEN(1587,2416)))</f>
        <v>64801237.880846761</v>
      </c>
      <c r="B7792">
        <v>242487611.50128305</v>
      </c>
    </row>
    <row r="7793" spans="1:2" x14ac:dyDescent="0.25">
      <c r="A7793">
        <f ca="1">29729.208950713*((RANDBETWEEN(1587,2416)))</f>
        <v>71587935.153316796</v>
      </c>
      <c r="B7793">
        <v>208012639.11348242</v>
      </c>
    </row>
    <row r="7794" spans="1:2" x14ac:dyDescent="0.25">
      <c r="A7794">
        <f ca="1">29637.4486715683*((RANDBETWEEN(1587,2416)))</f>
        <v>69173805.199440524</v>
      </c>
      <c r="B7794">
        <v>250758439.61992782</v>
      </c>
    </row>
    <row r="7795" spans="1:2" x14ac:dyDescent="0.25">
      <c r="A7795">
        <f ca="1">32052.1481641096*((RANDBETWEEN(1587,2416)))</f>
        <v>51411645.655231811</v>
      </c>
      <c r="B7795">
        <v>255202996.9152022</v>
      </c>
    </row>
    <row r="7796" spans="1:2" x14ac:dyDescent="0.25">
      <c r="A7796">
        <f ca="1">31798.2555430767*((RANDBETWEEN(1587,2416)))</f>
        <v>59844316.932070419</v>
      </c>
      <c r="B7796">
        <v>211462780.51552081</v>
      </c>
    </row>
    <row r="7797" spans="1:2" x14ac:dyDescent="0.25">
      <c r="A7797">
        <f ca="1">31063.9219082177*((RANDBETWEEN(1587,2416)))</f>
        <v>68744459.182885826</v>
      </c>
      <c r="B7797">
        <v>266163651.02679336</v>
      </c>
    </row>
    <row r="7798" spans="1:2" x14ac:dyDescent="0.25">
      <c r="A7798">
        <f ca="1">28683.9525005246*((RANDBETWEEN(1587,2416)))</f>
        <v>62473648.546142578</v>
      </c>
      <c r="B7798">
        <v>237244831.06117404</v>
      </c>
    </row>
    <row r="7799" spans="1:2" x14ac:dyDescent="0.25">
      <c r="A7799">
        <f ca="1">28982.8552005906*((RANDBETWEEN(1587,2416)))</f>
        <v>54139973.514703311</v>
      </c>
      <c r="B7799">
        <v>225042106.97575733</v>
      </c>
    </row>
    <row r="7800" spans="1:2" x14ac:dyDescent="0.25">
      <c r="A7800">
        <f ca="1">31680.852470172*((RANDBETWEEN(1587,2416)))</f>
        <v>65325917.793494731</v>
      </c>
      <c r="B7800">
        <v>245213720.55813953</v>
      </c>
    </row>
    <row r="7801" spans="1:2" x14ac:dyDescent="0.25">
      <c r="A7801">
        <f ca="1">28053.6500618058*((RANDBETWEEN(1587,2416)))</f>
        <v>67525135.698766619</v>
      </c>
      <c r="B7801">
        <v>257022596.48613733</v>
      </c>
    </row>
    <row r="7802" spans="1:2" x14ac:dyDescent="0.25">
      <c r="A7802">
        <f ca="1">31772.2944368637*((RANDBETWEEN(1587,2416)))</f>
        <v>52074790.582019642</v>
      </c>
      <c r="B7802">
        <v>227033364.53078145</v>
      </c>
    </row>
    <row r="7803" spans="1:2" x14ac:dyDescent="0.25">
      <c r="A7803">
        <f ca="1">26096.3743046943*((RANDBETWEEN(1587,2416)))</f>
        <v>42432704.619433008</v>
      </c>
      <c r="B7803">
        <v>237933506.89868274</v>
      </c>
    </row>
    <row r="7804" spans="1:2" x14ac:dyDescent="0.25">
      <c r="A7804">
        <f ca="1">27545.0431013609*((RANDBETWEEN(1587,2416)))</f>
        <v>58257766.159378298</v>
      </c>
      <c r="B7804">
        <v>245957857.88145342</v>
      </c>
    </row>
    <row r="7805" spans="1:2" x14ac:dyDescent="0.25">
      <c r="A7805">
        <f ca="1">29765.1381898104*((RANDBETWEEN(1587,2416)))</f>
        <v>52446173.490445927</v>
      </c>
      <c r="B7805">
        <v>233221062.23729515</v>
      </c>
    </row>
    <row r="7806" spans="1:2" x14ac:dyDescent="0.25">
      <c r="A7806">
        <f ca="1">31322.5028723257*((RANDBETWEEN(1587,2416)))</f>
        <v>57257535.250611387</v>
      </c>
      <c r="B7806">
        <v>265748212.19965774</v>
      </c>
    </row>
    <row r="7807" spans="1:2" x14ac:dyDescent="0.25">
      <c r="A7807">
        <f ca="1">28827.5055224751*((RANDBETWEEN(1587,2416)))</f>
        <v>68667118.154535651</v>
      </c>
      <c r="B7807">
        <v>243113009.46666148</v>
      </c>
    </row>
    <row r="7808" spans="1:2" x14ac:dyDescent="0.25">
      <c r="A7808">
        <f ca="1">30784.36353358*((RANDBETWEEN(1587,2416)))</f>
        <v>56335385.266451493</v>
      </c>
      <c r="B7808">
        <v>204499813.1871312</v>
      </c>
    </row>
    <row r="7809" spans="1:2" x14ac:dyDescent="0.25">
      <c r="A7809">
        <f ca="1">29019.6907353478*((RANDBETWEEN(1587,2416)))</f>
        <v>55485648.685984947</v>
      </c>
      <c r="B7809">
        <v>222280360.72944245</v>
      </c>
    </row>
    <row r="7810" spans="1:2" x14ac:dyDescent="0.25">
      <c r="A7810">
        <f ca="1">28618.9375474738*((RANDBETWEEN(1587,2416)))</f>
        <v>59470152.223650604</v>
      </c>
      <c r="B7810">
        <v>244999024.48650479</v>
      </c>
    </row>
    <row r="7811" spans="1:2" x14ac:dyDescent="0.25">
      <c r="A7811">
        <f ca="1">27964.6696628324*((RANDBETWEEN(1587,2416)))</f>
        <v>54866681.878477074</v>
      </c>
      <c r="B7811">
        <v>248826902.63004631</v>
      </c>
    </row>
    <row r="7812" spans="1:2" x14ac:dyDescent="0.25">
      <c r="A7812">
        <f ca="1">30746.1228594322*((RANDBETWEEN(1587,2416)))</f>
        <v>57495249.747138262</v>
      </c>
      <c r="B7812">
        <v>232309027.29405236</v>
      </c>
    </row>
    <row r="7813" spans="1:2" x14ac:dyDescent="0.25">
      <c r="A7813">
        <f ca="1">32713.48638767*((RANDBETWEEN(1587,2416)))</f>
        <v>58851562.011418313</v>
      </c>
      <c r="B7813">
        <v>257497836.40514931</v>
      </c>
    </row>
    <row r="7814" spans="1:2" x14ac:dyDescent="0.25">
      <c r="A7814">
        <f ca="1">27120.2149106378*((RANDBETWEEN(1587,2416)))</f>
        <v>59311910.009564839</v>
      </c>
      <c r="B7814">
        <v>248630125.83809957</v>
      </c>
    </row>
    <row r="7815" spans="1:2" x14ac:dyDescent="0.25">
      <c r="A7815">
        <f ca="1">32302.3209778291*((RANDBETWEEN(1587,2416)))</f>
        <v>74973686.989541426</v>
      </c>
      <c r="B7815">
        <v>249784697.40071654</v>
      </c>
    </row>
    <row r="7816" spans="1:2" x14ac:dyDescent="0.25">
      <c r="A7816">
        <f ca="1">27957.8982324488*((RANDBETWEEN(1587,2416)))</f>
        <v>48534911.331531145</v>
      </c>
      <c r="B7816">
        <v>260341258.19406971</v>
      </c>
    </row>
    <row r="7817" spans="1:2" x14ac:dyDescent="0.25">
      <c r="A7817">
        <f ca="1">30750.5655883458*((RANDBETWEEN(1587,2416)))</f>
        <v>55597022.58372926</v>
      </c>
      <c r="B7817">
        <v>267848543.44136566</v>
      </c>
    </row>
    <row r="7818" spans="1:2" x14ac:dyDescent="0.25">
      <c r="A7818">
        <f ca="1">31981.7070345181*((RANDBETWEEN(1587,2416)))</f>
        <v>73110182.280908406</v>
      </c>
      <c r="B7818">
        <v>240266561.47757554</v>
      </c>
    </row>
    <row r="7819" spans="1:2" x14ac:dyDescent="0.25">
      <c r="A7819">
        <f ca="1">28742.4855640016*((RANDBETWEEN(1587,2416)))</f>
        <v>65389154.65810369</v>
      </c>
      <c r="B7819">
        <v>260247842.28715688</v>
      </c>
    </row>
    <row r="7820" spans="1:2" x14ac:dyDescent="0.25">
      <c r="A7820">
        <f ca="1">32172.1508364415*((RANDBETWEEN(1587,2416)))</f>
        <v>60387127.120000742</v>
      </c>
      <c r="B7820">
        <v>251741978.82593665</v>
      </c>
    </row>
    <row r="7821" spans="1:2" x14ac:dyDescent="0.25">
      <c r="A7821">
        <f ca="1">30314.1698600976*((RANDBETWEEN(1587,2416)))</f>
        <v>57445351.884884953</v>
      </c>
      <c r="B7821">
        <v>249400662.8276633</v>
      </c>
    </row>
    <row r="7822" spans="1:2" x14ac:dyDescent="0.25">
      <c r="A7822">
        <f ca="1">32986.0251285053*((RANDBETWEEN(1587,2416)))</f>
        <v>62970321.970316678</v>
      </c>
      <c r="B7822">
        <v>257212278.19210035</v>
      </c>
    </row>
    <row r="7823" spans="1:2" x14ac:dyDescent="0.25">
      <c r="A7823">
        <f ca="1">32922.8023841687*((RANDBETWEEN(1587,2416)))</f>
        <v>66306524.001715854</v>
      </c>
      <c r="B7823">
        <v>209817413.84746426</v>
      </c>
    </row>
    <row r="7824" spans="1:2" x14ac:dyDescent="0.25">
      <c r="A7824">
        <f ca="1">29125.36235124*((RANDBETWEEN(1587,2416)))</f>
        <v>66697079.784339584</v>
      </c>
      <c r="B7824">
        <v>216983092.80263719</v>
      </c>
    </row>
    <row r="7825" spans="1:2" x14ac:dyDescent="0.25">
      <c r="A7825">
        <f ca="1">31178.6157811*((RANDBETWEEN(1587,2416)))</f>
        <v>51351180.191471711</v>
      </c>
      <c r="B7825">
        <v>261235491.25907519</v>
      </c>
    </row>
    <row r="7826" spans="1:2" x14ac:dyDescent="0.25">
      <c r="A7826">
        <f ca="1">27192.405574455*((RANDBETWEEN(1587,2416)))</f>
        <v>51121722.479975447</v>
      </c>
      <c r="B7826">
        <v>234324145.75176191</v>
      </c>
    </row>
    <row r="7827" spans="1:2" x14ac:dyDescent="0.25">
      <c r="A7827">
        <f ca="1">27951.6112328766*((RANDBETWEEN(1587,2416)))</f>
        <v>59257415.813698456</v>
      </c>
      <c r="B7827">
        <v>265818042.48913568</v>
      </c>
    </row>
    <row r="7828" spans="1:2" x14ac:dyDescent="0.25">
      <c r="A7828">
        <f ca="1">33485.4235592293*((RANDBETWEEN(1587,2416)))</f>
        <v>56791278.356452987</v>
      </c>
      <c r="B7828">
        <v>264687336.14642575</v>
      </c>
    </row>
    <row r="7829" spans="1:2" x14ac:dyDescent="0.25">
      <c r="A7829">
        <f ca="1">28216.4831815163*((RANDBETWEEN(1587,2416)))</f>
        <v>44948857.708155401</v>
      </c>
      <c r="B7829">
        <v>252580055.8443678</v>
      </c>
    </row>
    <row r="7830" spans="1:2" x14ac:dyDescent="0.25">
      <c r="A7830">
        <f ca="1">27380.8802896962*((RANDBETWEEN(1587,2416)))</f>
        <v>62893882.025432169</v>
      </c>
      <c r="B7830">
        <v>252510143.48661688</v>
      </c>
    </row>
    <row r="7831" spans="1:2" x14ac:dyDescent="0.25">
      <c r="A7831">
        <f ca="1">32885.2621504586*((RANDBETWEEN(1587,2416)))</f>
        <v>67349016.884139121</v>
      </c>
      <c r="B7831">
        <v>214648301.30739689</v>
      </c>
    </row>
    <row r="7832" spans="1:2" x14ac:dyDescent="0.25">
      <c r="A7832">
        <f ca="1">26525.1962587961*((RANDBETWEEN(1587,2416)))</f>
        <v>61989383.656806394</v>
      </c>
      <c r="B7832">
        <v>236775463.47020954</v>
      </c>
    </row>
    <row r="7833" spans="1:2" x14ac:dyDescent="0.25">
      <c r="A7833">
        <f ca="1">31389.4248768052*((RANDBETWEEN(1587,2416)))</f>
        <v>63312469.976516128</v>
      </c>
      <c r="B7833">
        <v>251687026.10826558</v>
      </c>
    </row>
    <row r="7834" spans="1:2" x14ac:dyDescent="0.25">
      <c r="A7834">
        <f ca="1">26438.1353974166*((RANDBETWEEN(1587,2416)))</f>
        <v>60834149.549455479</v>
      </c>
      <c r="B7834">
        <v>245566069.6006119</v>
      </c>
    </row>
    <row r="7835" spans="1:2" x14ac:dyDescent="0.25">
      <c r="A7835">
        <f ca="1">29372.6609500144*((RANDBETWEEN(1587,2416)))</f>
        <v>66147232.459432445</v>
      </c>
      <c r="B7835">
        <v>231678144.65951464</v>
      </c>
    </row>
    <row r="7836" spans="1:2" x14ac:dyDescent="0.25">
      <c r="A7836">
        <f ca="1">29471.8510464937*((RANDBETWEEN(1587,2416)))</f>
        <v>67431595.194377497</v>
      </c>
      <c r="B7836">
        <v>261343129.48825255</v>
      </c>
    </row>
    <row r="7837" spans="1:2" x14ac:dyDescent="0.25">
      <c r="A7837">
        <f ca="1">32416.9545042182*((RANDBETWEEN(1587,2416)))</f>
        <v>76925433.038509801</v>
      </c>
      <c r="B7837">
        <v>222180016.82134792</v>
      </c>
    </row>
    <row r="7838" spans="1:2" x14ac:dyDescent="0.25">
      <c r="A7838">
        <f ca="1">33855.0145174463*((RANDBETWEEN(1587,2416)))</f>
        <v>67371478.889718115</v>
      </c>
      <c r="B7838">
        <v>222568286.81612742</v>
      </c>
    </row>
    <row r="7839" spans="1:2" x14ac:dyDescent="0.25">
      <c r="A7839">
        <f ca="1">28574.958771796*((RANDBETWEEN(1587,2416)))</f>
        <v>55235395.305881612</v>
      </c>
      <c r="B7839">
        <v>218164950.83410013</v>
      </c>
    </row>
    <row r="7840" spans="1:2" x14ac:dyDescent="0.25">
      <c r="A7840">
        <f ca="1">32000.63268911*((RANDBETWEEN(1587,2416)))</f>
        <v>64513275.501245774</v>
      </c>
      <c r="B7840">
        <v>205459610.95710963</v>
      </c>
    </row>
    <row r="7841" spans="1:2" x14ac:dyDescent="0.25">
      <c r="A7841">
        <f ca="1">27158.6089042188*((RANDBETWEEN(1587,2416)))</f>
        <v>57739202.530369185</v>
      </c>
      <c r="B7841">
        <v>206296644.29056895</v>
      </c>
    </row>
    <row r="7842" spans="1:2" x14ac:dyDescent="0.25">
      <c r="A7842">
        <f ca="1">31402.5152963066*((RANDBETWEEN(1587,2416)))</f>
        <v>66039489.668132767</v>
      </c>
      <c r="B7842">
        <v>222283605.40895811</v>
      </c>
    </row>
    <row r="7843" spans="1:2" x14ac:dyDescent="0.25">
      <c r="A7843">
        <f ca="1">29928.9424555658*((RANDBETWEEN(1587,2416)))</f>
        <v>62162413.48021014</v>
      </c>
      <c r="B7843">
        <v>234014218.18462545</v>
      </c>
    </row>
    <row r="7844" spans="1:2" x14ac:dyDescent="0.25">
      <c r="A7844">
        <f ca="1">29588.6834316758*((RANDBETWEEN(1587,2416)))</f>
        <v>52046494.156317741</v>
      </c>
      <c r="B7844">
        <v>253929641.94046605</v>
      </c>
    </row>
    <row r="7845" spans="1:2" x14ac:dyDescent="0.25">
      <c r="A7845">
        <f ca="1">29239.7336671221*((RANDBETWEEN(1587,2416)))</f>
        <v>60263091.087938711</v>
      </c>
      <c r="B7845">
        <v>232766226.78444582</v>
      </c>
    </row>
    <row r="7846" spans="1:2" x14ac:dyDescent="0.25">
      <c r="A7846">
        <f ca="1">30680.5393628463*((RANDBETWEEN(1587,2416)))</f>
        <v>71884503.727148905</v>
      </c>
      <c r="B7846">
        <v>205240916.28449601</v>
      </c>
    </row>
    <row r="7847" spans="1:2" x14ac:dyDescent="0.25">
      <c r="A7847">
        <f ca="1">25974.2652154829*((RANDBETWEEN(1587,2416)))</f>
        <v>52390092.939628921</v>
      </c>
      <c r="B7847">
        <v>212960035.94078535</v>
      </c>
    </row>
    <row r="7848" spans="1:2" x14ac:dyDescent="0.25">
      <c r="A7848">
        <f ca="1">28552.416413384*((RANDBETWEEN(1587,2416)))</f>
        <v>50309357.720382579</v>
      </c>
      <c r="B7848">
        <v>231724745.48873606</v>
      </c>
    </row>
    <row r="7849" spans="1:2" x14ac:dyDescent="0.25">
      <c r="A7849">
        <f ca="1">29369.5759594769*((RANDBETWEEN(1587,2416)))</f>
        <v>50104496.586867623</v>
      </c>
      <c r="B7849">
        <v>266519642.65947708</v>
      </c>
    </row>
    <row r="7850" spans="1:2" x14ac:dyDescent="0.25">
      <c r="A7850">
        <f ca="1">29437.8239683767*((RANDBETWEEN(1587,2416)))</f>
        <v>62113808.573274851</v>
      </c>
      <c r="B7850">
        <v>212864625.5657765</v>
      </c>
    </row>
    <row r="7851" spans="1:2" x14ac:dyDescent="0.25">
      <c r="A7851">
        <f ca="1">26786.9052400845*((RANDBETWEEN(1587,2416)))</f>
        <v>60752701.084511727</v>
      </c>
      <c r="B7851">
        <v>227745013.66877055</v>
      </c>
    </row>
    <row r="7852" spans="1:2" x14ac:dyDescent="0.25">
      <c r="A7852">
        <f ca="1">30778.1579916314*((RANDBETWEEN(1587,2416)))</f>
        <v>71282213.908618405</v>
      </c>
      <c r="B7852">
        <v>242334615.00731108</v>
      </c>
    </row>
    <row r="7853" spans="1:2" x14ac:dyDescent="0.25">
      <c r="A7853">
        <f ca="1">32023.3377332812*((RANDBETWEEN(1587,2416)))</f>
        <v>76343637.156142309</v>
      </c>
      <c r="B7853">
        <v>232945283.31561959</v>
      </c>
    </row>
    <row r="7854" spans="1:2" x14ac:dyDescent="0.25">
      <c r="A7854">
        <f ca="1">31578.6705250082*((RANDBETWEEN(1587,2416)))</f>
        <v>66820466.830917254</v>
      </c>
      <c r="B7854">
        <v>232765007.16285336</v>
      </c>
    </row>
    <row r="7855" spans="1:2" x14ac:dyDescent="0.25">
      <c r="A7855">
        <f ca="1">33815.445749248*((RANDBETWEEN(1587,2416)))</f>
        <v>54138528.644546084</v>
      </c>
      <c r="B7855">
        <v>212029771.8159712</v>
      </c>
    </row>
    <row r="7856" spans="1:2" x14ac:dyDescent="0.25">
      <c r="A7856">
        <f ca="1">35104.7098107968*((RANDBETWEEN(1587,2416)))</f>
        <v>73649681.183051601</v>
      </c>
      <c r="B7856">
        <v>236736663.64817822</v>
      </c>
    </row>
    <row r="7857" spans="1:2" x14ac:dyDescent="0.25">
      <c r="A7857">
        <f ca="1">27727.1318324192*((RANDBETWEEN(1587,2416)))</f>
        <v>48189755.124744534</v>
      </c>
      <c r="B7857">
        <v>212802051.82681492</v>
      </c>
    </row>
    <row r="7858" spans="1:2" x14ac:dyDescent="0.25">
      <c r="A7858">
        <f ca="1">26408.1620849972*((RANDBETWEEN(1587,2416)))</f>
        <v>55906079.133939117</v>
      </c>
      <c r="B7858">
        <v>210792852.04675621</v>
      </c>
    </row>
    <row r="7859" spans="1:2" x14ac:dyDescent="0.25">
      <c r="A7859">
        <f ca="1">31282.0284802462*((RANDBETWEEN(1587,2416)))</f>
        <v>69195846.998304576</v>
      </c>
      <c r="B7859">
        <v>240929872.67018804</v>
      </c>
    </row>
    <row r="7860" spans="1:2" x14ac:dyDescent="0.25">
      <c r="A7860">
        <f ca="1">26348.2023495631*((RANDBETWEEN(1587,2416)))</f>
        <v>52169440.65213491</v>
      </c>
      <c r="B7860">
        <v>220339401.35463241</v>
      </c>
    </row>
    <row r="7861" spans="1:2" x14ac:dyDescent="0.25">
      <c r="A7861">
        <f ca="1">27541.6026197932*((RANDBETWEEN(1587,2416)))</f>
        <v>54091707.545273773</v>
      </c>
      <c r="B7861">
        <v>211787367.26378325</v>
      </c>
    </row>
    <row r="7862" spans="1:2" x14ac:dyDescent="0.25">
      <c r="A7862">
        <f ca="1">30608.3173733724*((RANDBETWEEN(1587,2416)))</f>
        <v>53442122.133908264</v>
      </c>
      <c r="B7862">
        <v>204632884.42711028</v>
      </c>
    </row>
    <row r="7863" spans="1:2" x14ac:dyDescent="0.25">
      <c r="A7863">
        <f ca="1">29147.5554079331*((RANDBETWEEN(1587,2416)))</f>
        <v>67797213.878852278</v>
      </c>
      <c r="B7863">
        <v>259156800.82808036</v>
      </c>
    </row>
    <row r="7864" spans="1:2" x14ac:dyDescent="0.25">
      <c r="A7864">
        <f ca="1">29387.44431504*((RANDBETWEEN(1587,2416)))</f>
        <v>69530693.249384597</v>
      </c>
      <c r="B7864">
        <v>216123501.78752518</v>
      </c>
    </row>
    <row r="7865" spans="1:2" x14ac:dyDescent="0.25">
      <c r="A7865">
        <f ca="1">30769.8467811136*((RANDBETWEEN(1587,2416)))</f>
        <v>59631963.061798103</v>
      </c>
      <c r="B7865">
        <v>262774509.24308962</v>
      </c>
    </row>
    <row r="7866" spans="1:2" x14ac:dyDescent="0.25">
      <c r="A7866">
        <f ca="1">30511.1608288807*((RANDBETWEEN(1587,2416)))</f>
        <v>72555540.451078385</v>
      </c>
      <c r="B7866">
        <v>264558763.06705472</v>
      </c>
    </row>
    <row r="7867" spans="1:2" x14ac:dyDescent="0.25">
      <c r="A7867">
        <f ca="1">27605.1033581199*((RANDBETWEEN(1587,2416)))</f>
        <v>46542204.261790186</v>
      </c>
      <c r="B7867">
        <v>254060085.61550149</v>
      </c>
    </row>
    <row r="7868" spans="1:2" x14ac:dyDescent="0.25">
      <c r="A7868">
        <f ca="1">29304.7886572549*((RANDBETWEEN(1587,2416)))</f>
        <v>46653223.542349786</v>
      </c>
      <c r="B7868">
        <v>249678020.13408616</v>
      </c>
    </row>
    <row r="7869" spans="1:2" x14ac:dyDescent="0.25">
      <c r="A7869">
        <f ca="1">29868.6409951777*((RANDBETWEEN(1587,2416)))</f>
        <v>62694277.44887802</v>
      </c>
      <c r="B7869">
        <v>235421893.0212276</v>
      </c>
    </row>
    <row r="7870" spans="1:2" x14ac:dyDescent="0.25">
      <c r="A7870">
        <f ca="1">25744.9373698386*((RANDBETWEEN(1587,2416)))</f>
        <v>53497979.854524642</v>
      </c>
      <c r="B7870">
        <v>228048460.89318356</v>
      </c>
    </row>
    <row r="7871" spans="1:2" x14ac:dyDescent="0.25">
      <c r="A7871">
        <f ca="1">30699.9836077517*((RANDBETWEEN(1587,2416)))</f>
        <v>71684461.724100292</v>
      </c>
      <c r="B7871">
        <v>260550033.08991617</v>
      </c>
    </row>
    <row r="7872" spans="1:2" x14ac:dyDescent="0.25">
      <c r="A7872">
        <f ca="1">29913.3550767168*((RANDBETWEEN(1587,2416)))</f>
        <v>68770803.321371809</v>
      </c>
      <c r="B7872">
        <v>257040594.23332226</v>
      </c>
    </row>
    <row r="7873" spans="1:2" x14ac:dyDescent="0.25">
      <c r="A7873">
        <f ca="1">26926.7474517032*((RANDBETWEEN(1587,2416)))</f>
        <v>45263862.466313154</v>
      </c>
      <c r="B7873">
        <v>206585233.82912123</v>
      </c>
    </row>
    <row r="7874" spans="1:2" x14ac:dyDescent="0.25">
      <c r="A7874">
        <f ca="1">26472.0360751386*((RANDBETWEEN(1587,2416)))</f>
        <v>48708546.378255025</v>
      </c>
      <c r="B7874">
        <v>212278408.16808367</v>
      </c>
    </row>
    <row r="7875" spans="1:2" x14ac:dyDescent="0.25">
      <c r="A7875">
        <f ca="1">28085.8870803068*((RANDBETWEEN(1587,2416)))</f>
        <v>66507380.60616643</v>
      </c>
      <c r="B7875">
        <v>204218587.7547124</v>
      </c>
    </row>
    <row r="7876" spans="1:2" x14ac:dyDescent="0.25">
      <c r="A7876">
        <f ca="1">27138.7799066631*((RANDBETWEEN(1587,2416)))</f>
        <v>46000231.941794015</v>
      </c>
      <c r="B7876">
        <v>221800366.16675273</v>
      </c>
    </row>
    <row r="7877" spans="1:2" x14ac:dyDescent="0.25">
      <c r="A7877">
        <f ca="1">30660.3631344537*((RANDBETWEEN(1587,2416)))</f>
        <v>55341955.45768898</v>
      </c>
      <c r="B7877">
        <v>242660914.61643445</v>
      </c>
    </row>
    <row r="7878" spans="1:2" x14ac:dyDescent="0.25">
      <c r="A7878">
        <f ca="1">28663.7061994855*((RANDBETWEEN(1587,2416)))</f>
        <v>57700040.579564385</v>
      </c>
      <c r="B7878">
        <v>236507559.18452811</v>
      </c>
    </row>
    <row r="7879" spans="1:2" x14ac:dyDescent="0.25">
      <c r="A7879">
        <f ca="1">26248.516899524*((RANDBETWEEN(1587,2416)))</f>
        <v>61500275.095584683</v>
      </c>
      <c r="B7879">
        <v>214593884.30539271</v>
      </c>
    </row>
    <row r="7880" spans="1:2" x14ac:dyDescent="0.25">
      <c r="A7880">
        <f ca="1">30131.7955440423*((RANDBETWEEN(1587,2416)))</f>
        <v>69001811.795856789</v>
      </c>
      <c r="B7880">
        <v>266835175.93493482</v>
      </c>
    </row>
    <row r="7881" spans="1:2" x14ac:dyDescent="0.25">
      <c r="A7881">
        <f ca="1">33846.8295521328*((RANDBETWEEN(1587,2416)))</f>
        <v>76730762.594685093</v>
      </c>
      <c r="B7881">
        <v>255455036.14397249</v>
      </c>
    </row>
    <row r="7882" spans="1:2" x14ac:dyDescent="0.25">
      <c r="A7882">
        <f ca="1">26651.5649018382*((RANDBETWEEN(1587,2416)))</f>
        <v>44348203.996658809</v>
      </c>
      <c r="B7882">
        <v>205438826.0692538</v>
      </c>
    </row>
    <row r="7883" spans="1:2" x14ac:dyDescent="0.25">
      <c r="A7883">
        <f ca="1">33548.2957015418*((RANDBETWEEN(1587,2416)))</f>
        <v>77026886.930739999</v>
      </c>
      <c r="B7883">
        <v>222243408.04271972</v>
      </c>
    </row>
    <row r="7884" spans="1:2" x14ac:dyDescent="0.25">
      <c r="A7884">
        <f ca="1">32747.5093609664*((RANDBETWEEN(1587,2416)))</f>
        <v>75908726.698720112</v>
      </c>
      <c r="B7884">
        <v>266895294.35949904</v>
      </c>
    </row>
    <row r="7885" spans="1:2" x14ac:dyDescent="0.25">
      <c r="A7885">
        <f ca="1">29197.459939453*((RANDBETWEEN(1587,2416)))</f>
        <v>69986311.474868745</v>
      </c>
      <c r="B7885">
        <v>210941632.07606125</v>
      </c>
    </row>
    <row r="7886" spans="1:2" x14ac:dyDescent="0.25">
      <c r="A7886">
        <f ca="1">27406.6180169878*((RANDBETWEEN(1587,2416)))</f>
        <v>53771784.549330078</v>
      </c>
      <c r="B7886">
        <v>209129292.62665388</v>
      </c>
    </row>
    <row r="7887" spans="1:2" x14ac:dyDescent="0.25">
      <c r="A7887">
        <f ca="1">31715.9398656732*((RANDBETWEEN(1587,2416)))</f>
        <v>55154019.426405735</v>
      </c>
      <c r="B7887">
        <v>263311616.06084225</v>
      </c>
    </row>
    <row r="7888" spans="1:2" x14ac:dyDescent="0.25">
      <c r="A7888">
        <f ca="1">34261.2318086363*((RANDBETWEEN(1587,2416)))</f>
        <v>71160578.46653758</v>
      </c>
      <c r="B7888">
        <v>235290161.36467779</v>
      </c>
    </row>
    <row r="7889" spans="1:2" x14ac:dyDescent="0.25">
      <c r="A7889">
        <f ca="1">27490.0985834433*((RANDBETWEEN(1587,2416)))</f>
        <v>61935192.108497679</v>
      </c>
      <c r="B7889">
        <v>210268589.38143599</v>
      </c>
    </row>
    <row r="7890" spans="1:2" x14ac:dyDescent="0.25">
      <c r="A7890">
        <f ca="1">34085.7698743094*((RANDBETWEEN(1587,2416)))</f>
        <v>54571317.568769328</v>
      </c>
      <c r="B7890">
        <v>237182151.355923</v>
      </c>
    </row>
    <row r="7891" spans="1:2" x14ac:dyDescent="0.25">
      <c r="A7891">
        <f ca="1">27614.1804891127*((RANDBETWEEN(1587,2416)))</f>
        <v>49650296.519424692</v>
      </c>
      <c r="B7891">
        <v>223602030.13713717</v>
      </c>
    </row>
    <row r="7892" spans="1:2" x14ac:dyDescent="0.25">
      <c r="A7892">
        <f ca="1">32362.742026872*((RANDBETWEEN(1587,2416)))</f>
        <v>55728641.770273641</v>
      </c>
      <c r="B7892">
        <v>213700349.09846431</v>
      </c>
    </row>
    <row r="7893" spans="1:2" x14ac:dyDescent="0.25">
      <c r="A7893">
        <f ca="1">34381.8568701216*((RANDBETWEEN(1587,2416)))</f>
        <v>71239207.434891894</v>
      </c>
      <c r="B7893">
        <v>265215863.85759977</v>
      </c>
    </row>
    <row r="7894" spans="1:2" x14ac:dyDescent="0.25">
      <c r="A7894">
        <f ca="1">31449.9666695598*((RANDBETWEEN(1587,2416)))</f>
        <v>71705924.006596386</v>
      </c>
      <c r="B7894">
        <v>207662110.14076793</v>
      </c>
    </row>
    <row r="7895" spans="1:2" x14ac:dyDescent="0.25">
      <c r="A7895">
        <f ca="1">31752.1446976287*((RANDBETWEEN(1587,2416)))</f>
        <v>52137021.593506396</v>
      </c>
      <c r="B7895">
        <v>235778865.99744165</v>
      </c>
    </row>
    <row r="7896" spans="1:2" x14ac:dyDescent="0.25">
      <c r="A7896">
        <f ca="1">26949.9800440912*((RANDBETWEEN(1587,2416)))</f>
        <v>47000765.196895123</v>
      </c>
      <c r="B7896">
        <v>216271820.76161239</v>
      </c>
    </row>
    <row r="7897" spans="1:2" x14ac:dyDescent="0.25">
      <c r="A7897">
        <f ca="1">30203.3122125441*((RANDBETWEEN(1587,2416)))</f>
        <v>60013981.366325215</v>
      </c>
      <c r="B7897">
        <v>212217367.64965615</v>
      </c>
    </row>
    <row r="7898" spans="1:2" x14ac:dyDescent="0.25">
      <c r="A7898">
        <f ca="1">30956.5261117134*((RANDBETWEEN(1587,2416)))</f>
        <v>65875487.565726213</v>
      </c>
      <c r="B7898">
        <v>258425103.42100537</v>
      </c>
    </row>
    <row r="7899" spans="1:2" x14ac:dyDescent="0.25">
      <c r="A7899">
        <f ca="1">30270.5714027657*((RANDBETWEEN(1587,2416)))</f>
        <v>63961717.374043964</v>
      </c>
      <c r="B7899">
        <v>263239242.54074186</v>
      </c>
    </row>
    <row r="7900" spans="1:2" x14ac:dyDescent="0.25">
      <c r="A7900">
        <f ca="1">27328.5367912207*((RANDBETWEEN(1587,2416)))</f>
        <v>51623605.998615973</v>
      </c>
      <c r="B7900">
        <v>217067008.84647557</v>
      </c>
    </row>
    <row r="7901" spans="1:2" x14ac:dyDescent="0.25">
      <c r="A7901">
        <f ca="1">26065.2811150707*((RANDBETWEEN(1587,2416)))</f>
        <v>62947653.892895661</v>
      </c>
      <c r="B7901">
        <v>251135146.23800671</v>
      </c>
    </row>
    <row r="7902" spans="1:2" x14ac:dyDescent="0.25">
      <c r="A7902">
        <f ca="1">29168.6699882127*((RANDBETWEEN(1587,2416)))</f>
        <v>56062183.717344783</v>
      </c>
      <c r="B7902">
        <v>238431705.53068233</v>
      </c>
    </row>
    <row r="7903" spans="1:2" x14ac:dyDescent="0.25">
      <c r="A7903">
        <f ca="1">28816.6982993334*((RANDBETWEEN(1587,2416)))</f>
        <v>66220772.691868208</v>
      </c>
      <c r="B7903">
        <v>237904742.46560213</v>
      </c>
    </row>
    <row r="7904" spans="1:2" x14ac:dyDescent="0.25">
      <c r="A7904">
        <f ca="1">30343.3004412412*((RANDBETWEEN(1587,2416)))</f>
        <v>54678627.395116687</v>
      </c>
      <c r="B7904">
        <v>260816411.30305573</v>
      </c>
    </row>
    <row r="7905" spans="1:2" x14ac:dyDescent="0.25">
      <c r="A7905">
        <f ca="1">27280.2005755211*((RANDBETWEEN(1587,2416)))</f>
        <v>56606416.194206372</v>
      </c>
      <c r="B7905">
        <v>231212148.73679668</v>
      </c>
    </row>
    <row r="7906" spans="1:2" x14ac:dyDescent="0.25">
      <c r="A7906">
        <f ca="1">31642.6202342286*((RANDBETWEEN(1587,2416)))</f>
        <v>66101433.669303641</v>
      </c>
      <c r="B7906">
        <v>226363539.8029775</v>
      </c>
    </row>
    <row r="7907" spans="1:2" x14ac:dyDescent="0.25">
      <c r="A7907">
        <f ca="1">29920.6316492822*((RANDBETWEEN(1587,2416)))</f>
        <v>63012850.253388293</v>
      </c>
      <c r="B7907">
        <v>243047671.40218267</v>
      </c>
    </row>
    <row r="7908" spans="1:2" x14ac:dyDescent="0.25">
      <c r="A7908">
        <f ca="1">33929.5422493286*((RANDBETWEEN(1587,2416)))</f>
        <v>61548189.640282162</v>
      </c>
      <c r="B7908">
        <v>266048068.99898094</v>
      </c>
    </row>
    <row r="7909" spans="1:2" x14ac:dyDescent="0.25">
      <c r="A7909">
        <f ca="1">31213.2338212919*((RANDBETWEEN(1587,2416)))</f>
        <v>71790437.788971335</v>
      </c>
      <c r="B7909">
        <v>255590856.9351739</v>
      </c>
    </row>
    <row r="7910" spans="1:2" x14ac:dyDescent="0.25">
      <c r="A7910">
        <f ca="1">31389.8342696345*((RANDBETWEEN(1587,2416)))</f>
        <v>63438855.058931343</v>
      </c>
      <c r="B7910">
        <v>246874166.26524481</v>
      </c>
    </row>
    <row r="7911" spans="1:2" x14ac:dyDescent="0.25">
      <c r="A7911">
        <f ca="1">28662.4542871682*((RANDBETWEEN(1587,2416)))</f>
        <v>63573323.608939014</v>
      </c>
      <c r="B7911">
        <v>208139807.09483078</v>
      </c>
    </row>
    <row r="7912" spans="1:2" x14ac:dyDescent="0.25">
      <c r="A7912">
        <f ca="1">28936.1545259378*((RANDBETWEEN(1587,2416)))</f>
        <v>61923370.685506918</v>
      </c>
      <c r="B7912">
        <v>260349675.13086304</v>
      </c>
    </row>
    <row r="7913" spans="1:2" x14ac:dyDescent="0.25">
      <c r="A7913">
        <f ca="1">25772.9850870146*((RANDBETWEEN(1587,2416)))</f>
        <v>61262385.551833607</v>
      </c>
      <c r="B7913">
        <v>217584755.07129562</v>
      </c>
    </row>
    <row r="7914" spans="1:2" x14ac:dyDescent="0.25">
      <c r="A7914">
        <f ca="1">29538.8380476542*((RANDBETWEEN(1587,2416)))</f>
        <v>60790928.70207236</v>
      </c>
      <c r="B7914">
        <v>219170262.16573432</v>
      </c>
    </row>
    <row r="7915" spans="1:2" x14ac:dyDescent="0.25">
      <c r="A7915">
        <f ca="1">30286.2347925259*((RANDBETWEEN(1587,2416)))</f>
        <v>48881982.955136843</v>
      </c>
      <c r="B7915">
        <v>237943681.73755777</v>
      </c>
    </row>
    <row r="7916" spans="1:2" x14ac:dyDescent="0.25">
      <c r="A7916">
        <f ca="1">28813.8796290229*((RANDBETWEEN(1587,2416)))</f>
        <v>64024440.535688832</v>
      </c>
      <c r="B7916">
        <v>254051911.0218378</v>
      </c>
    </row>
    <row r="7917" spans="1:2" x14ac:dyDescent="0.25">
      <c r="A7917">
        <f ca="1">29631.1975034054*((RANDBETWEEN(1587,2416)))</f>
        <v>66492407.197641782</v>
      </c>
      <c r="B7917">
        <v>211789619.04770204</v>
      </c>
    </row>
    <row r="7918" spans="1:2" x14ac:dyDescent="0.25">
      <c r="A7918">
        <f ca="1">26610.2819919447*((RANDBETWEEN(1587,2416)))</f>
        <v>59473980.25199651</v>
      </c>
      <c r="B7918">
        <v>219984054.21671331</v>
      </c>
    </row>
    <row r="7919" spans="1:2" x14ac:dyDescent="0.25">
      <c r="A7919">
        <f ca="1">30278.9120317749*((RANDBETWEEN(1587,2416)))</f>
        <v>68400062.279779598</v>
      </c>
      <c r="B7919">
        <v>252791568.50342011</v>
      </c>
    </row>
    <row r="7920" spans="1:2" x14ac:dyDescent="0.25">
      <c r="A7920">
        <f ca="1">32050.1798642126*((RANDBETWEEN(1587,2416)))</f>
        <v>63843958.289511397</v>
      </c>
      <c r="B7920">
        <v>236786303.27536231</v>
      </c>
    </row>
    <row r="7921" spans="1:2" x14ac:dyDescent="0.25">
      <c r="A7921">
        <f ca="1">27905.2745510387*((RANDBETWEEN(1587,2416)))</f>
        <v>60666066.873958074</v>
      </c>
      <c r="B7921">
        <v>249898400.03093356</v>
      </c>
    </row>
    <row r="7922" spans="1:2" x14ac:dyDescent="0.25">
      <c r="A7922">
        <f ca="1">31648.1672940507*((RANDBETWEEN(1587,2416)))</f>
        <v>52820791.213770613</v>
      </c>
      <c r="B7922">
        <v>237472086.7942135</v>
      </c>
    </row>
    <row r="7923" spans="1:2" x14ac:dyDescent="0.25">
      <c r="A7923">
        <f ca="1">30602.7836398531*((RANDBETWEEN(1587,2416)))</f>
        <v>53707885.287942208</v>
      </c>
      <c r="B7923">
        <v>218824834.08874625</v>
      </c>
    </row>
    <row r="7924" spans="1:2" x14ac:dyDescent="0.25">
      <c r="A7924">
        <f ca="1">31400.1620869598*((RANDBETWEEN(1587,2416)))</f>
        <v>61104715.421223752</v>
      </c>
      <c r="B7924">
        <v>237411039.45765173</v>
      </c>
    </row>
    <row r="7925" spans="1:2" x14ac:dyDescent="0.25">
      <c r="A7925">
        <f ca="1">28330.2110668225*((RANDBETWEEN(1587,2416)))</f>
        <v>49492878.733738825</v>
      </c>
      <c r="B7925">
        <v>225951620.17101136</v>
      </c>
    </row>
    <row r="7926" spans="1:2" x14ac:dyDescent="0.25">
      <c r="A7926">
        <f ca="1">27557.8869161371*((RANDBETWEEN(1587,2416)))</f>
        <v>55694489.457513094</v>
      </c>
      <c r="B7926">
        <v>253279868.0421536</v>
      </c>
    </row>
    <row r="7927" spans="1:2" x14ac:dyDescent="0.25">
      <c r="A7927">
        <f ca="1">28012.5376885162*((RANDBETWEEN(1587,2416)))</f>
        <v>63532435.477554686</v>
      </c>
      <c r="B7927">
        <v>255591956.61729997</v>
      </c>
    </row>
    <row r="7928" spans="1:2" x14ac:dyDescent="0.25">
      <c r="A7928">
        <f ca="1">30272.2764917438*((RANDBETWEEN(1587,2416)))</f>
        <v>66084379.581476673</v>
      </c>
      <c r="B7928">
        <v>234534928.89228895</v>
      </c>
    </row>
    <row r="7929" spans="1:2" x14ac:dyDescent="0.25">
      <c r="A7929">
        <f ca="1">29934.9942020658*((RANDBETWEEN(1587,2416)))</f>
        <v>67772826.873476878</v>
      </c>
      <c r="B7929">
        <v>212509018.08717075</v>
      </c>
    </row>
    <row r="7930" spans="1:2" x14ac:dyDescent="0.25">
      <c r="A7930">
        <f ca="1">33095.4516394953*((RANDBETWEEN(1587,2416)))</f>
        <v>64006603.470783845</v>
      </c>
      <c r="B7930">
        <v>229679592.23206785</v>
      </c>
    </row>
    <row r="7931" spans="1:2" x14ac:dyDescent="0.25">
      <c r="A7931">
        <f ca="1">29706.0047981414*((RANDBETWEEN(1587,2416)))</f>
        <v>60392307.754621513</v>
      </c>
      <c r="B7931">
        <v>216492503.98243201</v>
      </c>
    </row>
    <row r="7932" spans="1:2" x14ac:dyDescent="0.25">
      <c r="A7932">
        <f ca="1">31697.4141748147*((RANDBETWEEN(1587,2416)))</f>
        <v>69258849.971970052</v>
      </c>
      <c r="B7932">
        <v>259275778.92733547</v>
      </c>
    </row>
    <row r="7933" spans="1:2" x14ac:dyDescent="0.25">
      <c r="A7933">
        <f ca="1">26086.2729768749*((RANDBETWEEN(1587,2416)))</f>
        <v>57676749.551870346</v>
      </c>
      <c r="B7933">
        <v>204101505.61725771</v>
      </c>
    </row>
    <row r="7934" spans="1:2" x14ac:dyDescent="0.25">
      <c r="A7934">
        <f ca="1">28539.995504187*((RANDBETWEEN(1587,2416)))</f>
        <v>57593710.927449465</v>
      </c>
      <c r="B7934">
        <v>207394147.50948042</v>
      </c>
    </row>
    <row r="7935" spans="1:2" x14ac:dyDescent="0.25">
      <c r="A7935">
        <f ca="1">28319.7840451431*((RANDBETWEEN(1587,2416)))</f>
        <v>62784961.228082202</v>
      </c>
      <c r="B7935">
        <v>226632656.02723697</v>
      </c>
    </row>
    <row r="7936" spans="1:2" x14ac:dyDescent="0.25">
      <c r="A7936">
        <f ca="1">32457.5629704731*((RANDBETWEEN(1587,2416)))</f>
        <v>70043420.890280947</v>
      </c>
      <c r="B7936">
        <v>211955607.4755004</v>
      </c>
    </row>
    <row r="7937" spans="1:2" x14ac:dyDescent="0.25">
      <c r="A7937">
        <f ca="1">26313.8487035586*((RANDBETWEEN(1587,2416)))</f>
        <v>45286133.618824363</v>
      </c>
      <c r="B7937">
        <v>266615815.87070885</v>
      </c>
    </row>
    <row r="7938" spans="1:2" x14ac:dyDescent="0.25">
      <c r="A7938">
        <f ca="1">28889.1336932683*((RANDBETWEEN(1587,2416)))</f>
        <v>51567103.642483912</v>
      </c>
      <c r="B7938">
        <v>259551635.1421895</v>
      </c>
    </row>
    <row r="7939" spans="1:2" x14ac:dyDescent="0.25">
      <c r="A7939">
        <f ca="1">32913.6846186836*((RANDBETWEEN(1587,2416)))</f>
        <v>57631861.767315045</v>
      </c>
      <c r="B7939">
        <v>236852537.20520526</v>
      </c>
    </row>
    <row r="7940" spans="1:2" x14ac:dyDescent="0.25">
      <c r="A7940">
        <f ca="1">27004.5723912312*((RANDBETWEEN(1587,2416)))</f>
        <v>42910265.529666372</v>
      </c>
      <c r="B7940">
        <v>246800113.48442531</v>
      </c>
    </row>
    <row r="7941" spans="1:2" x14ac:dyDescent="0.25">
      <c r="A7941">
        <f ca="1">32751.2187106977*((RANDBETWEEN(1587,2416)))</f>
        <v>71856173.851270825</v>
      </c>
      <c r="B7941">
        <v>244636312.24022162</v>
      </c>
    </row>
    <row r="7942" spans="1:2" x14ac:dyDescent="0.25">
      <c r="A7942">
        <f ca="1">26647.346540304*((RANDBETWEEN(1587,2416)))</f>
        <v>53268045.734067731</v>
      </c>
      <c r="B7942">
        <v>233242212.70489207</v>
      </c>
    </row>
    <row r="7943" spans="1:2" x14ac:dyDescent="0.25">
      <c r="A7943">
        <f ca="1">27139.8802311357*((RANDBETWEEN(1587,2416)))</f>
        <v>64701474.471027583</v>
      </c>
      <c r="B7943">
        <v>203864550.05430099</v>
      </c>
    </row>
    <row r="7944" spans="1:2" x14ac:dyDescent="0.25">
      <c r="A7944">
        <f ca="1">28916.0486619063*((RANDBETWEEN(1587,2416)))</f>
        <v>52829620.905302897</v>
      </c>
      <c r="B7944">
        <v>220225159.06368709</v>
      </c>
    </row>
    <row r="7945" spans="1:2" x14ac:dyDescent="0.25">
      <c r="A7945">
        <f ca="1">31639.6628132234*((RANDBETWEEN(1587,2416)))</f>
        <v>55116292.620635152</v>
      </c>
      <c r="B7945">
        <v>228411122.44837171</v>
      </c>
    </row>
    <row r="7946" spans="1:2" x14ac:dyDescent="0.25">
      <c r="A7946">
        <f ca="1">33264.0290803074*((RANDBETWEEN(1587,2416)))</f>
        <v>69122652.42887871</v>
      </c>
      <c r="B7946">
        <v>257329289.36683992</v>
      </c>
    </row>
    <row r="7947" spans="1:2" x14ac:dyDescent="0.25">
      <c r="A7947">
        <f ca="1">29834.912141008*((RANDBETWEEN(1587,2416)))</f>
        <v>57163691.662171327</v>
      </c>
      <c r="B7947">
        <v>257827408.76575643</v>
      </c>
    </row>
    <row r="7948" spans="1:2" x14ac:dyDescent="0.25">
      <c r="A7948">
        <f ca="1">30541.0711130579*((RANDBETWEEN(1587,2416)))</f>
        <v>49995733.412075788</v>
      </c>
      <c r="B7948">
        <v>224382046.83415267</v>
      </c>
    </row>
    <row r="7949" spans="1:2" x14ac:dyDescent="0.25">
      <c r="A7949">
        <f ca="1">33180.2147789559*((RANDBETWEEN(1587,2416)))</f>
        <v>57567672.641488425</v>
      </c>
      <c r="B7949">
        <v>260366139.47725928</v>
      </c>
    </row>
    <row r="7950" spans="1:2" x14ac:dyDescent="0.25">
      <c r="A7950">
        <f ca="1">31940.3217734665*((RANDBETWEEN(1587,2416)))</f>
        <v>66787212.828318484</v>
      </c>
      <c r="B7950">
        <v>252372437.2275514</v>
      </c>
    </row>
    <row r="7951" spans="1:2" x14ac:dyDescent="0.25">
      <c r="A7951">
        <f ca="1">32757.8293389729*((RANDBETWEEN(1587,2416)))</f>
        <v>78782579.560229719</v>
      </c>
      <c r="B7951">
        <v>212204591.84943178</v>
      </c>
    </row>
    <row r="7952" spans="1:2" x14ac:dyDescent="0.25">
      <c r="A7952">
        <f ca="1">27947.7419554471*((RANDBETWEEN(1587,2416)))</f>
        <v>45023812.290225327</v>
      </c>
      <c r="B7952">
        <v>209918697.60149583</v>
      </c>
    </row>
    <row r="7953" spans="1:2" x14ac:dyDescent="0.25">
      <c r="A7953">
        <f ca="1">27789.2780086399*((RANDBETWEEN(1587,2416)))</f>
        <v>51048903.701871566</v>
      </c>
      <c r="B7953">
        <v>221344144.10738316</v>
      </c>
    </row>
    <row r="7954" spans="1:2" x14ac:dyDescent="0.25">
      <c r="A7954">
        <f ca="1">30765.9933016538*((RANDBETWEEN(1587,2416)))</f>
        <v>57132449.561171062</v>
      </c>
      <c r="B7954">
        <v>260449801.86466494</v>
      </c>
    </row>
    <row r="7955" spans="1:2" x14ac:dyDescent="0.25">
      <c r="A7955">
        <f ca="1">29944.2197391376*((RANDBETWEEN(1587,2416)))</f>
        <v>50186512.282794565</v>
      </c>
      <c r="B7955">
        <v>257959233.77927208</v>
      </c>
    </row>
    <row r="7956" spans="1:2" x14ac:dyDescent="0.25">
      <c r="A7956">
        <f ca="1">31548.8723755371*((RANDBETWEEN(1587,2416)))</f>
        <v>67167549.287518442</v>
      </c>
      <c r="B7956">
        <v>248421005.96945655</v>
      </c>
    </row>
    <row r="7957" spans="1:2" x14ac:dyDescent="0.25">
      <c r="A7957">
        <f ca="1">29538.4011447273*((RANDBETWEEN(1587,2416)))</f>
        <v>53818966.885693215</v>
      </c>
      <c r="B7957">
        <v>214611693.77147424</v>
      </c>
    </row>
    <row r="7958" spans="1:2" x14ac:dyDescent="0.25">
      <c r="A7958">
        <f ca="1">26473.2874686105*((RANDBETWEEN(1587,2416)))</f>
        <v>45057535.271575041</v>
      </c>
      <c r="B7958">
        <v>227664079.16696665</v>
      </c>
    </row>
    <row r="7959" spans="1:2" x14ac:dyDescent="0.25">
      <c r="A7959">
        <f ca="1">30485.4164228626*((RANDBETWEEN(1587,2416)))</f>
        <v>58471028.699050426</v>
      </c>
      <c r="B7959">
        <v>253973238.23024213</v>
      </c>
    </row>
    <row r="7960" spans="1:2" x14ac:dyDescent="0.25">
      <c r="A7960">
        <f ca="1">32065.1736422156*((RANDBETWEEN(1587,2416)))</f>
        <v>67080343.259514987</v>
      </c>
      <c r="B7960">
        <v>245741934.80108321</v>
      </c>
    </row>
    <row r="7961" spans="1:2" x14ac:dyDescent="0.25">
      <c r="A7961">
        <f ca="1">27305.6287420459*((RANDBETWEEN(1587,2416)))</f>
        <v>54993536.286480367</v>
      </c>
      <c r="B7961">
        <v>249503957.50319332</v>
      </c>
    </row>
    <row r="7962" spans="1:2" x14ac:dyDescent="0.25">
      <c r="A7962">
        <f ca="1">29184.6163399292*((RANDBETWEEN(1587,2416)))</f>
        <v>62309155.885748811</v>
      </c>
      <c r="B7962">
        <v>261481847.51404795</v>
      </c>
    </row>
    <row r="7963" spans="1:2" x14ac:dyDescent="0.25">
      <c r="A7963">
        <f ca="1">30092.4983747194*((RANDBETWEEN(1587,2416)))</f>
        <v>57085469.416842714</v>
      </c>
      <c r="B7963">
        <v>231878689.25135213</v>
      </c>
    </row>
    <row r="7964" spans="1:2" x14ac:dyDescent="0.25">
      <c r="A7964">
        <f ca="1">29587.7015234542*((RANDBETWEEN(1587,2416)))</f>
        <v>47014857.720768787</v>
      </c>
      <c r="B7964">
        <v>264541108.86330873</v>
      </c>
    </row>
    <row r="7965" spans="1:2" x14ac:dyDescent="0.25">
      <c r="A7965">
        <f ca="1">34693.7270738395*((RANDBETWEEN(1587,2416)))</f>
        <v>69075210.604014501</v>
      </c>
      <c r="B7965">
        <v>265441910.11313444</v>
      </c>
    </row>
    <row r="7966" spans="1:2" x14ac:dyDescent="0.25">
      <c r="A7966">
        <f ca="1">29383.5943411322*((RANDBETWEEN(1587,2416)))</f>
        <v>61176643.418237261</v>
      </c>
      <c r="B7966">
        <v>251265490.37756956</v>
      </c>
    </row>
    <row r="7967" spans="1:2" x14ac:dyDescent="0.25">
      <c r="A7967">
        <f ca="1">31167.062937068*((RANDBETWEEN(1587,2416)))</f>
        <v>50023136.013994217</v>
      </c>
      <c r="B7967">
        <v>207501173.70515382</v>
      </c>
    </row>
    <row r="7968" spans="1:2" x14ac:dyDescent="0.25">
      <c r="A7968">
        <f ca="1">30567.040678116*((RANDBETWEEN(1587,2416)))</f>
        <v>71588009.268147603</v>
      </c>
      <c r="B7968">
        <v>215164915.03273299</v>
      </c>
    </row>
    <row r="7969" spans="1:2" x14ac:dyDescent="0.25">
      <c r="A7969">
        <f ca="1">30002.4309312139*((RANDBETWEEN(1587,2416)))</f>
        <v>56644589.59813188</v>
      </c>
      <c r="B7969">
        <v>245028897.89379454</v>
      </c>
    </row>
    <row r="7970" spans="1:2" x14ac:dyDescent="0.25">
      <c r="A7970">
        <f ca="1">25990.3502575095*((RANDBETWEEN(1587,2416)))</f>
        <v>53852005.733559653</v>
      </c>
      <c r="B7970">
        <v>236325852.06774411</v>
      </c>
    </row>
    <row r="7971" spans="1:2" x14ac:dyDescent="0.25">
      <c r="A7971">
        <f ca="1">27850.1427600609*((RANDBETWEEN(1587,2416)))</f>
        <v>58457449.653367788</v>
      </c>
      <c r="B7971">
        <v>232946648.72877732</v>
      </c>
    </row>
    <row r="7972" spans="1:2" x14ac:dyDescent="0.25">
      <c r="A7972">
        <f ca="1">30385.8688265371*((RANDBETWEEN(1587,2416)))</f>
        <v>70707916.759351864</v>
      </c>
      <c r="B7972">
        <v>262691763.58626157</v>
      </c>
    </row>
    <row r="7973" spans="1:2" x14ac:dyDescent="0.25">
      <c r="A7973">
        <f ca="1">31027.4462608937*((RANDBETWEEN(1587,2416)))</f>
        <v>62768523.785788022</v>
      </c>
      <c r="B7973">
        <v>262848399.520547</v>
      </c>
    </row>
    <row r="7974" spans="1:2" x14ac:dyDescent="0.25">
      <c r="A7974">
        <f ca="1">28352.3121092977*((RANDBETWEEN(1587,2416)))</f>
        <v>63282360.627952471</v>
      </c>
      <c r="B7974">
        <v>213986264.88012487</v>
      </c>
    </row>
    <row r="7975" spans="1:2" x14ac:dyDescent="0.25">
      <c r="A7975">
        <f ca="1">27350.2975660374*((RANDBETWEEN(1587,2416)))</f>
        <v>53743334.717263483</v>
      </c>
      <c r="B7975">
        <v>215385049.32132918</v>
      </c>
    </row>
    <row r="7976" spans="1:2" x14ac:dyDescent="0.25">
      <c r="A7976">
        <f ca="1">31526.651782289*((RANDBETWEEN(1587,2416)))</f>
        <v>51262335.7980019</v>
      </c>
      <c r="B7976">
        <v>248729715.16153449</v>
      </c>
    </row>
    <row r="7977" spans="1:2" x14ac:dyDescent="0.25">
      <c r="A7977">
        <f ca="1">29736.5736478263*((RANDBETWEEN(1587,2416)))</f>
        <v>52990574.240426548</v>
      </c>
      <c r="B7977">
        <v>219944322.08218449</v>
      </c>
    </row>
    <row r="7978" spans="1:2" x14ac:dyDescent="0.25">
      <c r="A7978">
        <f ca="1">30336.1228776735*((RANDBETWEEN(1587,2416)))</f>
        <v>64706950.098077558</v>
      </c>
      <c r="B7978">
        <v>246109012.91137475</v>
      </c>
    </row>
    <row r="7979" spans="1:2" x14ac:dyDescent="0.25">
      <c r="A7979">
        <f ca="1">33268.7421128417*((RANDBETWEEN(1587,2416)))</f>
        <v>71993557.932189375</v>
      </c>
      <c r="B7979">
        <v>209543263.32649285</v>
      </c>
    </row>
    <row r="7980" spans="1:2" x14ac:dyDescent="0.25">
      <c r="A7980">
        <f ca="1">28895.6214617968*((RANDBETWEEN(1587,2416)))</f>
        <v>56606522.443659998</v>
      </c>
      <c r="B7980">
        <v>221146771.9770394</v>
      </c>
    </row>
    <row r="7981" spans="1:2" x14ac:dyDescent="0.25">
      <c r="A7981">
        <f ca="1">30513.6843156167*((RANDBETWEEN(1587,2416)))</f>
        <v>71310480.24559629</v>
      </c>
      <c r="B7981">
        <v>250968508.95571333</v>
      </c>
    </row>
    <row r="7982" spans="1:2" x14ac:dyDescent="0.25">
      <c r="A7982">
        <f ca="1">25285.5775559011*((RANDBETWEEN(1587,2416)))</f>
        <v>40153497.158770964</v>
      </c>
      <c r="B7982">
        <v>233785993.28529364</v>
      </c>
    </row>
    <row r="7983" spans="1:2" x14ac:dyDescent="0.25">
      <c r="A7983">
        <f ca="1">29598.0294894159*((RANDBETWEEN(1587,2416)))</f>
        <v>66980340.734548196</v>
      </c>
      <c r="B7983">
        <v>255341226.96932831</v>
      </c>
    </row>
    <row r="7984" spans="1:2" x14ac:dyDescent="0.25">
      <c r="A7984">
        <f ca="1">28256.5963406373*((RANDBETWEEN(1587,2416)))</f>
        <v>49251247.421730764</v>
      </c>
      <c r="B7984">
        <v>259523590.09934863</v>
      </c>
    </row>
    <row r="7985" spans="1:2" x14ac:dyDescent="0.25">
      <c r="A7985">
        <f ca="1">30551.5355229702*((RANDBETWEEN(1587,2416)))</f>
        <v>72468242.260485396</v>
      </c>
      <c r="B7985">
        <v>263981636.14676565</v>
      </c>
    </row>
    <row r="7986" spans="1:2" x14ac:dyDescent="0.25">
      <c r="A7986">
        <f ca="1">27331.9676411758*((RANDBETWEEN(1587,2416)))</f>
        <v>44769762.99624601</v>
      </c>
      <c r="B7986">
        <v>206675236.88858598</v>
      </c>
    </row>
    <row r="7987" spans="1:2" x14ac:dyDescent="0.25">
      <c r="A7987">
        <f ca="1">28548.6452044816*((RANDBETWEEN(1587,2416)))</f>
        <v>53443063.822789542</v>
      </c>
      <c r="B7987">
        <v>241289421.31829488</v>
      </c>
    </row>
    <row r="7988" spans="1:2" x14ac:dyDescent="0.25">
      <c r="A7988">
        <f ca="1">28750.0029573828*((RANDBETWEEN(1587,2416)))</f>
        <v>54768755.633814201</v>
      </c>
      <c r="B7988">
        <v>234748861.78198436</v>
      </c>
    </row>
    <row r="7989" spans="1:2" x14ac:dyDescent="0.25">
      <c r="A7989">
        <f ca="1">30126.5814648743*((RANDBETWEEN(1587,2416)))</f>
        <v>70044301.905832842</v>
      </c>
      <c r="B7989">
        <v>257356854.10965812</v>
      </c>
    </row>
    <row r="7990" spans="1:2" x14ac:dyDescent="0.25">
      <c r="A7990">
        <f ca="1">27207.8755584711*((RANDBETWEEN(1587,2416)))</f>
        <v>47722613.729558334</v>
      </c>
      <c r="B7990">
        <v>259214745.13388652</v>
      </c>
    </row>
    <row r="7991" spans="1:2" x14ac:dyDescent="0.25">
      <c r="A7991">
        <f ca="1">30668.0861988534*((RANDBETWEEN(1587,2416)))</f>
        <v>55570572.192322291</v>
      </c>
      <c r="B7991">
        <v>239308062.44289321</v>
      </c>
    </row>
    <row r="7992" spans="1:2" x14ac:dyDescent="0.25">
      <c r="A7992">
        <f ca="1">28124.6824159896*((RANDBETWEEN(1587,2416)))</f>
        <v>65389886.617175713</v>
      </c>
      <c r="B7992">
        <v>216822588.41085255</v>
      </c>
    </row>
    <row r="7993" spans="1:2" x14ac:dyDescent="0.25">
      <c r="A7993">
        <f ca="1">30419.5491160356*((RANDBETWEEN(1587,2416)))</f>
        <v>73037337.427601695</v>
      </c>
      <c r="B7993">
        <v>206432873.63803482</v>
      </c>
    </row>
    <row r="7994" spans="1:2" x14ac:dyDescent="0.25">
      <c r="A7994">
        <f ca="1">30112.3279769473*((RANDBETWEEN(1587,2416)))</f>
        <v>72480373.440512195</v>
      </c>
      <c r="B7994">
        <v>220133561.32486385</v>
      </c>
    </row>
    <row r="7995" spans="1:2" x14ac:dyDescent="0.25">
      <c r="A7995">
        <f ca="1">30510.9459064354*((RANDBETWEEN(1587,2416)))</f>
        <v>50678681.15058922</v>
      </c>
      <c r="B7995">
        <v>267809380.51061019</v>
      </c>
    </row>
    <row r="7996" spans="1:2" x14ac:dyDescent="0.25">
      <c r="A7996">
        <f ca="1">31375.1872780848*((RANDBETWEEN(1587,2416)))</f>
        <v>71284425.495808557</v>
      </c>
      <c r="B7996">
        <v>211491660.524804</v>
      </c>
    </row>
    <row r="7997" spans="1:2" x14ac:dyDescent="0.25">
      <c r="A7997">
        <f ca="1">30306.1111062357*((RANDBETWEEN(1587,2416)))</f>
        <v>55884468.879898578</v>
      </c>
      <c r="B7997">
        <v>204986790.49232164</v>
      </c>
    </row>
    <row r="7998" spans="1:2" x14ac:dyDescent="0.25">
      <c r="A7998">
        <f ca="1">30732.8740913695*((RANDBETWEEN(1587,2416)))</f>
        <v>51877091.466231719</v>
      </c>
      <c r="B7998">
        <v>204344586.72661358</v>
      </c>
    </row>
    <row r="7999" spans="1:2" x14ac:dyDescent="0.25">
      <c r="A7999">
        <f ca="1">32453.3241702097*((RANDBETWEEN(1587,2416)))</f>
        <v>76362671.772503406</v>
      </c>
      <c r="B7999">
        <v>221937766.32540974</v>
      </c>
    </row>
    <row r="8000" spans="1:2" x14ac:dyDescent="0.25">
      <c r="A8000">
        <f ca="1">27456.4075331366*((RANDBETWEEN(1587,2416)))</f>
        <v>54802989.436140679</v>
      </c>
      <c r="B8000">
        <v>255059903.5436444</v>
      </c>
    </row>
    <row r="8001" spans="1:2" x14ac:dyDescent="0.25">
      <c r="A8001">
        <f ca="1">26805.2760500684*((RANDBETWEEN(1587,2416)))</f>
        <v>56183858.600943327</v>
      </c>
      <c r="B8001">
        <v>208242989.42712215</v>
      </c>
    </row>
    <row r="8002" spans="1:2" x14ac:dyDescent="0.25">
      <c r="A8002">
        <f ca="1">27710.1197404587*((RANDBETWEEN(1587,2416)))</f>
        <v>61904407.500184737</v>
      </c>
      <c r="B8002">
        <v>206244643.88533932</v>
      </c>
    </row>
    <row r="8003" spans="1:2" x14ac:dyDescent="0.25">
      <c r="A8003">
        <f ca="1">28715.3777738005*((RANDBETWEEN(1587,2416)))</f>
        <v>58780378.302969716</v>
      </c>
      <c r="B8003">
        <v>205997072.94483781</v>
      </c>
    </row>
    <row r="8004" spans="1:2" x14ac:dyDescent="0.25">
      <c r="A8004">
        <f ca="1">30814.9929344934*((RANDBETWEEN(1587,2416)))</f>
        <v>71614043.579762608</v>
      </c>
      <c r="B8004">
        <v>248004264.02088374</v>
      </c>
    </row>
    <row r="8005" spans="1:2" x14ac:dyDescent="0.25">
      <c r="A8005">
        <f ca="1">29300.6740321757*((RANDBETWEEN(1587,2416)))</f>
        <v>61941624.904019535</v>
      </c>
      <c r="B8005">
        <v>259546142.43827868</v>
      </c>
    </row>
    <row r="8006" spans="1:2" x14ac:dyDescent="0.25">
      <c r="A8006">
        <f ca="1">27197.8177020702*((RANDBETWEEN(1587,2416)))</f>
        <v>59155253.502002656</v>
      </c>
      <c r="B8006">
        <v>244189618.432991</v>
      </c>
    </row>
    <row r="8007" spans="1:2" x14ac:dyDescent="0.25">
      <c r="A8007">
        <f ca="1">30151.3122743577*((RANDBETWEEN(1587,2416)))</f>
        <v>68564084.111889333</v>
      </c>
      <c r="B8007">
        <v>235243971.87745577</v>
      </c>
    </row>
    <row r="8008" spans="1:2" x14ac:dyDescent="0.25">
      <c r="A8008">
        <f ca="1">26747.9806174405*((RANDBETWEEN(1587,2416)))</f>
        <v>54137912.769699618</v>
      </c>
      <c r="B8008">
        <v>242355164.66029853</v>
      </c>
    </row>
    <row r="8009" spans="1:2" x14ac:dyDescent="0.25">
      <c r="A8009">
        <f ca="1">27937.0636084297*((RANDBETWEEN(1587,2416)))</f>
        <v>64171435.108563036</v>
      </c>
      <c r="B8009">
        <v>208853142.02425969</v>
      </c>
    </row>
    <row r="8010" spans="1:2" x14ac:dyDescent="0.25">
      <c r="A8010">
        <f ca="1">32796.0982123934*((RANDBETWEEN(1587,2416)))</f>
        <v>68281476.478203133</v>
      </c>
      <c r="B8010">
        <v>256483717.27681759</v>
      </c>
    </row>
    <row r="8011" spans="1:2" x14ac:dyDescent="0.25">
      <c r="A8011">
        <f ca="1">25625.9977641837*((RANDBETWEEN(1587,2416)))</f>
        <v>44204846.143216923</v>
      </c>
      <c r="B8011">
        <v>227812766.87187478</v>
      </c>
    </row>
    <row r="8012" spans="1:2" x14ac:dyDescent="0.25">
      <c r="A8012">
        <f ca="1">26658.2364978959*((RANDBETWEEN(1587,2416)))</f>
        <v>52010219.407394871</v>
      </c>
      <c r="B8012">
        <v>250851138.69810736</v>
      </c>
    </row>
    <row r="8013" spans="1:2" x14ac:dyDescent="0.25">
      <c r="A8013">
        <f ca="1">29390.4194841735*((RANDBETWEEN(1587,2416)))</f>
        <v>46701376.560351737</v>
      </c>
      <c r="B8013">
        <v>204595245.05816594</v>
      </c>
    </row>
    <row r="8014" spans="1:2" x14ac:dyDescent="0.25">
      <c r="A8014">
        <f ca="1">28704.2519109642*((RANDBETWEEN(1587,2416)))</f>
        <v>46931451.874426536</v>
      </c>
      <c r="B8014">
        <v>227697677.94366467</v>
      </c>
    </row>
    <row r="8015" spans="1:2" x14ac:dyDescent="0.25">
      <c r="A8015">
        <f ca="1">28376.4323558697*((RANDBETWEEN(1587,2416)))</f>
        <v>66429228.145090923</v>
      </c>
      <c r="B8015">
        <v>247782328.56357348</v>
      </c>
    </row>
    <row r="8016" spans="1:2" x14ac:dyDescent="0.25">
      <c r="A8016">
        <f ca="1">27468.4732002743*((RANDBETWEEN(1587,2416)))</f>
        <v>58672658.75578583</v>
      </c>
      <c r="B8016">
        <v>239026191.48638463</v>
      </c>
    </row>
    <row r="8017" spans="1:2" x14ac:dyDescent="0.25">
      <c r="A8017">
        <f ca="1">31614.4600837972*((RANDBETWEEN(1587,2416)))</f>
        <v>67876245.799912661</v>
      </c>
      <c r="B8017">
        <v>265558446.24187246</v>
      </c>
    </row>
    <row r="8018" spans="1:2" x14ac:dyDescent="0.25">
      <c r="A8018">
        <f ca="1">31109.3321020165*((RANDBETWEEN(1587,2416)))</f>
        <v>67942781.310804114</v>
      </c>
      <c r="B8018">
        <v>264476600.20515034</v>
      </c>
    </row>
    <row r="8019" spans="1:2" x14ac:dyDescent="0.25">
      <c r="A8019">
        <f ca="1">30108.7419000716*((RANDBETWEEN(1587,2416)))</f>
        <v>49950402.812218741</v>
      </c>
      <c r="B8019">
        <v>253135504.13868287</v>
      </c>
    </row>
    <row r="8020" spans="1:2" x14ac:dyDescent="0.25">
      <c r="A8020">
        <f ca="1">30151.1239203716*((RANDBETWEEN(1587,2416)))</f>
        <v>65005823.172321163</v>
      </c>
      <c r="B8020">
        <v>230312701.90680808</v>
      </c>
    </row>
    <row r="8021" spans="1:2" x14ac:dyDescent="0.25">
      <c r="A8021">
        <f ca="1">33246.5986704003*((RANDBETWEEN(1587,2416)))</f>
        <v>69585131.017147735</v>
      </c>
      <c r="B8021">
        <v>240312302.02054459</v>
      </c>
    </row>
    <row r="8022" spans="1:2" x14ac:dyDescent="0.25">
      <c r="A8022">
        <f ca="1">31268.2392471261*((RANDBETWEEN(1587,2416)))</f>
        <v>69790709.999585494</v>
      </c>
      <c r="B8022">
        <v>242459559.44242021</v>
      </c>
    </row>
    <row r="8023" spans="1:2" x14ac:dyDescent="0.25">
      <c r="A8023">
        <f ca="1">30735.6314675046*((RANDBETWEEN(1587,2416)))</f>
        <v>55047515.958300762</v>
      </c>
      <c r="B8023">
        <v>243930666.67209494</v>
      </c>
    </row>
    <row r="8024" spans="1:2" x14ac:dyDescent="0.25">
      <c r="A8024">
        <f ca="1">29148.4051689387*((RANDBETWEEN(1587,2416)))</f>
        <v>51359489.907669969</v>
      </c>
      <c r="B8024">
        <v>221307924.20865053</v>
      </c>
    </row>
    <row r="8025" spans="1:2" x14ac:dyDescent="0.25">
      <c r="A8025">
        <f ca="1">31750.5550314858*((RANDBETWEEN(1587,2416)))</f>
        <v>52483667.467046008</v>
      </c>
      <c r="B8025">
        <v>265696623.8076151</v>
      </c>
    </row>
    <row r="8026" spans="1:2" x14ac:dyDescent="0.25">
      <c r="A8026">
        <f ca="1">27413.3666573222*((RANDBETWEEN(1587,2416)))</f>
        <v>63105570.045155615</v>
      </c>
      <c r="B8026">
        <v>229841302.28643084</v>
      </c>
    </row>
    <row r="8027" spans="1:2" x14ac:dyDescent="0.25">
      <c r="A8027">
        <f ca="1">27533.3993508435*((RANDBETWEEN(1587,2416)))</f>
        <v>60105410.782891303</v>
      </c>
      <c r="B8027">
        <v>243733486.08580905</v>
      </c>
    </row>
    <row r="8028" spans="1:2" x14ac:dyDescent="0.25">
      <c r="A8028">
        <f ca="1">27723.2760737841*((RANDBETWEEN(1587,2416)))</f>
        <v>51371230.564722024</v>
      </c>
      <c r="B8028">
        <v>260146173.15714741</v>
      </c>
    </row>
    <row r="8029" spans="1:2" x14ac:dyDescent="0.25">
      <c r="A8029">
        <f ca="1">26513.2939397831*((RANDBETWEEN(1587,2416)))</f>
        <v>51886516.240155503</v>
      </c>
      <c r="B8029">
        <v>212424706.96030751</v>
      </c>
    </row>
    <row r="8030" spans="1:2" x14ac:dyDescent="0.25">
      <c r="A8030">
        <f ca="1">33816.4245486154*((RANDBETWEEN(1587,2416)))</f>
        <v>73077293.449557886</v>
      </c>
      <c r="B8030">
        <v>210835472.03291965</v>
      </c>
    </row>
    <row r="8031" spans="1:2" x14ac:dyDescent="0.25">
      <c r="A8031">
        <f ca="1">30150.6232553701*((RANDBETWEEN(1587,2416)))</f>
        <v>54723381.208496697</v>
      </c>
      <c r="B8031">
        <v>226237870.52639374</v>
      </c>
    </row>
    <row r="8032" spans="1:2" x14ac:dyDescent="0.25">
      <c r="A8032">
        <f ca="1">27751.5784964041*((RANDBETWEEN(1587,2416)))</f>
        <v>65327215.780535191</v>
      </c>
      <c r="B8032">
        <v>226099975.27476022</v>
      </c>
    </row>
    <row r="8033" spans="1:2" x14ac:dyDescent="0.25">
      <c r="A8033">
        <f ca="1">27628.6710282793*((RANDBETWEEN(1587,2416)))</f>
        <v>48405431.641545273</v>
      </c>
      <c r="B8033">
        <v>250637609.86369836</v>
      </c>
    </row>
    <row r="8034" spans="1:2" x14ac:dyDescent="0.25">
      <c r="A8034">
        <f ca="1">29216.0050766934*((RANDBETWEEN(1587,2416)))</f>
        <v>60886154.579828992</v>
      </c>
      <c r="B8034">
        <v>243179682.12825656</v>
      </c>
    </row>
    <row r="8035" spans="1:2" x14ac:dyDescent="0.25">
      <c r="A8035">
        <f ca="1">30552.6204609408*((RANDBETWEEN(1587,2416)))</f>
        <v>67337975.495913565</v>
      </c>
      <c r="B8035">
        <v>228037991.48345816</v>
      </c>
    </row>
    <row r="8036" spans="1:2" x14ac:dyDescent="0.25">
      <c r="A8036">
        <f ca="1">27233.1406368557*((RANDBETWEEN(1587,2416)))</f>
        <v>45533811.144822761</v>
      </c>
      <c r="B8036">
        <v>219044034.06900799</v>
      </c>
    </row>
    <row r="8037" spans="1:2" x14ac:dyDescent="0.25">
      <c r="A8037">
        <f ca="1">28166.7392402462*((RANDBETWEEN(1587,2416)))</f>
        <v>62896328.723469831</v>
      </c>
      <c r="B8037">
        <v>248686103.85466754</v>
      </c>
    </row>
    <row r="8038" spans="1:2" x14ac:dyDescent="0.25">
      <c r="A8038">
        <f ca="1">32342.9963144848*((RANDBETWEEN(1587,2416)))</f>
        <v>58993625.27762036</v>
      </c>
      <c r="B8038">
        <v>256018076.60888094</v>
      </c>
    </row>
    <row r="8039" spans="1:2" x14ac:dyDescent="0.25">
      <c r="A8039">
        <f ca="1">27538.1764009243*((RANDBETWEEN(1587,2416)))</f>
        <v>44226311.299884453</v>
      </c>
      <c r="B8039">
        <v>207722468.87983793</v>
      </c>
    </row>
    <row r="8040" spans="1:2" x14ac:dyDescent="0.25">
      <c r="A8040">
        <f ca="1">31631.5362747183*((RANDBETWEEN(1587,2416)))</f>
        <v>55133767.726834029</v>
      </c>
      <c r="B8040">
        <v>228765090.32286158</v>
      </c>
    </row>
    <row r="8041" spans="1:2" x14ac:dyDescent="0.25">
      <c r="A8041">
        <f ca="1">29603.3064247624*((RANDBETWEEN(1587,2416)))</f>
        <v>64772034.457380138</v>
      </c>
      <c r="B8041">
        <v>212018894.36123312</v>
      </c>
    </row>
    <row r="8042" spans="1:2" x14ac:dyDescent="0.25">
      <c r="A8042">
        <f ca="1">32866.3905623276*((RANDBETWEEN(1587,2416)))</f>
        <v>79043669.302397907</v>
      </c>
      <c r="B8042">
        <v>205241906.67387193</v>
      </c>
    </row>
    <row r="8043" spans="1:2" x14ac:dyDescent="0.25">
      <c r="A8043">
        <f ca="1">26895.436352399*((RANDBETWEEN(1587,2416)))</f>
        <v>57341070.303314708</v>
      </c>
      <c r="B8043">
        <v>240814195.87842411</v>
      </c>
    </row>
    <row r="8044" spans="1:2" x14ac:dyDescent="0.25">
      <c r="A8044">
        <f ca="1">25127.9948857852*((RANDBETWEEN(1587,2416)))</f>
        <v>51261109.567001879</v>
      </c>
      <c r="B8044">
        <v>253918628.48937565</v>
      </c>
    </row>
    <row r="8045" spans="1:2" x14ac:dyDescent="0.25">
      <c r="A8045">
        <f ca="1">29927.2842062865*((RANDBETWEEN(1587,2416)))</f>
        <v>55335548.497423686</v>
      </c>
      <c r="B8045">
        <v>219156285.25448391</v>
      </c>
    </row>
    <row r="8046" spans="1:2" x14ac:dyDescent="0.25">
      <c r="A8046">
        <f ca="1">30926.4276102216*((RANDBETWEEN(1587,2416)))</f>
        <v>63244544.462903157</v>
      </c>
      <c r="B8046">
        <v>226701978.69755343</v>
      </c>
    </row>
    <row r="8047" spans="1:2" x14ac:dyDescent="0.25">
      <c r="A8047">
        <f ca="1">30160.6260851823*((RANDBETWEEN(1587,2416)))</f>
        <v>56400370.779290959</v>
      </c>
      <c r="B8047">
        <v>250106142.43442953</v>
      </c>
    </row>
    <row r="8048" spans="1:2" x14ac:dyDescent="0.25">
      <c r="A8048">
        <f ca="1">27160.6583505673*((RANDBETWEEN(1587,2416)))</f>
        <v>47721276.721946776</v>
      </c>
      <c r="B8048">
        <v>256561537.18162984</v>
      </c>
    </row>
    <row r="8049" spans="1:2" x14ac:dyDescent="0.25">
      <c r="A8049">
        <f ca="1">31688.5528383213*((RANDBETWEEN(1587,2416)))</f>
        <v>55866918.653960407</v>
      </c>
      <c r="B8049">
        <v>240438375.02041525</v>
      </c>
    </row>
    <row r="8050" spans="1:2" x14ac:dyDescent="0.25">
      <c r="A8050">
        <f ca="1">33311.4340986381*((RANDBETWEEN(1587,2416)))</f>
        <v>57129109.479164355</v>
      </c>
      <c r="B8050">
        <v>261699197.81083548</v>
      </c>
    </row>
    <row r="8051" spans="1:2" x14ac:dyDescent="0.25">
      <c r="A8051">
        <f ca="1">26547.7326884786*((RANDBETWEEN(1587,2416)))</f>
        <v>43724115.737924293</v>
      </c>
      <c r="B8051">
        <v>213664970.46714479</v>
      </c>
    </row>
    <row r="8052" spans="1:2" x14ac:dyDescent="0.25">
      <c r="A8052">
        <f ca="1">31841.0074584665*((RANDBETWEEN(1587,2416)))</f>
        <v>51518750.067798801</v>
      </c>
      <c r="B8052">
        <v>207727147.21993071</v>
      </c>
    </row>
    <row r="8053" spans="1:2" x14ac:dyDescent="0.25">
      <c r="A8053">
        <f ca="1">27909.9962512618*((RANDBETWEEN(1587,2416)))</f>
        <v>44516444.020762511</v>
      </c>
      <c r="B8053">
        <v>219475953.84559509</v>
      </c>
    </row>
    <row r="8054" spans="1:2" x14ac:dyDescent="0.25">
      <c r="A8054">
        <f ca="1">26582.883454905*((RANDBETWEEN(1587,2416)))</f>
        <v>53272098.443629608</v>
      </c>
      <c r="B8054">
        <v>243389802.18104407</v>
      </c>
    </row>
    <row r="8055" spans="1:2" x14ac:dyDescent="0.25">
      <c r="A8055">
        <f ca="1">29105.7445561956*((RANDBETWEEN(1587,2416)))</f>
        <v>60656371.655111715</v>
      </c>
      <c r="B8055">
        <v>207648247.36974025</v>
      </c>
    </row>
    <row r="8056" spans="1:2" x14ac:dyDescent="0.25">
      <c r="A8056">
        <f ca="1">26717.8102488858*((RANDBETWEEN(1587,2416)))</f>
        <v>56695193.348135583</v>
      </c>
      <c r="B8056">
        <v>237218200.05394253</v>
      </c>
    </row>
    <row r="8057" spans="1:2" x14ac:dyDescent="0.25">
      <c r="A8057">
        <f ca="1">28095.4674027168*((RANDBETWEEN(1587,2416)))</f>
        <v>54729970.500492401</v>
      </c>
      <c r="B8057">
        <v>231128158.54461843</v>
      </c>
    </row>
    <row r="8058" spans="1:2" x14ac:dyDescent="0.25">
      <c r="A8058">
        <f ca="1">32036.5862423318*((RANDBETWEEN(1587,2416)))</f>
        <v>56672721.062684968</v>
      </c>
      <c r="B8058">
        <v>251794429.12251005</v>
      </c>
    </row>
    <row r="8059" spans="1:2" x14ac:dyDescent="0.25">
      <c r="A8059">
        <f ca="1">27558.2895411642*((RANDBETWEEN(1587,2416)))</f>
        <v>63659648.840089343</v>
      </c>
      <c r="B8059">
        <v>239520303.21330622</v>
      </c>
    </row>
    <row r="8060" spans="1:2" x14ac:dyDescent="0.25">
      <c r="A8060">
        <f ca="1">31188.9263211004*((RANDBETWEEN(1587,2416)))</f>
        <v>72139986.580705196</v>
      </c>
      <c r="B8060">
        <v>228765701.59815058</v>
      </c>
    </row>
    <row r="8061" spans="1:2" x14ac:dyDescent="0.25">
      <c r="A8061">
        <f ca="1">26285.8527828594*((RANDBETWEEN(1587,2416)))</f>
        <v>49811691.023518503</v>
      </c>
      <c r="B8061">
        <v>241923829.23400414</v>
      </c>
    </row>
    <row r="8062" spans="1:2" x14ac:dyDescent="0.25">
      <c r="A8062">
        <f ca="1">29833.4349924294*((RANDBETWEEN(1587,2416)))</f>
        <v>59637036.549866296</v>
      </c>
      <c r="B8062">
        <v>258789937.46748337</v>
      </c>
    </row>
    <row r="8063" spans="1:2" x14ac:dyDescent="0.25">
      <c r="A8063">
        <f ca="1">26121.0645189241*((RANDBETWEEN(1587,2416)))</f>
        <v>54566903.780032411</v>
      </c>
      <c r="B8063">
        <v>214338497.33097672</v>
      </c>
    </row>
    <row r="8064" spans="1:2" x14ac:dyDescent="0.25">
      <c r="A8064">
        <f ca="1">26153.0464339003*((RANDBETWEEN(1587,2416)))</f>
        <v>53378367.771590561</v>
      </c>
      <c r="B8064">
        <v>254291731.41068825</v>
      </c>
    </row>
    <row r="8065" spans="1:2" x14ac:dyDescent="0.25">
      <c r="A8065">
        <f ca="1">31767.9387107579*((RANDBETWEEN(1587,2416)))</f>
        <v>53052457.64696569</v>
      </c>
      <c r="B8065">
        <v>231874299.54520532</v>
      </c>
    </row>
    <row r="8066" spans="1:2" x14ac:dyDescent="0.25">
      <c r="A8066">
        <f ca="1">32045.3103583038*((RANDBETWEEN(1587,2416)))</f>
        <v>69217870.373936132</v>
      </c>
      <c r="B8066">
        <v>216330224.39323911</v>
      </c>
    </row>
    <row r="8067" spans="1:2" x14ac:dyDescent="0.25">
      <c r="A8067">
        <f ca="1">28050.772966628*((RANDBETWEEN(1587,2416)))</f>
        <v>44909287.519571468</v>
      </c>
      <c r="B8067">
        <v>232006705.63458183</v>
      </c>
    </row>
    <row r="8068" spans="1:2" x14ac:dyDescent="0.25">
      <c r="A8068">
        <f ca="1">30763.8353860858*((RANDBETWEEN(1587,2416)))</f>
        <v>57128442.31196142</v>
      </c>
      <c r="B8068">
        <v>229220055.61862427</v>
      </c>
    </row>
    <row r="8069" spans="1:2" x14ac:dyDescent="0.25">
      <c r="A8069">
        <f ca="1">32509.9321806945*((RANDBETWEEN(1587,2416)))</f>
        <v>62386559.85475269</v>
      </c>
      <c r="B8069">
        <v>262412437.73549908</v>
      </c>
    </row>
    <row r="8070" spans="1:2" x14ac:dyDescent="0.25">
      <c r="A8070">
        <f ca="1">31411.2128423281*((RANDBETWEEN(1587,2416)))</f>
        <v>68696322.486171454</v>
      </c>
      <c r="B8070">
        <v>205967162.72582731</v>
      </c>
    </row>
    <row r="8071" spans="1:2" x14ac:dyDescent="0.25">
      <c r="A8071">
        <f ca="1">26932.2526873717*((RANDBETWEEN(1587,2416)))</f>
        <v>47804748.520084828</v>
      </c>
      <c r="B8071">
        <v>236675646.46362352</v>
      </c>
    </row>
    <row r="8072" spans="1:2" x14ac:dyDescent="0.25">
      <c r="A8072">
        <f ca="1">33186.0289576612*((RANDBETWEEN(1587,2416)))</f>
        <v>78451772.455911189</v>
      </c>
      <c r="B8072">
        <v>223740405.20678401</v>
      </c>
    </row>
    <row r="8073" spans="1:2" x14ac:dyDescent="0.25">
      <c r="A8073">
        <f ca="1">28755.3500510828*((RANDBETWEEN(1587,2416)))</f>
        <v>64785803.665089615</v>
      </c>
      <c r="B8073">
        <v>209697690.74291152</v>
      </c>
    </row>
    <row r="8074" spans="1:2" x14ac:dyDescent="0.25">
      <c r="A8074">
        <f ca="1">30009.3231842421*((RANDBETWEEN(1587,2416)))</f>
        <v>68031135.658676729</v>
      </c>
      <c r="B8074">
        <v>228699069.53503966</v>
      </c>
    </row>
    <row r="8075" spans="1:2" x14ac:dyDescent="0.25">
      <c r="A8075">
        <f ca="1">30787.2263548877*((RANDBETWEEN(1587,2416)))</f>
        <v>71087705.653435782</v>
      </c>
      <c r="B8075">
        <v>214986467.82784235</v>
      </c>
    </row>
    <row r="8076" spans="1:2" x14ac:dyDescent="0.25">
      <c r="A8076">
        <f ca="1">33357.3944977053*((RANDBETWEEN(1587,2416)))</f>
        <v>63879410.463105626</v>
      </c>
      <c r="B8076">
        <v>244705480.03436723</v>
      </c>
    </row>
    <row r="8077" spans="1:2" x14ac:dyDescent="0.25">
      <c r="A8077">
        <f ca="1">30375.7487568907*((RANDBETWEEN(1587,2416)))</f>
        <v>58594819.352042198</v>
      </c>
      <c r="B8077">
        <v>214490944.95268744</v>
      </c>
    </row>
    <row r="8078" spans="1:2" x14ac:dyDescent="0.25">
      <c r="A8078">
        <f ca="1">30175.5129179466*((RANDBETWEEN(1587,2416)))</f>
        <v>71697018.69304122</v>
      </c>
      <c r="B8078">
        <v>233581748.17548037</v>
      </c>
    </row>
    <row r="8079" spans="1:2" x14ac:dyDescent="0.25">
      <c r="A8079">
        <f ca="1">26517.9324932882*((RANDBETWEEN(1587,2416)))</f>
        <v>63033125.536545992</v>
      </c>
      <c r="B8079">
        <v>231991669.5964331</v>
      </c>
    </row>
    <row r="8080" spans="1:2" x14ac:dyDescent="0.25">
      <c r="A8080">
        <f ca="1">27306.811316825*((RANDBETWEEN(1587,2416)))</f>
        <v>64471381.519023754</v>
      </c>
      <c r="B8080">
        <v>205542909.52214572</v>
      </c>
    </row>
    <row r="8081" spans="1:2" x14ac:dyDescent="0.25">
      <c r="A8081">
        <f ca="1">27205.2159464667*((RANDBETWEEN(1587,2416)))</f>
        <v>50057597.341498718</v>
      </c>
      <c r="B8081">
        <v>241861503.29818833</v>
      </c>
    </row>
    <row r="8082" spans="1:2" x14ac:dyDescent="0.25">
      <c r="A8082">
        <f ca="1">28778.7040622581*((RANDBETWEEN(1587,2416)))</f>
        <v>54852209.942663953</v>
      </c>
      <c r="B8082">
        <v>250830872.28459501</v>
      </c>
    </row>
    <row r="8083" spans="1:2" x14ac:dyDescent="0.25">
      <c r="A8083">
        <f ca="1">26527.8566063718*((RANDBETWEEN(1587,2416)))</f>
        <v>44938189.091193907</v>
      </c>
      <c r="B8083">
        <v>233549636.99247274</v>
      </c>
    </row>
    <row r="8084" spans="1:2" x14ac:dyDescent="0.25">
      <c r="A8084">
        <f ca="1">32567.315457931*((RANDBETWEEN(1587,2416)))</f>
        <v>65720842.594104707</v>
      </c>
      <c r="B8084">
        <v>265820871.6157932</v>
      </c>
    </row>
    <row r="8085" spans="1:2" x14ac:dyDescent="0.25">
      <c r="A8085">
        <f ca="1">29509.5342982412*((RANDBETWEEN(1587,2416)))</f>
        <v>54356562.177360274</v>
      </c>
      <c r="B8085">
        <v>251830473.65455955</v>
      </c>
    </row>
    <row r="8086" spans="1:2" x14ac:dyDescent="0.25">
      <c r="A8086">
        <f ca="1">31311.7988616534*((RANDBETWEEN(1587,2416)))</f>
        <v>75367499.859999761</v>
      </c>
      <c r="B8086">
        <v>203761175.19689256</v>
      </c>
    </row>
    <row r="8087" spans="1:2" x14ac:dyDescent="0.25">
      <c r="A8087">
        <f ca="1">29288.5080402029*((RANDBETWEEN(1587,2416)))</f>
        <v>60978673.739702359</v>
      </c>
      <c r="B8087">
        <v>264286946.02454308</v>
      </c>
    </row>
    <row r="8088" spans="1:2" x14ac:dyDescent="0.25">
      <c r="A8088">
        <f ca="1">30555.6658369878*((RANDBETWEEN(1587,2416)))</f>
        <v>48980732.336691372</v>
      </c>
      <c r="B8088">
        <v>252447920.59780383</v>
      </c>
    </row>
    <row r="8089" spans="1:2" x14ac:dyDescent="0.25">
      <c r="A8089">
        <f ca="1">26296.4333265458*((RANDBETWEEN(1587,2416)))</f>
        <v>62033286.217321657</v>
      </c>
      <c r="B8089">
        <v>240917437.88628832</v>
      </c>
    </row>
    <row r="8090" spans="1:2" x14ac:dyDescent="0.25">
      <c r="A8090">
        <f ca="1">29017.8263282535*((RANDBETWEEN(1587,2416)))</f>
        <v>62533415.737386398</v>
      </c>
      <c r="B8090">
        <v>239381502.69390303</v>
      </c>
    </row>
    <row r="8091" spans="1:2" x14ac:dyDescent="0.25">
      <c r="A8091">
        <f ca="1">27917.1918846711*((RANDBETWEEN(1587,2416)))</f>
        <v>60831561.116698422</v>
      </c>
      <c r="B8091">
        <v>203716304.41540581</v>
      </c>
    </row>
    <row r="8092" spans="1:2" x14ac:dyDescent="0.25">
      <c r="A8092">
        <f ca="1">28013.279186925*((RANDBETWEEN(1587,2416)))</f>
        <v>53197217.175970525</v>
      </c>
      <c r="B8092">
        <v>232312365.30489212</v>
      </c>
    </row>
    <row r="8093" spans="1:2" x14ac:dyDescent="0.25">
      <c r="A8093">
        <f ca="1">28494.2712721865*((RANDBETWEEN(1587,2416)))</f>
        <v>58042830.581443869</v>
      </c>
      <c r="B8093">
        <v>239019300.64135134</v>
      </c>
    </row>
    <row r="8094" spans="1:2" x14ac:dyDescent="0.25">
      <c r="A8094">
        <f ca="1">26695.8794310093*((RANDBETWEEN(1587,2416)))</f>
        <v>61186955.655873291</v>
      </c>
      <c r="B8094">
        <v>214934571.60886371</v>
      </c>
    </row>
    <row r="8095" spans="1:2" x14ac:dyDescent="0.25">
      <c r="A8095">
        <f ca="1">30778.5195971528*((RANDBETWEEN(1587,2416)))</f>
        <v>51800248.482008077</v>
      </c>
      <c r="B8095">
        <v>231554264.23811093</v>
      </c>
    </row>
    <row r="8096" spans="1:2" x14ac:dyDescent="0.25">
      <c r="A8096">
        <f ca="1">32189.4729917225*((RANDBETWEEN(1587,2416)))</f>
        <v>65473388.065163486</v>
      </c>
      <c r="B8096">
        <v>258348105.05086172</v>
      </c>
    </row>
    <row r="8097" spans="1:2" x14ac:dyDescent="0.25">
      <c r="A8097">
        <f ca="1">32948.1593657278*((RANDBETWEEN(1587,2416)))</f>
        <v>59570272.133235835</v>
      </c>
      <c r="B8097">
        <v>263567688.30212939</v>
      </c>
    </row>
    <row r="8098" spans="1:2" x14ac:dyDescent="0.25">
      <c r="A8098">
        <f ca="1">30177.4989610428*((RANDBETWEEN(1587,2416)))</f>
        <v>54802338.113253675</v>
      </c>
      <c r="B8098">
        <v>265740968.33859706</v>
      </c>
    </row>
    <row r="8099" spans="1:2" x14ac:dyDescent="0.25">
      <c r="A8099">
        <f ca="1">27197.8331036244*((RANDBETWEEN(1587,2416)))</f>
        <v>62826994.46937225</v>
      </c>
      <c r="B8099">
        <v>215888073.23698798</v>
      </c>
    </row>
    <row r="8100" spans="1:2" x14ac:dyDescent="0.25">
      <c r="A8100">
        <f ca="1">31914.2092105672*((RANDBETWEEN(1587,2416)))</f>
        <v>62679506.889554009</v>
      </c>
      <c r="B8100">
        <v>211545974.55596575</v>
      </c>
    </row>
    <row r="8101" spans="1:2" x14ac:dyDescent="0.25">
      <c r="A8101">
        <f ca="1">26480.4503769587*((RANDBETWEEN(1587,2416)))</f>
        <v>57118331.463099919</v>
      </c>
      <c r="B8101">
        <v>208398111.69518307</v>
      </c>
    </row>
    <row r="8102" spans="1:2" x14ac:dyDescent="0.25">
      <c r="A8102">
        <f ca="1">26694.9945927415*((RANDBETWEEN(1587,2416)))</f>
        <v>48211160.234491237</v>
      </c>
      <c r="B8102">
        <v>208810934.59356204</v>
      </c>
    </row>
    <row r="8103" spans="1:2" x14ac:dyDescent="0.25">
      <c r="A8103">
        <f ca="1">30352.8133063006*((RANDBETWEEN(1587,2416)))</f>
        <v>73028868.814959273</v>
      </c>
      <c r="B8103">
        <v>241761027.72710925</v>
      </c>
    </row>
    <row r="8104" spans="1:2" x14ac:dyDescent="0.25">
      <c r="A8104">
        <f ca="1">31686.0351429177*((RANDBETWEEN(1587,2416)))</f>
        <v>63657244.602121636</v>
      </c>
      <c r="B8104">
        <v>260295616.05828393</v>
      </c>
    </row>
    <row r="8105" spans="1:2" x14ac:dyDescent="0.25">
      <c r="A8105">
        <f ca="1">30987.6771398382*((RANDBETWEEN(1587,2416)))</f>
        <v>57296215.031560898</v>
      </c>
      <c r="B8105">
        <v>257715236.79516903</v>
      </c>
    </row>
    <row r="8106" spans="1:2" x14ac:dyDescent="0.25">
      <c r="A8106">
        <f ca="1">29849.4125231307*((RANDBETWEEN(1587,2416)))</f>
        <v>67489521.714798614</v>
      </c>
      <c r="B8106">
        <v>213144623.57062864</v>
      </c>
    </row>
    <row r="8107" spans="1:2" x14ac:dyDescent="0.25">
      <c r="A8107">
        <f ca="1">27962.0746510674*((RANDBETWEEN(1587,2416)))</f>
        <v>52540738.269355729</v>
      </c>
      <c r="B8107">
        <v>218957337.23981923</v>
      </c>
    </row>
    <row r="8108" spans="1:2" x14ac:dyDescent="0.25">
      <c r="A8108">
        <f ca="1">26667.7935083933*((RANDBETWEEN(1587,2416)))</f>
        <v>58855820.273023978</v>
      </c>
      <c r="B8108">
        <v>209507550.51577008</v>
      </c>
    </row>
    <row r="8109" spans="1:2" x14ac:dyDescent="0.25">
      <c r="A8109">
        <f ca="1">30312.6516318848*((RANDBETWEEN(1587,2416)))</f>
        <v>53986832.556386881</v>
      </c>
      <c r="B8109">
        <v>237389029.737885</v>
      </c>
    </row>
    <row r="8110" spans="1:2" x14ac:dyDescent="0.25">
      <c r="A8110">
        <f ca="1">30260.4989223674*((RANDBETWEEN(1587,2416)))</f>
        <v>63123400.752058364</v>
      </c>
      <c r="B8110">
        <v>266076978.02859569</v>
      </c>
    </row>
    <row r="8111" spans="1:2" x14ac:dyDescent="0.25">
      <c r="A8111">
        <f ca="1">27297.8162618125*((RANDBETWEEN(1587,2416)))</f>
        <v>65542056.844611816</v>
      </c>
      <c r="B8111">
        <v>211492440.50031501</v>
      </c>
    </row>
    <row r="8112" spans="1:2" x14ac:dyDescent="0.25">
      <c r="A8112">
        <f ca="1">27575.2753910342*((RANDBETWEEN(1587,2416)))</f>
        <v>66318537.315437302</v>
      </c>
      <c r="B8112">
        <v>210803642.54486632</v>
      </c>
    </row>
    <row r="8113" spans="1:2" x14ac:dyDescent="0.25">
      <c r="A8113">
        <f ca="1">26963.1163357912*((RANDBETWEEN(1587,2416)))</f>
        <v>53090376.065172896</v>
      </c>
      <c r="B8113">
        <v>223932849.64701873</v>
      </c>
    </row>
    <row r="8114" spans="1:2" x14ac:dyDescent="0.25">
      <c r="A8114">
        <f ca="1">25495.0226583952*((RANDBETWEEN(1587,2416)))</f>
        <v>45559605.490552314</v>
      </c>
      <c r="B8114">
        <v>219762788.21480834</v>
      </c>
    </row>
    <row r="8115" spans="1:2" x14ac:dyDescent="0.25">
      <c r="A8115">
        <f ca="1">31939.5482996627*((RANDBETWEEN(1587,2416)))</f>
        <v>62473756.474140294</v>
      </c>
      <c r="B8115">
        <v>265858390.10861784</v>
      </c>
    </row>
    <row r="8116" spans="1:2" x14ac:dyDescent="0.25">
      <c r="A8116">
        <f ca="1">27333.3870542853*((RANDBETWEEN(1587,2416)))</f>
        <v>55869443.138959199</v>
      </c>
      <c r="B8116">
        <v>228428895.9912928</v>
      </c>
    </row>
    <row r="8117" spans="1:2" x14ac:dyDescent="0.25">
      <c r="A8117">
        <f ca="1">26596.4254004849*((RANDBETWEEN(1587,2416)))</f>
        <v>46969287.257256344</v>
      </c>
      <c r="B8117">
        <v>244586992.14787382</v>
      </c>
    </row>
    <row r="8118" spans="1:2" x14ac:dyDescent="0.25">
      <c r="A8118">
        <f ca="1">27032.6605618015*((RANDBETWEEN(1587,2416)))</f>
        <v>52794786.077198237</v>
      </c>
      <c r="B8118">
        <v>227548810.70006979</v>
      </c>
    </row>
    <row r="8119" spans="1:2" x14ac:dyDescent="0.25">
      <c r="A8119">
        <f ca="1">31334.4654639922*((RANDBETWEEN(1587,2416)))</f>
        <v>73134642.392957881</v>
      </c>
      <c r="B8119">
        <v>208985583.56601617</v>
      </c>
    </row>
    <row r="8120" spans="1:2" x14ac:dyDescent="0.25">
      <c r="A8120">
        <f ca="1">31648.1131225867*((RANDBETWEEN(1587,2416)))</f>
        <v>58960434.747378975</v>
      </c>
      <c r="B8120">
        <v>205475319.55652708</v>
      </c>
    </row>
    <row r="8121" spans="1:2" x14ac:dyDescent="0.25">
      <c r="A8121">
        <f ca="1">26659.3237675169*((RANDBETWEEN(1587,2416)))</f>
        <v>53478603.47763887</v>
      </c>
      <c r="B8121">
        <v>238840340.30187035</v>
      </c>
    </row>
    <row r="8122" spans="1:2" x14ac:dyDescent="0.25">
      <c r="A8122">
        <f ca="1">31545.4621746417*((RANDBETWEEN(1587,2416)))</f>
        <v>75172836.362171203</v>
      </c>
      <c r="B8122">
        <v>252656001.10421887</v>
      </c>
    </row>
    <row r="8123" spans="1:2" x14ac:dyDescent="0.25">
      <c r="A8123">
        <f ca="1">26811.0237179172*((RANDBETWEEN(1587,2416)))</f>
        <v>45176574.964690559</v>
      </c>
      <c r="B8123">
        <v>265860904.1173183</v>
      </c>
    </row>
    <row r="8124" spans="1:2" x14ac:dyDescent="0.25">
      <c r="A8124">
        <f ca="1">31063.950559048*((RANDBETWEEN(1587,2416)))</f>
        <v>59642785.073372237</v>
      </c>
      <c r="B8124">
        <v>208829464.24743468</v>
      </c>
    </row>
    <row r="8125" spans="1:2" x14ac:dyDescent="0.25">
      <c r="A8125">
        <f ca="1">29251.806382525*((RANDBETWEEN(1587,2416)))</f>
        <v>51249164.782183796</v>
      </c>
      <c r="B8125">
        <v>250678717.41031033</v>
      </c>
    </row>
    <row r="8126" spans="1:2" x14ac:dyDescent="0.25">
      <c r="A8126">
        <f ca="1">27233.4993644467*((RANDBETWEEN(1587,2416)))</f>
        <v>54140196.736519985</v>
      </c>
      <c r="B8126">
        <v>211028554.78022724</v>
      </c>
    </row>
    <row r="8127" spans="1:2" x14ac:dyDescent="0.25">
      <c r="A8127">
        <f ca="1">31261.8072584806*((RANDBETWEEN(1587,2416)))</f>
        <v>65712318.857326292</v>
      </c>
      <c r="B8127">
        <v>226766120.11547855</v>
      </c>
    </row>
    <row r="8128" spans="1:2" x14ac:dyDescent="0.25">
      <c r="A8128">
        <f ca="1">32848.6191785961*((RANDBETWEEN(1587,2416)))</f>
        <v>74533516.916234523</v>
      </c>
      <c r="B8128">
        <v>250436958.92512822</v>
      </c>
    </row>
    <row r="8129" spans="1:2" x14ac:dyDescent="0.25">
      <c r="A8129">
        <f ca="1">27663.9482904217*((RANDBETWEEN(1587,2416)))</f>
        <v>62686506.826095551</v>
      </c>
      <c r="B8129">
        <v>232554275.77393082</v>
      </c>
    </row>
    <row r="8130" spans="1:2" x14ac:dyDescent="0.25">
      <c r="A8130">
        <f ca="1">29162.737616238*((RANDBETWEEN(1587,2416)))</f>
        <v>54650970.292829938</v>
      </c>
      <c r="B8130">
        <v>259360994.21933573</v>
      </c>
    </row>
    <row r="8131" spans="1:2" x14ac:dyDescent="0.25">
      <c r="A8131">
        <f ca="1">31075.019280728*((RANDBETWEEN(1587,2416)))</f>
        <v>50683356.446867406</v>
      </c>
      <c r="B8131">
        <v>214971496.51258758</v>
      </c>
    </row>
    <row r="8132" spans="1:2" x14ac:dyDescent="0.25">
      <c r="A8132">
        <f ca="1">28564.6699063474*((RANDBETWEEN(1587,2416)))</f>
        <v>62927967.803683393</v>
      </c>
      <c r="B8132">
        <v>210000752.32565218</v>
      </c>
    </row>
    <row r="8133" spans="1:2" x14ac:dyDescent="0.25">
      <c r="A8133">
        <f ca="1">33620.021013286*((RANDBETWEEN(1587,2416)))</f>
        <v>81125110.705059186</v>
      </c>
      <c r="B8133">
        <v>219386911.43682423</v>
      </c>
    </row>
    <row r="8134" spans="1:2" x14ac:dyDescent="0.25">
      <c r="A8134">
        <f ca="1">29547.4866239634*((RANDBETWEEN(1587,2416)))</f>
        <v>64088498.487376526</v>
      </c>
      <c r="B8134">
        <v>237692320.19872576</v>
      </c>
    </row>
    <row r="8135" spans="1:2" x14ac:dyDescent="0.25">
      <c r="A8135">
        <f ca="1">27760.2569581617*((RANDBETWEEN(1587,2416)))</f>
        <v>56408842.138984524</v>
      </c>
      <c r="B8135">
        <v>204055944.20267758</v>
      </c>
    </row>
    <row r="8136" spans="1:2" x14ac:dyDescent="0.25">
      <c r="A8136">
        <f ca="1">30271.3703470902*((RANDBETWEEN(1587,2416)))</f>
        <v>50462374.368599348</v>
      </c>
      <c r="B8136">
        <v>232238950.64254642</v>
      </c>
    </row>
    <row r="8137" spans="1:2" x14ac:dyDescent="0.25">
      <c r="A8137">
        <f ca="1">32353.956030424*((RANDBETWEEN(1587,2416)))</f>
        <v>57040024.481637523</v>
      </c>
      <c r="B8137">
        <v>230908444.7464228</v>
      </c>
    </row>
    <row r="8138" spans="1:2" x14ac:dyDescent="0.25">
      <c r="A8138">
        <f ca="1">29812.0323704665*((RANDBETWEEN(1587,2416)))</f>
        <v>56523613.374404572</v>
      </c>
      <c r="B8138">
        <v>206384746.49835446</v>
      </c>
    </row>
    <row r="8139" spans="1:2" x14ac:dyDescent="0.25">
      <c r="A8139">
        <f ca="1">31452.2887224423*((RANDBETWEEN(1587,2416)))</f>
        <v>63911050.684002824</v>
      </c>
      <c r="B8139">
        <v>208032335.12223929</v>
      </c>
    </row>
    <row r="8140" spans="1:2" x14ac:dyDescent="0.25">
      <c r="A8140">
        <f ca="1">31419.489819378*((RANDBETWEEN(1587,2416)))</f>
        <v>61676458.515438959</v>
      </c>
      <c r="B8140">
        <v>262352765.94178843</v>
      </c>
    </row>
    <row r="8141" spans="1:2" x14ac:dyDescent="0.25">
      <c r="A8141">
        <f ca="1">31646.1775130402*((RANDBETWEEN(1587,2416)))</f>
        <v>58387197.511559151</v>
      </c>
      <c r="B8141">
        <v>251805275.02800703</v>
      </c>
    </row>
    <row r="8142" spans="1:2" x14ac:dyDescent="0.25">
      <c r="A8142">
        <f ca="1">31388.561130907*((RANDBETWEEN(1587,2416)))</f>
        <v>62337682.405981295</v>
      </c>
      <c r="B8142">
        <v>261889352.5472424</v>
      </c>
    </row>
    <row r="8143" spans="1:2" x14ac:dyDescent="0.25">
      <c r="A8143">
        <f ca="1">30688.2113968759*((RANDBETWEEN(1587,2416)))</f>
        <v>62389133.769848704</v>
      </c>
      <c r="B8143">
        <v>259639975.74089244</v>
      </c>
    </row>
    <row r="8144" spans="1:2" x14ac:dyDescent="0.25">
      <c r="A8144">
        <f ca="1">28908.3544003494*((RANDBETWEEN(1587,2416)))</f>
        <v>65593056.134392731</v>
      </c>
      <c r="B8144">
        <v>237799048.26819992</v>
      </c>
    </row>
    <row r="8145" spans="1:2" x14ac:dyDescent="0.25">
      <c r="A8145">
        <f ca="1">28689.6873199766*((RANDBETWEEN(1587,2416)))</f>
        <v>62486138.982909009</v>
      </c>
      <c r="B8145">
        <v>260806509.47059962</v>
      </c>
    </row>
    <row r="8146" spans="1:2" x14ac:dyDescent="0.25">
      <c r="A8146">
        <f ca="1">30202.840857914*((RANDBETWEEN(1587,2416)))</f>
        <v>65207933.412236229</v>
      </c>
      <c r="B8146">
        <v>242685317.33277163</v>
      </c>
    </row>
    <row r="8147" spans="1:2" x14ac:dyDescent="0.25">
      <c r="A8147">
        <f ca="1">32721.5050117866*((RANDBETWEEN(1587,2416)))</f>
        <v>64035985.308066361</v>
      </c>
      <c r="B8147">
        <v>256330701.84173623</v>
      </c>
    </row>
    <row r="8148" spans="1:2" x14ac:dyDescent="0.25">
      <c r="A8148">
        <f ca="1">32793.8568004946*((RANDBETWEEN(1587,2416)))</f>
        <v>74179704.082718879</v>
      </c>
      <c r="B8148">
        <v>209907096.76713151</v>
      </c>
    </row>
    <row r="8149" spans="1:2" x14ac:dyDescent="0.25">
      <c r="A8149">
        <f ca="1">32158.9188673102*((RANDBETWEEN(1587,2416)))</f>
        <v>68820086.376043737</v>
      </c>
      <c r="B8149">
        <v>221531662.6237734</v>
      </c>
    </row>
    <row r="8150" spans="1:2" x14ac:dyDescent="0.25">
      <c r="A8150">
        <f ca="1">28227.5486658748*((RANDBETWEEN(1587,2416)))</f>
        <v>52277420.129200064</v>
      </c>
      <c r="B8150">
        <v>213420847.78913775</v>
      </c>
    </row>
    <row r="8151" spans="1:2" x14ac:dyDescent="0.25">
      <c r="A8151">
        <f ca="1">31149.5733627619*((RANDBETWEEN(1587,2416)))</f>
        <v>62392595.445612133</v>
      </c>
      <c r="B8151">
        <v>259576404.65495923</v>
      </c>
    </row>
    <row r="8152" spans="1:2" x14ac:dyDescent="0.25">
      <c r="A8152">
        <f ca="1">31337.7151101603*((RANDBETWEEN(1587,2416)))</f>
        <v>58350825.535118461</v>
      </c>
      <c r="B8152">
        <v>245910552.32758391</v>
      </c>
    </row>
    <row r="8153" spans="1:2" x14ac:dyDescent="0.25">
      <c r="A8153">
        <f ca="1">32191.7747789412*((RANDBETWEEN(1587,2416)))</f>
        <v>75554095.406174928</v>
      </c>
      <c r="B8153">
        <v>208427120.60667899</v>
      </c>
    </row>
    <row r="8154" spans="1:2" x14ac:dyDescent="0.25">
      <c r="A8154">
        <f ca="1">31117.6718045179*((RANDBETWEEN(1587,2416)))</f>
        <v>72815352.022571906</v>
      </c>
      <c r="B8154">
        <v>209414299.52424324</v>
      </c>
    </row>
    <row r="8155" spans="1:2" x14ac:dyDescent="0.25">
      <c r="A8155">
        <f ca="1">34047.8991474349*((RANDBETWEEN(1587,2416)))</f>
        <v>73202983.16698508</v>
      </c>
      <c r="B8155">
        <v>236913032.87858295</v>
      </c>
    </row>
    <row r="8156" spans="1:2" x14ac:dyDescent="0.25">
      <c r="A8156">
        <f ca="1">31063.3651398559*((RANDBETWEEN(1587,2416)))</f>
        <v>73806555.572297603</v>
      </c>
      <c r="B8156">
        <v>214716625.51428938</v>
      </c>
    </row>
    <row r="8157" spans="1:2" x14ac:dyDescent="0.25">
      <c r="A8157">
        <f ca="1">27563.7090254419*((RANDBETWEEN(1587,2416)))</f>
        <v>60667723.564997531</v>
      </c>
      <c r="B8157">
        <v>254729948.97835606</v>
      </c>
    </row>
    <row r="8158" spans="1:2" x14ac:dyDescent="0.25">
      <c r="A8158">
        <f ca="1">26520.1773917196*((RANDBETWEEN(1587,2416)))</f>
        <v>53835960.105190873</v>
      </c>
      <c r="B8158">
        <v>241334149.71451545</v>
      </c>
    </row>
    <row r="8159" spans="1:2" x14ac:dyDescent="0.25">
      <c r="A8159">
        <f ca="1">31649.2736047543*((RANDBETWEEN(1587,2416)))</f>
        <v>54183556.411339283</v>
      </c>
      <c r="B8159">
        <v>263409221.47443417</v>
      </c>
    </row>
    <row r="8160" spans="1:2" x14ac:dyDescent="0.25">
      <c r="A8160">
        <f ca="1">29740.0311052146*((RANDBETWEEN(1587,2416)))</f>
        <v>71048934.310357705</v>
      </c>
      <c r="B8160">
        <v>266586106.90351492</v>
      </c>
    </row>
    <row r="8161" spans="1:2" x14ac:dyDescent="0.25">
      <c r="A8161">
        <f ca="1">31695.5793989856*((RANDBETWEEN(1587,2416)))</f>
        <v>58034605.879542664</v>
      </c>
      <c r="B8161">
        <v>261824802.19926599</v>
      </c>
    </row>
    <row r="8162" spans="1:2" x14ac:dyDescent="0.25">
      <c r="A8162">
        <f ca="1">29628.8327878031*((RANDBETWEEN(1587,2416)))</f>
        <v>62102033.523235269</v>
      </c>
      <c r="B8162">
        <v>205654756.62937769</v>
      </c>
    </row>
    <row r="8163" spans="1:2" x14ac:dyDescent="0.25">
      <c r="A8163">
        <f ca="1">34114.7178274301*((RANDBETWEEN(1587,2416)))</f>
        <v>63316916.287710272</v>
      </c>
      <c r="B8163">
        <v>257116596.6926209</v>
      </c>
    </row>
    <row r="8164" spans="1:2" x14ac:dyDescent="0.25">
      <c r="A8164">
        <f ca="1">29955.0926416871*((RANDBETWEEN(1587,2416)))</f>
        <v>64253673.716418892</v>
      </c>
      <c r="B8164">
        <v>244996191.31956908</v>
      </c>
    </row>
    <row r="8165" spans="1:2" x14ac:dyDescent="0.25">
      <c r="A8165">
        <f ca="1">32287.8354545959*((RANDBETWEEN(1587,2416)))</f>
        <v>66383789.694649115</v>
      </c>
      <c r="B8165">
        <v>222845241.01012349</v>
      </c>
    </row>
    <row r="8166" spans="1:2" x14ac:dyDescent="0.25">
      <c r="A8166">
        <f ca="1">26984.7927972798*((RANDBETWEEN(1587,2416)))</f>
        <v>50461562.530913189</v>
      </c>
      <c r="B8166">
        <v>267198163.7114802</v>
      </c>
    </row>
    <row r="8167" spans="1:2" x14ac:dyDescent="0.25">
      <c r="A8167">
        <f ca="1">25734.5236931564*((RANDBETWEEN(1587,2416)))</f>
        <v>59343811.636418626</v>
      </c>
      <c r="B8167">
        <v>234474633.64758369</v>
      </c>
    </row>
    <row r="8168" spans="1:2" x14ac:dyDescent="0.25">
      <c r="A8168">
        <f ca="1">27520.2095786643*((RANDBETWEEN(1587,2416)))</f>
        <v>45270744.756902747</v>
      </c>
      <c r="B8168">
        <v>240619099.87879431</v>
      </c>
    </row>
    <row r="8169" spans="1:2" x14ac:dyDescent="0.25">
      <c r="A8169">
        <f ca="1">28855.9762136823*((RANDBETWEEN(1587,2416)))</f>
        <v>57711952.4273647</v>
      </c>
      <c r="B8169">
        <v>248785983.9085069</v>
      </c>
    </row>
    <row r="8170" spans="1:2" x14ac:dyDescent="0.25">
      <c r="A8170">
        <f ca="1">26533.0576701661*((RANDBETWEEN(1587,2416)))</f>
        <v>60176974.795936763</v>
      </c>
      <c r="B8170">
        <v>231399420.06665942</v>
      </c>
    </row>
    <row r="8171" spans="1:2" x14ac:dyDescent="0.25">
      <c r="A8171">
        <f ca="1">33012.3219811612*((RANDBETWEEN(1587,2416)))</f>
        <v>57342403.281277083</v>
      </c>
      <c r="B8171">
        <v>261364136.88282263</v>
      </c>
    </row>
    <row r="8172" spans="1:2" x14ac:dyDescent="0.25">
      <c r="A8172">
        <f ca="1">31861.1420783065*((RANDBETWEEN(1587,2416)))</f>
        <v>66462342.375347413</v>
      </c>
      <c r="B8172">
        <v>260464125.79484299</v>
      </c>
    </row>
    <row r="8173" spans="1:2" x14ac:dyDescent="0.25">
      <c r="A8173">
        <f ca="1">30113.9658397123*((RANDBETWEEN(1587,2416)))</f>
        <v>66973460.027520068</v>
      </c>
      <c r="B8173">
        <v>223542355.27002707</v>
      </c>
    </row>
    <row r="8174" spans="1:2" x14ac:dyDescent="0.25">
      <c r="A8174">
        <f ca="1">30868.6928753746*((RANDBETWEEN(1587,2416)))</f>
        <v>57168819.205193698</v>
      </c>
      <c r="B8174">
        <v>217532801.86703533</v>
      </c>
    </row>
    <row r="8175" spans="1:2" x14ac:dyDescent="0.25">
      <c r="A8175">
        <f ca="1">24062.2020008319*((RANDBETWEEN(1587,2416)))</f>
        <v>42229164.511459917</v>
      </c>
      <c r="B8175">
        <v>229555344.24078774</v>
      </c>
    </row>
    <row r="8176" spans="1:2" x14ac:dyDescent="0.25">
      <c r="A8176">
        <f ca="1">29646.8828438967*((RANDBETWEEN(1587,2416)))</f>
        <v>59234471.922105633</v>
      </c>
      <c r="B8176">
        <v>267368552.2570641</v>
      </c>
    </row>
    <row r="8177" spans="1:2" x14ac:dyDescent="0.25">
      <c r="A8177">
        <f ca="1">28402.8986950092*((RANDBETWEEN(1587,2416)))</f>
        <v>57231840.870443523</v>
      </c>
      <c r="B8177">
        <v>243372148.00500873</v>
      </c>
    </row>
    <row r="8178" spans="1:2" x14ac:dyDescent="0.25">
      <c r="A8178">
        <f ca="1">29317.6383224244*((RANDBETWEEN(1587,2416)))</f>
        <v>56407136.132344596</v>
      </c>
      <c r="B8178">
        <v>238174914.02771348</v>
      </c>
    </row>
    <row r="8179" spans="1:2" x14ac:dyDescent="0.25">
      <c r="A8179">
        <f ca="1">26434.7332240921*((RANDBETWEEN(1587,2416)))</f>
        <v>49855906.860637784</v>
      </c>
      <c r="B8179">
        <v>227915940.93982428</v>
      </c>
    </row>
    <row r="8180" spans="1:2" x14ac:dyDescent="0.25">
      <c r="A8180">
        <f ca="1">30942.8901346557*((RANDBETWEEN(1587,2416)))</f>
        <v>71942219.56307441</v>
      </c>
      <c r="B8180">
        <v>259175684.63862091</v>
      </c>
    </row>
    <row r="8181" spans="1:2" x14ac:dyDescent="0.25">
      <c r="A8181">
        <f ca="1">28550.3828472931*((RANDBETWEEN(1587,2416)))</f>
        <v>51933146.399226129</v>
      </c>
      <c r="B8181">
        <v>225980211.89874345</v>
      </c>
    </row>
    <row r="8182" spans="1:2" x14ac:dyDescent="0.25">
      <c r="A8182">
        <f ca="1">29127.8945134049*((RANDBETWEEN(1587,2416)))</f>
        <v>60003462.697614186</v>
      </c>
      <c r="B8182">
        <v>235760200.44413134</v>
      </c>
    </row>
    <row r="8183" spans="1:2" x14ac:dyDescent="0.25">
      <c r="A8183">
        <f ca="1">28488.3566851363*((RANDBETWEEN(1587,2416)))</f>
        <v>62417989.497133553</v>
      </c>
      <c r="B8183">
        <v>260932991.78874767</v>
      </c>
    </row>
    <row r="8184" spans="1:2" x14ac:dyDescent="0.25">
      <c r="A8184">
        <f ca="1">29991.112216215*((RANDBETWEEN(1587,2416)))</f>
        <v>53594117.530376151</v>
      </c>
      <c r="B8184">
        <v>238113339.99323577</v>
      </c>
    </row>
    <row r="8185" spans="1:2" x14ac:dyDescent="0.25">
      <c r="A8185">
        <f ca="1">28446.7591473288*((RANDBETWEEN(1587,2416)))</f>
        <v>50009402.581004113</v>
      </c>
      <c r="B8185">
        <v>218990439.3288818</v>
      </c>
    </row>
    <row r="8186" spans="1:2" x14ac:dyDescent="0.25">
      <c r="A8186">
        <f ca="1">26713.9851095151*((RANDBETWEEN(1587,2416)))</f>
        <v>44558927.162671179</v>
      </c>
      <c r="B8186">
        <v>213052243.32611802</v>
      </c>
    </row>
    <row r="8187" spans="1:2" x14ac:dyDescent="0.25">
      <c r="A8187">
        <f ca="1">30752.3260476761*((RANDBETWEEN(1587,2416)))</f>
        <v>56676536.905867107</v>
      </c>
      <c r="B8187">
        <v>250127812.45105526</v>
      </c>
    </row>
    <row r="8188" spans="1:2" x14ac:dyDescent="0.25">
      <c r="A8188">
        <f ca="1">28540.73482274*((RANDBETWEEN(1587,2416)))</f>
        <v>45665175.716384068</v>
      </c>
      <c r="B8188">
        <v>260682325.75644141</v>
      </c>
    </row>
    <row r="8189" spans="1:2" x14ac:dyDescent="0.25">
      <c r="A8189">
        <f ca="1">26985.362152314*((RANDBETWEEN(1587,2416)))</f>
        <v>63091776.712110154</v>
      </c>
      <c r="B8189">
        <v>207166859.48740613</v>
      </c>
    </row>
    <row r="8190" spans="1:2" x14ac:dyDescent="0.25">
      <c r="A8190">
        <f ca="1">27225.4600283689*((RANDBETWEEN(1587,2416)))</f>
        <v>63898154.686581828</v>
      </c>
      <c r="B8190">
        <v>208704957.19631213</v>
      </c>
    </row>
    <row r="8191" spans="1:2" x14ac:dyDescent="0.25">
      <c r="A8191">
        <f ca="1">31648.3905977347*((RANDBETWEEN(1587,2416)))</f>
        <v>75734598.700379029</v>
      </c>
      <c r="B8191">
        <v>263108644.69935054</v>
      </c>
    </row>
    <row r="8192" spans="1:2" x14ac:dyDescent="0.25">
      <c r="A8192">
        <f ca="1">26579.44435388*((RANDBETWEEN(1587,2416)))</f>
        <v>50713579.827203028</v>
      </c>
      <c r="B8192">
        <v>231266114.81607252</v>
      </c>
    </row>
    <row r="8193" spans="1:2" x14ac:dyDescent="0.25">
      <c r="A8193">
        <f ca="1">28349.4337889099*((RANDBETWEEN(1587,2416)))</f>
        <v>54090719.669240028</v>
      </c>
      <c r="B8193">
        <v>241043528.72128856</v>
      </c>
    </row>
    <row r="8194" spans="1:2" x14ac:dyDescent="0.25">
      <c r="A8194">
        <f ca="1">27308.677920614*((RANDBETWEEN(1587,2416)))</f>
        <v>44130823.519712165</v>
      </c>
      <c r="B8194">
        <v>217044647.2098344</v>
      </c>
    </row>
    <row r="8195" spans="1:2" x14ac:dyDescent="0.25">
      <c r="A8195">
        <f ca="1">29731.8132207285*((RANDBETWEEN(1587,2416)))</f>
        <v>65618111.778147891</v>
      </c>
      <c r="B8195">
        <v>208929346.62521026</v>
      </c>
    </row>
    <row r="8196" spans="1:2" x14ac:dyDescent="0.25">
      <c r="A8196">
        <f ca="1">28795.6503175443*((RANDBETWEEN(1587,2416)))</f>
        <v>69541495.516869605</v>
      </c>
      <c r="B8196">
        <v>252874068.78522193</v>
      </c>
    </row>
    <row r="8197" spans="1:2" x14ac:dyDescent="0.25">
      <c r="A8197">
        <f ca="1">29523.3524897689*((RANDBETWEEN(1587,2416)))</f>
        <v>55592472.738234803</v>
      </c>
      <c r="B8197">
        <v>216479494.64540839</v>
      </c>
    </row>
    <row r="8198" spans="1:2" x14ac:dyDescent="0.25">
      <c r="A8198">
        <f ca="1">30880.9349511309*((RANDBETWEEN(1587,2416)))</f>
        <v>62008917.381870791</v>
      </c>
      <c r="B8198">
        <v>206166378.63145691</v>
      </c>
    </row>
    <row r="8199" spans="1:2" x14ac:dyDescent="0.25">
      <c r="A8199">
        <f ca="1">26490.1994257867*((RANDBETWEEN(1587,2416)))</f>
        <v>62357929.448301949</v>
      </c>
      <c r="B8199">
        <v>212368008.68109694</v>
      </c>
    </row>
    <row r="8200" spans="1:2" x14ac:dyDescent="0.25">
      <c r="A8200">
        <f ca="1">30775.9251762984*((RANDBETWEEN(1587,2416)))</f>
        <v>50841828.39124497</v>
      </c>
      <c r="B8200">
        <v>262975032.53736901</v>
      </c>
    </row>
    <row r="8201" spans="1:2" x14ac:dyDescent="0.25">
      <c r="A8201">
        <f ca="1">33800.0330703259*((RANDBETWEEN(1587,2416)))</f>
        <v>79058277.351492375</v>
      </c>
      <c r="B8201">
        <v>265242452.68516433</v>
      </c>
    </row>
    <row r="8202" spans="1:2" x14ac:dyDescent="0.25">
      <c r="A8202">
        <f ca="1">29276.5388700401*((RANDBETWEEN(1587,2416)))</f>
        <v>53166194.587992735</v>
      </c>
      <c r="B8202">
        <v>217979085.67822593</v>
      </c>
    </row>
    <row r="8203" spans="1:2" x14ac:dyDescent="0.25">
      <c r="A8203">
        <f ca="1">27840.0427607129*((RANDBETWEEN(1587,2416)))</f>
        <v>65396260.444914624</v>
      </c>
      <c r="B8203">
        <v>249009850.99014854</v>
      </c>
    </row>
    <row r="8204" spans="1:2" x14ac:dyDescent="0.25">
      <c r="A8204">
        <f ca="1">32027.7968886319*((RANDBETWEEN(1587,2416)))</f>
        <v>63062732.073716171</v>
      </c>
      <c r="B8204">
        <v>233098757.50857288</v>
      </c>
    </row>
    <row r="8205" spans="1:2" x14ac:dyDescent="0.25">
      <c r="A8205">
        <f ca="1">27337.0698298081*((RANDBETWEEN(1587,2416)))</f>
        <v>58309969.946980707</v>
      </c>
      <c r="B8205">
        <v>250990236.89150912</v>
      </c>
    </row>
    <row r="8206" spans="1:2" x14ac:dyDescent="0.25">
      <c r="A8206">
        <f ca="1">30080.9344576815*((RANDBETWEEN(1587,2416)))</f>
        <v>51137588.578058533</v>
      </c>
      <c r="B8206">
        <v>261336333.04284459</v>
      </c>
    </row>
    <row r="8207" spans="1:2" x14ac:dyDescent="0.25">
      <c r="A8207">
        <f ca="1">27116.2589187733*((RANDBETWEEN(1587,2416)))</f>
        <v>45934942.608401969</v>
      </c>
      <c r="B8207">
        <v>261799550.62119287</v>
      </c>
    </row>
    <row r="8208" spans="1:2" x14ac:dyDescent="0.25">
      <c r="A8208">
        <f ca="1">30212.4308759874*((RANDBETWEEN(1587,2416)))</f>
        <v>64473327.489357159</v>
      </c>
      <c r="B8208">
        <v>264287511.3194389</v>
      </c>
    </row>
    <row r="8209" spans="1:2" x14ac:dyDescent="0.25">
      <c r="A8209">
        <f ca="1">29668.2236755456*((RANDBETWEEN(1587,2416)))</f>
        <v>63579003.336694129</v>
      </c>
      <c r="B8209">
        <v>241809611.39173275</v>
      </c>
    </row>
    <row r="8210" spans="1:2" x14ac:dyDescent="0.25">
      <c r="A8210">
        <f ca="1">27737.9269658661*((RANDBETWEEN(1587,2416)))</f>
        <v>61328556.521529905</v>
      </c>
      <c r="B8210">
        <v>235654122.27005142</v>
      </c>
    </row>
    <row r="8211" spans="1:2" x14ac:dyDescent="0.25">
      <c r="A8211">
        <f ca="1">33116.3491072284*((RANDBETWEEN(1587,2416)))</f>
        <v>78253932.940380767</v>
      </c>
      <c r="B8211">
        <v>222331654.3828603</v>
      </c>
    </row>
    <row r="8212" spans="1:2" x14ac:dyDescent="0.25">
      <c r="A8212">
        <f ca="1">30361.264653868*((RANDBETWEEN(1587,2416)))</f>
        <v>52433904.057230003</v>
      </c>
      <c r="B8212">
        <v>225032870.85904324</v>
      </c>
    </row>
    <row r="8213" spans="1:2" x14ac:dyDescent="0.25">
      <c r="A8213">
        <f ca="1">27192.3849104833*((RANDBETWEEN(1587,2416)))</f>
        <v>48184906.061376467</v>
      </c>
      <c r="B8213">
        <v>257644865.24216104</v>
      </c>
    </row>
    <row r="8214" spans="1:2" x14ac:dyDescent="0.25">
      <c r="A8214">
        <f ca="1">26603.0824049336*((RANDBETWEEN(1587,2416)))</f>
        <v>48391006.894574247</v>
      </c>
      <c r="B8214">
        <v>210848394.55567858</v>
      </c>
    </row>
    <row r="8215" spans="1:2" x14ac:dyDescent="0.25">
      <c r="A8215">
        <f ca="1">25305.5396177677*((RANDBETWEEN(1587,2416)))</f>
        <v>43753277.999120325</v>
      </c>
      <c r="B8215">
        <v>238479579.07547688</v>
      </c>
    </row>
    <row r="8216" spans="1:2" x14ac:dyDescent="0.25">
      <c r="A8216">
        <f ca="1">28724.3106844523*((RANDBETWEEN(1587,2416)))</f>
        <v>54174049.950876959</v>
      </c>
      <c r="B8216">
        <v>221644468.60005203</v>
      </c>
    </row>
    <row r="8217" spans="1:2" x14ac:dyDescent="0.25">
      <c r="A8217">
        <f ca="1">29481.2272762276*((RANDBETWEEN(1587,2416)))</f>
        <v>63355157.416613117</v>
      </c>
      <c r="B8217">
        <v>235017263.85381037</v>
      </c>
    </row>
    <row r="8218" spans="1:2" x14ac:dyDescent="0.25">
      <c r="A8218">
        <f ca="1">29528.4455533912*((RANDBETWEEN(1587,2416)))</f>
        <v>64342482.860839337</v>
      </c>
      <c r="B8218">
        <v>264634288.96109858</v>
      </c>
    </row>
    <row r="8219" spans="1:2" x14ac:dyDescent="0.25">
      <c r="A8219">
        <f ca="1">31831.2095325366*((RANDBETWEEN(1587,2416)))</f>
        <v>70060492.181113079</v>
      </c>
      <c r="B8219">
        <v>264157914.38989699</v>
      </c>
    </row>
    <row r="8220" spans="1:2" x14ac:dyDescent="0.25">
      <c r="A8220">
        <f ca="1">33086.7884510003*((RANDBETWEEN(1587,2416)))</f>
        <v>62136988.71097853</v>
      </c>
      <c r="B8220">
        <v>239393447.26520047</v>
      </c>
    </row>
    <row r="8221" spans="1:2" x14ac:dyDescent="0.25">
      <c r="A8221">
        <f ca="1">28953.3201929262*((RANDBETWEEN(1587,2416)))</f>
        <v>46991238.673119225</v>
      </c>
      <c r="B8221">
        <v>248361925.93564367</v>
      </c>
    </row>
    <row r="8222" spans="1:2" x14ac:dyDescent="0.25">
      <c r="A8222">
        <f ca="1">27916.7752838084*((RANDBETWEEN(1587,2416)))</f>
        <v>63231496.017826103</v>
      </c>
      <c r="B8222">
        <v>205017345.13259724</v>
      </c>
    </row>
    <row r="8223" spans="1:2" x14ac:dyDescent="0.25">
      <c r="A8223">
        <f ca="1">26756.6053893761*((RANDBETWEEN(1587,2416)))</f>
        <v>63707477.432104595</v>
      </c>
      <c r="B8223">
        <v>225742423.90770581</v>
      </c>
    </row>
    <row r="8224" spans="1:2" x14ac:dyDescent="0.25">
      <c r="A8224">
        <f ca="1">30158.4193422317*((RANDBETWEEN(1587,2416)))</f>
        <v>70359592.325426474</v>
      </c>
      <c r="B8224">
        <v>256370858.64234367</v>
      </c>
    </row>
    <row r="8225" spans="1:2" x14ac:dyDescent="0.25">
      <c r="A8225">
        <f ca="1">32153.5013192243*((RANDBETWEEN(1587,2416)))</f>
        <v>68261883.300713226</v>
      </c>
      <c r="B8225">
        <v>242946961.82714143</v>
      </c>
    </row>
    <row r="8226" spans="1:2" x14ac:dyDescent="0.25">
      <c r="A8226">
        <f ca="1">30040.7280870862*((RANDBETWEEN(1587,2416)))</f>
        <v>61553451.850439638</v>
      </c>
      <c r="B8226">
        <v>262541923.08607686</v>
      </c>
    </row>
    <row r="8227" spans="1:2" x14ac:dyDescent="0.25">
      <c r="A8227">
        <f ca="1">31085.4028433155*((RANDBETWEEN(1587,2416)))</f>
        <v>65123918.95674587</v>
      </c>
      <c r="B8227">
        <v>217444369.91994026</v>
      </c>
    </row>
    <row r="8228" spans="1:2" x14ac:dyDescent="0.25">
      <c r="A8228">
        <f ca="1">27614.5366796905*((RANDBETWEEN(1587,2416)))</f>
        <v>51280194.614185199</v>
      </c>
      <c r="B8228">
        <v>251867820.90908581</v>
      </c>
    </row>
    <row r="8229" spans="1:2" x14ac:dyDescent="0.25">
      <c r="A8229">
        <f ca="1">31928.6680670588*((RANDBETWEEN(1587,2416)))</f>
        <v>51500941.592165858</v>
      </c>
      <c r="B8229">
        <v>237180623.37529469</v>
      </c>
    </row>
    <row r="8230" spans="1:2" x14ac:dyDescent="0.25">
      <c r="A8230">
        <f ca="1">26361.4361081015*((RANDBETWEEN(1587,2416)))</f>
        <v>57494292.151769407</v>
      </c>
      <c r="B8230">
        <v>209606055.46790832</v>
      </c>
    </row>
    <row r="8231" spans="1:2" x14ac:dyDescent="0.25">
      <c r="A8231">
        <f ca="1">31606.2584062699*((RANDBETWEEN(1587,2416)))</f>
        <v>60810441.173663229</v>
      </c>
      <c r="B8231">
        <v>236010798.75863171</v>
      </c>
    </row>
    <row r="8232" spans="1:2" x14ac:dyDescent="0.25">
      <c r="A8232">
        <f ca="1">31925.0458594947*((RANDBETWEEN(1587,2416)))</f>
        <v>60274486.582725987</v>
      </c>
      <c r="B8232">
        <v>263156027.62813559</v>
      </c>
    </row>
    <row r="8233" spans="1:2" x14ac:dyDescent="0.25">
      <c r="A8233">
        <f ca="1">31258.3522760099*((RANDBETWEEN(1587,2416)))</f>
        <v>57296559.721926108</v>
      </c>
      <c r="B8233">
        <v>234025390.67270899</v>
      </c>
    </row>
    <row r="8234" spans="1:2" x14ac:dyDescent="0.25">
      <c r="A8234">
        <f ca="1">29927.9873177594*((RANDBETWEEN(1587,2416)))</f>
        <v>70450482.146005705</v>
      </c>
      <c r="B8234">
        <v>213461919.96413383</v>
      </c>
    </row>
    <row r="8235" spans="1:2" x14ac:dyDescent="0.25">
      <c r="A8235">
        <f ca="1">31239.8651858053*((RANDBETWEEN(1587,2416)))</f>
        <v>67852987.183569178</v>
      </c>
      <c r="B8235">
        <v>252028723.16426042</v>
      </c>
    </row>
    <row r="8236" spans="1:2" x14ac:dyDescent="0.25">
      <c r="A8236">
        <f ca="1">28991.1001502268*((RANDBETWEEN(1587,2416)))</f>
        <v>67752201.051080108</v>
      </c>
      <c r="B8236">
        <v>205093168.25925016</v>
      </c>
    </row>
    <row r="8237" spans="1:2" x14ac:dyDescent="0.25">
      <c r="A8237">
        <f ca="1">27033.3653870448*((RANDBETWEEN(1587,2416)))</f>
        <v>44145485.677044153</v>
      </c>
      <c r="B8237">
        <v>220421021.64152583</v>
      </c>
    </row>
    <row r="8238" spans="1:2" x14ac:dyDescent="0.25">
      <c r="A8238">
        <f ca="1">27306.4526787997*((RANDBETWEEN(1587,2416)))</f>
        <v>58845405.522813328</v>
      </c>
      <c r="B8238">
        <v>259897359.79762357</v>
      </c>
    </row>
    <row r="8239" spans="1:2" x14ac:dyDescent="0.25">
      <c r="A8239">
        <f ca="1">32914.9134966896*((RANDBETWEEN(1587,2416)))</f>
        <v>62669995.29769706</v>
      </c>
      <c r="B8239">
        <v>266453807.53962183</v>
      </c>
    </row>
    <row r="8240" spans="1:2" x14ac:dyDescent="0.25">
      <c r="A8240">
        <f ca="1">32472.9892736639*((RANDBETWEEN(1587,2416)))</f>
        <v>76441416.750204727</v>
      </c>
      <c r="B8240">
        <v>225536484.45496237</v>
      </c>
    </row>
    <row r="8241" spans="1:2" x14ac:dyDescent="0.25">
      <c r="A8241">
        <f ca="1">31884.7134334805*((RANDBETWEEN(1587,2416)))</f>
        <v>72984109.049236909</v>
      </c>
      <c r="B8241">
        <v>238551686.67412961</v>
      </c>
    </row>
    <row r="8242" spans="1:2" x14ac:dyDescent="0.25">
      <c r="A8242">
        <f ca="1">28915.2389719283*((RANDBETWEEN(1587,2416)))</f>
        <v>60346103.734414272</v>
      </c>
      <c r="B8242">
        <v>222387705.85026723</v>
      </c>
    </row>
    <row r="8243" spans="1:2" x14ac:dyDescent="0.25">
      <c r="A8243">
        <f ca="1">31738.9358718338*((RANDBETWEEN(1587,2416)))</f>
        <v>57098345.633429065</v>
      </c>
      <c r="B8243">
        <v>206776401.09355345</v>
      </c>
    </row>
    <row r="8244" spans="1:2" x14ac:dyDescent="0.25">
      <c r="A8244">
        <f ca="1">31480.7162807348*((RANDBETWEEN(1587,2416)))</f>
        <v>64441026.226664215</v>
      </c>
      <c r="B8244">
        <v>225044858.50697094</v>
      </c>
    </row>
    <row r="8245" spans="1:2" x14ac:dyDescent="0.25">
      <c r="A8245">
        <f ca="1">31872.2450263283*((RANDBETWEEN(1587,2416)))</f>
        <v>51633036.942651913</v>
      </c>
      <c r="B8245">
        <v>250819797.92670017</v>
      </c>
    </row>
    <row r="8246" spans="1:2" x14ac:dyDescent="0.25">
      <c r="A8246">
        <f ca="1">24850.6556309081*((RANDBETWEEN(1587,2416)))</f>
        <v>59368216.302239552</v>
      </c>
      <c r="B8246">
        <v>267584754.60436696</v>
      </c>
    </row>
    <row r="8247" spans="1:2" x14ac:dyDescent="0.25">
      <c r="A8247">
        <f ca="1">28449.2784556776*((RANDBETWEEN(1587,2416)))</f>
        <v>58633962.897151597</v>
      </c>
      <c r="B8247">
        <v>222857882.48088089</v>
      </c>
    </row>
    <row r="8248" spans="1:2" x14ac:dyDescent="0.25">
      <c r="A8248">
        <f ca="1">29950.6148764797*((RANDBETWEEN(1587,2416)))</f>
        <v>54300464.77105771</v>
      </c>
      <c r="B8248">
        <v>262528424.34768516</v>
      </c>
    </row>
    <row r="8249" spans="1:2" x14ac:dyDescent="0.25">
      <c r="A8249">
        <f ca="1">26393.5410452526*((RANDBETWEEN(1587,2416)))</f>
        <v>62658266.441429779</v>
      </c>
      <c r="B8249">
        <v>224735859.93955907</v>
      </c>
    </row>
    <row r="8250" spans="1:2" x14ac:dyDescent="0.25">
      <c r="A8250">
        <f ca="1">27147.6429605905*((RANDBETWEEN(1587,2416)))</f>
        <v>47779851.6106392</v>
      </c>
      <c r="B8250">
        <v>253226852.23663685</v>
      </c>
    </row>
    <row r="8251" spans="1:2" x14ac:dyDescent="0.25">
      <c r="A8251">
        <f ca="1">25843.1346112301*((RANDBETWEEN(1587,2416)))</f>
        <v>42305211.358583637</v>
      </c>
      <c r="B8251">
        <v>215181202.28423029</v>
      </c>
    </row>
    <row r="8252" spans="1:2" x14ac:dyDescent="0.25">
      <c r="A8252">
        <f ca="1">26953.7857794969*((RANDBETWEEN(1587,2416)))</f>
        <v>58408853.784169719</v>
      </c>
      <c r="B8252">
        <v>229707629.79682761</v>
      </c>
    </row>
    <row r="8253" spans="1:2" x14ac:dyDescent="0.25">
      <c r="A8253">
        <f ca="1">28052.0681520157*((RANDBETWEEN(1587,2416)))</f>
        <v>47772672.0628829</v>
      </c>
      <c r="B8253">
        <v>207838347.57324845</v>
      </c>
    </row>
    <row r="8254" spans="1:2" x14ac:dyDescent="0.25">
      <c r="A8254">
        <f ca="1">29035.1019549974*((RANDBETWEEN(1587,2416)))</f>
        <v>56415203.098559871</v>
      </c>
      <c r="B8254">
        <v>253457169.65083599</v>
      </c>
    </row>
    <row r="8255" spans="1:2" x14ac:dyDescent="0.25">
      <c r="A8255">
        <f ca="1">27238.0928031531*((RANDBETWEEN(1587,2416)))</f>
        <v>47748376.683927439</v>
      </c>
      <c r="B8255">
        <v>217073371.20166564</v>
      </c>
    </row>
    <row r="8256" spans="1:2" x14ac:dyDescent="0.25">
      <c r="A8256">
        <f ca="1">31286.3072892477*((RANDBETWEEN(1587,2416)))</f>
        <v>58411535.709025435</v>
      </c>
      <c r="B8256">
        <v>242118646.32315701</v>
      </c>
    </row>
    <row r="8257" spans="1:2" x14ac:dyDescent="0.25">
      <c r="A8257">
        <f ca="1">27908.4968859751*((RANDBETWEEN(1587,2416)))</f>
        <v>56263529.722125724</v>
      </c>
      <c r="B8257">
        <v>244921140.89168397</v>
      </c>
    </row>
    <row r="8258" spans="1:2" x14ac:dyDescent="0.25">
      <c r="A8258">
        <f ca="1">31563.7777203614*((RANDBETWEEN(1587,2416)))</f>
        <v>50091715.24221351</v>
      </c>
      <c r="B8258">
        <v>242819071.14104408</v>
      </c>
    </row>
    <row r="8259" spans="1:2" x14ac:dyDescent="0.25">
      <c r="A8259">
        <f ca="1">32001.9674659032*((RANDBETWEEN(1587,2416)))</f>
        <v>67588155.287987456</v>
      </c>
      <c r="B8259">
        <v>222125428.13464421</v>
      </c>
    </row>
    <row r="8260" spans="1:2" x14ac:dyDescent="0.25">
      <c r="A8260">
        <f ca="1">28971.7290886734*((RANDBETWEEN(1587,2416)))</f>
        <v>61796698.146140285</v>
      </c>
      <c r="B8260">
        <v>224823459.35890663</v>
      </c>
    </row>
    <row r="8261" spans="1:2" x14ac:dyDescent="0.25">
      <c r="A8261">
        <f ca="1">26298.8489075263*((RANDBETWEEN(1587,2416)))</f>
        <v>54438617.238579512</v>
      </c>
      <c r="B8261">
        <v>242745714.21702355</v>
      </c>
    </row>
    <row r="8262" spans="1:2" x14ac:dyDescent="0.25">
      <c r="A8262">
        <f ca="1">32133.4643007106*((RANDBETWEEN(1587,2416)))</f>
        <v>61599851.064462207</v>
      </c>
      <c r="B8262">
        <v>261737703.72874406</v>
      </c>
    </row>
    <row r="8263" spans="1:2" x14ac:dyDescent="0.25">
      <c r="A8263">
        <f ca="1">29403.7743806562*((RANDBETWEEN(1587,2416)))</f>
        <v>63717979.082881898</v>
      </c>
      <c r="B8263">
        <v>263072792.21572864</v>
      </c>
    </row>
    <row r="8264" spans="1:2" x14ac:dyDescent="0.25">
      <c r="A8264">
        <f ca="1">30955.2100694435*((RANDBETWEEN(1587,2416)))</f>
        <v>49187828.800345741</v>
      </c>
      <c r="B8264">
        <v>248067993.90560332</v>
      </c>
    </row>
    <row r="8265" spans="1:2" x14ac:dyDescent="0.25">
      <c r="A8265">
        <f ca="1">32107.0314507998*((RANDBETWEEN(1587,2416)))</f>
        <v>61838142.574240409</v>
      </c>
      <c r="B8265">
        <v>223625072.10198638</v>
      </c>
    </row>
    <row r="8266" spans="1:2" x14ac:dyDescent="0.25">
      <c r="A8266">
        <f ca="1">27584.2710236194*((RANDBETWEEN(1587,2416)))</f>
        <v>65319553.783930831</v>
      </c>
      <c r="B8266">
        <v>257570096.95351738</v>
      </c>
    </row>
    <row r="8267" spans="1:2" x14ac:dyDescent="0.25">
      <c r="A8267">
        <f ca="1">29425.6469422356*((RANDBETWEEN(1587,2416)))</f>
        <v>56879775.539341353</v>
      </c>
      <c r="B8267">
        <v>253720840.71802562</v>
      </c>
    </row>
    <row r="8268" spans="1:2" x14ac:dyDescent="0.25">
      <c r="A8268">
        <f ca="1">32250.3108583038*((RANDBETWEEN(1587,2416)))</f>
        <v>76368736.112463385</v>
      </c>
      <c r="B8268">
        <v>238945970.2901037</v>
      </c>
    </row>
    <row r="8269" spans="1:2" x14ac:dyDescent="0.25">
      <c r="A8269">
        <f ca="1">27232.041272521*((RANDBETWEEN(1587,2416)))</f>
        <v>48527497.547632411</v>
      </c>
      <c r="B8269">
        <v>247950228.76236254</v>
      </c>
    </row>
    <row r="8270" spans="1:2" x14ac:dyDescent="0.25">
      <c r="A8270">
        <f ca="1">31635.6526343461*((RANDBETWEEN(1587,2416)))</f>
        <v>58019786.931390807</v>
      </c>
      <c r="B8270">
        <v>262843643.23016727</v>
      </c>
    </row>
    <row r="8271" spans="1:2" x14ac:dyDescent="0.25">
      <c r="A8271">
        <f ca="1">29979.6281312697*((RANDBETWEEN(1587,2416)))</f>
        <v>69852533.545858473</v>
      </c>
      <c r="B8271">
        <v>242382910.58083397</v>
      </c>
    </row>
    <row r="8272" spans="1:2" x14ac:dyDescent="0.25">
      <c r="A8272">
        <f ca="1">34241.3215293515*((RANDBETWEEN(1587,2416)))</f>
        <v>80398622.950917304</v>
      </c>
      <c r="B8272">
        <v>248090335.18944377</v>
      </c>
    </row>
    <row r="8273" spans="1:2" x14ac:dyDescent="0.25">
      <c r="A8273">
        <f ca="1">27913.6808619166*((RANDBETWEEN(1587,2416)))</f>
        <v>55631965.957799695</v>
      </c>
      <c r="B8273">
        <v>234530125.86156133</v>
      </c>
    </row>
    <row r="8274" spans="1:2" x14ac:dyDescent="0.25">
      <c r="A8274">
        <f ca="1">28974.5740100892*((RANDBETWEEN(1587,2416)))</f>
        <v>68437943.811830789</v>
      </c>
      <c r="B8274">
        <v>208518140.39895132</v>
      </c>
    </row>
    <row r="8275" spans="1:2" x14ac:dyDescent="0.25">
      <c r="A8275">
        <f ca="1">29279.5842467539*((RANDBETWEEN(1587,2416)))</f>
        <v>61838481.929144204</v>
      </c>
      <c r="B8275">
        <v>247833064.27312571</v>
      </c>
    </row>
    <row r="8276" spans="1:2" x14ac:dyDescent="0.25">
      <c r="A8276">
        <f ca="1">29382.0992367277*((RANDBETWEEN(1587,2416)))</f>
        <v>63259659.656674825</v>
      </c>
      <c r="B8276">
        <v>249102360.36754763</v>
      </c>
    </row>
    <row r="8277" spans="1:2" x14ac:dyDescent="0.25">
      <c r="A8277">
        <f ca="1">26018.592318874*((RANDBETWEEN(1587,2416)))</f>
        <v>52661630.853401043</v>
      </c>
      <c r="B8277">
        <v>206544948.31783175</v>
      </c>
    </row>
    <row r="8278" spans="1:2" x14ac:dyDescent="0.25">
      <c r="A8278">
        <f ca="1">30219.5948917149*((RANDBETWEEN(1587,2416)))</f>
        <v>55180980.272271469</v>
      </c>
      <c r="B8278">
        <v>235606052.78260002</v>
      </c>
    </row>
    <row r="8279" spans="1:2" x14ac:dyDescent="0.25">
      <c r="A8279">
        <f ca="1">27588.3060264547*((RANDBETWEEN(1587,2416)))</f>
        <v>49052008.115036398</v>
      </c>
      <c r="B8279">
        <v>232154868.32143855</v>
      </c>
    </row>
    <row r="8280" spans="1:2" x14ac:dyDescent="0.25">
      <c r="A8280">
        <f ca="1">26831.0215457299*((RANDBETWEEN(1587,2416)))</f>
        <v>54949932.125654735</v>
      </c>
      <c r="B8280">
        <v>230134458.72505325</v>
      </c>
    </row>
    <row r="8281" spans="1:2" x14ac:dyDescent="0.25">
      <c r="A8281">
        <f ca="1">28279.004494779*((RANDBETWEEN(1587,2416)))</f>
        <v>46943147.461333148</v>
      </c>
      <c r="B8281">
        <v>210320206.77392852</v>
      </c>
    </row>
    <row r="8282" spans="1:2" x14ac:dyDescent="0.25">
      <c r="A8282">
        <f ca="1">29041.8774255868*((RANDBETWEEN(1587,2416)))</f>
        <v>66389731.794891417</v>
      </c>
      <c r="B8282">
        <v>204234624.36369535</v>
      </c>
    </row>
    <row r="8283" spans="1:2" x14ac:dyDescent="0.25">
      <c r="A8283">
        <f ca="1">30172.3292733546*((RANDBETWEEN(1587,2416)))</f>
        <v>71176524.755843401</v>
      </c>
      <c r="B8283">
        <v>211111596.87819898</v>
      </c>
    </row>
    <row r="8284" spans="1:2" x14ac:dyDescent="0.25">
      <c r="A8284">
        <f ca="1">26100.9225882357*((RANDBETWEEN(1587,2416)))</f>
        <v>54785836.512706771</v>
      </c>
      <c r="B8284">
        <v>239566864.38651437</v>
      </c>
    </row>
    <row r="8285" spans="1:2" x14ac:dyDescent="0.25">
      <c r="A8285">
        <f ca="1">31246.1580455122*((RANDBETWEEN(1587,2416)))</f>
        <v>65898147.317985296</v>
      </c>
      <c r="B8285">
        <v>219732711.57003111</v>
      </c>
    </row>
    <row r="8286" spans="1:2" x14ac:dyDescent="0.25">
      <c r="A8286">
        <f ca="1">28810.0157034151*((RANDBETWEEN(1587,2416)))</f>
        <v>47334855.800710946</v>
      </c>
      <c r="B8286">
        <v>258280484.83140472</v>
      </c>
    </row>
    <row r="8287" spans="1:2" x14ac:dyDescent="0.25">
      <c r="A8287">
        <f ca="1">30291.8273192877*((RANDBETWEEN(1587,2416)))</f>
        <v>50769102.587126225</v>
      </c>
      <c r="B8287">
        <v>265175517.67202854</v>
      </c>
    </row>
    <row r="8288" spans="1:2" x14ac:dyDescent="0.25">
      <c r="A8288">
        <f ca="1">28502.6266088608*((RANDBETWEEN(1587,2416)))</f>
        <v>47513878.556970991</v>
      </c>
      <c r="B8288">
        <v>207248908.62347549</v>
      </c>
    </row>
    <row r="8289" spans="1:2" x14ac:dyDescent="0.25">
      <c r="A8289">
        <f ca="1">32129.27713767*((RANDBETWEEN(1587,2416)))</f>
        <v>63005512.466970794</v>
      </c>
      <c r="B8289">
        <v>239115128.77235496</v>
      </c>
    </row>
    <row r="8290" spans="1:2" x14ac:dyDescent="0.25">
      <c r="A8290">
        <f ca="1">32326.0806629371*((RANDBETWEEN(1587,2416)))</f>
        <v>65492639.423110582</v>
      </c>
      <c r="B8290">
        <v>245202815.35163945</v>
      </c>
    </row>
    <row r="8291" spans="1:2" x14ac:dyDescent="0.25">
      <c r="A8291">
        <f ca="1">33842.0139739323*((RANDBETWEEN(1587,2416)))</f>
        <v>68293184.199395463</v>
      </c>
      <c r="B8291">
        <v>235407766.97984999</v>
      </c>
    </row>
    <row r="8292" spans="1:2" x14ac:dyDescent="0.25">
      <c r="A8292">
        <f ca="1">28365.5763956608*((RANDBETWEEN(1587,2416)))</f>
        <v>64900438.793271855</v>
      </c>
      <c r="B8292">
        <v>226099112.21752682</v>
      </c>
    </row>
    <row r="8293" spans="1:2" x14ac:dyDescent="0.25">
      <c r="A8293">
        <f ca="1">28004.9898396883*((RANDBETWEEN(1587,2416)))</f>
        <v>63655341.90561159</v>
      </c>
      <c r="B8293">
        <v>232857425.8305729</v>
      </c>
    </row>
    <row r="8294" spans="1:2" x14ac:dyDescent="0.25">
      <c r="A8294">
        <f ca="1">30523.8056337321*((RANDBETWEEN(1587,2416)))</f>
        <v>66633467.69843711</v>
      </c>
      <c r="B8294">
        <v>213797662.55799574</v>
      </c>
    </row>
    <row r="8295" spans="1:2" x14ac:dyDescent="0.25">
      <c r="A8295">
        <f ca="1">29467.4480218748*((RANDBETWEEN(1587,2416)))</f>
        <v>70721875.25249958</v>
      </c>
      <c r="B8295">
        <v>265530903.23957634</v>
      </c>
    </row>
    <row r="8296" spans="1:2" x14ac:dyDescent="0.25">
      <c r="A8296">
        <f ca="1">32314.0507380068*((RANDBETWEEN(1587,2416)))</f>
        <v>57519010.313652061</v>
      </c>
      <c r="B8296">
        <v>221200864.13605827</v>
      </c>
    </row>
    <row r="8297" spans="1:2" x14ac:dyDescent="0.25">
      <c r="A8297">
        <f ca="1">27875.1170915575*((RANDBETWEEN(1587,2416)))</f>
        <v>46189069.020710737</v>
      </c>
      <c r="B8297">
        <v>206968485.80912691</v>
      </c>
    </row>
    <row r="8298" spans="1:2" x14ac:dyDescent="0.25">
      <c r="A8298">
        <f ca="1">28555.4120351769*((RANDBETWEEN(1587,2416)))</f>
        <v>54655058.635328583</v>
      </c>
      <c r="B8298">
        <v>240980888.75664172</v>
      </c>
    </row>
    <row r="8299" spans="1:2" x14ac:dyDescent="0.25">
      <c r="A8299">
        <f ca="1">28948.0986426601*((RANDBETWEEN(1587,2416)))</f>
        <v>51382875.0907216</v>
      </c>
      <c r="B8299">
        <v>243208642.92558527</v>
      </c>
    </row>
    <row r="8300" spans="1:2" x14ac:dyDescent="0.25">
      <c r="A8300">
        <f ca="1">28232.4454324703*((RANDBETWEEN(1587,2416)))</f>
        <v>64369975.586032316</v>
      </c>
      <c r="B8300">
        <v>226316821.59920067</v>
      </c>
    </row>
    <row r="8301" spans="1:2" x14ac:dyDescent="0.25">
      <c r="A8301">
        <f ca="1">32002.2754820764*((RANDBETWEEN(1587,2416)))</f>
        <v>70565017.437978506</v>
      </c>
      <c r="B8301">
        <v>222361408.02237964</v>
      </c>
    </row>
    <row r="8302" spans="1:2" x14ac:dyDescent="0.25">
      <c r="A8302">
        <f ca="1">31457.1804179747*((RANDBETWEEN(1587,2416)))</f>
        <v>55805038.061487176</v>
      </c>
      <c r="B8302">
        <v>205161799.34768972</v>
      </c>
    </row>
    <row r="8303" spans="1:2" x14ac:dyDescent="0.25">
      <c r="A8303">
        <f ca="1">32162.4426952306*((RANDBETWEEN(1587,2416)))</f>
        <v>65064621.572451547</v>
      </c>
      <c r="B8303">
        <v>222065920.64955649</v>
      </c>
    </row>
    <row r="8304" spans="1:2" x14ac:dyDescent="0.25">
      <c r="A8304">
        <f ca="1">31185.0266609145*((RANDBETWEEN(1587,2416)))</f>
        <v>64022859.734857507</v>
      </c>
      <c r="B8304">
        <v>227026304.82041419</v>
      </c>
    </row>
    <row r="8305" spans="1:2" x14ac:dyDescent="0.25">
      <c r="A8305">
        <f ca="1">29447.1394707599*((RANDBETWEEN(1587,2416)))</f>
        <v>59306538.894110493</v>
      </c>
      <c r="B8305">
        <v>218129815.75423014</v>
      </c>
    </row>
    <row r="8306" spans="1:2" x14ac:dyDescent="0.25">
      <c r="A8306">
        <f ca="1">27323.8390227661*((RANDBETWEEN(1587,2416)))</f>
        <v>44455886.09004043</v>
      </c>
      <c r="B8306">
        <v>225244204.57078427</v>
      </c>
    </row>
    <row r="8307" spans="1:2" x14ac:dyDescent="0.25">
      <c r="A8307">
        <f ca="1">28942.3023302033*((RANDBETWEEN(1587,2416)))</f>
        <v>46191914.519004509</v>
      </c>
      <c r="B8307">
        <v>265252020.58217037</v>
      </c>
    </row>
    <row r="8308" spans="1:2" x14ac:dyDescent="0.25">
      <c r="A8308">
        <f ca="1">30656.7508805467*((RANDBETWEEN(1587,2416)))</f>
        <v>53894568.048001111</v>
      </c>
      <c r="B8308">
        <v>244928202.03061986</v>
      </c>
    </row>
    <row r="8309" spans="1:2" x14ac:dyDescent="0.25">
      <c r="A8309">
        <f ca="1">28668.2486257309*((RANDBETWEEN(1587,2416)))</f>
        <v>64130872.175759964</v>
      </c>
      <c r="B8309">
        <v>240341413.31942713</v>
      </c>
    </row>
    <row r="8310" spans="1:2" x14ac:dyDescent="0.25">
      <c r="A8310">
        <f ca="1">30899.8883759236*((RANDBETWEEN(1587,2416)))</f>
        <v>70698944.604113132</v>
      </c>
      <c r="B8310">
        <v>249779874.23104548</v>
      </c>
    </row>
    <row r="8311" spans="1:2" x14ac:dyDescent="0.25">
      <c r="A8311">
        <f ca="1">30733.9018408101*((RANDBETWEEN(1587,2416)))</f>
        <v>69151279.14182274</v>
      </c>
      <c r="B8311">
        <v>267775155.92918614</v>
      </c>
    </row>
    <row r="8312" spans="1:2" x14ac:dyDescent="0.25">
      <c r="A8312">
        <f ca="1">29039.3291738378*((RANDBETWEEN(1587,2416)))</f>
        <v>46869477.28657417</v>
      </c>
      <c r="B8312">
        <v>209002284.6701515</v>
      </c>
    </row>
    <row r="8313" spans="1:2" x14ac:dyDescent="0.25">
      <c r="A8313">
        <f ca="1">31287.7901215222*((RANDBETWEEN(1587,2416)))</f>
        <v>70585254.514154077</v>
      </c>
      <c r="B8313">
        <v>230471047.92829278</v>
      </c>
    </row>
    <row r="8314" spans="1:2" x14ac:dyDescent="0.25">
      <c r="A8314">
        <f ca="1">26366.7394511908*((RANDBETWEEN(1587,2416)))</f>
        <v>58006826.79261981</v>
      </c>
      <c r="B8314">
        <v>234762694.58466622</v>
      </c>
    </row>
    <row r="8315" spans="1:2" x14ac:dyDescent="0.25">
      <c r="A8315">
        <f ca="1">29780.1274376062*((RANDBETWEEN(1587,2416)))</f>
        <v>59738935.63983801</v>
      </c>
      <c r="B8315">
        <v>258186538.17738122</v>
      </c>
    </row>
    <row r="8316" spans="1:2" x14ac:dyDescent="0.25">
      <c r="A8316">
        <f ca="1">27671.2248694749*((RANDBETWEEN(1587,2416)))</f>
        <v>65553131.715785958</v>
      </c>
      <c r="B8316">
        <v>229770790.68673211</v>
      </c>
    </row>
    <row r="8317" spans="1:2" x14ac:dyDescent="0.25">
      <c r="A8317">
        <f ca="1">26593.6282050715*((RANDBETWEEN(1587,2416)))</f>
        <v>45741040.512723006</v>
      </c>
      <c r="B8317">
        <v>224746525.31301108</v>
      </c>
    </row>
    <row r="8318" spans="1:2" x14ac:dyDescent="0.25">
      <c r="A8318">
        <f ca="1">32433.022444626*((RANDBETWEEN(1587,2416)))</f>
        <v>59449730.140999466</v>
      </c>
      <c r="B8318">
        <v>267318315.81264707</v>
      </c>
    </row>
    <row r="8319" spans="1:2" x14ac:dyDescent="0.25">
      <c r="A8319">
        <f ca="1">29665.9235069395*((RANDBETWEEN(1587,2416)))</f>
        <v>48948773.786450215</v>
      </c>
      <c r="B8319">
        <v>210283964.79805219</v>
      </c>
    </row>
    <row r="8320" spans="1:2" x14ac:dyDescent="0.25">
      <c r="A8320">
        <f ca="1">31358.9559598541*((RANDBETWEEN(1587,2416)))</f>
        <v>74163930.845054999</v>
      </c>
      <c r="B8320">
        <v>233336750.6881811</v>
      </c>
    </row>
    <row r="8321" spans="1:2" x14ac:dyDescent="0.25">
      <c r="A8321">
        <f ca="1">26880.6842347344*((RANDBETWEEN(1587,2416)))</f>
        <v>43116617.51251395</v>
      </c>
      <c r="B8321">
        <v>211894850.23050663</v>
      </c>
    </row>
    <row r="8322" spans="1:2" x14ac:dyDescent="0.25">
      <c r="A8322">
        <f ca="1">33966.9720920629*((RANDBETWEEN(1587,2416)))</f>
        <v>59713936.937846601</v>
      </c>
      <c r="B8322">
        <v>267258342.07547015</v>
      </c>
    </row>
    <row r="8323" spans="1:2" x14ac:dyDescent="0.25">
      <c r="A8323">
        <f ca="1">26844.5363800836*((RANDBETWEEN(1587,2416)))</f>
        <v>51756266.140801184</v>
      </c>
      <c r="B8323">
        <v>234163154.28887457</v>
      </c>
    </row>
    <row r="8324" spans="1:2" x14ac:dyDescent="0.25">
      <c r="A8324">
        <f ca="1">33399.1658393692*((RANDBETWEEN(1587,2416)))</f>
        <v>70004651.599317744</v>
      </c>
      <c r="B8324">
        <v>232596338.56113887</v>
      </c>
    </row>
    <row r="8325" spans="1:2" x14ac:dyDescent="0.25">
      <c r="A8325">
        <f ca="1">28261.7580083107*((RANDBETWEEN(1587,2416)))</f>
        <v>46801471.261762537</v>
      </c>
      <c r="B8325">
        <v>222926881.7848753</v>
      </c>
    </row>
    <row r="8326" spans="1:2" x14ac:dyDescent="0.25">
      <c r="A8326">
        <f ca="1">26611.1483533106*((RANDBETWEEN(1587,2416)))</f>
        <v>51705461.250482447</v>
      </c>
      <c r="B8326">
        <v>257021568.73557544</v>
      </c>
    </row>
    <row r="8327" spans="1:2" x14ac:dyDescent="0.25">
      <c r="A8327">
        <f ca="1">30880.9004277679*((RANDBETWEEN(1587,2416)))</f>
        <v>66023365.114567809</v>
      </c>
      <c r="B8327">
        <v>258320194.68653655</v>
      </c>
    </row>
    <row r="8328" spans="1:2" x14ac:dyDescent="0.25">
      <c r="A8328">
        <f ca="1">28417.1388967045*((RANDBETWEEN(1587,2416)))</f>
        <v>54475655.264982529</v>
      </c>
      <c r="B8328">
        <v>257021448.4161523</v>
      </c>
    </row>
    <row r="8329" spans="1:2" x14ac:dyDescent="0.25">
      <c r="A8329">
        <f ca="1">33696.5453425275*((RANDBETWEEN(1587,2416)))</f>
        <v>62338608.883675829</v>
      </c>
      <c r="B8329">
        <v>223737786.33218282</v>
      </c>
    </row>
    <row r="8330" spans="1:2" x14ac:dyDescent="0.25">
      <c r="A8330">
        <f ca="1">32133.9440629877*((RANDBETWEEN(1587,2416)))</f>
        <v>76800126.310540542</v>
      </c>
      <c r="B8330">
        <v>206368012.90443727</v>
      </c>
    </row>
    <row r="8331" spans="1:2" x14ac:dyDescent="0.25">
      <c r="A8331">
        <f ca="1">27594.4208197133*((RANDBETWEEN(1587,2416)))</f>
        <v>56623751.52205161</v>
      </c>
      <c r="B8331">
        <v>217737379.87769067</v>
      </c>
    </row>
    <row r="8332" spans="1:2" x14ac:dyDescent="0.25">
      <c r="A8332">
        <f ca="1">32417.6152465788*((RANDBETWEEN(1587,2416)))</f>
        <v>74722603.143364236</v>
      </c>
      <c r="B8332">
        <v>223308758.9513174</v>
      </c>
    </row>
    <row r="8333" spans="1:2" x14ac:dyDescent="0.25">
      <c r="A8333">
        <f ca="1">31233.5960619596*((RANDBETWEEN(1587,2416)))</f>
        <v>60686877.148387574</v>
      </c>
      <c r="B8333">
        <v>240953935.31656009</v>
      </c>
    </row>
    <row r="8334" spans="1:2" x14ac:dyDescent="0.25">
      <c r="A8334">
        <f ca="1">29170.5461060602*((RANDBETWEEN(1587,2416)))</f>
        <v>55569890.33204481</v>
      </c>
      <c r="B8334">
        <v>225486730.27120286</v>
      </c>
    </row>
    <row r="8335" spans="1:2" x14ac:dyDescent="0.25">
      <c r="A8335">
        <f ca="1">27919.6368739796*((RANDBETWEEN(1587,2416)))</f>
        <v>62679584.782084197</v>
      </c>
      <c r="B8335">
        <v>205149848.2257421</v>
      </c>
    </row>
    <row r="8336" spans="1:2" x14ac:dyDescent="0.25">
      <c r="A8336">
        <f ca="1">33380.6529761998*((RANDBETWEEN(1587,2416)))</f>
        <v>71568119.980972394</v>
      </c>
      <c r="B8336">
        <v>208862248.04799107</v>
      </c>
    </row>
    <row r="8337" spans="1:2" x14ac:dyDescent="0.25">
      <c r="A8337">
        <f ca="1">31762.8364091023*((RANDBETWEEN(1587,2416)))</f>
        <v>52281628.729382455</v>
      </c>
      <c r="B8337">
        <v>260146467.80165917</v>
      </c>
    </row>
    <row r="8338" spans="1:2" x14ac:dyDescent="0.25">
      <c r="A8338">
        <f ca="1">30372.2488195679*((RANDBETWEEN(1587,2416)))</f>
        <v>55733076.583907075</v>
      </c>
      <c r="B8338">
        <v>266409420.18139529</v>
      </c>
    </row>
    <row r="8339" spans="1:2" x14ac:dyDescent="0.25">
      <c r="A8339">
        <f ca="1">30097.7065707502*((RANDBETWEEN(1587,2416)))</f>
        <v>62573131.960589722</v>
      </c>
      <c r="B8339">
        <v>214885545.42638156</v>
      </c>
    </row>
    <row r="8340" spans="1:2" x14ac:dyDescent="0.25">
      <c r="A8340">
        <f ca="1">27473.8007737073*((RANDBETWEEN(1587,2416)))</f>
        <v>65579962.446839392</v>
      </c>
      <c r="B8340">
        <v>228473733.04820722</v>
      </c>
    </row>
    <row r="8341" spans="1:2" x14ac:dyDescent="0.25">
      <c r="A8341">
        <f ca="1">31343.5791499897*((RANDBETWEEN(1587,2416)))</f>
        <v>59834892.597330332</v>
      </c>
      <c r="B8341">
        <v>208679743.50637501</v>
      </c>
    </row>
    <row r="8342" spans="1:2" x14ac:dyDescent="0.25">
      <c r="A8342">
        <f ca="1">30330.6545899694*((RANDBETWEEN(1587,2416)))</f>
        <v>62026188.636487402</v>
      </c>
      <c r="B8342">
        <v>209111449.06693542</v>
      </c>
    </row>
    <row r="8343" spans="1:2" x14ac:dyDescent="0.25">
      <c r="A8343">
        <f ca="1">32503.9068701002*((RANDBETWEEN(1587,2416)))</f>
        <v>77846856.953889966</v>
      </c>
      <c r="B8343">
        <v>220724908.90698692</v>
      </c>
    </row>
    <row r="8344" spans="1:2" x14ac:dyDescent="0.25">
      <c r="A8344">
        <f ca="1">30249.3267238256*((RANDBETWEEN(1587,2416)))</f>
        <v>51968343.311532311</v>
      </c>
      <c r="B8344">
        <v>255103732.91682908</v>
      </c>
    </row>
    <row r="8345" spans="1:2" x14ac:dyDescent="0.25">
      <c r="A8345">
        <f ca="1">28603.9510241642*((RANDBETWEEN(1587,2416)))</f>
        <v>68535066.653897464</v>
      </c>
      <c r="B8345">
        <v>215853687.65745252</v>
      </c>
    </row>
    <row r="8346" spans="1:2" x14ac:dyDescent="0.25">
      <c r="A8346">
        <f ca="1">26868.1081497054*((RANDBETWEEN(1587,2416)))</f>
        <v>51076273.592589937</v>
      </c>
      <c r="B8346">
        <v>251729439.21290007</v>
      </c>
    </row>
    <row r="8347" spans="1:2" x14ac:dyDescent="0.25">
      <c r="A8347">
        <f ca="1">27329.1940023721*((RANDBETWEEN(1587,2416)))</f>
        <v>63130438.145479545</v>
      </c>
      <c r="B8347">
        <v>237803235.65914136</v>
      </c>
    </row>
    <row r="8348" spans="1:2" x14ac:dyDescent="0.25">
      <c r="A8348">
        <f ca="1">32842.749614887*((RANDBETWEEN(1587,2416)))</f>
        <v>65389914.483240001</v>
      </c>
      <c r="B8348">
        <v>226276613.14040172</v>
      </c>
    </row>
    <row r="8349" spans="1:2" x14ac:dyDescent="0.25">
      <c r="A8349">
        <f ca="1">30218.1488095792*((RANDBETWEEN(1587,2416)))</f>
        <v>67023854.059646711</v>
      </c>
      <c r="B8349">
        <v>220955670.86983082</v>
      </c>
    </row>
    <row r="8350" spans="1:2" x14ac:dyDescent="0.25">
      <c r="A8350">
        <f ca="1">28173.3997161644*((RANDBETWEEN(1587,2416)))</f>
        <v>63840923.756828517</v>
      </c>
      <c r="B8350">
        <v>233256284.69882876</v>
      </c>
    </row>
    <row r="8351" spans="1:2" x14ac:dyDescent="0.25">
      <c r="A8351">
        <f ca="1">28442.6501191358*((RANDBETWEEN(1587,2416)))</f>
        <v>54865872.079812936</v>
      </c>
      <c r="B8351">
        <v>220670493.42281502</v>
      </c>
    </row>
    <row r="8352" spans="1:2" x14ac:dyDescent="0.25">
      <c r="A8352">
        <f ca="1">29452.1482351654*((RANDBETWEEN(1587,2416)))</f>
        <v>51423450.818598762</v>
      </c>
      <c r="B8352">
        <v>213643796.70634076</v>
      </c>
    </row>
    <row r="8353" spans="1:2" x14ac:dyDescent="0.25">
      <c r="A8353">
        <f ca="1">26495.5423462951*((RANDBETWEEN(1587,2416)))</f>
        <v>50394521.542653337</v>
      </c>
      <c r="B8353">
        <v>224081947.91616309</v>
      </c>
    </row>
    <row r="8354" spans="1:2" x14ac:dyDescent="0.25">
      <c r="A8354">
        <f ca="1">28565.9482999798*((RANDBETWEEN(1587,2416)))</f>
        <v>59702831.946957827</v>
      </c>
      <c r="B8354">
        <v>222404942.25439858</v>
      </c>
    </row>
    <row r="8355" spans="1:2" x14ac:dyDescent="0.25">
      <c r="A8355">
        <f ca="1">29426.8885632928*((RANDBETWEEN(1587,2416)))</f>
        <v>52821264.971110642</v>
      </c>
      <c r="B8355">
        <v>229203368.32047668</v>
      </c>
    </row>
    <row r="8356" spans="1:2" x14ac:dyDescent="0.25">
      <c r="A8356">
        <f ca="1">30928.6754861198*((RANDBETWEEN(1587,2416)))</f>
        <v>49393094.751333281</v>
      </c>
      <c r="B8356">
        <v>258940509.40397578</v>
      </c>
    </row>
    <row r="8357" spans="1:2" x14ac:dyDescent="0.25">
      <c r="A8357">
        <f ca="1">29648.2663131912*((RANDBETWEEN(1587,2416)))</f>
        <v>59711608.354767062</v>
      </c>
      <c r="B8357">
        <v>223162653.3371599</v>
      </c>
    </row>
    <row r="8358" spans="1:2" x14ac:dyDescent="0.25">
      <c r="A8358">
        <f ca="1">29532.9275987579*((RANDBETWEEN(1587,2416)))</f>
        <v>60188106.446268663</v>
      </c>
      <c r="B8358">
        <v>238915737.53422213</v>
      </c>
    </row>
    <row r="8359" spans="1:2" x14ac:dyDescent="0.25">
      <c r="A8359">
        <f ca="1">33456.8684384761*((RANDBETWEEN(1587,2416)))</f>
        <v>69423002.009837851</v>
      </c>
      <c r="B8359">
        <v>222203522.71960208</v>
      </c>
    </row>
    <row r="8360" spans="1:2" x14ac:dyDescent="0.25">
      <c r="A8360">
        <f ca="1">26296.2589212106*((RANDBETWEEN(1587,2416)))</f>
        <v>52881776.690554522</v>
      </c>
      <c r="B8360">
        <v>230223833.96349922</v>
      </c>
    </row>
    <row r="8361" spans="1:2" x14ac:dyDescent="0.25">
      <c r="A8361">
        <f ca="1">35183.3604923264*((RANDBETWEEN(1587,2416)))</f>
        <v>84053048.216167778</v>
      </c>
      <c r="B8361">
        <v>243018812.06014651</v>
      </c>
    </row>
    <row r="8362" spans="1:2" x14ac:dyDescent="0.25">
      <c r="A8362">
        <f ca="1">31400.2184852644*((RANDBETWEEN(1587,2416)))</f>
        <v>55703987.592859022</v>
      </c>
      <c r="B8362">
        <v>253960182.74793577</v>
      </c>
    </row>
    <row r="8363" spans="1:2" x14ac:dyDescent="0.25">
      <c r="A8363">
        <f ca="1">31938.4359763723*((RANDBETWEEN(1587,2416)))</f>
        <v>67390099.910145611</v>
      </c>
      <c r="B8363">
        <v>258285868.69348842</v>
      </c>
    </row>
    <row r="8364" spans="1:2" x14ac:dyDescent="0.25">
      <c r="A8364">
        <f ca="1">30923.2977684661*((RANDBETWEEN(1587,2416)))</f>
        <v>55259933.11224883</v>
      </c>
      <c r="B8364">
        <v>248929731.11393136</v>
      </c>
    </row>
    <row r="8365" spans="1:2" x14ac:dyDescent="0.25">
      <c r="A8365">
        <f ca="1">30888.7762082898*((RANDBETWEEN(1587,2416)))</f>
        <v>74318395.557145238</v>
      </c>
      <c r="B8365">
        <v>249223603.25793356</v>
      </c>
    </row>
    <row r="8366" spans="1:2" x14ac:dyDescent="0.25">
      <c r="A8366">
        <f ca="1">29162.2592707753*((RANDBETWEEN(1587,2416)))</f>
        <v>56137349.096242502</v>
      </c>
      <c r="B8366">
        <v>259690847.62182346</v>
      </c>
    </row>
    <row r="8367" spans="1:2" x14ac:dyDescent="0.25">
      <c r="A8367">
        <f ca="1">33054.748297452*((RANDBETWEEN(1587,2416)))</f>
        <v>74968169.138621062</v>
      </c>
      <c r="B8367">
        <v>265792352.16109449</v>
      </c>
    </row>
    <row r="8368" spans="1:2" x14ac:dyDescent="0.25">
      <c r="A8368">
        <f ca="1">26292.9057343732*((RANDBETWEEN(1587,2416)))</f>
        <v>60736612.246402115</v>
      </c>
      <c r="B8368">
        <v>215297416.82054445</v>
      </c>
    </row>
    <row r="8369" spans="1:2" x14ac:dyDescent="0.25">
      <c r="A8369">
        <f ca="1">29225.024695512*((RANDBETWEEN(1587,2416)))</f>
        <v>48571991.043940872</v>
      </c>
      <c r="B8369">
        <v>253482150.32431906</v>
      </c>
    </row>
    <row r="8370" spans="1:2" x14ac:dyDescent="0.25">
      <c r="A8370">
        <f ca="1">32496.7407640007*((RANDBETWEEN(1587,2416)))</f>
        <v>55569426.706441231</v>
      </c>
      <c r="B8370">
        <v>249807798.45722625</v>
      </c>
    </row>
    <row r="8371" spans="1:2" x14ac:dyDescent="0.25">
      <c r="A8371">
        <f ca="1">27801.9769891586*((RANDBETWEEN(1587,2416)))</f>
        <v>66863754.658926494</v>
      </c>
      <c r="B8371">
        <v>216127207.32204884</v>
      </c>
    </row>
    <row r="8372" spans="1:2" x14ac:dyDescent="0.25">
      <c r="A8372">
        <f ca="1">31165.67952866*((RANDBETWEEN(1587,2416)))</f>
        <v>68844986.078809932</v>
      </c>
      <c r="B8372">
        <v>254172372.39766881</v>
      </c>
    </row>
    <row r="8373" spans="1:2" x14ac:dyDescent="0.25">
      <c r="A8373">
        <f ca="1">28642.8151193042*((RANDBETWEEN(1587,2416)))</f>
        <v>60636839.607567005</v>
      </c>
      <c r="B8373">
        <v>223102175.15678498</v>
      </c>
    </row>
    <row r="8374" spans="1:2" x14ac:dyDescent="0.25">
      <c r="A8374">
        <f ca="1">31028.3865046773*((RANDBETWEEN(1587,2416)))</f>
        <v>54144534.450661816</v>
      </c>
      <c r="B8374">
        <v>226410688.62654474</v>
      </c>
    </row>
    <row r="8375" spans="1:2" x14ac:dyDescent="0.25">
      <c r="A8375">
        <f ca="1">28745.581443526*((RANDBETWEEN(1587,2416)))</f>
        <v>69420579.186115265</v>
      </c>
      <c r="B8375">
        <v>241628987.79156142</v>
      </c>
    </row>
    <row r="8376" spans="1:2" x14ac:dyDescent="0.25">
      <c r="A8376">
        <f ca="1">26730.2506471084*((RANDBETWEEN(1587,2416)))</f>
        <v>46938320.136322312</v>
      </c>
      <c r="B8376">
        <v>230010654.07477236</v>
      </c>
    </row>
    <row r="8377" spans="1:2" x14ac:dyDescent="0.25">
      <c r="A8377">
        <f ca="1">27878.2627630388*((RANDBETWEEN(1587,2416)))</f>
        <v>65681187.069719501</v>
      </c>
      <c r="B8377">
        <v>249156788.07837659</v>
      </c>
    </row>
    <row r="8378" spans="1:2" x14ac:dyDescent="0.25">
      <c r="A8378">
        <f ca="1">31388.9336738351*((RANDBETWEEN(1587,2416)))</f>
        <v>61333976.39867384</v>
      </c>
      <c r="B8378">
        <v>259517506.58063936</v>
      </c>
    </row>
    <row r="8379" spans="1:2" x14ac:dyDescent="0.25">
      <c r="A8379">
        <f ca="1">27301.6124556954*((RANDBETWEEN(1587,2416)))</f>
        <v>63530852.184403226</v>
      </c>
      <c r="B8379">
        <v>204488746.5124808</v>
      </c>
    </row>
    <row r="8380" spans="1:2" x14ac:dyDescent="0.25">
      <c r="A8380">
        <f ca="1">32833.58354364*((RANDBETWEEN(1587,2416)))</f>
        <v>76994753.409835801</v>
      </c>
      <c r="B8380">
        <v>253215324.76482317</v>
      </c>
    </row>
    <row r="8381" spans="1:2" x14ac:dyDescent="0.25">
      <c r="A8381">
        <f ca="1">30098.12324243*((RANDBETWEEN(1587,2416)))</f>
        <v>50414356.431070238</v>
      </c>
      <c r="B8381">
        <v>258233367.7939083</v>
      </c>
    </row>
    <row r="8382" spans="1:2" x14ac:dyDescent="0.25">
      <c r="A8382">
        <f ca="1">32381.3847556048*((RANDBETWEEN(1587,2416)))</f>
        <v>57153144.093642384</v>
      </c>
      <c r="B8382">
        <v>234577395.48911658</v>
      </c>
    </row>
    <row r="8383" spans="1:2" x14ac:dyDescent="0.25">
      <c r="A8383">
        <f ca="1">26572.5810981766*((RANDBETWEEN(1587,2416)))</f>
        <v>47538347.584637851</v>
      </c>
      <c r="B8383">
        <v>219604999.59159386</v>
      </c>
    </row>
    <row r="8384" spans="1:2" x14ac:dyDescent="0.25">
      <c r="A8384">
        <f ca="1">31583.5132898843*((RANDBETWEEN(1587,2416)))</f>
        <v>63956614.412015744</v>
      </c>
      <c r="B8384">
        <v>265504833.99399933</v>
      </c>
    </row>
    <row r="8385" spans="1:2" x14ac:dyDescent="0.25">
      <c r="A8385">
        <f ca="1">30282.4104509915*((RANDBETWEEN(1587,2416)))</f>
        <v>60473973.67063009</v>
      </c>
      <c r="B8385">
        <v>211038910.85239804</v>
      </c>
    </row>
    <row r="8386" spans="1:2" x14ac:dyDescent="0.25">
      <c r="A8386">
        <f ca="1">27740.4859952497*((RANDBETWEEN(1587,2416)))</f>
        <v>65134661.116846316</v>
      </c>
      <c r="B8386">
        <v>232856870.24607965</v>
      </c>
    </row>
    <row r="8387" spans="1:2" x14ac:dyDescent="0.25">
      <c r="A8387">
        <f ca="1">27708.5025243849*((RANDBETWEEN(1587,2416)))</f>
        <v>57605976.748196296</v>
      </c>
      <c r="B8387">
        <v>212253459.17148754</v>
      </c>
    </row>
    <row r="8388" spans="1:2" x14ac:dyDescent="0.25">
      <c r="A8388">
        <f ca="1">29945.3938362432*((RANDBETWEEN(1587,2416)))</f>
        <v>65340849.350682676</v>
      </c>
      <c r="B8388">
        <v>253225768.58564094</v>
      </c>
    </row>
    <row r="8389" spans="1:2" x14ac:dyDescent="0.25">
      <c r="A8389">
        <f ca="1">26797.8655061757*((RANDBETWEEN(1587,2416)))</f>
        <v>44511254.605757862</v>
      </c>
      <c r="B8389">
        <v>220868849.32136863</v>
      </c>
    </row>
    <row r="8390" spans="1:2" x14ac:dyDescent="0.25">
      <c r="A8390">
        <f ca="1">30610.6456822654*((RANDBETWEEN(1587,2416)))</f>
        <v>53078859.613048181</v>
      </c>
      <c r="B8390">
        <v>209708887.47601834</v>
      </c>
    </row>
    <row r="8391" spans="1:2" x14ac:dyDescent="0.25">
      <c r="A8391">
        <f ca="1">27049.2432965003*((RANDBETWEEN(1587,2416)))</f>
        <v>63592770.990072131</v>
      </c>
      <c r="B8391">
        <v>210737102.30445755</v>
      </c>
    </row>
    <row r="8392" spans="1:2" x14ac:dyDescent="0.25">
      <c r="A8392">
        <f ca="1">34214.705393689*((RANDBETWEEN(1587,2416)))</f>
        <v>72295672.496864885</v>
      </c>
      <c r="B8392">
        <v>255169648.05119729</v>
      </c>
    </row>
    <row r="8393" spans="1:2" x14ac:dyDescent="0.25">
      <c r="A8393">
        <f ca="1">31744.5697070115*((RANDBETWEEN(1587,2416)))</f>
        <v>53394366.247193269</v>
      </c>
      <c r="B8393">
        <v>229002783.45810321</v>
      </c>
    </row>
    <row r="8394" spans="1:2" x14ac:dyDescent="0.25">
      <c r="A8394">
        <f ca="1">31483.1808294138*((RANDBETWEEN(1587,2416)))</f>
        <v>59345795.863445051</v>
      </c>
      <c r="B8394">
        <v>232932674.41646522</v>
      </c>
    </row>
    <row r="8395" spans="1:2" x14ac:dyDescent="0.25">
      <c r="A8395">
        <f ca="1">28523.3701873123*((RANDBETWEEN(1587,2416)))</f>
        <v>47149130.919627152</v>
      </c>
      <c r="B8395">
        <v>225605194.22243458</v>
      </c>
    </row>
    <row r="8396" spans="1:2" x14ac:dyDescent="0.25">
      <c r="A8396">
        <f ca="1">30515.0798469183*((RANDBETWEEN(1587,2416)))</f>
        <v>61457370.811693415</v>
      </c>
      <c r="B8396">
        <v>240474637.50469592</v>
      </c>
    </row>
    <row r="8397" spans="1:2" x14ac:dyDescent="0.25">
      <c r="A8397">
        <f ca="1">30304.4486443264*((RANDBETWEEN(1587,2416)))</f>
        <v>57457234.629642859</v>
      </c>
      <c r="B8397">
        <v>257383622.57180038</v>
      </c>
    </row>
    <row r="8398" spans="1:2" x14ac:dyDescent="0.25">
      <c r="A8398">
        <f ca="1">26333.2134154214*((RANDBETWEEN(1587,2416)))</f>
        <v>50928434.745424896</v>
      </c>
      <c r="B8398">
        <v>256005172.62945768</v>
      </c>
    </row>
    <row r="8399" spans="1:2" x14ac:dyDescent="0.25">
      <c r="A8399">
        <f ca="1">32986.2617633914*((RANDBETWEEN(1587,2416)))</f>
        <v>60694721.644640215</v>
      </c>
      <c r="B8399">
        <v>245228069.86601692</v>
      </c>
    </row>
    <row r="8400" spans="1:2" x14ac:dyDescent="0.25">
      <c r="A8400">
        <f ca="1">31631.4316733406*((RANDBETWEEN(1587,2416)))</f>
        <v>63927123.411821268</v>
      </c>
      <c r="B8400">
        <v>213694355.93400866</v>
      </c>
    </row>
    <row r="8401" spans="1:2" x14ac:dyDescent="0.25">
      <c r="A8401">
        <f ca="1">32817.1839525446*((RANDBETWEEN(1587,2416)))</f>
        <v>52376225.58826118</v>
      </c>
      <c r="B8401">
        <v>264611184.57770577</v>
      </c>
    </row>
    <row r="8402" spans="1:2" x14ac:dyDescent="0.25">
      <c r="A8402">
        <f ca="1">28228.4135021361*((RANDBETWEEN(1587,2416)))</f>
        <v>53492843.586547822</v>
      </c>
      <c r="B8402">
        <v>207163436.13149995</v>
      </c>
    </row>
    <row r="8403" spans="1:2" x14ac:dyDescent="0.25">
      <c r="A8403">
        <f ca="1">31251.8860794641*((RANDBETWEEN(1587,2416)))</f>
        <v>66066487.171987131</v>
      </c>
      <c r="B8403">
        <v>260268627.3109861</v>
      </c>
    </row>
    <row r="8404" spans="1:2" x14ac:dyDescent="0.25">
      <c r="A8404">
        <f ca="1">28061.5226569995*((RANDBETWEEN(1587,2416)))</f>
        <v>60753196.552403867</v>
      </c>
      <c r="B8404">
        <v>224947492.57782462</v>
      </c>
    </row>
    <row r="8405" spans="1:2" x14ac:dyDescent="0.25">
      <c r="A8405">
        <f ca="1">29638.1513702141*((RANDBETWEEN(1587,2416)))</f>
        <v>63218176.872666687</v>
      </c>
      <c r="B8405">
        <v>260104107.63399816</v>
      </c>
    </row>
    <row r="8406" spans="1:2" x14ac:dyDescent="0.25">
      <c r="A8406">
        <f ca="1">27664.9003381011*((RANDBETWEEN(1587,2416)))</f>
        <v>65150840.296227992</v>
      </c>
      <c r="B8406">
        <v>240763821.17769399</v>
      </c>
    </row>
    <row r="8407" spans="1:2" x14ac:dyDescent="0.25">
      <c r="A8407">
        <f ca="1">28464.0563554669*((RANDBETWEEN(1587,2416)))</f>
        <v>47051085.155586727</v>
      </c>
      <c r="B8407">
        <v>229882984.88546079</v>
      </c>
    </row>
    <row r="8408" spans="1:2" x14ac:dyDescent="0.25">
      <c r="A8408">
        <f ca="1">29642.3584676182*((RANDBETWEEN(1587,2416)))</f>
        <v>51933412.035267077</v>
      </c>
      <c r="B8408">
        <v>222356911.32208985</v>
      </c>
    </row>
    <row r="8409" spans="1:2" x14ac:dyDescent="0.25">
      <c r="A8409">
        <f ca="1">31152.7655730106*((RANDBETWEEN(1587,2416)))</f>
        <v>65638877.062333308</v>
      </c>
      <c r="B8409">
        <v>234607388.04028553</v>
      </c>
    </row>
    <row r="8410" spans="1:2" x14ac:dyDescent="0.25">
      <c r="A8410">
        <f ca="1">30096.3479324186*((RANDBETWEEN(1587,2416)))</f>
        <v>49568685.044693507</v>
      </c>
      <c r="B8410">
        <v>246200376.43395984</v>
      </c>
    </row>
    <row r="8411" spans="1:2" x14ac:dyDescent="0.25">
      <c r="A8411">
        <f ca="1">28580.2608983482*((RANDBETWEEN(1587,2416)))</f>
        <v>48815085.614378721</v>
      </c>
      <c r="B8411">
        <v>203789071.36739898</v>
      </c>
    </row>
    <row r="8412" spans="1:2" x14ac:dyDescent="0.25">
      <c r="A8412">
        <f ca="1">27977.9317168788*((RANDBETWEEN(1587,2416)))</f>
        <v>58613766.946860984</v>
      </c>
      <c r="B8412">
        <v>207431027.4111321</v>
      </c>
    </row>
    <row r="8413" spans="1:2" x14ac:dyDescent="0.25">
      <c r="A8413">
        <f ca="1">29797.8209812721*((RANDBETWEEN(1587,2416)))</f>
        <v>53129514.809608206</v>
      </c>
      <c r="B8413">
        <v>251757070.42078042</v>
      </c>
    </row>
    <row r="8414" spans="1:2" x14ac:dyDescent="0.25">
      <c r="A8414">
        <f ca="1">28995.4394622499*((RANDBETWEEN(1587,2416)))</f>
        <v>66428551.808014482</v>
      </c>
      <c r="B8414">
        <v>219615323.97507954</v>
      </c>
    </row>
    <row r="8415" spans="1:2" x14ac:dyDescent="0.25">
      <c r="A8415">
        <f ca="1">30876.7299033524*((RANDBETWEEN(1587,2416)))</f>
        <v>54435674.819610231</v>
      </c>
      <c r="B8415">
        <v>253414958.06696969</v>
      </c>
    </row>
    <row r="8416" spans="1:2" x14ac:dyDescent="0.25">
      <c r="A8416">
        <f ca="1">33021.084010193*((RANDBETWEEN(1587,2416)))</f>
        <v>58051065.689919308</v>
      </c>
      <c r="B8416">
        <v>205715459.63436028</v>
      </c>
    </row>
    <row r="8417" spans="1:2" x14ac:dyDescent="0.25">
      <c r="A8417">
        <f ca="1">31608.2759938629*((RANDBETWEEN(1587,2416)))</f>
        <v>70391630.638332695</v>
      </c>
      <c r="B8417">
        <v>243477631.17353266</v>
      </c>
    </row>
    <row r="8418" spans="1:2" x14ac:dyDescent="0.25">
      <c r="A8418">
        <f ca="1">30643.1216213761*((RANDBETWEEN(1587,2416)))</f>
        <v>51633659.932018749</v>
      </c>
      <c r="B8418">
        <v>216624724.72298151</v>
      </c>
    </row>
    <row r="8419" spans="1:2" x14ac:dyDescent="0.25">
      <c r="A8419">
        <f ca="1">24131.9265432103*((RANDBETWEEN(1587,2416)))</f>
        <v>49277394.001235493</v>
      </c>
      <c r="B8419">
        <v>239657073.20527071</v>
      </c>
    </row>
    <row r="8420" spans="1:2" x14ac:dyDescent="0.25">
      <c r="A8420">
        <f ca="1">27450.4439048168*((RANDBETWEEN(1587,2416)))</f>
        <v>53198960.287534922</v>
      </c>
      <c r="B8420">
        <v>218712575.34142593</v>
      </c>
    </row>
    <row r="8421" spans="1:2" x14ac:dyDescent="0.25">
      <c r="A8421">
        <f ca="1">30599.7739203177*((RANDBETWEEN(1587,2416)))</f>
        <v>53702603.230157502</v>
      </c>
      <c r="B8421">
        <v>257326870.79153591</v>
      </c>
    </row>
    <row r="8422" spans="1:2" x14ac:dyDescent="0.25">
      <c r="A8422">
        <f ca="1">31410.6063485485*((RANDBETWEEN(1587,2416)))</f>
        <v>70893738.528673857</v>
      </c>
      <c r="B8422">
        <v>260283698.00830114</v>
      </c>
    </row>
    <row r="8423" spans="1:2" x14ac:dyDescent="0.25">
      <c r="A8423">
        <f ca="1">28187.198929449*((RANDBETWEEN(1587,2416)))</f>
        <v>65619799.1077573</v>
      </c>
      <c r="B8423">
        <v>263881564.49135017</v>
      </c>
    </row>
    <row r="8424" spans="1:2" x14ac:dyDescent="0.25">
      <c r="A8424">
        <f ca="1">28036.6758310296*((RANDBETWEEN(1587,2416)))</f>
        <v>55624764.848762818</v>
      </c>
      <c r="B8424">
        <v>237223552.20657876</v>
      </c>
    </row>
    <row r="8425" spans="1:2" x14ac:dyDescent="0.25">
      <c r="A8425">
        <f ca="1">30713.4820368176*((RANDBETWEEN(1587,2416)))</f>
        <v>51997925.088332273</v>
      </c>
      <c r="B8425">
        <v>227845744.08928481</v>
      </c>
    </row>
    <row r="8426" spans="1:2" x14ac:dyDescent="0.25">
      <c r="A8426">
        <f ca="1">28650.2008006673*((RANDBETWEEN(1587,2416)))</f>
        <v>54979735.336480498</v>
      </c>
      <c r="B8426">
        <v>259712913.14978239</v>
      </c>
    </row>
    <row r="8427" spans="1:2" x14ac:dyDescent="0.25">
      <c r="A8427">
        <f ca="1">27826.7350272973*((RANDBETWEEN(1587,2416)))</f>
        <v>61135336.854972146</v>
      </c>
      <c r="B8427">
        <v>213948139.23734793</v>
      </c>
    </row>
    <row r="8428" spans="1:2" x14ac:dyDescent="0.25">
      <c r="A8428">
        <f ca="1">27756.2106072856*((RANDBETWEEN(1587,2416)))</f>
        <v>53541730.261453979</v>
      </c>
      <c r="B8428">
        <v>239304537.83210507</v>
      </c>
    </row>
    <row r="8429" spans="1:2" x14ac:dyDescent="0.25">
      <c r="A8429">
        <f ca="1">28741.0893685249*((RANDBETWEEN(1587,2416)))</f>
        <v>56677428.2347311</v>
      </c>
      <c r="B8429">
        <v>246031963.24189323</v>
      </c>
    </row>
    <row r="8430" spans="1:2" x14ac:dyDescent="0.25">
      <c r="A8430">
        <f ca="1">30682.5561213665*((RANDBETWEEN(1587,2416)))</f>
        <v>61794668.028432034</v>
      </c>
      <c r="B8430">
        <v>212641109.69455814</v>
      </c>
    </row>
    <row r="8431" spans="1:2" x14ac:dyDescent="0.25">
      <c r="A8431">
        <f ca="1">29044.3141808528*((RANDBETWEEN(1587,2416)))</f>
        <v>60150774.668546252</v>
      </c>
      <c r="B8431">
        <v>244286860.0164777</v>
      </c>
    </row>
    <row r="8432" spans="1:2" x14ac:dyDescent="0.25">
      <c r="A8432">
        <f ca="1">27477.6239850785*((RANDBETWEEN(1587,2416)))</f>
        <v>44129064.120036073</v>
      </c>
      <c r="B8432">
        <v>213874427.39215568</v>
      </c>
    </row>
    <row r="8433" spans="1:2" x14ac:dyDescent="0.25">
      <c r="A8433">
        <f ca="1">31847.0949987675*((RANDBETWEEN(1587,2416)))</f>
        <v>53503119.597929373</v>
      </c>
      <c r="B8433">
        <v>234936145.58154148</v>
      </c>
    </row>
    <row r="8434" spans="1:2" x14ac:dyDescent="0.25">
      <c r="A8434">
        <f ca="1">27930.8584934677*((RANDBETWEEN(1587,2416)))</f>
        <v>48543832.061646931</v>
      </c>
      <c r="B8434">
        <v>266792976.47595578</v>
      </c>
    </row>
    <row r="8435" spans="1:2" x14ac:dyDescent="0.25">
      <c r="A8435">
        <f ca="1">27832.8307267821*((RANDBETWEEN(1587,2416)))</f>
        <v>56277983.729553349</v>
      </c>
      <c r="B8435">
        <v>219117599.63858131</v>
      </c>
    </row>
    <row r="8436" spans="1:2" x14ac:dyDescent="0.25">
      <c r="A8436">
        <f ca="1">29542.4326456873*((RANDBETWEEN(1587,2416)))</f>
        <v>50488017.391479574</v>
      </c>
      <c r="B8436">
        <v>266763582.79788524</v>
      </c>
    </row>
    <row r="8437" spans="1:2" x14ac:dyDescent="0.25">
      <c r="A8437">
        <f ca="1">33321.5824399201*((RANDBETWEEN(1587,2416)))</f>
        <v>64677191.515884832</v>
      </c>
      <c r="B8437">
        <v>228529276.43035027</v>
      </c>
    </row>
    <row r="8438" spans="1:2" x14ac:dyDescent="0.25">
      <c r="A8438">
        <f ca="1">27662.7476019595*((RANDBETWEEN(1587,2416)))</f>
        <v>53416765.6193837</v>
      </c>
      <c r="B8438">
        <v>229906214.08025828</v>
      </c>
    </row>
    <row r="8439" spans="1:2" x14ac:dyDescent="0.25">
      <c r="A8439">
        <f ca="1">29262.9556706184*((RANDBETWEEN(1587,2416)))</f>
        <v>53843838.433937922</v>
      </c>
      <c r="B8439">
        <v>233892390.34568349</v>
      </c>
    </row>
    <row r="8440" spans="1:2" x14ac:dyDescent="0.25">
      <c r="A8440">
        <f ca="1">33026.9056108413*((RANDBETWEEN(1587,2416)))</f>
        <v>77051770.790092766</v>
      </c>
      <c r="B8440">
        <v>249546136.31439704</v>
      </c>
    </row>
    <row r="8441" spans="1:2" x14ac:dyDescent="0.25">
      <c r="A8441">
        <f ca="1">30251.7003151034*((RANDBETWEEN(1587,2416)))</f>
        <v>63891591.065498345</v>
      </c>
      <c r="B8441">
        <v>262112164.06885967</v>
      </c>
    </row>
    <row r="8442" spans="1:2" x14ac:dyDescent="0.25">
      <c r="A8442">
        <f ca="1">32456.8395647265*((RANDBETWEEN(1587,2416)))</f>
        <v>54073094.71483437</v>
      </c>
      <c r="B8442">
        <v>246150884.91606736</v>
      </c>
    </row>
    <row r="8443" spans="1:2" x14ac:dyDescent="0.25">
      <c r="A8443">
        <f ca="1">28705.2160013603*((RANDBETWEEN(1587,2416)))</f>
        <v>66222933.315138198</v>
      </c>
      <c r="B8443">
        <v>222065438.56426007</v>
      </c>
    </row>
    <row r="8444" spans="1:2" x14ac:dyDescent="0.25">
      <c r="A8444">
        <f ca="1">24951.4305855462*((RANDBETWEEN(1587,2416)))</f>
        <v>43789760.677633591</v>
      </c>
      <c r="B8444">
        <v>222431715.61980808</v>
      </c>
    </row>
    <row r="8445" spans="1:2" x14ac:dyDescent="0.25">
      <c r="A8445">
        <f ca="1">31547.3241307545*((RANDBETWEEN(1587,2416)))</f>
        <v>56722088.787096515</v>
      </c>
      <c r="B8445">
        <v>210381001.90595743</v>
      </c>
    </row>
    <row r="8446" spans="1:2" x14ac:dyDescent="0.25">
      <c r="A8446">
        <f ca="1">27926.2544079395*((RANDBETWEEN(1587,2416)))</f>
        <v>49876290.372579947</v>
      </c>
      <c r="B8446">
        <v>223643843.71632192</v>
      </c>
    </row>
    <row r="8447" spans="1:2" x14ac:dyDescent="0.25">
      <c r="A8447">
        <f ca="1">30250.1341061085*((RANDBETWEEN(1587,2416)))</f>
        <v>59623014.323139839</v>
      </c>
      <c r="B8447">
        <v>215767806.10659987</v>
      </c>
    </row>
    <row r="8448" spans="1:2" x14ac:dyDescent="0.25">
      <c r="A8448">
        <f ca="1">30137.7839315727*((RANDBETWEEN(1587,2416)))</f>
        <v>70763516.671332732</v>
      </c>
      <c r="B8448">
        <v>242410725.85174331</v>
      </c>
    </row>
    <row r="8449" spans="1:2" x14ac:dyDescent="0.25">
      <c r="A8449">
        <f ca="1">28512.371322165*((RANDBETWEEN(1587,2416)))</f>
        <v>65578454.040979482</v>
      </c>
      <c r="B8449">
        <v>203761015.44729319</v>
      </c>
    </row>
    <row r="8450" spans="1:2" x14ac:dyDescent="0.25">
      <c r="A8450">
        <f ca="1">30896.8047570361*((RANDBETWEEN(1587,2416)))</f>
        <v>50330894.949211821</v>
      </c>
      <c r="B8450">
        <v>238403700.33532453</v>
      </c>
    </row>
    <row r="8451" spans="1:2" x14ac:dyDescent="0.25">
      <c r="A8451">
        <f ca="1">27994.5866433649*((RANDBETWEEN(1587,2416)))</f>
        <v>64723484.319459766</v>
      </c>
      <c r="B8451">
        <v>246302091.84040177</v>
      </c>
    </row>
    <row r="8452" spans="1:2" x14ac:dyDescent="0.25">
      <c r="A8452">
        <f ca="1">30953.4794249506*((RANDBETWEEN(1587,2416)))</f>
        <v>60018796.604979277</v>
      </c>
      <c r="B8452">
        <v>225950658.72724581</v>
      </c>
    </row>
    <row r="8453" spans="1:2" x14ac:dyDescent="0.25">
      <c r="A8453">
        <f ca="1">28785.847987055*((RANDBETWEEN(1587,2416)))</f>
        <v>62436504.283922382</v>
      </c>
      <c r="B8453">
        <v>221953068.29203722</v>
      </c>
    </row>
    <row r="8454" spans="1:2" x14ac:dyDescent="0.25">
      <c r="A8454">
        <f ca="1">26299.5298446646*((RANDBETWEEN(1587,2416)))</f>
        <v>46865762.183192365</v>
      </c>
      <c r="B8454">
        <v>206184226.02502048</v>
      </c>
    </row>
    <row r="8455" spans="1:2" x14ac:dyDescent="0.25">
      <c r="A8455">
        <f ca="1">31123.4978313073*((RANDBETWEEN(1587,2416)))</f>
        <v>66355297.376347199</v>
      </c>
      <c r="B8455">
        <v>211089227.4886682</v>
      </c>
    </row>
    <row r="8456" spans="1:2" x14ac:dyDescent="0.25">
      <c r="A8456">
        <f ca="1">27757.8050368384*((RANDBETWEEN(1587,2416)))</f>
        <v>57597445.451439604</v>
      </c>
      <c r="B8456">
        <v>261714751.78921798</v>
      </c>
    </row>
    <row r="8457" spans="1:2" x14ac:dyDescent="0.25">
      <c r="A8457">
        <f ca="1">31676.0906998443*((RANDBETWEEN(1587,2416)))</f>
        <v>70954443.167651236</v>
      </c>
      <c r="B8457">
        <v>222568978.31691831</v>
      </c>
    </row>
    <row r="8458" spans="1:2" x14ac:dyDescent="0.25">
      <c r="A8458">
        <f ca="1">28805.7647085587*((RANDBETWEEN(1587,2416)))</f>
        <v>47097425.298493557</v>
      </c>
      <c r="B8458">
        <v>215817789.14719903</v>
      </c>
    </row>
    <row r="8459" spans="1:2" x14ac:dyDescent="0.25">
      <c r="A8459">
        <f ca="1">31829.0916968987*((RANDBETWEEN(1587,2416)))</f>
        <v>74129954.562077016</v>
      </c>
      <c r="B8459">
        <v>224545325.0949637</v>
      </c>
    </row>
    <row r="8460" spans="1:2" x14ac:dyDescent="0.25">
      <c r="A8460">
        <f ca="1">28971.3782506294*((RANDBETWEEN(1587,2416)))</f>
        <v>60144581.248306595</v>
      </c>
      <c r="B8460">
        <v>248949053.58942515</v>
      </c>
    </row>
    <row r="8461" spans="1:2" x14ac:dyDescent="0.25">
      <c r="A8461">
        <f ca="1">29294.5018911174*((RANDBETWEEN(1587,2416)))</f>
        <v>70277510.036790729</v>
      </c>
      <c r="B8461">
        <v>235224215.92296767</v>
      </c>
    </row>
    <row r="8462" spans="1:2" x14ac:dyDescent="0.25">
      <c r="A8462">
        <f ca="1">34073.9426340203*((RANDBETWEEN(1587,2416)))</f>
        <v>60856061.544360191</v>
      </c>
      <c r="B8462">
        <v>259910643.96609372</v>
      </c>
    </row>
    <row r="8463" spans="1:2" x14ac:dyDescent="0.25">
      <c r="A8463">
        <f ca="1">29832.7947395385*((RANDBETWEEN(1587,2416)))</f>
        <v>66616630.653389476</v>
      </c>
      <c r="B8463">
        <v>243650240.52520734</v>
      </c>
    </row>
    <row r="8464" spans="1:2" x14ac:dyDescent="0.25">
      <c r="A8464">
        <f ca="1">27933.9649321274*((RANDBETWEEN(1587,2416)))</f>
        <v>58717194.2873317</v>
      </c>
      <c r="B8464">
        <v>257366374.11453682</v>
      </c>
    </row>
    <row r="8465" spans="1:2" x14ac:dyDescent="0.25">
      <c r="A8465">
        <f ca="1">28529.1657267713*((RANDBETWEEN(1587,2416)))</f>
        <v>53007189.920341074</v>
      </c>
      <c r="B8465">
        <v>255402574.34149832</v>
      </c>
    </row>
    <row r="8466" spans="1:2" x14ac:dyDescent="0.25">
      <c r="A8466">
        <f ca="1">28248.6064899328*((RANDBETWEEN(1587,2416)))</f>
        <v>61073487.231234655</v>
      </c>
      <c r="B8466">
        <v>243862272.33349597</v>
      </c>
    </row>
    <row r="8467" spans="1:2" x14ac:dyDescent="0.25">
      <c r="A8467">
        <f ca="1">28452.5719804597*((RANDBETWEEN(1587,2416)))</f>
        <v>46975196.339738943</v>
      </c>
      <c r="B8467">
        <v>228173715.24196124</v>
      </c>
    </row>
    <row r="8468" spans="1:2" x14ac:dyDescent="0.25">
      <c r="A8468">
        <f ca="1">30211.7385459364*((RANDBETWEEN(1587,2416)))</f>
        <v>62991474.868277468</v>
      </c>
      <c r="B8468">
        <v>236073994.08548078</v>
      </c>
    </row>
    <row r="8469" spans="1:2" x14ac:dyDescent="0.25">
      <c r="A8469">
        <f ca="1">29001.7210942297*((RANDBETWEEN(1587,2416)))</f>
        <v>65485886.230770715</v>
      </c>
      <c r="B8469">
        <v>223532420.15083039</v>
      </c>
    </row>
    <row r="8470" spans="1:2" x14ac:dyDescent="0.25">
      <c r="A8470">
        <f ca="1">28771.5293424898*((RANDBETWEEN(1587,2416)))</f>
        <v>67095206.426686309</v>
      </c>
      <c r="B8470">
        <v>242860615.53780591</v>
      </c>
    </row>
    <row r="8471" spans="1:2" x14ac:dyDescent="0.25">
      <c r="A8471">
        <f ca="1">31410.3342790964*((RANDBETWEEN(1587,2416)))</f>
        <v>57952066.744932763</v>
      </c>
      <c r="B8471">
        <v>222017514.44881964</v>
      </c>
    </row>
    <row r="8472" spans="1:2" x14ac:dyDescent="0.25">
      <c r="A8472">
        <f ca="1">31650.450105175*((RANDBETWEEN(1587,2416)))</f>
        <v>52223242.67353867</v>
      </c>
      <c r="B8472">
        <v>216357713.51193914</v>
      </c>
    </row>
    <row r="8473" spans="1:2" x14ac:dyDescent="0.25">
      <c r="A8473">
        <f ca="1">33169.4578788171*((RANDBETWEEN(1587,2416)))</f>
        <v>73669365.948852867</v>
      </c>
      <c r="B8473">
        <v>261162330.22225422</v>
      </c>
    </row>
    <row r="8474" spans="1:2" x14ac:dyDescent="0.25">
      <c r="A8474">
        <f ca="1">27602.4465170658*((RANDBETWEEN(1587,2416)))</f>
        <v>63596036.775319569</v>
      </c>
      <c r="B8474">
        <v>208943036.48329002</v>
      </c>
    </row>
    <row r="8475" spans="1:2" x14ac:dyDescent="0.25">
      <c r="A8475">
        <f ca="1">27043.7376586087*((RANDBETWEEN(1587,2416)))</f>
        <v>46434097.559831224</v>
      </c>
      <c r="B8475">
        <v>217034248.05891472</v>
      </c>
    </row>
    <row r="8476" spans="1:2" x14ac:dyDescent="0.25">
      <c r="A8476">
        <f ca="1">28151.5287585946*((RANDBETWEEN(1587,2416)))</f>
        <v>62496393.844079912</v>
      </c>
      <c r="B8476">
        <v>210473049.74432701</v>
      </c>
    </row>
    <row r="8477" spans="1:2" x14ac:dyDescent="0.25">
      <c r="A8477">
        <f ca="1">26801.0179544347*((RANDBETWEEN(1587,2416)))</f>
        <v>64402846.144506633</v>
      </c>
      <c r="B8477">
        <v>253162247.28001577</v>
      </c>
    </row>
    <row r="8478" spans="1:2" x14ac:dyDescent="0.25">
      <c r="A8478">
        <f ca="1">31261.4846972397*((RANDBETWEEN(1587,2416)))</f>
        <v>63241983.542515844</v>
      </c>
      <c r="B8478">
        <v>238481140.18933487</v>
      </c>
    </row>
    <row r="8479" spans="1:2" x14ac:dyDescent="0.25">
      <c r="A8479">
        <f ca="1">29226.6955437933*((RANDBETWEEN(1587,2416)))</f>
        <v>52432691.80556526</v>
      </c>
      <c r="B8479">
        <v>258963183.76595154</v>
      </c>
    </row>
    <row r="8480" spans="1:2" x14ac:dyDescent="0.25">
      <c r="A8480">
        <f ca="1">34379.4767418796*((RANDBETWEEN(1587,2416)))</f>
        <v>80069801.331837699</v>
      </c>
      <c r="B8480">
        <v>248701428.60382</v>
      </c>
    </row>
    <row r="8481" spans="1:2" x14ac:dyDescent="0.25">
      <c r="A8481">
        <f ca="1">26079.6794141005*((RANDBETWEEN(1587,2416)))</f>
        <v>46108873.204129599</v>
      </c>
      <c r="B8481">
        <v>205246445.35310817</v>
      </c>
    </row>
    <row r="8482" spans="1:2" x14ac:dyDescent="0.25">
      <c r="A8482">
        <f ca="1">27323.7605131675*((RANDBETWEEN(1587,2416)))</f>
        <v>62161555.167456008</v>
      </c>
      <c r="B8482">
        <v>226499814.44157693</v>
      </c>
    </row>
    <row r="8483" spans="1:2" x14ac:dyDescent="0.25">
      <c r="A8483">
        <f ca="1">28226.7636500934*((RANDBETWEEN(1587,2416)))</f>
        <v>49679104.024164334</v>
      </c>
      <c r="B8483">
        <v>236218640.85452789</v>
      </c>
    </row>
    <row r="8484" spans="1:2" x14ac:dyDescent="0.25">
      <c r="A8484">
        <f ca="1">30454.8826917009*((RANDBETWEEN(1587,2416)))</f>
        <v>53905142.364310652</v>
      </c>
      <c r="B8484">
        <v>239522292.37526459</v>
      </c>
    </row>
    <row r="8485" spans="1:2" x14ac:dyDescent="0.25">
      <c r="A8485">
        <f ca="1">28566.2710660611*((RANDBETWEEN(1587,2416)))</f>
        <v>55561397.22348877</v>
      </c>
      <c r="B8485">
        <v>256231444.91000104</v>
      </c>
    </row>
    <row r="8486" spans="1:2" x14ac:dyDescent="0.25">
      <c r="A8486">
        <f ca="1">28621.4482721751*((RANDBETWEEN(1587,2416)))</f>
        <v>68262154.129137725</v>
      </c>
      <c r="B8486">
        <v>221013419.04720438</v>
      </c>
    </row>
    <row r="8487" spans="1:2" x14ac:dyDescent="0.25">
      <c r="A8487">
        <f ca="1">27785.6414759008*((RANDBETWEEN(1587,2416)))</f>
        <v>61850837.925355084</v>
      </c>
      <c r="B8487">
        <v>206208292.55841631</v>
      </c>
    </row>
    <row r="8488" spans="1:2" x14ac:dyDescent="0.25">
      <c r="A8488">
        <f ca="1">33029.3437641578*((RANDBETWEEN(1587,2416)))</f>
        <v>64638425.746456899</v>
      </c>
      <c r="B8488">
        <v>204976063.81961289</v>
      </c>
    </row>
    <row r="8489" spans="1:2" x14ac:dyDescent="0.25">
      <c r="A8489">
        <f ca="1">26735.7648308861*((RANDBETWEEN(1587,2416)))</f>
        <v>61305108.757221743</v>
      </c>
      <c r="B8489">
        <v>242577100.56724328</v>
      </c>
    </row>
    <row r="8490" spans="1:2" x14ac:dyDescent="0.25">
      <c r="A8490">
        <f ca="1">30270.4390904799*((RANDBETWEEN(1587,2416)))</f>
        <v>57665186.467364199</v>
      </c>
      <c r="B8490">
        <v>232360982.0565924</v>
      </c>
    </row>
    <row r="8491" spans="1:2" x14ac:dyDescent="0.25">
      <c r="A8491">
        <f ca="1">27439.6632599916*((RANDBETWEEN(1587,2416)))</f>
        <v>52985989.755043834</v>
      </c>
      <c r="B8491">
        <v>211870526.84714687</v>
      </c>
    </row>
    <row r="8492" spans="1:2" x14ac:dyDescent="0.25">
      <c r="A8492">
        <f ca="1">27059.1657909031*((RANDBETWEEN(1587,2416)))</f>
        <v>61478424.676931791</v>
      </c>
      <c r="B8492">
        <v>210422550.29896688</v>
      </c>
    </row>
    <row r="8493" spans="1:2" x14ac:dyDescent="0.25">
      <c r="A8493">
        <f ca="1">26750.8095793252*((RANDBETWEEN(1587,2416)))</f>
        <v>55882441.211210363</v>
      </c>
      <c r="B8493">
        <v>206799668.78034374</v>
      </c>
    </row>
    <row r="8494" spans="1:2" x14ac:dyDescent="0.25">
      <c r="A8494">
        <f ca="1">32902.3986887895*((RANDBETWEEN(1587,2416)))</f>
        <v>71332400.357295617</v>
      </c>
      <c r="B8494">
        <v>252072560.62306321</v>
      </c>
    </row>
    <row r="8495" spans="1:2" x14ac:dyDescent="0.25">
      <c r="A8495">
        <f ca="1">28417.0472994859*((RANDBETWEEN(1587,2416)))</f>
        <v>54191309.200119637</v>
      </c>
      <c r="B8495">
        <v>226652333.06993335</v>
      </c>
    </row>
    <row r="8496" spans="1:2" x14ac:dyDescent="0.25">
      <c r="A8496">
        <f ca="1">28093.5651556682*((RANDBETWEEN(1587,2416)))</f>
        <v>57507527.873652868</v>
      </c>
      <c r="B8496">
        <v>244442192.04871142</v>
      </c>
    </row>
    <row r="8497" spans="1:2" x14ac:dyDescent="0.25">
      <c r="A8497">
        <f ca="1">28960.3705793106*((RANDBETWEEN(1587,2416)))</f>
        <v>52939557.418979943</v>
      </c>
      <c r="B8497">
        <v>204710546.25444058</v>
      </c>
    </row>
    <row r="8498" spans="1:2" x14ac:dyDescent="0.25">
      <c r="A8498">
        <f ca="1">30986.9457431577*((RANDBETWEEN(1587,2416)))</f>
        <v>69162862.898727909</v>
      </c>
      <c r="B8498">
        <v>260365103.7341572</v>
      </c>
    </row>
    <row r="8499" spans="1:2" x14ac:dyDescent="0.25">
      <c r="A8499">
        <f ca="1">31163.3428026582*((RANDBETWEEN(1587,2416)))</f>
        <v>71551035.074903294</v>
      </c>
      <c r="B8499">
        <v>213263903.39133841</v>
      </c>
    </row>
    <row r="8500" spans="1:2" x14ac:dyDescent="0.25">
      <c r="A8500">
        <f ca="1">28698.5110884699*((RANDBETWEEN(1587,2416)))</f>
        <v>49017056.939106606</v>
      </c>
      <c r="B8500">
        <v>255311592.24760282</v>
      </c>
    </row>
    <row r="8501" spans="1:2" x14ac:dyDescent="0.25">
      <c r="A8501">
        <f ca="1">28195.798367161*((RANDBETWEEN(1587,2416)))</f>
        <v>49765584.118039221</v>
      </c>
      <c r="B8501">
        <v>212453564.48919079</v>
      </c>
    </row>
    <row r="8502" spans="1:2" x14ac:dyDescent="0.25">
      <c r="A8502">
        <f ca="1">29291.7543712644*((RANDBETWEEN(1587,2416)))</f>
        <v>67107409.26456666</v>
      </c>
      <c r="B8502">
        <v>242087720.91487151</v>
      </c>
    </row>
    <row r="8503" spans="1:2" x14ac:dyDescent="0.25">
      <c r="A8503">
        <f ca="1">28022.371191196*((RANDBETWEEN(1587,2416)))</f>
        <v>63134402.293764636</v>
      </c>
      <c r="B8503">
        <v>205861825.18958521</v>
      </c>
    </row>
    <row r="8504" spans="1:2" x14ac:dyDescent="0.25">
      <c r="A8504">
        <f ca="1">28236.4067134004*((RANDBETWEEN(1587,2416)))</f>
        <v>64491952.933406614</v>
      </c>
      <c r="B8504">
        <v>243968611.49300063</v>
      </c>
    </row>
    <row r="8505" spans="1:2" x14ac:dyDescent="0.25">
      <c r="A8505">
        <f ca="1">29465.6944206357*((RANDBETWEEN(1587,2416)))</f>
        <v>52684661.62409658</v>
      </c>
      <c r="B8505">
        <v>229109467.95557365</v>
      </c>
    </row>
    <row r="8506" spans="1:2" x14ac:dyDescent="0.25">
      <c r="A8506">
        <f ca="1">28617.4569068136*((RANDBETWEEN(1587,2416)))</f>
        <v>67651668.127707288</v>
      </c>
      <c r="B8506">
        <v>248890523.68909836</v>
      </c>
    </row>
    <row r="8507" spans="1:2" x14ac:dyDescent="0.25">
      <c r="A8507">
        <f ca="1">32349.6482469618*((RANDBETWEEN(1587,2416)))</f>
        <v>52535828.753065892</v>
      </c>
      <c r="B8507">
        <v>238818797.13504586</v>
      </c>
    </row>
    <row r="8508" spans="1:2" x14ac:dyDescent="0.25">
      <c r="A8508">
        <f ca="1">33851.5869412577*((RANDBETWEEN(1587,2416)))</f>
        <v>78197165.834305182</v>
      </c>
      <c r="B8508">
        <v>250505115.99006182</v>
      </c>
    </row>
    <row r="8509" spans="1:2" x14ac:dyDescent="0.25">
      <c r="A8509">
        <f ca="1">31410.769734543*((RANDBETWEEN(1587,2416)))</f>
        <v>50068766.956861548</v>
      </c>
      <c r="B8509">
        <v>248998528.82640016</v>
      </c>
    </row>
    <row r="8510" spans="1:2" x14ac:dyDescent="0.25">
      <c r="A8510">
        <f ca="1">33198.2670021258*((RANDBETWEEN(1587,2416)))</f>
        <v>78713091.062040225</v>
      </c>
      <c r="B8510">
        <v>243811460.72517586</v>
      </c>
    </row>
    <row r="8511" spans="1:2" x14ac:dyDescent="0.25">
      <c r="A8511">
        <f ca="1">27784.6125013768*((RANDBETWEEN(1587,2416)))</f>
        <v>66377439.265789077</v>
      </c>
      <c r="B8511">
        <v>218149265.5317066</v>
      </c>
    </row>
    <row r="8512" spans="1:2" x14ac:dyDescent="0.25">
      <c r="A8512">
        <f ca="1">27777.2490054438*((RANDBETWEEN(1587,2416)))</f>
        <v>44665816.400753573</v>
      </c>
      <c r="B8512">
        <v>243764718.66707128</v>
      </c>
    </row>
    <row r="8513" spans="1:2" x14ac:dyDescent="0.25">
      <c r="A8513">
        <f ca="1">31496.2463593479*((RANDBETWEEN(1587,2416)))</f>
        <v>61134214.18349421</v>
      </c>
      <c r="B8513">
        <v>205248823.41831321</v>
      </c>
    </row>
    <row r="8514" spans="1:2" x14ac:dyDescent="0.25">
      <c r="A8514">
        <f ca="1">31293.6773175809*((RANDBETWEEN(1587,2416)))</f>
        <v>49850827.966906376</v>
      </c>
      <c r="B8514">
        <v>228659107.38658515</v>
      </c>
    </row>
    <row r="8515" spans="1:2" x14ac:dyDescent="0.25">
      <c r="A8515">
        <f ca="1">30438.3312618683*((RANDBETWEEN(1587,2416)))</f>
        <v>49979739.931987777</v>
      </c>
      <c r="B8515">
        <v>226670576.74789932</v>
      </c>
    </row>
    <row r="8516" spans="1:2" x14ac:dyDescent="0.25">
      <c r="A8516">
        <f ca="1">33336.3764683451*((RANDBETWEEN(1587,2416)))</f>
        <v>66506071.054348551</v>
      </c>
      <c r="B8516">
        <v>209134615.86446047</v>
      </c>
    </row>
    <row r="8517" spans="1:2" x14ac:dyDescent="0.25">
      <c r="A8517">
        <f ca="1">29393.266290856*((RANDBETWEEN(1587,2416)))</f>
        <v>68133591.262204245</v>
      </c>
      <c r="B8517">
        <v>248694767.03497803</v>
      </c>
    </row>
    <row r="8518" spans="1:2" x14ac:dyDescent="0.25">
      <c r="A8518">
        <f ca="1">28596.9622688015*((RANDBETWEEN(1587,2416)))</f>
        <v>58738160.500118256</v>
      </c>
      <c r="B8518">
        <v>225548274.64036351</v>
      </c>
    </row>
    <row r="8519" spans="1:2" x14ac:dyDescent="0.25">
      <c r="A8519">
        <f ca="1">26519.8992761627*((RANDBETWEEN(1587,2416)))</f>
        <v>50891686.710956149</v>
      </c>
      <c r="B8519">
        <v>215967153.73415184</v>
      </c>
    </row>
    <row r="8520" spans="1:2" x14ac:dyDescent="0.25">
      <c r="A8520">
        <f ca="1">26879.3877176299*((RANDBETWEEN(1587,2416)))</f>
        <v>47253963.607593335</v>
      </c>
      <c r="B8520">
        <v>213747900.21664506</v>
      </c>
    </row>
    <row r="8521" spans="1:2" x14ac:dyDescent="0.25">
      <c r="A8521">
        <f ca="1">34801.8921748418*((RANDBETWEEN(1587,2416)))</f>
        <v>80218361.463010296</v>
      </c>
      <c r="B8521">
        <v>248394116.3685329</v>
      </c>
    </row>
    <row r="8522" spans="1:2" x14ac:dyDescent="0.25">
      <c r="A8522">
        <f ca="1">26995.0778689939*((RANDBETWEEN(1587,2416)))</f>
        <v>64113309.938860565</v>
      </c>
      <c r="B8522">
        <v>211608440.91364098</v>
      </c>
    </row>
    <row r="8523" spans="1:2" x14ac:dyDescent="0.25">
      <c r="A8523">
        <f ca="1">32370.873567023*((RANDBETWEEN(1587,2416)))</f>
        <v>52440815.178577341</v>
      </c>
      <c r="B8523">
        <v>253355814.89641476</v>
      </c>
    </row>
    <row r="8524" spans="1:2" x14ac:dyDescent="0.25">
      <c r="A8524">
        <f ca="1">28646.593572575*((RANDBETWEEN(1587,2416)))</f>
        <v>49358080.725546807</v>
      </c>
      <c r="B8524">
        <v>212072544.63264263</v>
      </c>
    </row>
    <row r="8525" spans="1:2" x14ac:dyDescent="0.25">
      <c r="A8525">
        <f ca="1">28423.6421911813*((RANDBETWEEN(1587,2416)))</f>
        <v>58382161.060686424</v>
      </c>
      <c r="B8525">
        <v>226949106.10570633</v>
      </c>
    </row>
    <row r="8526" spans="1:2" x14ac:dyDescent="0.25">
      <c r="A8526">
        <f ca="1">31172.6965187479*((RANDBETWEEN(1587,2416)))</f>
        <v>53804074.191358924</v>
      </c>
      <c r="B8526">
        <v>217006414.64957127</v>
      </c>
    </row>
    <row r="8527" spans="1:2" x14ac:dyDescent="0.25">
      <c r="A8527">
        <f ca="1">31536.4995816627*((RANDBETWEEN(1587,2416)))</f>
        <v>64397532.145755254</v>
      </c>
      <c r="B8527">
        <v>208877720.5542973</v>
      </c>
    </row>
    <row r="8528" spans="1:2" x14ac:dyDescent="0.25">
      <c r="A8528">
        <f ca="1">30376.6613959898*((RANDBETWEEN(1587,2416)))</f>
        <v>48420398.265207715</v>
      </c>
      <c r="B8528">
        <v>259484606.61662808</v>
      </c>
    </row>
    <row r="8529" spans="1:2" x14ac:dyDescent="0.25">
      <c r="A8529">
        <f ca="1">27796.4793297935*((RANDBETWEEN(1587,2416)))</f>
        <v>52841107.205937468</v>
      </c>
      <c r="B8529">
        <v>207348127.77630422</v>
      </c>
    </row>
    <row r="8530" spans="1:2" x14ac:dyDescent="0.25">
      <c r="A8530">
        <f ca="1">27521.2077848891*((RANDBETWEEN(1587,2416)))</f>
        <v>58179833.257255621</v>
      </c>
      <c r="B8530">
        <v>229214997.95577654</v>
      </c>
    </row>
    <row r="8531" spans="1:2" x14ac:dyDescent="0.25">
      <c r="A8531">
        <f ca="1">27702.8759169928*((RANDBETWEEN(1587,2416)))</f>
        <v>50059096.782005943</v>
      </c>
      <c r="B8531">
        <v>208724215.27103394</v>
      </c>
    </row>
    <row r="8532" spans="1:2" x14ac:dyDescent="0.25">
      <c r="A8532">
        <f ca="1">30448.942602715*((RANDBETWEEN(1587,2416)))</f>
        <v>57152665.26529602</v>
      </c>
      <c r="B8532">
        <v>225959348.11823148</v>
      </c>
    </row>
    <row r="8533" spans="1:2" x14ac:dyDescent="0.25">
      <c r="A8533">
        <f ca="1">29699.3254366647*((RANDBETWEEN(1587,2416)))</f>
        <v>52508407.37202315</v>
      </c>
      <c r="B8533">
        <v>205678184.25834575</v>
      </c>
    </row>
    <row r="8534" spans="1:2" x14ac:dyDescent="0.25">
      <c r="A8534">
        <f ca="1">27746.4740977523*((RANDBETWEEN(1587,2416)))</f>
        <v>49610695.686781064</v>
      </c>
      <c r="B8534">
        <v>212892653.7824834</v>
      </c>
    </row>
    <row r="8535" spans="1:2" x14ac:dyDescent="0.25">
      <c r="A8535">
        <f ca="1">25921.4690760703*((RANDBETWEEN(1587,2416)))</f>
        <v>46062450.548176832</v>
      </c>
      <c r="B8535">
        <v>218000450.82983142</v>
      </c>
    </row>
    <row r="8536" spans="1:2" x14ac:dyDescent="0.25">
      <c r="A8536">
        <f ca="1">27906.1545935*((RANDBETWEEN(1587,2416)))</f>
        <v>56426244.588057086</v>
      </c>
      <c r="B8536">
        <v>247467279.38133705</v>
      </c>
    </row>
    <row r="8537" spans="1:2" x14ac:dyDescent="0.25">
      <c r="A8537">
        <f ca="1">34538.618235691*((RANDBETWEEN(1587,2416)))</f>
        <v>60062657.111866698</v>
      </c>
      <c r="B8537">
        <v>241017536.51943648</v>
      </c>
    </row>
    <row r="8538" spans="1:2" x14ac:dyDescent="0.25">
      <c r="A8538">
        <f ca="1">28467.6381624693*((RANDBETWEEN(1587,2416)))</f>
        <v>52295051.304456145</v>
      </c>
      <c r="B8538">
        <v>219650081.38867953</v>
      </c>
    </row>
    <row r="8539" spans="1:2" x14ac:dyDescent="0.25">
      <c r="A8539">
        <f ca="1">28948.8068752222*((RANDBETWEEN(1587,2416)))</f>
        <v>58881873.184201874</v>
      </c>
      <c r="B8539">
        <v>214905108.61486644</v>
      </c>
    </row>
    <row r="8540" spans="1:2" x14ac:dyDescent="0.25">
      <c r="A8540">
        <f ca="1">30076.205785682*((RANDBETWEEN(1587,2416)))</f>
        <v>54347703.854727432</v>
      </c>
      <c r="B8540">
        <v>241817829.50413135</v>
      </c>
    </row>
    <row r="8541" spans="1:2" x14ac:dyDescent="0.25">
      <c r="A8541">
        <f ca="1">29922.8928570125*((RANDBETWEEN(1587,2416)))</f>
        <v>66937511.321136907</v>
      </c>
      <c r="B8541">
        <v>249813791.8309724</v>
      </c>
    </row>
    <row r="8542" spans="1:2" x14ac:dyDescent="0.25">
      <c r="A8542">
        <f ca="1">33188.2002041519*((RANDBETWEEN(1587,2416)))</f>
        <v>76531989.670774356</v>
      </c>
      <c r="B8542">
        <v>215072007.21212751</v>
      </c>
    </row>
    <row r="8543" spans="1:2" x14ac:dyDescent="0.25">
      <c r="A8543">
        <f ca="1">31106.5664330136*((RANDBETWEEN(1587,2416)))</f>
        <v>62835264.194687575</v>
      </c>
      <c r="B8543">
        <v>239638615.30742809</v>
      </c>
    </row>
    <row r="8544" spans="1:2" x14ac:dyDescent="0.25">
      <c r="A8544">
        <f ca="1">32955.7248550004*((RANDBETWEEN(1587,2416)))</f>
        <v>68712686.322675839</v>
      </c>
      <c r="B8544">
        <v>257592922.45250198</v>
      </c>
    </row>
    <row r="8545" spans="1:2" x14ac:dyDescent="0.25">
      <c r="A8545">
        <f ca="1">31322.3652042253*((RANDBETWEEN(1587,2416)))</f>
        <v>66058868.215711191</v>
      </c>
      <c r="B8545">
        <v>245327259.55671963</v>
      </c>
    </row>
    <row r="8546" spans="1:2" x14ac:dyDescent="0.25">
      <c r="A8546">
        <f ca="1">30419.9423566693*((RANDBETWEEN(1587,2416)))</f>
        <v>49584506.041370966</v>
      </c>
      <c r="B8546">
        <v>243993848.23221868</v>
      </c>
    </row>
    <row r="8547" spans="1:2" x14ac:dyDescent="0.25">
      <c r="A8547">
        <f ca="1">26978.0677084795*((RANDBETWEEN(1587,2416)))</f>
        <v>50368052.411731258</v>
      </c>
      <c r="B8547">
        <v>207730664.68693602</v>
      </c>
    </row>
    <row r="8548" spans="1:2" x14ac:dyDescent="0.25">
      <c r="A8548">
        <f ca="1">30493.7746237266*((RANDBETWEEN(1587,2416)))</f>
        <v>49857321.509792916</v>
      </c>
      <c r="B8548">
        <v>213491575.04374874</v>
      </c>
    </row>
    <row r="8549" spans="1:2" x14ac:dyDescent="0.25">
      <c r="A8549">
        <f ca="1">30544.7801653995*((RANDBETWEEN(1587,2416)))</f>
        <v>63105515.821715295</v>
      </c>
      <c r="B8549">
        <v>221327605.04369754</v>
      </c>
    </row>
    <row r="8550" spans="1:2" x14ac:dyDescent="0.25">
      <c r="A8550">
        <f ca="1">29750.4245973313*((RANDBETWEEN(1587,2416)))</f>
        <v>52033492.620732494</v>
      </c>
      <c r="B8550">
        <v>209126019.2342701</v>
      </c>
    </row>
    <row r="8551" spans="1:2" x14ac:dyDescent="0.25">
      <c r="A8551">
        <f ca="1">29641.6677911924*((RANDBETWEEN(1587,2416)))</f>
        <v>52673243.664948866</v>
      </c>
      <c r="B8551">
        <v>228498660.95961881</v>
      </c>
    </row>
    <row r="8552" spans="1:2" x14ac:dyDescent="0.25">
      <c r="A8552">
        <f ca="1">29605.7001785684*((RANDBETWEEN(1587,2416)))</f>
        <v>70668806.326242805</v>
      </c>
      <c r="B8552">
        <v>216970115.80992961</v>
      </c>
    </row>
    <row r="8553" spans="1:2" x14ac:dyDescent="0.25">
      <c r="A8553">
        <f ca="1">31473.0592149909*((RANDBETWEEN(1587,2416)))</f>
        <v>71852994.187824324</v>
      </c>
      <c r="B8553">
        <v>244806013.84858844</v>
      </c>
    </row>
    <row r="8554" spans="1:2" x14ac:dyDescent="0.25">
      <c r="A8554">
        <f ca="1">31564.7915801239*((RANDBETWEEN(1587,2416)))</f>
        <v>64613128.364513651</v>
      </c>
      <c r="B8554">
        <v>267441003.44275123</v>
      </c>
    </row>
    <row r="8555" spans="1:2" x14ac:dyDescent="0.25">
      <c r="A8555">
        <f ca="1">31560.2811907054*((RANDBETWEEN(1587,2416)))</f>
        <v>74955667.827925533</v>
      </c>
      <c r="B8555">
        <v>251580663.76115212</v>
      </c>
    </row>
    <row r="8556" spans="1:2" x14ac:dyDescent="0.25">
      <c r="A8556">
        <f ca="1">27550.4246301979*((RANDBETWEEN(1587,2416)))</f>
        <v>60307879.515503243</v>
      </c>
      <c r="B8556">
        <v>213292260.46024066</v>
      </c>
    </row>
    <row r="8557" spans="1:2" x14ac:dyDescent="0.25">
      <c r="A8557">
        <f ca="1">28150.7697148877*((RANDBETWEEN(1587,2416)))</f>
        <v>46842880.805573076</v>
      </c>
      <c r="B8557">
        <v>244255055.97445911</v>
      </c>
    </row>
    <row r="8558" spans="1:2" x14ac:dyDescent="0.25">
      <c r="A8558">
        <f ca="1">31231.1681513266*((RANDBETWEEN(1587,2416)))</f>
        <v>73674325.668979436</v>
      </c>
      <c r="B8558">
        <v>222095315.74027038</v>
      </c>
    </row>
    <row r="8559" spans="1:2" x14ac:dyDescent="0.25">
      <c r="A8559">
        <f ca="1">30375.4514803686*((RANDBETWEEN(1587,2416)))</f>
        <v>50423249.457411863</v>
      </c>
      <c r="B8559">
        <v>218653428.02614397</v>
      </c>
    </row>
    <row r="8560" spans="1:2" x14ac:dyDescent="0.25">
      <c r="A8560">
        <f ca="1">27579.338889628*((RANDBETWEEN(1587,2416)))</f>
        <v>46388448.012354225</v>
      </c>
      <c r="B8560">
        <v>225940968.87881628</v>
      </c>
    </row>
    <row r="8561" spans="1:2" x14ac:dyDescent="0.25">
      <c r="A8561">
        <f ca="1">26724.0598140194*((RANDBETWEEN(1587,2416)))</f>
        <v>63122229.280713722</v>
      </c>
      <c r="B8561">
        <v>212546398.85257253</v>
      </c>
    </row>
    <row r="8562" spans="1:2" x14ac:dyDescent="0.25">
      <c r="A8562">
        <f ca="1">26573.8797645595*((RANDBETWEEN(1587,2416)))</f>
        <v>48391035.051262863</v>
      </c>
      <c r="B8562">
        <v>214047213.96182081</v>
      </c>
    </row>
    <row r="8563" spans="1:2" x14ac:dyDescent="0.25">
      <c r="A8563">
        <f ca="1">31209.6597403068*((RANDBETWEEN(1587,2416)))</f>
        <v>51839244.828649521</v>
      </c>
      <c r="B8563">
        <v>206747760.32270682</v>
      </c>
    </row>
    <row r="8564" spans="1:2" x14ac:dyDescent="0.25">
      <c r="A8564">
        <f ca="1">28400.6909041265*((RANDBETWEEN(1587,2416)))</f>
        <v>62027108.934612185</v>
      </c>
      <c r="B8564">
        <v>232197670.93852088</v>
      </c>
    </row>
    <row r="8565" spans="1:2" x14ac:dyDescent="0.25">
      <c r="A8565">
        <f ca="1">32149.9659745849*((RANDBETWEEN(1587,2416)))</f>
        <v>52404444.538573414</v>
      </c>
      <c r="B8565">
        <v>253703369.20065671</v>
      </c>
    </row>
    <row r="8566" spans="1:2" x14ac:dyDescent="0.25">
      <c r="A8566">
        <f ca="1">32047.5911872752*((RANDBETWEEN(1587,2416)))</f>
        <v>58038187.64015533</v>
      </c>
      <c r="B8566">
        <v>250625392.00397909</v>
      </c>
    </row>
    <row r="8567" spans="1:2" x14ac:dyDescent="0.25">
      <c r="A8567">
        <f ca="1">34016.1553426573*((RANDBETWEEN(1587,2416)))</f>
        <v>59494255.694307618</v>
      </c>
      <c r="B8567">
        <v>219723232.04167673</v>
      </c>
    </row>
    <row r="8568" spans="1:2" x14ac:dyDescent="0.25">
      <c r="A8568">
        <f ca="1">26945.0612026154*((RANDBETWEEN(1587,2416)))</f>
        <v>60761113.011897705</v>
      </c>
      <c r="B8568">
        <v>239914813.57256663</v>
      </c>
    </row>
    <row r="8569" spans="1:2" x14ac:dyDescent="0.25">
      <c r="A8569">
        <f ca="1">31317.5533339646*((RANDBETWEEN(1587,2416)))</f>
        <v>57937473.667834543</v>
      </c>
      <c r="B8569">
        <v>249718441.38498279</v>
      </c>
    </row>
    <row r="8570" spans="1:2" x14ac:dyDescent="0.25">
      <c r="A8570">
        <f ca="1">34149.0855388238*((RANDBETWEEN(1587,2416)))</f>
        <v>70722756.150904104</v>
      </c>
      <c r="B8570">
        <v>223393331.91270953</v>
      </c>
    </row>
    <row r="8571" spans="1:2" x14ac:dyDescent="0.25">
      <c r="A8571">
        <f ca="1">30191.5232929955*((RANDBETWEEN(1587,2416)))</f>
        <v>72459655.903189227</v>
      </c>
      <c r="B8571">
        <v>234163383.72020885</v>
      </c>
    </row>
    <row r="8572" spans="1:2" x14ac:dyDescent="0.25">
      <c r="A8572">
        <f ca="1">32378.4848057526*((RANDBETWEEN(1587,2416)))</f>
        <v>67152977.487130985</v>
      </c>
      <c r="B8572">
        <v>230049505.75175783</v>
      </c>
    </row>
    <row r="8573" spans="1:2" x14ac:dyDescent="0.25">
      <c r="A8573">
        <f ca="1">30549.861204062*((RANDBETWEEN(1587,2416)))</f>
        <v>69225985.488404468</v>
      </c>
      <c r="B8573">
        <v>252648050.03064716</v>
      </c>
    </row>
    <row r="8574" spans="1:2" x14ac:dyDescent="0.25">
      <c r="A8574">
        <f ca="1">30507.1808140678*((RANDBETWEEN(1587,2416)))</f>
        <v>58207700.993241414</v>
      </c>
      <c r="B8574">
        <v>234107980.59809947</v>
      </c>
    </row>
    <row r="8575" spans="1:2" x14ac:dyDescent="0.25">
      <c r="A8575">
        <f ca="1">28604.2315651703*((RANDBETWEEN(1587,2416)))</f>
        <v>57380088.519731544</v>
      </c>
      <c r="B8575">
        <v>263980031.10451254</v>
      </c>
    </row>
    <row r="8576" spans="1:2" x14ac:dyDescent="0.25">
      <c r="A8576">
        <f ca="1">30247.1174514583*((RANDBETWEEN(1587,2416)))</f>
        <v>58134959.741702817</v>
      </c>
      <c r="B8576">
        <v>217720366.89905095</v>
      </c>
    </row>
    <row r="8577" spans="1:2" x14ac:dyDescent="0.25">
      <c r="A8577">
        <f ca="1">28236.4725156699*((RANDBETWEEN(1587,2416)))</f>
        <v>45093646.607524872</v>
      </c>
      <c r="B8577">
        <v>211411484.68736842</v>
      </c>
    </row>
    <row r="8578" spans="1:2" x14ac:dyDescent="0.25">
      <c r="A8578">
        <f ca="1">27163.6800634306*((RANDBETWEEN(1587,2416)))</f>
        <v>60303369.74081587</v>
      </c>
      <c r="B8578">
        <v>216019661.49274984</v>
      </c>
    </row>
    <row r="8579" spans="1:2" x14ac:dyDescent="0.25">
      <c r="A8579">
        <f ca="1">29027.2171958733*((RANDBETWEEN(1587,2416)))</f>
        <v>61218401.06609679</v>
      </c>
      <c r="B8579">
        <v>250594304.56882048</v>
      </c>
    </row>
    <row r="8580" spans="1:2" x14ac:dyDescent="0.25">
      <c r="A8580">
        <f ca="1">26254.1120522626*((RANDBETWEEN(1587,2416)))</f>
        <v>57601521.842664182</v>
      </c>
      <c r="B8580">
        <v>204636220.76315427</v>
      </c>
    </row>
    <row r="8581" spans="1:2" x14ac:dyDescent="0.25">
      <c r="A8581">
        <f ca="1">29139.9860909085*((RANDBETWEEN(1587,2416)))</f>
        <v>57784592.418271638</v>
      </c>
      <c r="B8581">
        <v>221528663.99627331</v>
      </c>
    </row>
    <row r="8582" spans="1:2" x14ac:dyDescent="0.25">
      <c r="A8582">
        <f ca="1">26713.499138963*((RANDBETWEEN(1587,2416)))</f>
        <v>48458287.438078947</v>
      </c>
      <c r="B8582">
        <v>252072915.89487717</v>
      </c>
    </row>
    <row r="8583" spans="1:2" x14ac:dyDescent="0.25">
      <c r="A8583">
        <f ca="1">32021.5217370364*((RANDBETWEEN(1587,2416)))</f>
        <v>60616740.648209974</v>
      </c>
      <c r="B8583">
        <v>257341879.77041617</v>
      </c>
    </row>
    <row r="8584" spans="1:2" x14ac:dyDescent="0.25">
      <c r="A8584">
        <f ca="1">31221.2077458238*((RANDBETWEEN(1587,2416)))</f>
        <v>64877669.695821956</v>
      </c>
      <c r="B8584">
        <v>230322336.9163855</v>
      </c>
    </row>
    <row r="8585" spans="1:2" x14ac:dyDescent="0.25">
      <c r="A8585">
        <f ca="1">33082.7049065518*((RANDBETWEEN(1587,2416)))</f>
        <v>77711273.825490177</v>
      </c>
      <c r="B8585">
        <v>211468194.36071491</v>
      </c>
    </row>
    <row r="8586" spans="1:2" x14ac:dyDescent="0.25">
      <c r="A8586">
        <f ca="1">31318.69286488*((RANDBETWEEN(1587,2416)))</f>
        <v>58659911.73592025</v>
      </c>
      <c r="B8586">
        <v>216198153.28452224</v>
      </c>
    </row>
    <row r="8587" spans="1:2" x14ac:dyDescent="0.25">
      <c r="A8587">
        <f ca="1">32328.7807634995*((RANDBETWEEN(1587,2416)))</f>
        <v>72739756.717873856</v>
      </c>
      <c r="B8587">
        <v>222326064.78809547</v>
      </c>
    </row>
    <row r="8588" spans="1:2" x14ac:dyDescent="0.25">
      <c r="A8588">
        <f ca="1">32713.4254352993*((RANDBETWEEN(1587,2416)))</f>
        <v>57837336.169609174</v>
      </c>
      <c r="B8588">
        <v>236798699.87827733</v>
      </c>
    </row>
    <row r="8589" spans="1:2" x14ac:dyDescent="0.25">
      <c r="A8589">
        <f ca="1">31474.8676613301*((RANDBETWEEN(1587,2416)))</f>
        <v>50517162.596434824</v>
      </c>
      <c r="B8589">
        <v>213067231.31811014</v>
      </c>
    </row>
    <row r="8590" spans="1:2" x14ac:dyDescent="0.25">
      <c r="A8590">
        <f ca="1">32946.325995541*((RANDBETWEEN(1587,2416)))</f>
        <v>66320954.229023933</v>
      </c>
      <c r="B8590">
        <v>218402423.20392722</v>
      </c>
    </row>
    <row r="8591" spans="1:2" x14ac:dyDescent="0.25">
      <c r="A8591">
        <f ca="1">31078.1153590431*((RANDBETWEEN(1587,2416)))</f>
        <v>50937031.073471658</v>
      </c>
      <c r="B8591">
        <v>265126699.52086228</v>
      </c>
    </row>
    <row r="8592" spans="1:2" x14ac:dyDescent="0.25">
      <c r="A8592">
        <f ca="1">29262.4344301617*((RANDBETWEEN(1587,2416)))</f>
        <v>56769122.794513628</v>
      </c>
      <c r="B8592">
        <v>267638670.26790166</v>
      </c>
    </row>
    <row r="8593" spans="1:2" x14ac:dyDescent="0.25">
      <c r="A8593">
        <f ca="1">27678.3746400845*((RANDBETWEEN(1587,2416)))</f>
        <v>64462934.536756814</v>
      </c>
      <c r="B8593">
        <v>245297607.8497822</v>
      </c>
    </row>
    <row r="8594" spans="1:2" x14ac:dyDescent="0.25">
      <c r="A8594">
        <f ca="1">32414.3453502227*((RANDBETWEEN(1587,2416)))</f>
        <v>70501201.136734277</v>
      </c>
      <c r="B8594">
        <v>252773098.40399632</v>
      </c>
    </row>
    <row r="8595" spans="1:2" x14ac:dyDescent="0.25">
      <c r="A8595">
        <f ca="1">32812.8842575444*((RANDBETWEEN(1587,2416)))</f>
        <v>53649065.761085048</v>
      </c>
      <c r="B8595">
        <v>210473242.45468849</v>
      </c>
    </row>
    <row r="8596" spans="1:2" x14ac:dyDescent="0.25">
      <c r="A8596">
        <f ca="1">27022.2039820656*((RANDBETWEEN(1587,2416)))</f>
        <v>43046370.943430535</v>
      </c>
      <c r="B8596">
        <v>227347102.03181499</v>
      </c>
    </row>
    <row r="8597" spans="1:2" x14ac:dyDescent="0.25">
      <c r="A8597">
        <f ca="1">26748.7203804031*((RANDBETWEEN(1587,2416)))</f>
        <v>49404886.542604446</v>
      </c>
      <c r="B8597">
        <v>222442874.06992418</v>
      </c>
    </row>
    <row r="8598" spans="1:2" x14ac:dyDescent="0.25">
      <c r="A8598">
        <f ca="1">32636.4199644084*((RANDBETWEEN(1587,2416)))</f>
        <v>73040307.880345911</v>
      </c>
      <c r="B8598">
        <v>258701661.31595308</v>
      </c>
    </row>
    <row r="8599" spans="1:2" x14ac:dyDescent="0.25">
      <c r="A8599">
        <f ca="1">32317.3958591086*((RANDBETWEEN(1587,2416)))</f>
        <v>61273782.548869893</v>
      </c>
      <c r="B8599">
        <v>210890317.00877118</v>
      </c>
    </row>
    <row r="8600" spans="1:2" x14ac:dyDescent="0.25">
      <c r="A8600">
        <f ca="1">27328.7938211249*((RANDBETWEEN(1587,2416)))</f>
        <v>54001696.590542741</v>
      </c>
      <c r="B8600">
        <v>261626794.13981348</v>
      </c>
    </row>
    <row r="8601" spans="1:2" x14ac:dyDescent="0.25">
      <c r="A8601">
        <f ca="1">26088.7460861151*((RANDBETWEEN(1587,2416)))</f>
        <v>52725355.840038665</v>
      </c>
      <c r="B8601">
        <v>208178867.19463861</v>
      </c>
    </row>
    <row r="8602" spans="1:2" x14ac:dyDescent="0.25">
      <c r="A8602">
        <f ca="1">26853.436404987*((RANDBETWEEN(1587,2416)))</f>
        <v>45382307.524428062</v>
      </c>
      <c r="B8602">
        <v>225929913.69332743</v>
      </c>
    </row>
    <row r="8603" spans="1:2" x14ac:dyDescent="0.25">
      <c r="A8603">
        <f ca="1">32782.5078391862*((RANDBETWEEN(1587,2416)))</f>
        <v>78055151.165102422</v>
      </c>
      <c r="B8603">
        <v>260628646.53119799</v>
      </c>
    </row>
    <row r="8604" spans="1:2" x14ac:dyDescent="0.25">
      <c r="A8604">
        <f ca="1">31953.32454558*((RANDBETWEEN(1587,2416)))</f>
        <v>51892199.062021896</v>
      </c>
      <c r="B8604">
        <v>254519840.92346105</v>
      </c>
    </row>
    <row r="8605" spans="1:2" x14ac:dyDescent="0.25">
      <c r="A8605">
        <f ca="1">28243.8160488411*((RANDBETWEEN(1587,2416)))</f>
        <v>55357879.455728605</v>
      </c>
      <c r="B8605">
        <v>220854121.56009883</v>
      </c>
    </row>
    <row r="8606" spans="1:2" x14ac:dyDescent="0.25">
      <c r="A8606">
        <f ca="1">32951.279222544*((RANDBETWEEN(1587,2416)))</f>
        <v>61256428.074709348</v>
      </c>
      <c r="B8606">
        <v>260251800.87474638</v>
      </c>
    </row>
    <row r="8607" spans="1:2" x14ac:dyDescent="0.25">
      <c r="A8607">
        <f ca="1">32963.4356393216*((RANDBETWEEN(1587,2416)))</f>
        <v>58246390.77468127</v>
      </c>
      <c r="B8607">
        <v>243542801.12128106</v>
      </c>
    </row>
    <row r="8608" spans="1:2" x14ac:dyDescent="0.25">
      <c r="A8608">
        <f ca="1">32105.2623564982*((RANDBETWEEN(1587,2416)))</f>
        <v>63536314.203510024</v>
      </c>
      <c r="B8608">
        <v>226333332.24913526</v>
      </c>
    </row>
    <row r="8609" spans="1:2" x14ac:dyDescent="0.25">
      <c r="A8609">
        <f ca="1">32569.7814289996*((RANDBETWEEN(1587,2416)))</f>
        <v>52111650.286399364</v>
      </c>
      <c r="B8609">
        <v>252413555.85861656</v>
      </c>
    </row>
    <row r="8610" spans="1:2" x14ac:dyDescent="0.25">
      <c r="A8610">
        <f ca="1">32456.4907316799*((RANDBETWEEN(1587,2416)))</f>
        <v>71014801.720915556</v>
      </c>
      <c r="B8610">
        <v>260230988.56978363</v>
      </c>
    </row>
    <row r="8611" spans="1:2" x14ac:dyDescent="0.25">
      <c r="A8611">
        <f ca="1">27697.21753582*((RANDBETWEEN(1587,2416)))</f>
        <v>65226947.296856098</v>
      </c>
      <c r="B8611">
        <v>255346897.49052033</v>
      </c>
    </row>
    <row r="8612" spans="1:2" x14ac:dyDescent="0.25">
      <c r="A8612">
        <f ca="1">30090.9677062546*((RANDBETWEEN(1587,2416)))</f>
        <v>48627003.813307412</v>
      </c>
      <c r="B8612">
        <v>244037275.81453034</v>
      </c>
    </row>
    <row r="8613" spans="1:2" x14ac:dyDescent="0.25">
      <c r="A8613">
        <f ca="1">31171.3245571176*((RANDBETWEEN(1587,2416)))</f>
        <v>69574396.411486492</v>
      </c>
      <c r="B8613">
        <v>253603529.34319475</v>
      </c>
    </row>
    <row r="8614" spans="1:2" x14ac:dyDescent="0.25">
      <c r="A8614">
        <f ca="1">32115.7277518559*((RANDBETWEEN(1587,2416)))</f>
        <v>52798256.424051061</v>
      </c>
      <c r="B8614">
        <v>263749867.45253864</v>
      </c>
    </row>
    <row r="8615" spans="1:2" x14ac:dyDescent="0.25">
      <c r="A8615">
        <f ca="1">27880.9518629139*((RANDBETWEEN(1587,2416)))</f>
        <v>50269356.208833724</v>
      </c>
      <c r="B8615">
        <v>224790010.22701427</v>
      </c>
    </row>
    <row r="8616" spans="1:2" x14ac:dyDescent="0.25">
      <c r="A8616">
        <f ca="1">26830.067873322*((RANDBETWEEN(1587,2416)))</f>
        <v>56155332.058863021</v>
      </c>
      <c r="B8616">
        <v>264477731.5931122</v>
      </c>
    </row>
    <row r="8617" spans="1:2" x14ac:dyDescent="0.25">
      <c r="A8617">
        <f ca="1">29135.3361938782*((RANDBETWEEN(1587,2416)))</f>
        <v>55269732.759786859</v>
      </c>
      <c r="B8617">
        <v>234972527.86874214</v>
      </c>
    </row>
    <row r="8618" spans="1:2" x14ac:dyDescent="0.25">
      <c r="A8618">
        <f ca="1">26959.7614852123*((RANDBETWEEN(1587,2416)))</f>
        <v>59122756.937070489</v>
      </c>
      <c r="B8618">
        <v>237520357.43182021</v>
      </c>
    </row>
    <row r="8619" spans="1:2" x14ac:dyDescent="0.25">
      <c r="A8619">
        <f ca="1">31642.4441109495*((RANDBETWEEN(1587,2416)))</f>
        <v>72176415.017075792</v>
      </c>
      <c r="B8619">
        <v>248851615.11831573</v>
      </c>
    </row>
    <row r="8620" spans="1:2" x14ac:dyDescent="0.25">
      <c r="A8620">
        <f ca="1">34393.557883879*((RANDBETWEEN(1587,2416)))</f>
        <v>56749370.508400425</v>
      </c>
      <c r="B8620">
        <v>237811003.68826583</v>
      </c>
    </row>
    <row r="8621" spans="1:2" x14ac:dyDescent="0.25">
      <c r="A8621">
        <f ca="1">29089.6899289659*((RANDBETWEEN(1587,2416)))</f>
        <v>52710518.151286148</v>
      </c>
      <c r="B8621">
        <v>223037888.86153159</v>
      </c>
    </row>
    <row r="8622" spans="1:2" x14ac:dyDescent="0.25">
      <c r="A8622">
        <f ca="1">32575.7914818931*((RANDBETWEEN(1587,2416)))</f>
        <v>69353860.064950421</v>
      </c>
      <c r="B8622">
        <v>259012198.3708865</v>
      </c>
    </row>
    <row r="8623" spans="1:2" x14ac:dyDescent="0.25">
      <c r="A8623">
        <f ca="1">32742.6633879988*((RANDBETWEEN(1587,2416)))</f>
        <v>76716060.318081141</v>
      </c>
      <c r="B8623">
        <v>265993759.17470941</v>
      </c>
    </row>
    <row r="8624" spans="1:2" x14ac:dyDescent="0.25">
      <c r="A8624">
        <f ca="1">33482.8342250085*((RANDBETWEEN(1587,2416)))</f>
        <v>56083747.326889284</v>
      </c>
      <c r="B8624">
        <v>208721533.91800523</v>
      </c>
    </row>
    <row r="8625" spans="1:2" x14ac:dyDescent="0.25">
      <c r="A8625">
        <f ca="1">31974.1974640835*((RANDBETWEEN(1587,2416)))</f>
        <v>51830174.089279361</v>
      </c>
      <c r="B8625">
        <v>245296410.80680123</v>
      </c>
    </row>
    <row r="8626" spans="1:2" x14ac:dyDescent="0.25">
      <c r="A8626">
        <f ca="1">31819.1755505387*((RANDBETWEEN(1587,2416)))</f>
        <v>61729200.56804505</v>
      </c>
      <c r="B8626">
        <v>229083793.85776669</v>
      </c>
    </row>
    <row r="8627" spans="1:2" x14ac:dyDescent="0.25">
      <c r="A8627">
        <f ca="1">30641.4163674018*((RANDBETWEEN(1587,2416)))</f>
        <v>53040291.731972486</v>
      </c>
      <c r="B8627">
        <v>232186614.04886007</v>
      </c>
    </row>
    <row r="8628" spans="1:2" x14ac:dyDescent="0.25">
      <c r="A8628">
        <f ca="1">31226.9361004402*((RANDBETWEEN(1587,2416)))</f>
        <v>70073244.609387711</v>
      </c>
      <c r="B8628">
        <v>251686690.58076411</v>
      </c>
    </row>
    <row r="8629" spans="1:2" x14ac:dyDescent="0.25">
      <c r="A8629">
        <f ca="1">25967.8601894944*((RANDBETWEEN(1587,2416)))</f>
        <v>55259606.483244076</v>
      </c>
      <c r="B8629">
        <v>248399096.20420271</v>
      </c>
    </row>
    <row r="8630" spans="1:2" x14ac:dyDescent="0.25">
      <c r="A8630">
        <f ca="1">30478.2344590934*((RANDBETWEEN(1587,2416)))</f>
        <v>66290159.948528223</v>
      </c>
      <c r="B8630">
        <v>251354214.73266912</v>
      </c>
    </row>
    <row r="8631" spans="1:2" x14ac:dyDescent="0.25">
      <c r="A8631">
        <f ca="1">34093.0862554655*((RANDBETWEEN(1587,2416)))</f>
        <v>56219499.235262528</v>
      </c>
      <c r="B8631">
        <v>227170516.8598735</v>
      </c>
    </row>
    <row r="8632" spans="1:2" x14ac:dyDescent="0.25">
      <c r="A8632">
        <f ca="1">31355.5797726049*((RANDBETWEEN(1587,2416)))</f>
        <v>75127969.1351614</v>
      </c>
      <c r="B8632">
        <v>239878187.78561938</v>
      </c>
    </row>
    <row r="8633" spans="1:2" x14ac:dyDescent="0.25">
      <c r="A8633">
        <f ca="1">31830.2568877743*((RANDBETWEEN(1587,2416)))</f>
        <v>71586247.74060443</v>
      </c>
      <c r="B8633">
        <v>259302540.3620109</v>
      </c>
    </row>
    <row r="8634" spans="1:2" x14ac:dyDescent="0.25">
      <c r="A8634">
        <f ca="1">26817.2915142861*((RANDBETWEEN(1587,2416)))</f>
        <v>53178689.072829373</v>
      </c>
      <c r="B8634">
        <v>221048142.09886983</v>
      </c>
    </row>
    <row r="8635" spans="1:2" x14ac:dyDescent="0.25">
      <c r="A8635">
        <f ca="1">30193.5510214968*((RANDBETWEEN(1587,2416)))</f>
        <v>68962070.533098698</v>
      </c>
      <c r="B8635">
        <v>238855742.52869111</v>
      </c>
    </row>
    <row r="8636" spans="1:2" x14ac:dyDescent="0.25">
      <c r="A8636">
        <f ca="1">28480.5183711985*((RANDBETWEEN(1587,2416)))</f>
        <v>66388088.323263742</v>
      </c>
      <c r="B8636">
        <v>254619585.49511102</v>
      </c>
    </row>
    <row r="8637" spans="1:2" x14ac:dyDescent="0.25">
      <c r="A8637">
        <f ca="1">31400.6099049586*((RANDBETWEEN(1587,2416)))</f>
        <v>52250614.881851174</v>
      </c>
      <c r="B8637">
        <v>205513367.80683523</v>
      </c>
    </row>
    <row r="8638" spans="1:2" x14ac:dyDescent="0.25">
      <c r="A8638">
        <f ca="1">31697.0848204438*((RANDBETWEEN(1587,2416)))</f>
        <v>73885904.716454595</v>
      </c>
      <c r="B8638">
        <v>214097958.8559525</v>
      </c>
    </row>
    <row r="8639" spans="1:2" x14ac:dyDescent="0.25">
      <c r="A8639">
        <f ca="1">29002.5172851304*((RANDBETWEEN(1587,2416)))</f>
        <v>66386762.065663405</v>
      </c>
      <c r="B8639">
        <v>257097488.46282038</v>
      </c>
    </row>
    <row r="8640" spans="1:2" x14ac:dyDescent="0.25">
      <c r="A8640">
        <f ca="1">29004.6523369467*((RANDBETWEEN(1587,2416)))</f>
        <v>67348802.726390317</v>
      </c>
      <c r="B8640">
        <v>242919323.18252519</v>
      </c>
    </row>
    <row r="8641" spans="1:2" x14ac:dyDescent="0.25">
      <c r="A8641">
        <f ca="1">27541.7471089883*((RANDBETWEEN(1587,2416)))</f>
        <v>54147074.81627097</v>
      </c>
      <c r="B8641">
        <v>208490972.20730251</v>
      </c>
    </row>
    <row r="8642" spans="1:2" x14ac:dyDescent="0.25">
      <c r="A8642">
        <f ca="1">29602.1755272004*((RANDBETWEEN(1587,2416)))</f>
        <v>57961059.68225836</v>
      </c>
      <c r="B8642">
        <v>243202798.9378221</v>
      </c>
    </row>
    <row r="8643" spans="1:2" x14ac:dyDescent="0.25">
      <c r="A8643">
        <f ca="1">30573.7282741396*((RANDBETWEEN(1587,2416)))</f>
        <v>58976721.840815261</v>
      </c>
      <c r="B8643">
        <v>233771539.01932824</v>
      </c>
    </row>
    <row r="8644" spans="1:2" x14ac:dyDescent="0.25">
      <c r="A8644">
        <f ca="1">29444.2516337427*((RANDBETWEEN(1587,2416)))</f>
        <v>69488433.855632812</v>
      </c>
      <c r="B8644">
        <v>262846434.04776195</v>
      </c>
    </row>
    <row r="8645" spans="1:2" x14ac:dyDescent="0.25">
      <c r="A8645">
        <f ca="1">31587.578542355*((RANDBETWEEN(1587,2416)))</f>
        <v>52972369.215529315</v>
      </c>
      <c r="B8645">
        <v>211361036.6962764</v>
      </c>
    </row>
    <row r="8646" spans="1:2" x14ac:dyDescent="0.25">
      <c r="A8646">
        <f ca="1">31654.1374935486*((RANDBETWEEN(1587,2416)))</f>
        <v>61820530.524900317</v>
      </c>
      <c r="B8646">
        <v>234358523.25299329</v>
      </c>
    </row>
    <row r="8647" spans="1:2" x14ac:dyDescent="0.25">
      <c r="A8647">
        <f ca="1">29173.3115429333*((RANDBETWEEN(1587,2416)))</f>
        <v>60009501.843813747</v>
      </c>
      <c r="B8647">
        <v>242371191.68554074</v>
      </c>
    </row>
    <row r="8648" spans="1:2" x14ac:dyDescent="0.25">
      <c r="A8648">
        <f ca="1">27107.9667802375*((RANDBETWEEN(1587,2416)))</f>
        <v>60504981.853490025</v>
      </c>
      <c r="B8648">
        <v>237185196.75759637</v>
      </c>
    </row>
    <row r="8649" spans="1:2" x14ac:dyDescent="0.25">
      <c r="A8649">
        <f ca="1">27699.0692027965*((RANDBETWEEN(1587,2416)))</f>
        <v>60383970.862096474</v>
      </c>
      <c r="B8649">
        <v>240704494.00924009</v>
      </c>
    </row>
    <row r="8650" spans="1:2" x14ac:dyDescent="0.25">
      <c r="A8650">
        <f ca="1">28157.6511505977*((RANDBETWEEN(1587,2416)))</f>
        <v>50092461.396913245</v>
      </c>
      <c r="B8650">
        <v>205789197.36210421</v>
      </c>
    </row>
    <row r="8651" spans="1:2" x14ac:dyDescent="0.25">
      <c r="A8651">
        <f ca="1">30838.599202929*((RANDBETWEEN(1587,2416)))</f>
        <v>54615159.188387342</v>
      </c>
      <c r="B8651">
        <v>220966312.96335256</v>
      </c>
    </row>
    <row r="8652" spans="1:2" x14ac:dyDescent="0.25">
      <c r="A8652">
        <f ca="1">27942.4939240354*((RANDBETWEEN(1587,2416)))</f>
        <v>60719039.296928912</v>
      </c>
      <c r="B8652">
        <v>218652372.64452147</v>
      </c>
    </row>
    <row r="8653" spans="1:2" x14ac:dyDescent="0.25">
      <c r="A8653">
        <f ca="1">32653.0483859547*((RANDBETWEEN(1587,2416)))</f>
        <v>66840790.046049193</v>
      </c>
      <c r="B8653">
        <v>222476190.6833778</v>
      </c>
    </row>
    <row r="8654" spans="1:2" x14ac:dyDescent="0.25">
      <c r="A8654">
        <f ca="1">26693.6724535305*((RANDBETWEEN(1587,2416)))</f>
        <v>47221106.570295632</v>
      </c>
      <c r="B8654">
        <v>209289228.77589387</v>
      </c>
    </row>
    <row r="8655" spans="1:2" x14ac:dyDescent="0.25">
      <c r="A8655">
        <f ca="1">26627.5093403071*((RANDBETWEEN(1587,2416)))</f>
        <v>42817035.019213878</v>
      </c>
      <c r="B8655">
        <v>263888499.41488248</v>
      </c>
    </row>
    <row r="8656" spans="1:2" x14ac:dyDescent="0.25">
      <c r="A8656">
        <f ca="1">27584.5473085127*((RANDBETWEEN(1587,2416)))</f>
        <v>54755326.407397643</v>
      </c>
      <c r="B8656">
        <v>227456768.75121924</v>
      </c>
    </row>
    <row r="8657" spans="1:2" x14ac:dyDescent="0.25">
      <c r="A8657">
        <f ca="1">29140.161909311*((RANDBETWEEN(1587,2416)))</f>
        <v>57901501.713800989</v>
      </c>
      <c r="B8657">
        <v>218167766.09406474</v>
      </c>
    </row>
    <row r="8658" spans="1:2" x14ac:dyDescent="0.25">
      <c r="A8658">
        <f ca="1">26422.0237875011*((RANDBETWEEN(1587,2416)))</f>
        <v>42248816.036214322</v>
      </c>
      <c r="B8658">
        <v>229905827.31200546</v>
      </c>
    </row>
    <row r="8659" spans="1:2" x14ac:dyDescent="0.25">
      <c r="A8659">
        <f ca="1">30302.1685034143*((RANDBETWEEN(1587,2416)))</f>
        <v>70179822.253907561</v>
      </c>
      <c r="B8659">
        <v>219648918.22165778</v>
      </c>
    </row>
    <row r="8660" spans="1:2" x14ac:dyDescent="0.25">
      <c r="A8660">
        <f ca="1">28012.9949008594*((RANDBETWEEN(1587,2416)))</f>
        <v>48742611.127495311</v>
      </c>
      <c r="B8660">
        <v>233764886.61426061</v>
      </c>
    </row>
    <row r="8661" spans="1:2" x14ac:dyDescent="0.25">
      <c r="A8661">
        <f ca="1">30534.7229388382*((RANDBETWEEN(1587,2416)))</f>
        <v>72336758.642107621</v>
      </c>
      <c r="B8661">
        <v>209679680.67369214</v>
      </c>
    </row>
    <row r="8662" spans="1:2" x14ac:dyDescent="0.25">
      <c r="A8662">
        <f ca="1">24905.1907466175*((RANDBETWEEN(1587,2416)))</f>
        <v>52450331.712376371</v>
      </c>
      <c r="B8662">
        <v>245983217.68666285</v>
      </c>
    </row>
    <row r="8663" spans="1:2" x14ac:dyDescent="0.25">
      <c r="A8663">
        <f ca="1">28770.4106810812*((RANDBETWEEN(1587,2416)))</f>
        <v>47212243.927654259</v>
      </c>
      <c r="B8663">
        <v>244702053.34501138</v>
      </c>
    </row>
    <row r="8664" spans="1:2" x14ac:dyDescent="0.25">
      <c r="A8664">
        <f ca="1">27222.2924340518*((RANDBETWEEN(1587,2416)))</f>
        <v>44699004.176713035</v>
      </c>
      <c r="B8664">
        <v>206770061.66964954</v>
      </c>
    </row>
    <row r="8665" spans="1:2" x14ac:dyDescent="0.25">
      <c r="A8665">
        <f ca="1">27909.0277319848*((RANDBETWEEN(1587,2416)))</f>
        <v>62823221.42469769</v>
      </c>
      <c r="B8665">
        <v>208600720.96208388</v>
      </c>
    </row>
    <row r="8666" spans="1:2" x14ac:dyDescent="0.25">
      <c r="A8666">
        <f ca="1">30144.3084742372*((RANDBETWEEN(1587,2416)))</f>
        <v>62398718.54167109</v>
      </c>
      <c r="B8666">
        <v>229388872.19273597</v>
      </c>
    </row>
    <row r="8667" spans="1:2" x14ac:dyDescent="0.25">
      <c r="A8667">
        <f ca="1">26947.8741488508*((RANDBETWEEN(1587,2416)))</f>
        <v>63785618.110329881</v>
      </c>
      <c r="B8667">
        <v>253159583.33184072</v>
      </c>
    </row>
    <row r="8668" spans="1:2" x14ac:dyDescent="0.25">
      <c r="A8668">
        <f ca="1">32321.1521829381*((RANDBETWEEN(1587,2416)))</f>
        <v>75308284.58624585</v>
      </c>
      <c r="B8668">
        <v>246094684.11051801</v>
      </c>
    </row>
    <row r="8669" spans="1:2" x14ac:dyDescent="0.25">
      <c r="A8669">
        <f ca="1">30197.4848190444*((RANDBETWEEN(1587,2416)))</f>
        <v>52000068.858394481</v>
      </c>
      <c r="B8669">
        <v>204847716.60381308</v>
      </c>
    </row>
    <row r="8670" spans="1:2" x14ac:dyDescent="0.25">
      <c r="A8670">
        <f ca="1">27590.4706484558*((RANDBETWEEN(1587,2416)))</f>
        <v>63761577.668581367</v>
      </c>
      <c r="B8670">
        <v>222645565.43857789</v>
      </c>
    </row>
    <row r="8671" spans="1:2" x14ac:dyDescent="0.25">
      <c r="A8671">
        <f ca="1">29876.4197247967*((RANDBETWEEN(1587,2416)))</f>
        <v>47593136.621601127</v>
      </c>
      <c r="B8671">
        <v>242729840.63664711</v>
      </c>
    </row>
    <row r="8672" spans="1:2" x14ac:dyDescent="0.25">
      <c r="A8672">
        <f ca="1">29145.3145952267*((RANDBETWEEN(1587,2416)))</f>
        <v>64032256.165713079</v>
      </c>
      <c r="B8672">
        <v>238918445.21978086</v>
      </c>
    </row>
    <row r="8673" spans="1:2" x14ac:dyDescent="0.25">
      <c r="A8673">
        <f ca="1">31331.4104385149*((RANDBETWEEN(1587,2416)))</f>
        <v>66328595.898336075</v>
      </c>
      <c r="B8673">
        <v>219619618.45820582</v>
      </c>
    </row>
    <row r="8674" spans="1:2" x14ac:dyDescent="0.25">
      <c r="A8674">
        <f ca="1">28338.8360667258*((RANDBETWEEN(1587,2416)))</f>
        <v>60446737.330326155</v>
      </c>
      <c r="B8674">
        <v>253607173.11302143</v>
      </c>
    </row>
    <row r="8675" spans="1:2" x14ac:dyDescent="0.25">
      <c r="A8675">
        <f ca="1">33193.62203617*((RANDBETWEEN(1587,2416)))</f>
        <v>68478442.260618657</v>
      </c>
      <c r="B8675">
        <v>214350761.04952052</v>
      </c>
    </row>
    <row r="8676" spans="1:2" x14ac:dyDescent="0.25">
      <c r="A8676">
        <f ca="1">27818.3295345402*((RANDBETWEEN(1587,2416)))</f>
        <v>62869424.748060942</v>
      </c>
      <c r="B8676">
        <v>212004379.4226079</v>
      </c>
    </row>
    <row r="8677" spans="1:2" x14ac:dyDescent="0.25">
      <c r="A8677">
        <f ca="1">27267.2197256032*((RANDBETWEEN(1587,2416)))</f>
        <v>65495861.780899003</v>
      </c>
      <c r="B8677">
        <v>209334762.98996055</v>
      </c>
    </row>
    <row r="8678" spans="1:2" x14ac:dyDescent="0.25">
      <c r="A8678">
        <f ca="1">28353.9348176443*((RANDBETWEEN(1587,2416)))</f>
        <v>67964381.757893309</v>
      </c>
      <c r="B8678">
        <v>267113656.36007115</v>
      </c>
    </row>
    <row r="8679" spans="1:2" x14ac:dyDescent="0.25">
      <c r="A8679">
        <f ca="1">27072.351492284*((RANDBETWEEN(1587,2416)))</f>
        <v>52385000.137569606</v>
      </c>
      <c r="B8679">
        <v>226019286.34372106</v>
      </c>
    </row>
    <row r="8680" spans="1:2" x14ac:dyDescent="0.25">
      <c r="A8680">
        <f ca="1">28768.7164442054*((RANDBETWEEN(1587,2416)))</f>
        <v>55552391.453760564</v>
      </c>
      <c r="B8680">
        <v>227390893.26748681</v>
      </c>
    </row>
    <row r="8681" spans="1:2" x14ac:dyDescent="0.25">
      <c r="A8681">
        <f ca="1">34350.6199248006*((RANDBETWEEN(1587,2416)))</f>
        <v>77288894.830801323</v>
      </c>
      <c r="B8681">
        <v>260621281.75944301</v>
      </c>
    </row>
    <row r="8682" spans="1:2" x14ac:dyDescent="0.25">
      <c r="A8682">
        <f ca="1">27830.6339385582*((RANDBETWEEN(1587,2416)))</f>
        <v>55188147.100160927</v>
      </c>
      <c r="B8682">
        <v>254815961.6007005</v>
      </c>
    </row>
    <row r="8683" spans="1:2" x14ac:dyDescent="0.25">
      <c r="A8683">
        <f ca="1">32487.8356459734*((RANDBETWEEN(1587,2416)))</f>
        <v>67444746.801040739</v>
      </c>
      <c r="B8683">
        <v>248437749.5632045</v>
      </c>
    </row>
    <row r="8684" spans="1:2" x14ac:dyDescent="0.25">
      <c r="A8684">
        <f ca="1">30235.920206993*((RANDBETWEEN(1587,2416)))</f>
        <v>51522008.032716118</v>
      </c>
      <c r="B8684">
        <v>244354508.15697169</v>
      </c>
    </row>
    <row r="8685" spans="1:2" x14ac:dyDescent="0.25">
      <c r="A8685">
        <f ca="1">30436.4591561688*((RANDBETWEEN(1587,2416)))</f>
        <v>57707526.560095966</v>
      </c>
      <c r="B8685">
        <v>230110889.31701869</v>
      </c>
    </row>
    <row r="8686" spans="1:2" x14ac:dyDescent="0.25">
      <c r="A8686">
        <f ca="1">27139.888036658*((RANDBETWEEN(1587,2416)))</f>
        <v>43423820.85865289</v>
      </c>
      <c r="B8686">
        <v>225572616.881192</v>
      </c>
    </row>
    <row r="8687" spans="1:2" x14ac:dyDescent="0.25">
      <c r="A8687">
        <f ca="1">29400.2062289018*((RANDBETWEEN(1587,2416)))</f>
        <v>61769833.286922745</v>
      </c>
      <c r="B8687">
        <v>231246027.6688123</v>
      </c>
    </row>
    <row r="8688" spans="1:2" x14ac:dyDescent="0.25">
      <c r="A8688">
        <f ca="1">29288.9378857738*((RANDBETWEEN(1587,2416)))</f>
        <v>61096724.429724075</v>
      </c>
      <c r="B8688">
        <v>250420550.32357913</v>
      </c>
    </row>
    <row r="8689" spans="1:2" x14ac:dyDescent="0.25">
      <c r="A8689">
        <f ca="1">29484.250589119*((RANDBETWEEN(1587,2416)))</f>
        <v>50270647.25444793</v>
      </c>
      <c r="B8689">
        <v>267279661.75893098</v>
      </c>
    </row>
    <row r="8690" spans="1:2" x14ac:dyDescent="0.25">
      <c r="A8690">
        <f ca="1">28565.7044655688*((RANDBETWEEN(1587,2416)))</f>
        <v>48390303.364673495</v>
      </c>
      <c r="B8690">
        <v>219742932.77348936</v>
      </c>
    </row>
    <row r="8691" spans="1:2" x14ac:dyDescent="0.25">
      <c r="A8691">
        <f ca="1">26570.1933944591*((RANDBETWEEN(1587,2416)))</f>
        <v>48145190.430759847</v>
      </c>
      <c r="B8691">
        <v>246261714.91206014</v>
      </c>
    </row>
    <row r="8692" spans="1:2" x14ac:dyDescent="0.25">
      <c r="A8692">
        <f ca="1">28578.7144955787*((RANDBETWEEN(1587,2416)))</f>
        <v>45640207.049439222</v>
      </c>
      <c r="B8692">
        <v>224861305.65432531</v>
      </c>
    </row>
    <row r="8693" spans="1:2" x14ac:dyDescent="0.25">
      <c r="A8693">
        <f ca="1">27594.8930170146*((RANDBETWEEN(1587,2416)))</f>
        <v>47932329.170554377</v>
      </c>
      <c r="B8693">
        <v>223564385.13279659</v>
      </c>
    </row>
    <row r="8694" spans="1:2" x14ac:dyDescent="0.25">
      <c r="A8694">
        <f ca="1">32161.7041157694*((RANDBETWEEN(1587,2416)))</f>
        <v>53034650.086903729</v>
      </c>
      <c r="B8694">
        <v>208549201.624174</v>
      </c>
    </row>
    <row r="8695" spans="1:2" x14ac:dyDescent="0.25">
      <c r="A8695">
        <f ca="1">30492.6161583589*((RANDBETWEEN(1587,2416)))</f>
        <v>51410550.842993088</v>
      </c>
      <c r="B8695">
        <v>257369701.99725854</v>
      </c>
    </row>
    <row r="8696" spans="1:2" x14ac:dyDescent="0.25">
      <c r="A8696">
        <f ca="1">30273.7669073386*((RANDBETWEEN(1587,2416)))</f>
        <v>54674423.034653582</v>
      </c>
      <c r="B8696">
        <v>217321091.94760001</v>
      </c>
    </row>
    <row r="8697" spans="1:2" x14ac:dyDescent="0.25">
      <c r="A8697">
        <f ca="1">29930.3725742091*((RANDBETWEEN(1587,2416)))</f>
        <v>61177681.541683376</v>
      </c>
      <c r="B8697">
        <v>253340653.74534184</v>
      </c>
    </row>
    <row r="8698" spans="1:2" x14ac:dyDescent="0.25">
      <c r="A8698">
        <f ca="1">29595.5842585042*((RANDBETWEEN(1587,2416)))</f>
        <v>58303300.989253268</v>
      </c>
      <c r="B8698">
        <v>244999726.52879944</v>
      </c>
    </row>
    <row r="8699" spans="1:2" x14ac:dyDescent="0.25">
      <c r="A8699">
        <f ca="1">30753.9143824989*((RANDBETWEEN(1587,2416)))</f>
        <v>66336193.323050074</v>
      </c>
      <c r="B8699">
        <v>250723799.04003459</v>
      </c>
    </row>
    <row r="8700" spans="1:2" x14ac:dyDescent="0.25">
      <c r="A8700">
        <f ca="1">25616.3435343596*((RANDBETWEEN(1587,2416)))</f>
        <v>57124446.081621803</v>
      </c>
      <c r="B8700">
        <v>211076695.18004212</v>
      </c>
    </row>
    <row r="8701" spans="1:2" x14ac:dyDescent="0.25">
      <c r="A8701">
        <f ca="1">30781.2096311369*((RANDBETWEEN(1587,2416)))</f>
        <v>49896340.812072843</v>
      </c>
      <c r="B8701">
        <v>233807625.89964569</v>
      </c>
    </row>
    <row r="8702" spans="1:2" x14ac:dyDescent="0.25">
      <c r="A8702">
        <f ca="1">27776.0037689513*((RANDBETWEEN(1587,2416)))</f>
        <v>57857415.850725621</v>
      </c>
      <c r="B8702">
        <v>236392446.40858269</v>
      </c>
    </row>
    <row r="8703" spans="1:2" x14ac:dyDescent="0.25">
      <c r="A8703">
        <f ca="1">28095.2852836423*((RANDBETWEEN(1587,2416)))</f>
        <v>52341516.483425647</v>
      </c>
      <c r="B8703">
        <v>218603385.46649325</v>
      </c>
    </row>
    <row r="8704" spans="1:2" x14ac:dyDescent="0.25">
      <c r="A8704">
        <f ca="1">31666.1607352537*((RANDBETWEEN(1587,2416)))</f>
        <v>71375526.297261909</v>
      </c>
      <c r="B8704">
        <v>250541969.22237986</v>
      </c>
    </row>
    <row r="8705" spans="1:2" x14ac:dyDescent="0.25">
      <c r="A8705">
        <f ca="1">31632.7148893755*((RANDBETWEEN(1587,2416)))</f>
        <v>51434794.41012454</v>
      </c>
      <c r="B8705">
        <v>237296903.51404175</v>
      </c>
    </row>
    <row r="8706" spans="1:2" x14ac:dyDescent="0.25">
      <c r="A8706">
        <f ca="1">25829.0582009142*((RANDBETWEEN(1587,2416)))</f>
        <v>58167039.068458676</v>
      </c>
      <c r="B8706">
        <v>209776420.40938267</v>
      </c>
    </row>
    <row r="8707" spans="1:2" x14ac:dyDescent="0.25">
      <c r="A8707">
        <f ca="1">32149.3211438804*((RANDBETWEEN(1587,2416)))</f>
        <v>52371244.143381171</v>
      </c>
      <c r="B8707">
        <v>259409364.63541174</v>
      </c>
    </row>
    <row r="8708" spans="1:2" x14ac:dyDescent="0.25">
      <c r="A8708">
        <f ca="1">29222.2337016457*((RANDBETWEEN(1587,2416)))</f>
        <v>46551018.286721624</v>
      </c>
      <c r="B8708">
        <v>254740397.7312158</v>
      </c>
    </row>
    <row r="8709" spans="1:2" x14ac:dyDescent="0.25">
      <c r="A8709">
        <f ca="1">29701.7377316952*((RANDBETWEEN(1587,2416)))</f>
        <v>57621371.199488729</v>
      </c>
      <c r="B8709">
        <v>216918060.42062697</v>
      </c>
    </row>
    <row r="8710" spans="1:2" x14ac:dyDescent="0.25">
      <c r="A8710">
        <f ca="1">28237.8276050239*((RANDBETWEEN(1587,2416)))</f>
        <v>50376284.447362781</v>
      </c>
      <c r="B8710">
        <v>261864300.76499042</v>
      </c>
    </row>
    <row r="8711" spans="1:2" x14ac:dyDescent="0.25">
      <c r="A8711">
        <f ca="1">26423.4105373684*((RANDBETWEEN(1587,2416)))</f>
        <v>43175852.818060026</v>
      </c>
      <c r="B8711">
        <v>219699906.67158574</v>
      </c>
    </row>
    <row r="8712" spans="1:2" x14ac:dyDescent="0.25">
      <c r="A8712">
        <f ca="1">28592.3136620806*((RANDBETWEEN(1587,2416)))</f>
        <v>64504259.621653795</v>
      </c>
      <c r="B8712">
        <v>237464845.50223127</v>
      </c>
    </row>
    <row r="8713" spans="1:2" x14ac:dyDescent="0.25">
      <c r="A8713">
        <f ca="1">30532.6152433595*((RANDBETWEEN(1587,2416)))</f>
        <v>56393740.354485087</v>
      </c>
      <c r="B8713">
        <v>226741027.7899721</v>
      </c>
    </row>
    <row r="8714" spans="1:2" x14ac:dyDescent="0.25">
      <c r="A8714">
        <f ca="1">30003.8867271696*((RANDBETWEEN(1587,2416)))</f>
        <v>62588107.712875746</v>
      </c>
      <c r="B8714">
        <v>224456178.33309314</v>
      </c>
    </row>
    <row r="8715" spans="1:2" x14ac:dyDescent="0.25">
      <c r="A8715">
        <f ca="1">33058.9586613884*((RANDBETWEEN(1587,2416)))</f>
        <v>61654957.903489344</v>
      </c>
      <c r="B8715">
        <v>254683849.66796133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63981-BE21-45CD-9772-92798641B27B}">
  <dimension ref="A1:D15308"/>
  <sheetViews>
    <sheetView topLeftCell="A15293" workbookViewId="0">
      <selection activeCell="A15308" sqref="A1:A15308"/>
    </sheetView>
  </sheetViews>
  <sheetFormatPr defaultRowHeight="13.8" x14ac:dyDescent="0.25"/>
  <sheetData>
    <row r="1" spans="1:2" x14ac:dyDescent="0.25">
      <c r="A1">
        <f ca="1">30088.4888731648*((RANDBETWEEN(1620,2416)))</f>
        <v>60899101.479285568</v>
      </c>
      <c r="B1">
        <v>189578598.54494572</v>
      </c>
    </row>
    <row r="2" spans="1:2" x14ac:dyDescent="0.25">
      <c r="A2">
        <f ca="1">33146.7651321577*((RANDBETWEEN(1620,2416)))</f>
        <v>70834637.087420985</v>
      </c>
      <c r="B2">
        <v>159549092.2596004</v>
      </c>
    </row>
    <row r="3" spans="1:2" x14ac:dyDescent="0.25">
      <c r="A3">
        <f ca="1">34486.0465833118*((RANDBETWEEN(1620,2416)))</f>
        <v>56281228.0239648</v>
      </c>
      <c r="B3">
        <v>170710508.00999996</v>
      </c>
    </row>
    <row r="4" spans="1:2" x14ac:dyDescent="0.25">
      <c r="A4">
        <f ca="1">29788.2547065349*((RANDBETWEEN(1620,2416)))</f>
        <v>52725210.830566838</v>
      </c>
      <c r="B4">
        <v>162510731.51680139</v>
      </c>
    </row>
    <row r="5" spans="1:2" x14ac:dyDescent="0.25">
      <c r="A5">
        <f ca="1">30054.379915934*((RANDBETWEEN(1620,2416)))</f>
        <v>71379152.300343215</v>
      </c>
      <c r="B5">
        <v>165220372.87425032</v>
      </c>
    </row>
    <row r="6" spans="1:2" x14ac:dyDescent="0.25">
      <c r="A6">
        <f ca="1">28995.8603721369*((RANDBETWEEN(1620,2416)))</f>
        <v>51960581.786869265</v>
      </c>
      <c r="B6">
        <v>144040636.70952266</v>
      </c>
    </row>
    <row r="7" spans="1:2" x14ac:dyDescent="0.25">
      <c r="A7">
        <f ca="1">30950.4836578361*((RANDBETWEEN(1620,2416)))</f>
        <v>71557518.216916963</v>
      </c>
      <c r="B7">
        <v>154339973.06956249</v>
      </c>
    </row>
    <row r="8" spans="1:2" x14ac:dyDescent="0.25">
      <c r="A8">
        <f ca="1">33462.7078549065*((RANDBETWEEN(1620,2416)))</f>
        <v>74019509.775053099</v>
      </c>
      <c r="B8">
        <v>190940677.02920514</v>
      </c>
    </row>
    <row r="9" spans="1:2" x14ac:dyDescent="0.25">
      <c r="A9">
        <f ca="1">38319.3530577355*((RANDBETWEEN(1620,2416)))</f>
        <v>92004766.691622928</v>
      </c>
      <c r="B9">
        <v>181609807.7464292</v>
      </c>
    </row>
    <row r="10" spans="1:2" x14ac:dyDescent="0.25">
      <c r="A10">
        <f ca="1">40627.8258383536*((RANDBETWEEN(1620,2416)))</f>
        <v>71342462.172148928</v>
      </c>
      <c r="B10">
        <v>178071126.96406877</v>
      </c>
    </row>
    <row r="11" spans="1:2" x14ac:dyDescent="0.25">
      <c r="A11">
        <f ca="1">33650.3496926878*((RANDBETWEEN(1620,2416)))</f>
        <v>76790097.998713627</v>
      </c>
      <c r="B11">
        <v>154659245.89500812</v>
      </c>
    </row>
    <row r="12" spans="1:2" x14ac:dyDescent="0.25">
      <c r="A12">
        <f ca="1">38400.0086894908*((RANDBETWEEN(1620,2416)))</f>
        <v>63052814.268143825</v>
      </c>
      <c r="B12">
        <v>165375513.70494661</v>
      </c>
    </row>
    <row r="13" spans="1:2" x14ac:dyDescent="0.25">
      <c r="A13">
        <f ca="1">33188.82551187*((RANDBETWEEN(1620,2416)))</f>
        <v>54861128.571121119</v>
      </c>
      <c r="B13">
        <v>151479750.72675991</v>
      </c>
    </row>
    <row r="14" spans="1:2" x14ac:dyDescent="0.25">
      <c r="A14">
        <f ca="1">39504.6632249754*((RANDBETWEEN(1620,2416)))</f>
        <v>84263446.658872619</v>
      </c>
      <c r="B14">
        <v>167632851.29452115</v>
      </c>
    </row>
    <row r="15" spans="1:2" x14ac:dyDescent="0.25">
      <c r="A15">
        <f ca="1">35525.1047128357*((RANDBETWEEN(1620,2416)))</f>
        <v>77586828.69283323</v>
      </c>
      <c r="B15">
        <v>157347432.16106963</v>
      </c>
    </row>
    <row r="16" spans="1:2" x14ac:dyDescent="0.25">
      <c r="A16">
        <f ca="1">31146.7870812666*((RANDBETWEEN(1620,2416)))</f>
        <v>74378527.550064623</v>
      </c>
      <c r="B16">
        <v>146671913.17431548</v>
      </c>
    </row>
    <row r="17" spans="1:2" x14ac:dyDescent="0.25">
      <c r="A17">
        <f ca="1">33718.0219918856*((RANDBETWEEN(1620,2416)))</f>
        <v>72358875.194586486</v>
      </c>
      <c r="B17">
        <v>180196493.95949304</v>
      </c>
    </row>
    <row r="18" spans="1:2" x14ac:dyDescent="0.25">
      <c r="A18">
        <f ca="1">38747.5637520298*((RANDBETWEEN(1620,2416)))</f>
        <v>80982408.241742358</v>
      </c>
      <c r="B18">
        <v>148307046.66314924</v>
      </c>
    </row>
    <row r="19" spans="1:2" x14ac:dyDescent="0.25">
      <c r="A19">
        <f ca="1">29499.5314372768*((RANDBETWEEN(1620,2416)))</f>
        <v>58232075.057184383</v>
      </c>
      <c r="B19">
        <v>157232333.49381366</v>
      </c>
    </row>
    <row r="20" spans="1:2" x14ac:dyDescent="0.25">
      <c r="A20">
        <f ca="1">28141.1307940938*((RANDBETWEEN(1620,2416)))</f>
        <v>59574773.891096473</v>
      </c>
      <c r="B20">
        <v>163550426.08553359</v>
      </c>
    </row>
    <row r="21" spans="1:2" x14ac:dyDescent="0.25">
      <c r="A21">
        <f ca="1">43392.8673582216*((RANDBETWEEN(1620,2416)))</f>
        <v>102146809.76125364</v>
      </c>
      <c r="B21">
        <v>148239797.67892331</v>
      </c>
    </row>
    <row r="22" spans="1:2" x14ac:dyDescent="0.25">
      <c r="A22">
        <f ca="1">31116.1995951947*((RANDBETWEEN(1620,2416)))</f>
        <v>68082244.714286044</v>
      </c>
      <c r="B22">
        <v>158484110.39000675</v>
      </c>
    </row>
    <row r="23" spans="1:2" x14ac:dyDescent="0.25">
      <c r="A23">
        <f ca="1">33478.330238178*((RANDBETWEEN(1620,2416)))</f>
        <v>79745382.627340108</v>
      </c>
      <c r="B23">
        <v>193352291.39059031</v>
      </c>
    </row>
    <row r="24" spans="1:2" x14ac:dyDescent="0.25">
      <c r="A24">
        <f ca="1">32592.4668198364*((RANDBETWEEN(1620,2416)))</f>
        <v>71964166.738198802</v>
      </c>
      <c r="B24">
        <v>171208057.40597147</v>
      </c>
    </row>
    <row r="25" spans="1:2" x14ac:dyDescent="0.25">
      <c r="A25">
        <f ca="1">32952.1798354469*((RANDBETWEEN(1620,2416)))</f>
        <v>62081906.809982002</v>
      </c>
      <c r="B25">
        <v>150293319.43139967</v>
      </c>
    </row>
    <row r="26" spans="1:2" x14ac:dyDescent="0.25">
      <c r="A26">
        <f ca="1">32880.9844418719*((RANDBETWEEN(1620,2416)))</f>
        <v>57903413.602136366</v>
      </c>
      <c r="B26">
        <v>160853130.73651314</v>
      </c>
    </row>
    <row r="27" spans="1:2" x14ac:dyDescent="0.25">
      <c r="A27">
        <f ca="1">32897.7650581281*((RANDBETWEEN(1620,2416)))</f>
        <v>57110520.140910313</v>
      </c>
      <c r="B27">
        <v>196600783.08652151</v>
      </c>
    </row>
    <row r="28" spans="1:2" x14ac:dyDescent="0.25">
      <c r="A28">
        <f ca="1">30103.0819268488*((RANDBETWEEN(1620,2416)))</f>
        <v>53553382.747864053</v>
      </c>
      <c r="B28">
        <v>144481417.60992935</v>
      </c>
    </row>
    <row r="29" spans="1:2" x14ac:dyDescent="0.25">
      <c r="A29">
        <f ca="1">31822.2839844028*((RANDBETWEEN(1620,2416)))</f>
        <v>53397792.52582787</v>
      </c>
      <c r="B29">
        <v>191656569.50718892</v>
      </c>
    </row>
    <row r="30" spans="1:2" x14ac:dyDescent="0.25">
      <c r="A30">
        <f ca="1">36600.5215481146*((RANDBETWEEN(1620,2416)))</f>
        <v>70236400.850831896</v>
      </c>
      <c r="B30">
        <v>202486807.56333405</v>
      </c>
    </row>
    <row r="31" spans="1:2" x14ac:dyDescent="0.25">
      <c r="A31">
        <f ca="1">37047.4546596236*((RANDBETWEEN(1620,2416)))</f>
        <v>71205207.85579665</v>
      </c>
      <c r="B31">
        <v>151344152.64235437</v>
      </c>
    </row>
    <row r="32" spans="1:2" x14ac:dyDescent="0.25">
      <c r="A32">
        <f ca="1">33290.5589683809*((RANDBETWEEN(1620,2416)))</f>
        <v>67479963.028908104</v>
      </c>
      <c r="B32">
        <v>154686397.62354484</v>
      </c>
    </row>
    <row r="33" spans="1:2" x14ac:dyDescent="0.25">
      <c r="A33">
        <f ca="1">32888.4412452911*((RANDBETWEEN(1620,2416)))</f>
        <v>79162478.077415764</v>
      </c>
      <c r="B33">
        <v>185076507.78406677</v>
      </c>
    </row>
    <row r="34" spans="1:2" x14ac:dyDescent="0.25">
      <c r="A34">
        <f ca="1">32024.7687358038*((RANDBETWEEN(1620,2416)))</f>
        <v>63537141.171834931</v>
      </c>
      <c r="B34">
        <v>190086792.36799657</v>
      </c>
    </row>
    <row r="35" spans="1:2" x14ac:dyDescent="0.25">
      <c r="A35">
        <f ca="1">29745.716475454*((RANDBETWEEN(1620,2416)))</f>
        <v>70854296.644531503</v>
      </c>
      <c r="B35">
        <v>151572771.65638417</v>
      </c>
    </row>
    <row r="36" spans="1:2" x14ac:dyDescent="0.25">
      <c r="A36">
        <f ca="1">40129.6179267911*((RANDBETWEEN(1620,2416)))</f>
        <v>84191938.410407797</v>
      </c>
      <c r="B36">
        <v>147690872.99437419</v>
      </c>
    </row>
    <row r="37" spans="1:2" x14ac:dyDescent="0.25">
      <c r="A37">
        <f ca="1">36613.293017193*((RANDBETWEEN(1620,2416)))</f>
        <v>71469147.969560832</v>
      </c>
      <c r="B37">
        <v>165547489.27522942</v>
      </c>
    </row>
    <row r="38" spans="1:2" x14ac:dyDescent="0.25">
      <c r="A38">
        <f ca="1">32700.4007878826*((RANDBETWEEN(1620,2416)))</f>
        <v>65858607.186795533</v>
      </c>
      <c r="B38">
        <v>179729840.86516476</v>
      </c>
    </row>
    <row r="39" spans="1:2" x14ac:dyDescent="0.25">
      <c r="A39">
        <f ca="1">31957.6786749641*((RANDBETWEEN(1620,2416)))</f>
        <v>62157685.022805125</v>
      </c>
      <c r="B39">
        <v>178209832.92086017</v>
      </c>
    </row>
    <row r="40" spans="1:2" x14ac:dyDescent="0.25">
      <c r="A40">
        <f ca="1">33648.4945186569*((RANDBETWEEN(1620,2416)))</f>
        <v>64134030.552559987</v>
      </c>
      <c r="B40">
        <v>173932885.62126571</v>
      </c>
    </row>
    <row r="41" spans="1:2" x14ac:dyDescent="0.25">
      <c r="A41">
        <f ca="1">35571.386529828*((RANDBETWEEN(1620,2416)))</f>
        <v>72174343.269021019</v>
      </c>
      <c r="B41">
        <v>145927680.80128548</v>
      </c>
    </row>
    <row r="42" spans="1:2" x14ac:dyDescent="0.25">
      <c r="A42">
        <f ca="1">30259.1636262437*((RANDBETWEEN(1620,2416)))</f>
        <v>53437682.963946342</v>
      </c>
      <c r="B42">
        <v>150467460.40370071</v>
      </c>
    </row>
    <row r="43" spans="1:2" x14ac:dyDescent="0.25">
      <c r="A43">
        <f ca="1">30686.739227328*((RANDBETWEEN(1620,2416)))</f>
        <v>50479686.028954633</v>
      </c>
      <c r="B43">
        <v>178839540.95280719</v>
      </c>
    </row>
    <row r="44" spans="1:2" x14ac:dyDescent="0.25">
      <c r="A44">
        <f ca="1">32167.7195606204*((RANDBETWEEN(1620,2416)))</f>
        <v>72087859.535350412</v>
      </c>
      <c r="B44">
        <v>176564532.00020918</v>
      </c>
    </row>
    <row r="45" spans="1:2" x14ac:dyDescent="0.25">
      <c r="A45">
        <f ca="1">32724.4058274706*((RANDBETWEEN(1620,2416)))</f>
        <v>73760810.735118642</v>
      </c>
      <c r="B45">
        <v>185735288.08871052</v>
      </c>
    </row>
    <row r="46" spans="1:2" x14ac:dyDescent="0.25">
      <c r="A46">
        <f ca="1">28181.1420997734*((RANDBETWEEN(1620,2416)))</f>
        <v>48640651.264208868</v>
      </c>
      <c r="B46">
        <v>172649356.02212158</v>
      </c>
    </row>
    <row r="47" spans="1:2" x14ac:dyDescent="0.25">
      <c r="A47">
        <f ca="1">37746.8026949015*((RANDBETWEEN(1620,2416)))</f>
        <v>65603943.083738878</v>
      </c>
      <c r="B47">
        <v>193784304.25551456</v>
      </c>
    </row>
    <row r="48" spans="1:2" x14ac:dyDescent="0.25">
      <c r="A48">
        <f ca="1">32182.6105431581*((RANDBETWEEN(1620,2416)))</f>
        <v>72282143.279933006</v>
      </c>
      <c r="B48">
        <v>170917963.18785807</v>
      </c>
    </row>
    <row r="49" spans="1:2" x14ac:dyDescent="0.25">
      <c r="A49">
        <f ca="1">32906.5530493468*((RANDBETWEEN(1620,2416)))</f>
        <v>67458433.751160964</v>
      </c>
      <c r="B49">
        <v>155613166.48246199</v>
      </c>
    </row>
    <row r="50" spans="1:2" x14ac:dyDescent="0.25">
      <c r="A50">
        <f ca="1">37899.8881824539*((RANDBETWEEN(1620,2416)))</f>
        <v>71744488.32938531</v>
      </c>
      <c r="B50">
        <v>162833802.32491434</v>
      </c>
    </row>
    <row r="51" spans="1:2" x14ac:dyDescent="0.25">
      <c r="A51">
        <f ca="1">39354.1728219479*((RANDBETWEEN(1620,2416)))</f>
        <v>68436906.537367433</v>
      </c>
      <c r="B51">
        <v>188398568.35035652</v>
      </c>
    </row>
    <row r="52" spans="1:2" x14ac:dyDescent="0.25">
      <c r="A52">
        <f ca="1">32974.0163670715*((RANDBETWEEN(1620,2416)))</f>
        <v>69608148.550888032</v>
      </c>
      <c r="B52">
        <v>159227283.7613678</v>
      </c>
    </row>
    <row r="53" spans="1:2" x14ac:dyDescent="0.25">
      <c r="A53">
        <f ca="1">31707.419288524*((RANDBETWEEN(1620,2416)))</f>
        <v>55170909.562031776</v>
      </c>
      <c r="B53">
        <v>144621072.32889172</v>
      </c>
    </row>
    <row r="54" spans="1:2" x14ac:dyDescent="0.25">
      <c r="A54">
        <f ca="1">31427.5334937257*((RANDBETWEEN(1620,2416)))</f>
        <v>70397675.025945634</v>
      </c>
      <c r="B54">
        <v>155648346.93629563</v>
      </c>
    </row>
    <row r="55" spans="1:2" x14ac:dyDescent="0.25">
      <c r="A55">
        <f ca="1">30467.2856994935*((RANDBETWEEN(1620,2416)))</f>
        <v>52677936.974424213</v>
      </c>
      <c r="B55">
        <v>148688633.57709599</v>
      </c>
    </row>
    <row r="56" spans="1:2" x14ac:dyDescent="0.25">
      <c r="A56">
        <f ca="1">33623.7965826638*((RANDBETWEEN(1620,2416)))</f>
        <v>73703362.109198943</v>
      </c>
      <c r="B56">
        <v>153186273.15474358</v>
      </c>
    </row>
    <row r="57" spans="1:2" x14ac:dyDescent="0.25">
      <c r="A57">
        <f ca="1">30042.4217016983*((RANDBETWEEN(1620,2416)))</f>
        <v>67114770.081593946</v>
      </c>
      <c r="B57">
        <v>149442247.88286939</v>
      </c>
    </row>
    <row r="58" spans="1:2" x14ac:dyDescent="0.25">
      <c r="A58">
        <f ca="1">37677.5915958465*((RANDBETWEEN(1620,2416)))</f>
        <v>70909227.383383155</v>
      </c>
      <c r="B58">
        <v>172094523.93605775</v>
      </c>
    </row>
    <row r="59" spans="1:2" x14ac:dyDescent="0.25">
      <c r="A59">
        <f ca="1">31678.1473756232*((RANDBETWEEN(1620,2416)))</f>
        <v>63673076.225002572</v>
      </c>
      <c r="B59">
        <v>165652521.10313374</v>
      </c>
    </row>
    <row r="60" spans="1:2" x14ac:dyDescent="0.25">
      <c r="A60">
        <f ca="1">31242.3033338435*((RANDBETWEEN(1620,2416)))</f>
        <v>51206135.164169423</v>
      </c>
      <c r="B60">
        <v>164867085.84516913</v>
      </c>
    </row>
    <row r="61" spans="1:2" x14ac:dyDescent="0.25">
      <c r="A61">
        <f ca="1">39030.1216816131*((RANDBETWEEN(1620,2416)))</f>
        <v>81104592.854391932</v>
      </c>
      <c r="B61">
        <v>185928786.13882905</v>
      </c>
    </row>
    <row r="62" spans="1:2" x14ac:dyDescent="0.25">
      <c r="A62">
        <f ca="1">32761.370856478*((RANDBETWEEN(1620,2416)))</f>
        <v>58151433.270248443</v>
      </c>
      <c r="B62">
        <v>154648471.52663279</v>
      </c>
    </row>
    <row r="63" spans="1:2" x14ac:dyDescent="0.25">
      <c r="A63">
        <f ca="1">39390.7781474986*((RANDBETWEEN(1620,2416)))</f>
        <v>69367160.31774509</v>
      </c>
      <c r="B63">
        <v>147374523.17251858</v>
      </c>
    </row>
    <row r="64" spans="1:2" x14ac:dyDescent="0.25">
      <c r="A64">
        <f ca="1">35735.0231463552*((RANDBETWEEN(1620,2416)))</f>
        <v>68182424.163245901</v>
      </c>
      <c r="B64">
        <v>161082937.74899399</v>
      </c>
    </row>
    <row r="65" spans="1:2" x14ac:dyDescent="0.25">
      <c r="A65">
        <f ca="1">31583.0864530787*((RANDBETWEEN(1620,2416)))</f>
        <v>57891797.468493402</v>
      </c>
      <c r="B65">
        <v>155493282.85581446</v>
      </c>
    </row>
    <row r="66" spans="1:2" x14ac:dyDescent="0.25">
      <c r="A66">
        <f ca="1">35257.0364078475*((RANDBETWEEN(1620,2416)))</f>
        <v>77459708.98804085</v>
      </c>
      <c r="B66">
        <v>147652186.51524192</v>
      </c>
    </row>
    <row r="67" spans="1:2" x14ac:dyDescent="0.25">
      <c r="A67">
        <f ca="1">31556.6778435371*((RANDBETWEEN(1620,2416)))</f>
        <v>51532054.918496162</v>
      </c>
      <c r="B67">
        <v>163619536.14159</v>
      </c>
    </row>
    <row r="68" spans="1:2" x14ac:dyDescent="0.25">
      <c r="A68">
        <f ca="1">32621.3565884344*((RANDBETWEEN(1620,2416)))</f>
        <v>55554170.270103723</v>
      </c>
      <c r="B68">
        <v>203514681.37187129</v>
      </c>
    </row>
    <row r="69" spans="1:2" x14ac:dyDescent="0.25">
      <c r="A69">
        <f ca="1">30911.4516285237*((RANDBETWEEN(1620,2416)))</f>
        <v>62750246.805903047</v>
      </c>
      <c r="B69">
        <v>173505100.14020804</v>
      </c>
    </row>
    <row r="70" spans="1:2" x14ac:dyDescent="0.25">
      <c r="A70">
        <f ca="1">36679.1249091151*((RANDBETWEEN(1620,2416)))</f>
        <v>71304218.823319837</v>
      </c>
      <c r="B70">
        <v>192737391.46377566</v>
      </c>
    </row>
    <row r="71" spans="1:2" x14ac:dyDescent="0.25">
      <c r="A71">
        <f ca="1">30502.805488763*((RANDBETWEEN(1620,2416)))</f>
        <v>55606614.406014942</v>
      </c>
      <c r="B71">
        <v>162171475.35010016</v>
      </c>
    </row>
    <row r="72" spans="1:2" x14ac:dyDescent="0.25">
      <c r="A72">
        <f ca="1">31701.4564897868*((RANDBETWEEN(1620,2416)))</f>
        <v>73357170.317366719</v>
      </c>
      <c r="B72">
        <v>199457065.09338489</v>
      </c>
    </row>
    <row r="73" spans="1:2" x14ac:dyDescent="0.25">
      <c r="A73">
        <f ca="1">36110.5880721324*((RANDBETWEEN(1620,2416)))</f>
        <v>61387999.72262504</v>
      </c>
      <c r="B73">
        <v>177845552.7521528</v>
      </c>
    </row>
    <row r="74" spans="1:2" x14ac:dyDescent="0.25">
      <c r="A74">
        <f ca="1">31848.7188969497*((RANDBETWEEN(1620,2416)))</f>
        <v>66531973.775727987</v>
      </c>
      <c r="B74">
        <v>145309440.79314828</v>
      </c>
    </row>
    <row r="75" spans="1:2" x14ac:dyDescent="0.25">
      <c r="A75">
        <f ca="1">38705.8370034135*((RANDBETWEEN(1620,2416)))</f>
        <v>83527196.253366336</v>
      </c>
      <c r="B75">
        <v>146152876.09427196</v>
      </c>
    </row>
    <row r="76" spans="1:2" x14ac:dyDescent="0.25">
      <c r="A76">
        <f ca="1">32090.3477459876*((RANDBETWEEN(1620,2416)))</f>
        <v>60265673.066964708</v>
      </c>
      <c r="B76">
        <v>201543166.28942865</v>
      </c>
    </row>
    <row r="77" spans="1:2" x14ac:dyDescent="0.25">
      <c r="A77">
        <f ca="1">30425.3993943624*((RANDBETWEEN(1620,2416)))</f>
        <v>52788067.949218705</v>
      </c>
      <c r="B77">
        <v>197295214.75291401</v>
      </c>
    </row>
    <row r="78" spans="1:2" x14ac:dyDescent="0.25">
      <c r="A78">
        <f ca="1">30008.6877324323*((RANDBETWEEN(1620,2416)))</f>
        <v>58666984.516905174</v>
      </c>
      <c r="B78">
        <v>156179438.61341739</v>
      </c>
    </row>
    <row r="79" spans="1:2" x14ac:dyDescent="0.25">
      <c r="A79">
        <f ca="1">30328.3515532432*((RANDBETWEEN(1620,2416)))</f>
        <v>55773838.50641422</v>
      </c>
      <c r="B79">
        <v>151690234.43394846</v>
      </c>
    </row>
    <row r="80" spans="1:2" x14ac:dyDescent="0.25">
      <c r="A80">
        <f ca="1">31292.6290634815*((RANDBETWEEN(1620,2416)))</f>
        <v>62334917.094455183</v>
      </c>
      <c r="B80">
        <v>183991231.11839163</v>
      </c>
    </row>
    <row r="81" spans="1:2" x14ac:dyDescent="0.25">
      <c r="A81">
        <f ca="1">30621.7323026068*((RANDBETWEEN(1620,2416)))</f>
        <v>73706509.652374625</v>
      </c>
      <c r="B81">
        <v>183838932.64737844</v>
      </c>
    </row>
    <row r="82" spans="1:2" x14ac:dyDescent="0.25">
      <c r="A82">
        <f ca="1">31982.7464994782*((RANDBETWEEN(1620,2416)))</f>
        <v>74040058.146291927</v>
      </c>
      <c r="B82">
        <v>150504573.48322842</v>
      </c>
    </row>
    <row r="83" spans="1:2" x14ac:dyDescent="0.25">
      <c r="A83">
        <f ca="1">29170.2729467932*((RANDBETWEEN(1620,2416)))</f>
        <v>54898453.685864888</v>
      </c>
      <c r="B83">
        <v>159976508.18406826</v>
      </c>
    </row>
    <row r="84" spans="1:2" x14ac:dyDescent="0.25">
      <c r="A84">
        <f ca="1">33897.840520126*((RANDBETWEEN(1620,2416)))</f>
        <v>69660062.268858939</v>
      </c>
      <c r="B84">
        <v>161498456.41394609</v>
      </c>
    </row>
    <row r="85" spans="1:2" x14ac:dyDescent="0.25">
      <c r="A85">
        <f ca="1">31685.7537950432*((RANDBETWEEN(1620,2416)))</f>
        <v>57287842.861438036</v>
      </c>
      <c r="B85">
        <v>201850024.91413304</v>
      </c>
    </row>
    <row r="86" spans="1:2" x14ac:dyDescent="0.25">
      <c r="A86">
        <f ca="1">37234.5331418316*((RANDBETWEEN(1620,2416)))</f>
        <v>67171097.787864223</v>
      </c>
      <c r="B86">
        <v>161110670.62219101</v>
      </c>
    </row>
    <row r="87" spans="1:2" x14ac:dyDescent="0.25">
      <c r="A87">
        <f ca="1">38638.6599128147*((RANDBETWEEN(1620,2416)))</f>
        <v>74340781.672255412</v>
      </c>
      <c r="B87">
        <v>155737186.49215561</v>
      </c>
    </row>
    <row r="88" spans="1:2" x14ac:dyDescent="0.25">
      <c r="A88">
        <f ca="1">31521.7505102183*((RANDBETWEEN(1620,2416)))</f>
        <v>70640242.893399104</v>
      </c>
      <c r="B88">
        <v>148590460.58479193</v>
      </c>
    </row>
    <row r="89" spans="1:2" x14ac:dyDescent="0.25">
      <c r="A89">
        <f ca="1">34467.2709491245*((RANDBETWEEN(1620,2416)))</f>
        <v>57629277.026936136</v>
      </c>
      <c r="B89">
        <v>170957045.14735916</v>
      </c>
    </row>
    <row r="90" spans="1:2" x14ac:dyDescent="0.25">
      <c r="A90">
        <f ca="1">31709.6974665306*((RANDBETWEEN(1620,2416)))</f>
        <v>69380818.056769043</v>
      </c>
      <c r="B90">
        <v>157478866.63394091</v>
      </c>
    </row>
    <row r="91" spans="1:2" x14ac:dyDescent="0.25">
      <c r="A91">
        <f ca="1">34346.2184975138*((RANDBETWEEN(1620,2416)))</f>
        <v>63059657.161435351</v>
      </c>
      <c r="B91">
        <v>171221193.75357619</v>
      </c>
    </row>
    <row r="92" spans="1:2" x14ac:dyDescent="0.25">
      <c r="A92">
        <f ca="1">34687.6657442087*((RANDBETWEEN(1620,2416)))</f>
        <v>71803468.090511963</v>
      </c>
      <c r="B92">
        <v>174967960.28837973</v>
      </c>
    </row>
    <row r="93" spans="1:2" x14ac:dyDescent="0.25">
      <c r="A93">
        <f ca="1">30815.8876814028*((RANDBETWEEN(1620,2416)))</f>
        <v>59844453.877284274</v>
      </c>
      <c r="B93">
        <v>185556458.0445118</v>
      </c>
    </row>
    <row r="94" spans="1:2" x14ac:dyDescent="0.25">
      <c r="A94">
        <f ca="1">43738.5159420903*((RANDBETWEEN(1620,2416)))</f>
        <v>89314049.553748429</v>
      </c>
      <c r="B94">
        <v>164516184.46842766</v>
      </c>
    </row>
    <row r="95" spans="1:2" x14ac:dyDescent="0.25">
      <c r="A95">
        <f ca="1">28561.7517426484*((RANDBETWEEN(1620,2416)))</f>
        <v>62892977.337311782</v>
      </c>
      <c r="B95">
        <v>148199210.56974173</v>
      </c>
    </row>
    <row r="96" spans="1:2" x14ac:dyDescent="0.25">
      <c r="A96">
        <f ca="1">31865.9016583539*((RANDBETWEEN(1620,2416)))</f>
        <v>72399328.567780003</v>
      </c>
      <c r="B96">
        <v>143747457.77552277</v>
      </c>
    </row>
    <row r="97" spans="1:2" x14ac:dyDescent="0.25">
      <c r="A97">
        <f ca="1">31924.2414200447*((RANDBETWEEN(1620,2416)))</f>
        <v>77128967.270827934</v>
      </c>
      <c r="B97">
        <v>171870718.34457743</v>
      </c>
    </row>
    <row r="98" spans="1:2" x14ac:dyDescent="0.25">
      <c r="A98">
        <f ca="1">31099.741472898*((RANDBETWEEN(1620,2416)))</f>
        <v>60084700.52563902</v>
      </c>
      <c r="B98">
        <v>172579476.45696419</v>
      </c>
    </row>
    <row r="99" spans="1:2" x14ac:dyDescent="0.25">
      <c r="A99">
        <f ca="1">32423.4823821941*((RANDBETWEEN(1620,2416)))</f>
        <v>63420331.539571658</v>
      </c>
      <c r="B99">
        <v>195001774.74221683</v>
      </c>
    </row>
    <row r="100" spans="1:2" x14ac:dyDescent="0.25">
      <c r="A100">
        <f ca="1">36231.4001729569*((RANDBETWEEN(1620,2416)))</f>
        <v>83911922.800568163</v>
      </c>
      <c r="B100">
        <v>173000862.6037364</v>
      </c>
    </row>
    <row r="101" spans="1:2" x14ac:dyDescent="0.25">
      <c r="A101">
        <f ca="1">33247.894150172*((RANDBETWEEN(1620,2416)))</f>
        <v>58981764.222405054</v>
      </c>
      <c r="B101">
        <v>160480680.04848331</v>
      </c>
    </row>
    <row r="102" spans="1:2" x14ac:dyDescent="0.25">
      <c r="A102">
        <f ca="1">40893.2806765496*((RANDBETWEEN(1620,2416)))</f>
        <v>90864869.663293317</v>
      </c>
      <c r="B102">
        <v>164014411.107039</v>
      </c>
    </row>
    <row r="103" spans="1:2" x14ac:dyDescent="0.25">
      <c r="A103">
        <f ca="1">30119.5832844995*((RANDBETWEEN(1620,2416)))</f>
        <v>64275190.729121856</v>
      </c>
      <c r="B103">
        <v>197961073.32544932</v>
      </c>
    </row>
    <row r="104" spans="1:2" x14ac:dyDescent="0.25">
      <c r="A104">
        <f ca="1">33043.3863275778*((RANDBETWEEN(1620,2416)))</f>
        <v>65029384.292673081</v>
      </c>
      <c r="B104">
        <v>179712023.03160393</v>
      </c>
    </row>
    <row r="105" spans="1:2" x14ac:dyDescent="0.25">
      <c r="A105">
        <f ca="1">35495.9178733885*((RANDBETWEEN(1620,2416)))</f>
        <v>67761707.220298678</v>
      </c>
      <c r="B105">
        <v>150624597.62076014</v>
      </c>
    </row>
    <row r="106" spans="1:2" x14ac:dyDescent="0.25">
      <c r="A106">
        <f ca="1">34732.9543617593*((RANDBETWEEN(1620,2416)))</f>
        <v>62901380.34914609</v>
      </c>
      <c r="B106">
        <v>161721394.54042518</v>
      </c>
    </row>
    <row r="107" spans="1:2" x14ac:dyDescent="0.25">
      <c r="A107">
        <f ca="1">33026.3159049942*((RANDBETWEEN(1620,2416)))</f>
        <v>69091052.873247862</v>
      </c>
      <c r="B107">
        <v>156180011.12208575</v>
      </c>
    </row>
    <row r="108" spans="1:2" x14ac:dyDescent="0.25">
      <c r="A108">
        <f ca="1">30515.711941375*((RANDBETWEEN(1620,2416)))</f>
        <v>57155928.466195323</v>
      </c>
      <c r="B108">
        <v>154978777.53047806</v>
      </c>
    </row>
    <row r="109" spans="1:2" x14ac:dyDescent="0.25">
      <c r="A109">
        <f ca="1">32593.7687677663*((RANDBETWEEN(1620,2416)))</f>
        <v>60070315.838993341</v>
      </c>
      <c r="B109">
        <v>153791050.26262707</v>
      </c>
    </row>
    <row r="110" spans="1:2" x14ac:dyDescent="0.25">
      <c r="A110">
        <f ca="1">31659.733790067*((RANDBETWEEN(1620,2416)))</f>
        <v>72500790.379253522</v>
      </c>
      <c r="B110">
        <v>170725918.28200164</v>
      </c>
    </row>
    <row r="111" spans="1:2" x14ac:dyDescent="0.25">
      <c r="A111">
        <f ca="1">32789.6222087096*((RANDBETWEEN(1620,2416)))</f>
        <v>68628679.28282924</v>
      </c>
      <c r="B111">
        <v>149996585.60252774</v>
      </c>
    </row>
    <row r="112" spans="1:2" x14ac:dyDescent="0.25">
      <c r="A112">
        <f ca="1">35661.9188690722*((RANDBETWEEN(1620,2416)))</f>
        <v>77386363.945886716</v>
      </c>
      <c r="B112">
        <v>169124618.45656916</v>
      </c>
    </row>
    <row r="113" spans="1:2" x14ac:dyDescent="0.25">
      <c r="A113">
        <f ca="1">31436.5747138489*((RANDBETWEEN(1620,2416)))</f>
        <v>72398431.565993994</v>
      </c>
      <c r="B113">
        <v>150339706.38864064</v>
      </c>
    </row>
    <row r="114" spans="1:2" x14ac:dyDescent="0.25">
      <c r="A114">
        <f ca="1">30800.507333589*((RANDBETWEEN(1620,2416)))</f>
        <v>60676999.447170429</v>
      </c>
      <c r="B114">
        <v>162654117.59239978</v>
      </c>
    </row>
    <row r="115" spans="1:2" x14ac:dyDescent="0.25">
      <c r="A115">
        <f ca="1">27789.0093664429*((RANDBETWEEN(1620,2416)))</f>
        <v>59412902.025454894</v>
      </c>
      <c r="B115">
        <v>145253457.85491472</v>
      </c>
    </row>
    <row r="116" spans="1:2" x14ac:dyDescent="0.25">
      <c r="A116">
        <f ca="1">32219.4278051875*((RANDBETWEEN(1620,2416)))</f>
        <v>64406636.182569794</v>
      </c>
      <c r="B116">
        <v>166132270.33065781</v>
      </c>
    </row>
    <row r="117" spans="1:2" x14ac:dyDescent="0.25">
      <c r="A117">
        <f ca="1">33539.2117758408*((RANDBETWEEN(1620,2416)))</f>
        <v>68352913.599163577</v>
      </c>
      <c r="B117">
        <v>171167564.03788733</v>
      </c>
    </row>
    <row r="118" spans="1:2" x14ac:dyDescent="0.25">
      <c r="A118">
        <f ca="1">30356.7732090062*((RANDBETWEEN(1620,2416)))</f>
        <v>68758091.318399161</v>
      </c>
      <c r="B118">
        <v>169216543.27731138</v>
      </c>
    </row>
    <row r="119" spans="1:2" x14ac:dyDescent="0.25">
      <c r="A119">
        <f ca="1">30065.6642838652*((RANDBETWEEN(1620,2416)))</f>
        <v>58267257.38213072</v>
      </c>
      <c r="B119">
        <v>172649878.89597154</v>
      </c>
    </row>
    <row r="120" spans="1:2" x14ac:dyDescent="0.25">
      <c r="A120">
        <f ca="1">38403.075063077*((RANDBETWEEN(1620,2416)))</f>
        <v>92128977.076321676</v>
      </c>
      <c r="B120">
        <v>143766659.14591625</v>
      </c>
    </row>
    <row r="121" spans="1:2" x14ac:dyDescent="0.25">
      <c r="A121">
        <f ca="1">33134.4579109306*((RANDBETWEEN(1620,2416)))</f>
        <v>58614856.044436306</v>
      </c>
      <c r="B121">
        <v>194385133.92966023</v>
      </c>
    </row>
    <row r="122" spans="1:2" x14ac:dyDescent="0.25">
      <c r="A122">
        <f ca="1">31146.7846185061*((RANDBETWEEN(1620,2416)))</f>
        <v>66809853.006695621</v>
      </c>
      <c r="B122">
        <v>146125812.95724547</v>
      </c>
    </row>
    <row r="123" spans="1:2" x14ac:dyDescent="0.25">
      <c r="A123">
        <f ca="1">37074.0202716302*((RANDBETWEEN(1620,2416)))</f>
        <v>77966664.631238431</v>
      </c>
      <c r="B123">
        <v>166403083.29670689</v>
      </c>
    </row>
    <row r="124" spans="1:2" x14ac:dyDescent="0.25">
      <c r="A124">
        <f ca="1">38318.6367293748*((RANDBETWEEN(1620,2416)))</f>
        <v>72652135.238894701</v>
      </c>
      <c r="B124">
        <v>156248811.32178652</v>
      </c>
    </row>
    <row r="125" spans="1:2" x14ac:dyDescent="0.25">
      <c r="A125">
        <f ca="1">31904.2018594072*((RANDBETWEEN(1620,2416)))</f>
        <v>69965914.677679986</v>
      </c>
      <c r="B125">
        <v>171988765.82002819</v>
      </c>
    </row>
    <row r="126" spans="1:2" x14ac:dyDescent="0.25">
      <c r="A126">
        <f ca="1">29898.7493174892*((RANDBETWEEN(1620,2416)))</f>
        <v>50259797.602699317</v>
      </c>
      <c r="B126">
        <v>174817076.7120094</v>
      </c>
    </row>
    <row r="127" spans="1:2" x14ac:dyDescent="0.25">
      <c r="A127">
        <f ca="1">30480.7535245136*((RANDBETWEEN(1620,2416)))</f>
        <v>63674294.112708993</v>
      </c>
      <c r="B127">
        <v>146810020.47132206</v>
      </c>
    </row>
    <row r="128" spans="1:2" x14ac:dyDescent="0.25">
      <c r="A128">
        <f ca="1">37604.6683725722*((RANDBETWEEN(1620,2416)))</f>
        <v>77728849.52610673</v>
      </c>
      <c r="B128">
        <v>183334621.87653935</v>
      </c>
    </row>
    <row r="129" spans="1:2" x14ac:dyDescent="0.25">
      <c r="A129">
        <f ca="1">31238.6132159297*((RANDBETWEEN(1620,2416)))</f>
        <v>69474675.7922277</v>
      </c>
      <c r="B129">
        <v>155694813.81035107</v>
      </c>
    </row>
    <row r="130" spans="1:2" x14ac:dyDescent="0.25">
      <c r="A130">
        <f ca="1">35592.2924762605*((RANDBETWEEN(1620,2416)))</f>
        <v>73640453.133383051</v>
      </c>
      <c r="B130">
        <v>156162286.96510175</v>
      </c>
    </row>
    <row r="131" spans="1:2" x14ac:dyDescent="0.25">
      <c r="A131">
        <f ca="1">37952.1755955033*((RANDBETWEEN(1620,2416)))</f>
        <v>91540647.536353886</v>
      </c>
      <c r="B131">
        <v>146030262.122738</v>
      </c>
    </row>
    <row r="132" spans="1:2" x14ac:dyDescent="0.25">
      <c r="A132">
        <f ca="1">32619.9691981674*((RANDBETWEEN(1620,2416)))</f>
        <v>68273595.531764314</v>
      </c>
      <c r="B132">
        <v>199634044.4113903</v>
      </c>
    </row>
    <row r="133" spans="1:2" x14ac:dyDescent="0.25">
      <c r="A133">
        <f ca="1">30873.5025902543*((RANDBETWEEN(1620,2416)))</f>
        <v>54553479.076979265</v>
      </c>
      <c r="B133">
        <v>161066075.37530649</v>
      </c>
    </row>
    <row r="134" spans="1:2" x14ac:dyDescent="0.25">
      <c r="A134">
        <f ca="1">27780.9843926868*((RANDBETWEEN(1620,2416)))</f>
        <v>66785486.480019011</v>
      </c>
      <c r="B134">
        <v>152572987.94382215</v>
      </c>
    </row>
    <row r="135" spans="1:2" x14ac:dyDescent="0.25">
      <c r="A135">
        <f ca="1">30422.3788086407*((RANDBETWEEN(1620,2416)))</f>
        <v>58167588.282121085</v>
      </c>
      <c r="B135">
        <v>199007739.6630035</v>
      </c>
    </row>
    <row r="136" spans="1:2" x14ac:dyDescent="0.25">
      <c r="A136">
        <f ca="1">32964.7220208467*((RANDBETWEEN(1620,2416)))</f>
        <v>72324600.113737673</v>
      </c>
      <c r="B136">
        <v>188050098.05672899</v>
      </c>
    </row>
    <row r="137" spans="1:2" x14ac:dyDescent="0.25">
      <c r="A137">
        <f ca="1">29020.4324278762*((RANDBETWEEN(1620,2416)))</f>
        <v>55051760.315681063</v>
      </c>
      <c r="B137">
        <v>180266572.97900614</v>
      </c>
    </row>
    <row r="138" spans="1:2" x14ac:dyDescent="0.25">
      <c r="A138">
        <f ca="1">35796.8128518055*((RANDBETWEEN(1620,2416)))</f>
        <v>85876554.03148149</v>
      </c>
      <c r="B138">
        <v>152989449.07838473</v>
      </c>
    </row>
    <row r="139" spans="1:2" x14ac:dyDescent="0.25">
      <c r="A139">
        <f ca="1">29445.0972225132*((RANDBETWEEN(1620,2416)))</f>
        <v>50292226.056052573</v>
      </c>
      <c r="B139">
        <v>150572163.87076956</v>
      </c>
    </row>
    <row r="140" spans="1:2" x14ac:dyDescent="0.25">
      <c r="A140">
        <f ca="1">33426.8157272087*((RANDBETWEEN(1620,2416)))</f>
        <v>63678083.96033264</v>
      </c>
      <c r="B140">
        <v>190412042.15955964</v>
      </c>
    </row>
    <row r="141" spans="1:2" x14ac:dyDescent="0.25">
      <c r="A141">
        <f ca="1">29537.6553114115*((RANDBETWEEN(1620,2416)))</f>
        <v>53699457.356146157</v>
      </c>
      <c r="B141">
        <v>167070993.64619482</v>
      </c>
    </row>
    <row r="142" spans="1:2" x14ac:dyDescent="0.25">
      <c r="A142">
        <f ca="1">31870.3586673877*((RANDBETWEEN(1620,2416)))</f>
        <v>73748009.956335232</v>
      </c>
      <c r="B142">
        <v>150787190.91475868</v>
      </c>
    </row>
    <row r="143" spans="1:2" x14ac:dyDescent="0.25">
      <c r="A143">
        <f ca="1">39350.6904282124*((RANDBETWEEN(1620,2416)))</f>
        <v>87712688.964485437</v>
      </c>
      <c r="B143">
        <v>201277902.40418646</v>
      </c>
    </row>
    <row r="144" spans="1:2" x14ac:dyDescent="0.25">
      <c r="A144">
        <f ca="1">30998.8552237626*((RANDBETWEEN(1620,2416)))</f>
        <v>53535022.971437924</v>
      </c>
      <c r="B144">
        <v>176068525.67786431</v>
      </c>
    </row>
    <row r="145" spans="1:2" x14ac:dyDescent="0.25">
      <c r="A145">
        <f ca="1">30884.6298946595*((RANDBETWEEN(1620,2416)))</f>
        <v>72702418.772028401</v>
      </c>
      <c r="B145">
        <v>151614813.41197243</v>
      </c>
    </row>
    <row r="146" spans="1:2" x14ac:dyDescent="0.25">
      <c r="A146">
        <f ca="1">37836.9108996872*((RANDBETWEEN(1620,2416)))</f>
        <v>79722371.265640944</v>
      </c>
      <c r="B146">
        <v>146523963.60480809</v>
      </c>
    </row>
    <row r="147" spans="1:2" x14ac:dyDescent="0.25">
      <c r="A147">
        <f ca="1">28245.6688635648*((RANDBETWEEN(1620,2416)))</f>
        <v>65473460.425743282</v>
      </c>
      <c r="B147">
        <v>148428450.38508737</v>
      </c>
    </row>
    <row r="148" spans="1:2" x14ac:dyDescent="0.25">
      <c r="A148">
        <f ca="1">31902.0830762968*((RANDBETWEEN(1620,2416)))</f>
        <v>63644655.737212174</v>
      </c>
      <c r="B148">
        <v>145505888.9172582</v>
      </c>
    </row>
    <row r="149" spans="1:2" x14ac:dyDescent="0.25">
      <c r="A149">
        <f ca="1">34760.284860898*((RANDBETWEEN(1620,2416)))</f>
        <v>63507040.440860733</v>
      </c>
      <c r="B149">
        <v>199502543.03347522</v>
      </c>
    </row>
    <row r="150" spans="1:2" x14ac:dyDescent="0.25">
      <c r="A150">
        <f ca="1">31005.6517986079*((RANDBETWEEN(1620,2416)))</f>
        <v>69483665.680680305</v>
      </c>
      <c r="B150">
        <v>150542884.94362521</v>
      </c>
    </row>
    <row r="151" spans="1:2" x14ac:dyDescent="0.25">
      <c r="A151">
        <f ca="1">28712.0824426309*((RANDBETWEEN(1620,2416)))</f>
        <v>58113254.863884866</v>
      </c>
      <c r="B151">
        <v>186962163.34206119</v>
      </c>
    </row>
    <row r="152" spans="1:2" x14ac:dyDescent="0.25">
      <c r="A152">
        <f ca="1">35921.6519942736*((RANDBETWEEN(1620,2416)))</f>
        <v>80033440.643241629</v>
      </c>
      <c r="B152">
        <v>194951860.5595938</v>
      </c>
    </row>
    <row r="153" spans="1:2" x14ac:dyDescent="0.25">
      <c r="A153">
        <f ca="1">27460.9232017881*((RANDBETWEEN(1620,2416)))</f>
        <v>50885090.692913353</v>
      </c>
      <c r="B153">
        <v>185283349.44185683</v>
      </c>
    </row>
    <row r="154" spans="1:2" x14ac:dyDescent="0.25">
      <c r="A154">
        <f ca="1">42223.2963084495*((RANDBETWEEN(1620,2416)))</f>
        <v>69203982.649548709</v>
      </c>
      <c r="B154">
        <v>190326354.00534147</v>
      </c>
    </row>
    <row r="155" spans="1:2" x14ac:dyDescent="0.25">
      <c r="A155">
        <f ca="1">32707.9686178598*((RANDBETWEEN(1620,2416)))</f>
        <v>60575157.880276442</v>
      </c>
      <c r="B155">
        <v>174556694.54794499</v>
      </c>
    </row>
    <row r="156" spans="1:2" x14ac:dyDescent="0.25">
      <c r="A156">
        <f ca="1">32534.4676930711*((RANDBETWEEN(1620,2416)))</f>
        <v>63539815.404567868</v>
      </c>
      <c r="B156">
        <v>164359585.79007426</v>
      </c>
    </row>
    <row r="157" spans="1:2" x14ac:dyDescent="0.25">
      <c r="A157">
        <f ca="1">30408.7330345033*((RANDBETWEEN(1620,2416)))</f>
        <v>68115561.997287348</v>
      </c>
      <c r="B157">
        <v>161259888.83098373</v>
      </c>
    </row>
    <row r="158" spans="1:2" x14ac:dyDescent="0.25">
      <c r="A158">
        <f ca="1">40778.2944049424*((RANDBETWEEN(1620,2416)))</f>
        <v>68996874.133162588</v>
      </c>
      <c r="B158">
        <v>151110197.51908046</v>
      </c>
    </row>
    <row r="159" spans="1:2" x14ac:dyDescent="0.25">
      <c r="A159">
        <f ca="1">41060.5711240529*((RANDBETWEEN(1620,2416)))</f>
        <v>76208420.006242096</v>
      </c>
      <c r="B159">
        <v>170238552.06512627</v>
      </c>
    </row>
    <row r="160" spans="1:2" x14ac:dyDescent="0.25">
      <c r="A160">
        <f ca="1">31612.047345594*((RANDBETWEEN(1620,2416)))</f>
        <v>71601287.237770334</v>
      </c>
      <c r="B160">
        <v>194453878.05076873</v>
      </c>
    </row>
    <row r="161" spans="1:2" x14ac:dyDescent="0.25">
      <c r="A161">
        <f ca="1">31446.7949083239*((RANDBETWEEN(1620,2416)))</f>
        <v>61006782.122148454</v>
      </c>
      <c r="B161">
        <v>182150310.59979743</v>
      </c>
    </row>
    <row r="162" spans="1:2" x14ac:dyDescent="0.25">
      <c r="A162">
        <f ca="1">31557.4291825579*((RANDBETWEEN(1620,2416)))</f>
        <v>62231250.348004237</v>
      </c>
      <c r="B162">
        <v>147140401.26296744</v>
      </c>
    </row>
    <row r="163" spans="1:2" x14ac:dyDescent="0.25">
      <c r="A163">
        <f ca="1">31968.6436908262*((RANDBETWEEN(1620,2416)))</f>
        <v>74870563.523915038</v>
      </c>
      <c r="B163">
        <v>149929968.5708915</v>
      </c>
    </row>
    <row r="164" spans="1:2" x14ac:dyDescent="0.25">
      <c r="A164">
        <f ca="1">30778.2564563154*((RANDBETWEEN(1620,2416)))</f>
        <v>58694135.062193371</v>
      </c>
      <c r="B164">
        <v>170324265.23296994</v>
      </c>
    </row>
    <row r="165" spans="1:2" x14ac:dyDescent="0.25">
      <c r="A165">
        <f ca="1">29030.458710749*((RANDBETWEEN(1620,2416)))</f>
        <v>53009617.605827659</v>
      </c>
      <c r="B165">
        <v>155856590.77211314</v>
      </c>
    </row>
    <row r="166" spans="1:2" x14ac:dyDescent="0.25">
      <c r="A166">
        <f ca="1">38238.7296624833*((RANDBETWEEN(1620,2416)))</f>
        <v>87910839.494049028</v>
      </c>
      <c r="B166">
        <v>169149866.9791618</v>
      </c>
    </row>
    <row r="167" spans="1:2" x14ac:dyDescent="0.25">
      <c r="A167">
        <f ca="1">30834.8817936483*((RANDBETWEEN(1620,2416)))</f>
        <v>67497556.246296063</v>
      </c>
      <c r="B167">
        <v>152690174.78519291</v>
      </c>
    </row>
    <row r="168" spans="1:2" x14ac:dyDescent="0.25">
      <c r="A168">
        <f ca="1">30070.0943440006*((RANDBETWEEN(1620,2416)))</f>
        <v>66905959.915401377</v>
      </c>
      <c r="B168">
        <v>146356559.5814718</v>
      </c>
    </row>
    <row r="169" spans="1:2" x14ac:dyDescent="0.25">
      <c r="A169">
        <f ca="1">32561.0779070077*((RANDBETWEEN(1620,2416)))</f>
        <v>67531675.579134002</v>
      </c>
      <c r="B169">
        <v>145544769.52712008</v>
      </c>
    </row>
    <row r="170" spans="1:2" x14ac:dyDescent="0.25">
      <c r="A170">
        <f ca="1">30473.2460563642*((RANDBETWEEN(1620,2416)))</f>
        <v>61251224.573292002</v>
      </c>
      <c r="B170">
        <v>148927151.81352732</v>
      </c>
    </row>
    <row r="171" spans="1:2" x14ac:dyDescent="0.25">
      <c r="A171">
        <f ca="1">31309.7075083522*((RANDBETWEEN(1620,2416)))</f>
        <v>65155501.324880891</v>
      </c>
      <c r="B171">
        <v>165460046.66557717</v>
      </c>
    </row>
    <row r="172" spans="1:2" x14ac:dyDescent="0.25">
      <c r="A172">
        <f ca="1">32604.6399752809*((RANDBETWEEN(1620,2416)))</f>
        <v>70491231.626557246</v>
      </c>
      <c r="B172">
        <v>150874645.13443989</v>
      </c>
    </row>
    <row r="173" spans="1:2" x14ac:dyDescent="0.25">
      <c r="A173">
        <f ca="1">36160.4330247633*((RANDBETWEEN(1620,2416)))</f>
        <v>61436575.709072806</v>
      </c>
      <c r="B173">
        <v>155649501.56345809</v>
      </c>
    </row>
    <row r="174" spans="1:2" x14ac:dyDescent="0.25">
      <c r="A174">
        <f ca="1">31929.8761507427*((RANDBETWEEN(1620,2416)))</f>
        <v>68553444.095644489</v>
      </c>
      <c r="B174">
        <v>162483920.07353383</v>
      </c>
    </row>
    <row r="175" spans="1:2" x14ac:dyDescent="0.25">
      <c r="A175">
        <f ca="1">39282.0820762631*((RANDBETWEEN(1620,2416)))</f>
        <v>64540460.851300307</v>
      </c>
      <c r="B175">
        <v>181579776.55743799</v>
      </c>
    </row>
    <row r="176" spans="1:2" x14ac:dyDescent="0.25">
      <c r="A176">
        <f ca="1">29743.4728255534*((RANDBETWEEN(1620,2416)))</f>
        <v>70194595.868305966</v>
      </c>
      <c r="B176">
        <v>144895998.85194546</v>
      </c>
    </row>
    <row r="177" spans="1:2" x14ac:dyDescent="0.25">
      <c r="A177">
        <f ca="1">30981.1825490567*((RANDBETWEEN(1620,2416)))</f>
        <v>54031182.365554877</v>
      </c>
      <c r="B177">
        <v>175242561.4390232</v>
      </c>
    </row>
    <row r="178" spans="1:2" x14ac:dyDescent="0.25">
      <c r="A178">
        <f ca="1">30603.4743255733*((RANDBETWEEN(1620,2416)))</f>
        <v>57320307.411798835</v>
      </c>
      <c r="B178">
        <v>163068719.25848943</v>
      </c>
    </row>
    <row r="179" spans="1:2" x14ac:dyDescent="0.25">
      <c r="A179">
        <f ca="1">30873.5948813899*((RANDBETWEEN(1620,2416)))</f>
        <v>57394012.884503886</v>
      </c>
      <c r="B179">
        <v>199558391.30580854</v>
      </c>
    </row>
    <row r="180" spans="1:2" x14ac:dyDescent="0.25">
      <c r="A180">
        <f ca="1">31722.149162465*((RANDBETWEEN(1620,2416)))</f>
        <v>51611936.687330507</v>
      </c>
      <c r="B180">
        <v>177582461.47967073</v>
      </c>
    </row>
    <row r="181" spans="1:2" x14ac:dyDescent="0.25">
      <c r="A181">
        <f ca="1">31594.906285175*((RANDBETWEEN(1620,2416)))</f>
        <v>72857853.893613636</v>
      </c>
      <c r="B181">
        <v>161333890.89659023</v>
      </c>
    </row>
    <row r="182" spans="1:2" x14ac:dyDescent="0.25">
      <c r="A182">
        <f ca="1">36388.4623086694*((RANDBETWEEN(1620,2416)))</f>
        <v>64298412.899418809</v>
      </c>
      <c r="B182">
        <v>186337771.81526652</v>
      </c>
    </row>
    <row r="183" spans="1:2" x14ac:dyDescent="0.25">
      <c r="A183">
        <f ca="1">29716.9576406243*((RANDBETWEEN(1620,2416)))</f>
        <v>48854678.361186333</v>
      </c>
      <c r="B183">
        <v>199082009.27711463</v>
      </c>
    </row>
    <row r="184" spans="1:2" x14ac:dyDescent="0.25">
      <c r="A184">
        <f ca="1">29898.9583269448*((RANDBETWEEN(1620,2416)))</f>
        <v>49991058.322651774</v>
      </c>
      <c r="B184">
        <v>191177915.99919093</v>
      </c>
    </row>
    <row r="185" spans="1:2" x14ac:dyDescent="0.25">
      <c r="A185">
        <f ca="1">36603.9134923401*((RANDBETWEEN(1620,2416)))</f>
        <v>75367457.880728304</v>
      </c>
      <c r="B185">
        <v>172303167.01919693</v>
      </c>
    </row>
    <row r="186" spans="1:2" x14ac:dyDescent="0.25">
      <c r="A186">
        <f ca="1">41437.6677985935*((RANDBETWEEN(1620,2416)))</f>
        <v>93069001.875640929</v>
      </c>
      <c r="B186">
        <v>152263072.04690236</v>
      </c>
    </row>
    <row r="187" spans="1:2" x14ac:dyDescent="0.25">
      <c r="A187">
        <f ca="1">32970.1431812705*((RANDBETWEEN(1620,2416)))</f>
        <v>77117164.900991663</v>
      </c>
      <c r="B187">
        <v>155040808.4811635</v>
      </c>
    </row>
    <row r="188" spans="1:2" x14ac:dyDescent="0.25">
      <c r="A188">
        <f ca="1">30480.3888479989*((RANDBETWEEN(1620,2416)))</f>
        <v>61875189.361437738</v>
      </c>
      <c r="B188">
        <v>157009626.35716206</v>
      </c>
    </row>
    <row r="189" spans="1:2" x14ac:dyDescent="0.25">
      <c r="A189">
        <f ca="1">31129.982671339*((RANDBETWEEN(1620,2416)))</f>
        <v>72595119.589562446</v>
      </c>
      <c r="B189">
        <v>167076486.11074317</v>
      </c>
    </row>
    <row r="190" spans="1:2" x14ac:dyDescent="0.25">
      <c r="A190">
        <f ca="1">38100.6461116446*((RANDBETWEEN(1620,2416)))</f>
        <v>74296259.917706907</v>
      </c>
      <c r="B190">
        <v>143588326.93413144</v>
      </c>
    </row>
    <row r="191" spans="1:2" x14ac:dyDescent="0.25">
      <c r="A191">
        <f ca="1">32632.1288418703*((RANDBETWEEN(1620,2416)))</f>
        <v>57856764.436636113</v>
      </c>
      <c r="B191">
        <v>181711291.00729966</v>
      </c>
    </row>
    <row r="192" spans="1:2" x14ac:dyDescent="0.25">
      <c r="A192">
        <f ca="1">38733.7052690637*((RANDBETWEEN(1620,2416)))</f>
        <v>78706889.106737509</v>
      </c>
      <c r="B192">
        <v>151456236.17347717</v>
      </c>
    </row>
    <row r="193" spans="1:2" x14ac:dyDescent="0.25">
      <c r="A193">
        <f ca="1">32150.4012268617*((RANDBETWEEN(1620,2416)))</f>
        <v>57517067.794855639</v>
      </c>
      <c r="B193">
        <v>149216130.34848791</v>
      </c>
    </row>
    <row r="194" spans="1:2" x14ac:dyDescent="0.25">
      <c r="A194">
        <f ca="1">29419.4187964623*((RANDBETWEEN(1620,2416)))</f>
        <v>47983072.057030067</v>
      </c>
      <c r="B194">
        <v>186030316.59429753</v>
      </c>
    </row>
    <row r="195" spans="1:2" x14ac:dyDescent="0.25">
      <c r="A195">
        <f ca="1">32476.3205279059*((RANDBETWEEN(1620,2416)))</f>
        <v>74760489.855239317</v>
      </c>
      <c r="B195">
        <v>169798241.98073807</v>
      </c>
    </row>
    <row r="196" spans="1:2" x14ac:dyDescent="0.25">
      <c r="A196">
        <f ca="1">30251.9000148845*((RANDBETWEEN(1620,2416)))</f>
        <v>66584431.93276073</v>
      </c>
      <c r="B196">
        <v>153124336.82327071</v>
      </c>
    </row>
    <row r="197" spans="1:2" x14ac:dyDescent="0.25">
      <c r="A197">
        <f ca="1">32676.1439545031*((RANDBETWEEN(1620,2416)))</f>
        <v>56693109.761062875</v>
      </c>
      <c r="B197">
        <v>197044052.91659251</v>
      </c>
    </row>
    <row r="198" spans="1:2" x14ac:dyDescent="0.25">
      <c r="A198">
        <f ca="1">39104.030851132*((RANDBETWEEN(1620,2416)))</f>
        <v>80984447.892694354</v>
      </c>
      <c r="B198">
        <v>188711834.53962827</v>
      </c>
    </row>
    <row r="199" spans="1:2" x14ac:dyDescent="0.25">
      <c r="A199">
        <f ca="1">32461.8714314135*((RANDBETWEEN(1620,2416)))</f>
        <v>65443132.805729561</v>
      </c>
      <c r="B199">
        <v>193698309.84621909</v>
      </c>
    </row>
    <row r="200" spans="1:2" x14ac:dyDescent="0.25">
      <c r="A200">
        <f ca="1">33389.4695652291*((RANDBETWEEN(1620,2416)))</f>
        <v>76161380.078287557</v>
      </c>
      <c r="B200">
        <v>191545539.48143533</v>
      </c>
    </row>
    <row r="201" spans="1:2" x14ac:dyDescent="0.25">
      <c r="A201">
        <f ca="1">32900.0379585243*((RANDBETWEEN(1620,2416)))</f>
        <v>64484074.398707695</v>
      </c>
      <c r="B201">
        <v>168419687.81139556</v>
      </c>
    </row>
    <row r="202" spans="1:2" x14ac:dyDescent="0.25">
      <c r="A202">
        <f ca="1">33148.7592557468*((RANDBETWEEN(1620,2416)))</f>
        <v>73424501.751479089</v>
      </c>
      <c r="B202">
        <v>185783716.59808052</v>
      </c>
    </row>
    <row r="203" spans="1:2" x14ac:dyDescent="0.25">
      <c r="A203">
        <f ca="1">33691.3389172319*((RANDBETWEEN(1620,2416)))</f>
        <v>62126828.963375568</v>
      </c>
      <c r="B203">
        <v>202868496.3685728</v>
      </c>
    </row>
    <row r="204" spans="1:2" x14ac:dyDescent="0.25">
      <c r="A204">
        <f ca="1">39402.7443094721*((RANDBETWEEN(1620,2416)))</f>
        <v>76717143.170542076</v>
      </c>
      <c r="B204">
        <v>149804835.72746906</v>
      </c>
    </row>
    <row r="205" spans="1:2" x14ac:dyDescent="0.25">
      <c r="A205">
        <f ca="1">36309.0374751889*((RANDBETWEEN(1620,2416)))</f>
        <v>70693695.964192837</v>
      </c>
      <c r="B205">
        <v>175893046.80796438</v>
      </c>
    </row>
    <row r="206" spans="1:2" x14ac:dyDescent="0.25">
      <c r="A206">
        <f ca="1">39017.5408763153*((RANDBETWEEN(1620,2416)))</f>
        <v>90676764.996556669</v>
      </c>
      <c r="B206">
        <v>194591138.86794844</v>
      </c>
    </row>
    <row r="207" spans="1:2" x14ac:dyDescent="0.25">
      <c r="A207">
        <f ca="1">38364.9925641055*((RANDBETWEEN(1620,2416)))</f>
        <v>85975948.336160377</v>
      </c>
      <c r="B207">
        <v>145638698.39682361</v>
      </c>
    </row>
    <row r="208" spans="1:2" x14ac:dyDescent="0.25">
      <c r="A208">
        <f ca="1">31498.8671079843*((RANDBETWEEN(1620,2416)))</f>
        <v>52540110.336117744</v>
      </c>
      <c r="B208">
        <v>146988143.0823389</v>
      </c>
    </row>
    <row r="209" spans="1:2" x14ac:dyDescent="0.25">
      <c r="A209">
        <f ca="1">30376.8780380451*((RANDBETWEEN(1620,2416)))</f>
        <v>71780562.803900585</v>
      </c>
      <c r="B209">
        <v>172491559.68149522</v>
      </c>
    </row>
    <row r="210" spans="1:2" x14ac:dyDescent="0.25">
      <c r="A210">
        <f ca="1">28914.1559714519*((RANDBETWEEN(1620,2416)))</f>
        <v>63929198.85288018</v>
      </c>
      <c r="B210">
        <v>154114871.76859912</v>
      </c>
    </row>
    <row r="211" spans="1:2" x14ac:dyDescent="0.25">
      <c r="A211">
        <f ca="1">32177.5750373677*((RANDBETWEEN(1620,2416)))</f>
        <v>56922130.241103515</v>
      </c>
      <c r="B211">
        <v>197786259.75669631</v>
      </c>
    </row>
    <row r="212" spans="1:2" x14ac:dyDescent="0.25">
      <c r="A212">
        <f ca="1">29781.1889209399*((RANDBETWEEN(1620,2416)))</f>
        <v>51670362.777830645</v>
      </c>
      <c r="B212">
        <v>201800908.85955134</v>
      </c>
    </row>
    <row r="213" spans="1:2" x14ac:dyDescent="0.25">
      <c r="A213">
        <f ca="1">32165.2725967425*((RANDBETWEEN(1620,2416)))</f>
        <v>62497124.655470632</v>
      </c>
      <c r="B213">
        <v>146316189.79396185</v>
      </c>
    </row>
    <row r="214" spans="1:2" x14ac:dyDescent="0.25">
      <c r="A214">
        <f ca="1">31223.7306010097*((RANDBETWEEN(1620,2416)))</f>
        <v>53860935.286741808</v>
      </c>
      <c r="B214">
        <v>152583602.1206072</v>
      </c>
    </row>
    <row r="215" spans="1:2" x14ac:dyDescent="0.25">
      <c r="A215">
        <f ca="1">33966.7422345081*((RANDBETWEEN(1620,2416)))</f>
        <v>81656048.331757411</v>
      </c>
      <c r="B215">
        <v>177558249.40117502</v>
      </c>
    </row>
    <row r="216" spans="1:2" x14ac:dyDescent="0.25">
      <c r="A216">
        <f ca="1">29375.1837558412*((RANDBETWEEN(1620,2416)))</f>
        <v>57487234.610181168</v>
      </c>
      <c r="B216">
        <v>152831410.27473938</v>
      </c>
    </row>
    <row r="217" spans="1:2" x14ac:dyDescent="0.25">
      <c r="A217">
        <f ca="1">30878.8067967549*((RANDBETWEEN(1620,2416)))</f>
        <v>62838371.831396244</v>
      </c>
      <c r="B217">
        <v>149560102.65488207</v>
      </c>
    </row>
    <row r="218" spans="1:2" x14ac:dyDescent="0.25">
      <c r="A218">
        <f ca="1">38467.9045711997*((RANDBETWEEN(1620,2416)))</f>
        <v>66472539.099033035</v>
      </c>
      <c r="B218">
        <v>181885233.56995624</v>
      </c>
    </row>
    <row r="219" spans="1:2" x14ac:dyDescent="0.25">
      <c r="A219">
        <f ca="1">36313.6645680243*((RANDBETWEEN(1620,2416)))</f>
        <v>74588267.022721842</v>
      </c>
      <c r="B219">
        <v>151021848.52591145</v>
      </c>
    </row>
    <row r="220" spans="1:2" x14ac:dyDescent="0.25">
      <c r="A220">
        <f ca="1">34817.0208065611*((RANDBETWEEN(1620,2416)))</f>
        <v>67092399.094243325</v>
      </c>
      <c r="B220">
        <v>198065125.79155344</v>
      </c>
    </row>
    <row r="221" spans="1:2" x14ac:dyDescent="0.25">
      <c r="A221">
        <f ca="1">33162.6753978207*((RANDBETWEEN(1620,2416)))</f>
        <v>75809875.959418029</v>
      </c>
      <c r="B221">
        <v>186825345.02155706</v>
      </c>
    </row>
    <row r="222" spans="1:2" x14ac:dyDescent="0.25">
      <c r="A222">
        <f ca="1">39518.3990233916*((RANDBETWEEN(1620,2416)))</f>
        <v>65916689.571017236</v>
      </c>
      <c r="B222">
        <v>171292935.30762711</v>
      </c>
    </row>
    <row r="223" spans="1:2" x14ac:dyDescent="0.25">
      <c r="A223">
        <f ca="1">32299.2905679393*((RANDBETWEEN(1620,2416)))</f>
        <v>76517019.355448216</v>
      </c>
      <c r="B223">
        <v>178003276.87606728</v>
      </c>
    </row>
    <row r="224" spans="1:2" x14ac:dyDescent="0.25">
      <c r="A224">
        <f ca="1">33000.9999056809*((RANDBETWEEN(1620,2416)))</f>
        <v>64780962.814851701</v>
      </c>
      <c r="B224">
        <v>150887080.99550557</v>
      </c>
    </row>
    <row r="225" spans="1:2" x14ac:dyDescent="0.25">
      <c r="A225">
        <f ca="1">37764.0110182235*((RANDBETWEEN(1620,2416)))</f>
        <v>90180458.31151773</v>
      </c>
      <c r="B225">
        <v>177390605.6177538</v>
      </c>
    </row>
    <row r="226" spans="1:2" x14ac:dyDescent="0.25">
      <c r="A226">
        <f ca="1">29198.6218562702*((RANDBETWEEN(1620,2416)))</f>
        <v>65580104.689182878</v>
      </c>
      <c r="B226">
        <v>163236471.91489235</v>
      </c>
    </row>
    <row r="227" spans="1:2" x14ac:dyDescent="0.25">
      <c r="A227">
        <f ca="1">38994.5254340579*((RANDBETWEEN(1620,2416)))</f>
        <v>69761206.001529604</v>
      </c>
      <c r="B227">
        <v>152038450.49410754</v>
      </c>
    </row>
    <row r="228" spans="1:2" x14ac:dyDescent="0.25">
      <c r="A228">
        <f ca="1">32097.4534849142*((RANDBETWEEN(1620,2416)))</f>
        <v>56523615.586933829</v>
      </c>
      <c r="B228">
        <v>144244594.20982397</v>
      </c>
    </row>
    <row r="229" spans="1:2" x14ac:dyDescent="0.25">
      <c r="A229">
        <f ca="1">30942.9982832258*((RANDBETWEEN(1620,2416)))</f>
        <v>55295137.932124585</v>
      </c>
      <c r="B229">
        <v>168792018.58911648</v>
      </c>
    </row>
    <row r="230" spans="1:2" x14ac:dyDescent="0.25">
      <c r="A230">
        <f ca="1">33286.8483830953*((RANDBETWEEN(1620,2416)))</f>
        <v>60082761.331487104</v>
      </c>
      <c r="B230">
        <v>175865396.43145025</v>
      </c>
    </row>
    <row r="231" spans="1:2" x14ac:dyDescent="0.25">
      <c r="A231">
        <f ca="1">33527.8155926979*((RANDBETWEEN(1620,2416)))</f>
        <v>68631438.518252701</v>
      </c>
      <c r="B231">
        <v>153882016.0017724</v>
      </c>
    </row>
    <row r="232" spans="1:2" x14ac:dyDescent="0.25">
      <c r="A232">
        <f ca="1">33804.2622846909*((RANDBETWEEN(1620,2416)))</f>
        <v>59123654.73592446</v>
      </c>
      <c r="B232">
        <v>173546888.35566261</v>
      </c>
    </row>
    <row r="233" spans="1:2" x14ac:dyDescent="0.25">
      <c r="A233">
        <f ca="1">31372.9962290224*((RANDBETWEEN(1620,2416)))</f>
        <v>63844047.326060683</v>
      </c>
      <c r="B233">
        <v>161262285.91774738</v>
      </c>
    </row>
    <row r="234" spans="1:2" x14ac:dyDescent="0.25">
      <c r="A234">
        <f ca="1">37504.7337169689*((RANDBETWEEN(1620,2416)))</f>
        <v>82210376.307595879</v>
      </c>
      <c r="B234">
        <v>161212544.68274471</v>
      </c>
    </row>
    <row r="235" spans="1:2" x14ac:dyDescent="0.25">
      <c r="A235">
        <f ca="1">33834.8531094047*((RANDBETWEEN(1620,2416)))</f>
        <v>67771210.778137535</v>
      </c>
      <c r="B235">
        <v>150058132.96874487</v>
      </c>
    </row>
    <row r="236" spans="1:2" x14ac:dyDescent="0.25">
      <c r="A236">
        <f ca="1">40234.8924184862*((RANDBETWEEN(1620,2416)))</f>
        <v>76647470.057216182</v>
      </c>
      <c r="B236">
        <v>201731857.71141073</v>
      </c>
    </row>
    <row r="237" spans="1:2" x14ac:dyDescent="0.25">
      <c r="A237">
        <f ca="1">34549.8153068541*((RANDBETWEEN(1620,2416)))</f>
        <v>68132235.785116196</v>
      </c>
      <c r="B237">
        <v>144482918.05961627</v>
      </c>
    </row>
    <row r="238" spans="1:2" x14ac:dyDescent="0.25">
      <c r="A238">
        <f ca="1">31802.6278719392*((RANDBETWEEN(1620,2416)))</f>
        <v>68757281.459132493</v>
      </c>
      <c r="B238">
        <v>180703225.57126343</v>
      </c>
    </row>
    <row r="239" spans="1:2" x14ac:dyDescent="0.25">
      <c r="A239">
        <f ca="1">28782.4046411337*((RANDBETWEEN(1620,2416)))</f>
        <v>56586207.524468899</v>
      </c>
      <c r="B239">
        <v>174106925.04925716</v>
      </c>
    </row>
    <row r="240" spans="1:2" x14ac:dyDescent="0.25">
      <c r="A240">
        <f ca="1">31670.6495313951*((RANDBETWEEN(1620,2416)))</f>
        <v>73190871.067054138</v>
      </c>
      <c r="B240">
        <v>193533154.39710674</v>
      </c>
    </row>
    <row r="241" spans="1:2" x14ac:dyDescent="0.25">
      <c r="A241">
        <f ca="1">33390.584071992*((RANDBETWEEN(1620,2416)))</f>
        <v>71856536.922926843</v>
      </c>
      <c r="B241">
        <v>152611476.73936343</v>
      </c>
    </row>
    <row r="242" spans="1:2" x14ac:dyDescent="0.25">
      <c r="A242">
        <f ca="1">28881.9067334783*((RANDBETWEEN(1620,2416)))</f>
        <v>52767243.602064893</v>
      </c>
      <c r="B242">
        <v>194702818.78352219</v>
      </c>
    </row>
    <row r="243" spans="1:2" x14ac:dyDescent="0.25">
      <c r="A243">
        <f ca="1">32720.829958434*((RANDBETWEEN(1620,2416)))</f>
        <v>54480181.880792655</v>
      </c>
      <c r="B243">
        <v>179959549.35090241</v>
      </c>
    </row>
    <row r="244" spans="1:2" x14ac:dyDescent="0.25">
      <c r="A244">
        <f ca="1">32757.7882695249*((RANDBETWEEN(1620,2416)))</f>
        <v>74065359.27739577</v>
      </c>
      <c r="B244">
        <v>188389535.15280837</v>
      </c>
    </row>
    <row r="245" spans="1:2" x14ac:dyDescent="0.25">
      <c r="A245">
        <f ca="1">33334.5699628993*((RANDBETWEEN(1620,2416)))</f>
        <v>78502912.262627795</v>
      </c>
      <c r="B245">
        <v>145498608.82969955</v>
      </c>
    </row>
    <row r="246" spans="1:2" x14ac:dyDescent="0.25">
      <c r="A246">
        <f ca="1">32068.01782065*((RANDBETWEEN(1620,2416)))</f>
        <v>68946238.314397424</v>
      </c>
      <c r="B246">
        <v>187071029.50715852</v>
      </c>
    </row>
    <row r="247" spans="1:2" x14ac:dyDescent="0.25">
      <c r="A247">
        <f ca="1">30784.246859122*((RANDBETWEEN(1620,2416)))</f>
        <v>61199082.755934529</v>
      </c>
      <c r="B247">
        <v>150651840.9286187</v>
      </c>
    </row>
    <row r="248" spans="1:2" x14ac:dyDescent="0.25">
      <c r="A248">
        <f ca="1">30102.3430457526*((RANDBETWEEN(1620,2416)))</f>
        <v>63666455.541766733</v>
      </c>
      <c r="B248">
        <v>193435922.77770185</v>
      </c>
    </row>
    <row r="249" spans="1:2" x14ac:dyDescent="0.25">
      <c r="A249">
        <f ca="1">32231.0930778898*((RANDBETWEEN(1620,2416)))</f>
        <v>73164581.286809951</v>
      </c>
      <c r="B249">
        <v>156902017.83333486</v>
      </c>
    </row>
    <row r="250" spans="1:2" x14ac:dyDescent="0.25">
      <c r="A250">
        <f ca="1">33951.5877030439*((RANDBETWEEN(1620,2416)))</f>
        <v>55612700.657585874</v>
      </c>
      <c r="B250">
        <v>167821631.839084</v>
      </c>
    </row>
    <row r="251" spans="1:2" x14ac:dyDescent="0.25">
      <c r="A251">
        <f ca="1">37867.2237631729*((RANDBETWEEN(1620,2416)))</f>
        <v>77930746.504609779</v>
      </c>
      <c r="B251">
        <v>158569305.64974019</v>
      </c>
    </row>
    <row r="252" spans="1:2" x14ac:dyDescent="0.25">
      <c r="A252">
        <f ca="1">33408.9535402912*((RANDBETWEEN(1620,2416)))</f>
        <v>57931125.438864931</v>
      </c>
      <c r="B252">
        <v>201877718.56515905</v>
      </c>
    </row>
    <row r="253" spans="1:2" x14ac:dyDescent="0.25">
      <c r="A253">
        <f ca="1">39526.3276839982*((RANDBETWEEN(1620,2416)))</f>
        <v>68420073.221000925</v>
      </c>
      <c r="B253">
        <v>150064034.3488313</v>
      </c>
    </row>
    <row r="254" spans="1:2" x14ac:dyDescent="0.25">
      <c r="A254">
        <f ca="1">38450.638174801*((RANDBETWEEN(1620,2416)))</f>
        <v>62712990.863100447</v>
      </c>
      <c r="B254">
        <v>146093796.9700045</v>
      </c>
    </row>
    <row r="255" spans="1:2" x14ac:dyDescent="0.25">
      <c r="A255">
        <f ca="1">36321.8258553276*((RANDBETWEEN(1620,2416)))</f>
        <v>72643651.710655183</v>
      </c>
      <c r="B255">
        <v>155084524.59268361</v>
      </c>
    </row>
    <row r="256" spans="1:2" x14ac:dyDescent="0.25">
      <c r="A256">
        <f ca="1">27805.4894440103*((RANDBETWEEN(1620,2416)))</f>
        <v>50995267.640314862</v>
      </c>
      <c r="B256">
        <v>181078957.38634014</v>
      </c>
    </row>
    <row r="257" spans="1:2" x14ac:dyDescent="0.25">
      <c r="A257">
        <f ca="1">39267.414851933*((RANDBETWEEN(1620,2416)))</f>
        <v>90629193.478261322</v>
      </c>
      <c r="B257">
        <v>166568295.25380284</v>
      </c>
    </row>
    <row r="258" spans="1:2" x14ac:dyDescent="0.25">
      <c r="A258">
        <f ca="1">35742.6374782018*((RANDBETWEEN(1620,2416)))</f>
        <v>86032528.410031632</v>
      </c>
      <c r="B258">
        <v>145976893.09858501</v>
      </c>
    </row>
    <row r="259" spans="1:2" x14ac:dyDescent="0.25">
      <c r="A259">
        <f ca="1">36565.565055439*((RANDBETWEEN(1620,2416)))</f>
        <v>70608106.122052759</v>
      </c>
      <c r="B259">
        <v>177793844.38135698</v>
      </c>
    </row>
    <row r="260" spans="1:2" x14ac:dyDescent="0.25">
      <c r="A260">
        <f ca="1">32827.8476905671*((RANDBETWEEN(1620,2416)))</f>
        <v>59155781.538401894</v>
      </c>
      <c r="B260">
        <v>165598710.5252811</v>
      </c>
    </row>
    <row r="261" spans="1:2" x14ac:dyDescent="0.25">
      <c r="A261">
        <f ca="1">35545.281901763*((RANDBETWEEN(1620,2416)))</f>
        <v>63910416.859369829</v>
      </c>
      <c r="B261">
        <v>152727903.33759287</v>
      </c>
    </row>
    <row r="262" spans="1:2" x14ac:dyDescent="0.25">
      <c r="A262">
        <f ca="1">34968.0268824506*((RANDBETWEEN(1620,2416)))</f>
        <v>60040102.157167643</v>
      </c>
      <c r="B262">
        <v>183716637.31049678</v>
      </c>
    </row>
    <row r="263" spans="1:2" x14ac:dyDescent="0.25">
      <c r="A263">
        <f ca="1">39859.6093481396*((RANDBETWEEN(1620,2416)))</f>
        <v>65290040.112252682</v>
      </c>
      <c r="B263">
        <v>152209190.8053613</v>
      </c>
    </row>
    <row r="264" spans="1:2" x14ac:dyDescent="0.25">
      <c r="A264">
        <f ca="1">34135.2888724676*((RANDBETWEEN(1620,2416)))</f>
        <v>72878841.742718354</v>
      </c>
      <c r="B264">
        <v>194648337.3552638</v>
      </c>
    </row>
    <row r="265" spans="1:2" x14ac:dyDescent="0.25">
      <c r="A265">
        <f ca="1">35066.8718596408*((RANDBETWEEN(1620,2416)))</f>
        <v>65960785.967984289</v>
      </c>
      <c r="B265">
        <v>158492604.92486572</v>
      </c>
    </row>
    <row r="266" spans="1:2" x14ac:dyDescent="0.25">
      <c r="A266">
        <f ca="1">31030.8830936575*((RANDBETWEEN(1620,2416)))</f>
        <v>62310013.252064265</v>
      </c>
      <c r="B266">
        <v>159055619.91918316</v>
      </c>
    </row>
    <row r="267" spans="1:2" x14ac:dyDescent="0.25">
      <c r="A267">
        <f ca="1">32589.9991949388*((RANDBETWEEN(1620,2416)))</f>
        <v>68732308.302125856</v>
      </c>
      <c r="B267">
        <v>192969928.04249474</v>
      </c>
    </row>
    <row r="268" spans="1:2" x14ac:dyDescent="0.25">
      <c r="A268">
        <f ca="1">31746.6482636119*((RANDBETWEEN(1620,2416)))</f>
        <v>69620399.642100826</v>
      </c>
      <c r="B268">
        <v>145193432.62651461</v>
      </c>
    </row>
    <row r="269" spans="1:2" x14ac:dyDescent="0.25">
      <c r="A269">
        <f ca="1">40611.0281752223*((RANDBETWEEN(1620,2416)))</f>
        <v>84592771.68898809</v>
      </c>
      <c r="B269">
        <v>199378999.02281147</v>
      </c>
    </row>
    <row r="270" spans="1:2" x14ac:dyDescent="0.25">
      <c r="A270">
        <f ca="1">33750.289287671*((RANDBETWEEN(1620,2416)))</f>
        <v>61931780.84287633</v>
      </c>
      <c r="B270">
        <v>197722313.85151219</v>
      </c>
    </row>
    <row r="271" spans="1:2" x14ac:dyDescent="0.25">
      <c r="A271">
        <f ca="1">33175.654902503*((RANDBETWEEN(1620,2416)))</f>
        <v>77796910.746369541</v>
      </c>
      <c r="B271">
        <v>156524767.97343081</v>
      </c>
    </row>
    <row r="272" spans="1:2" x14ac:dyDescent="0.25">
      <c r="A272">
        <f ca="1">27890.4587495517*((RANDBETWEEN(1620,2416)))</f>
        <v>48111041.342976682</v>
      </c>
      <c r="B272">
        <v>181289631.1986621</v>
      </c>
    </row>
    <row r="273" spans="1:2" x14ac:dyDescent="0.25">
      <c r="A273">
        <f ca="1">40843.6177739179*((RANDBETWEEN(1620,2416)))</f>
        <v>76418408.855000526</v>
      </c>
      <c r="B273">
        <v>195860404.48434412</v>
      </c>
    </row>
    <row r="274" spans="1:2" x14ac:dyDescent="0.25">
      <c r="A274">
        <f ca="1">30735.0902478568*((RANDBETWEEN(1620,2416)))</f>
        <v>71397614.645771235</v>
      </c>
      <c r="B274">
        <v>170058901.92503351</v>
      </c>
    </row>
    <row r="275" spans="1:2" x14ac:dyDescent="0.25">
      <c r="A275">
        <f ca="1">34957.1299826168*((RANDBETWEEN(1620,2416)))</f>
        <v>60580706.259874918</v>
      </c>
      <c r="B275">
        <v>164623309.97825298</v>
      </c>
    </row>
    <row r="276" spans="1:2" x14ac:dyDescent="0.25">
      <c r="A276">
        <f ca="1">31721.4518992883*((RANDBETWEEN(1620,2416)))</f>
        <v>61317566.521324351</v>
      </c>
      <c r="B276">
        <v>149648463.25144163</v>
      </c>
    </row>
    <row r="277" spans="1:2" x14ac:dyDescent="0.25">
      <c r="A277">
        <f ca="1">36173.4788773746*((RANDBETWEEN(1620,2416)))</f>
        <v>87250431.052227542</v>
      </c>
      <c r="B277">
        <v>161795642.95812002</v>
      </c>
    </row>
    <row r="278" spans="1:2" x14ac:dyDescent="0.25">
      <c r="A278">
        <f ca="1">30795.7786569219*((RANDBETWEEN(1620,2416)))</f>
        <v>63901240.713112906</v>
      </c>
      <c r="B278">
        <v>155837832.55066979</v>
      </c>
    </row>
    <row r="279" spans="1:2" x14ac:dyDescent="0.25">
      <c r="A279">
        <f ca="1">31525.1485981398*((RANDBETWEEN(1620,2416)))</f>
        <v>64374353.437401459</v>
      </c>
      <c r="B279">
        <v>161155957.12607121</v>
      </c>
    </row>
    <row r="280" spans="1:2" x14ac:dyDescent="0.25">
      <c r="A280">
        <f ca="1">34986.6419807197*((RANDBETWEEN(1620,2416)))</f>
        <v>81308955.963192567</v>
      </c>
      <c r="B280">
        <v>192043402.21241477</v>
      </c>
    </row>
    <row r="281" spans="1:2" x14ac:dyDescent="0.25">
      <c r="A281">
        <f ca="1">40166.3820510471*((RANDBETWEEN(1620,2416)))</f>
        <v>75111134.435458064</v>
      </c>
      <c r="B281">
        <v>144428591.05833197</v>
      </c>
    </row>
    <row r="282" spans="1:2" x14ac:dyDescent="0.25">
      <c r="A282">
        <f ca="1">31651.1586639219*((RANDBETWEEN(1620,2416)))</f>
        <v>56497318.215100683</v>
      </c>
      <c r="B282">
        <v>149572449.12205619</v>
      </c>
    </row>
    <row r="283" spans="1:2" x14ac:dyDescent="0.25">
      <c r="A283">
        <f ca="1">31838.6625298484*((RANDBETWEEN(1620,2416)))</f>
        <v>72815021.20576331</v>
      </c>
      <c r="B283">
        <v>150756606.72364295</v>
      </c>
    </row>
    <row r="284" spans="1:2" x14ac:dyDescent="0.25">
      <c r="A284">
        <f ca="1">30267.8843941989*((RANDBETWEEN(1620,2416)))</f>
        <v>54966478.059865132</v>
      </c>
      <c r="B284">
        <v>167026940.72726348</v>
      </c>
    </row>
    <row r="285" spans="1:2" x14ac:dyDescent="0.25">
      <c r="A285">
        <f ca="1">29994.429907682*((RANDBETWEEN(1620,2416)))</f>
        <v>56239556.076903708</v>
      </c>
      <c r="B285">
        <v>189882308.86875838</v>
      </c>
    </row>
    <row r="286" spans="1:2" x14ac:dyDescent="0.25">
      <c r="A286">
        <f ca="1">31782.7322281513*((RANDBETWEEN(1620,2416)))</f>
        <v>69445269.91851069</v>
      </c>
      <c r="B286">
        <v>170917675.88297135</v>
      </c>
    </row>
    <row r="287" spans="1:2" x14ac:dyDescent="0.25">
      <c r="A287">
        <f ca="1">32737.7642634637*((RANDBETWEEN(1620,2416)))</f>
        <v>68978469.303118005</v>
      </c>
      <c r="B287">
        <v>165805907.22657812</v>
      </c>
    </row>
    <row r="288" spans="1:2" x14ac:dyDescent="0.25">
      <c r="A288">
        <f ca="1">30456.1147288653*((RANDBETWEEN(1620,2416)))</f>
        <v>60364019.392611004</v>
      </c>
      <c r="B288">
        <v>153233593.41741392</v>
      </c>
    </row>
    <row r="289" spans="1:2" x14ac:dyDescent="0.25">
      <c r="A289">
        <f ca="1">39100.5770799326*((RANDBETWEEN(1620,2416)))</f>
        <v>79295970.318103254</v>
      </c>
      <c r="B289">
        <v>148145950.33865541</v>
      </c>
    </row>
    <row r="290" spans="1:2" x14ac:dyDescent="0.25">
      <c r="A290">
        <f ca="1">34176.9108806939*((RANDBETWEEN(1620,2416)))</f>
        <v>72523404.888832435</v>
      </c>
      <c r="B290">
        <v>156404947.85222292</v>
      </c>
    </row>
    <row r="291" spans="1:2" x14ac:dyDescent="0.25">
      <c r="A291">
        <f ca="1">33384.2233159246*((RANDBETWEEN(1620,2416)))</f>
        <v>59390533.279029883</v>
      </c>
      <c r="B291">
        <v>160894255.5036751</v>
      </c>
    </row>
    <row r="292" spans="1:2" x14ac:dyDescent="0.25">
      <c r="A292">
        <f ca="1">39442.9013652461*((RANDBETWEEN(1620,2416)))</f>
        <v>85196666.948931634</v>
      </c>
      <c r="B292">
        <v>161145352.97338882</v>
      </c>
    </row>
    <row r="293" spans="1:2" x14ac:dyDescent="0.25">
      <c r="A293">
        <f ca="1">39022.5162206268*((RANDBETWEEN(1620,2416)))</f>
        <v>78240145.022356778</v>
      </c>
      <c r="B293">
        <v>162557802.4853985</v>
      </c>
    </row>
    <row r="294" spans="1:2" x14ac:dyDescent="0.25">
      <c r="A294">
        <f ca="1">30902.2183522806*((RANDBETWEEN(1620,2416)))</f>
        <v>63009623.220300086</v>
      </c>
      <c r="B294">
        <v>192337833.22796804</v>
      </c>
    </row>
    <row r="295" spans="1:2" x14ac:dyDescent="0.25">
      <c r="A295">
        <f ca="1">33508.6228090373*((RANDBETWEEN(1620,2416)))</f>
        <v>73920021.916736245</v>
      </c>
      <c r="B295">
        <v>176990817.53086036</v>
      </c>
    </row>
    <row r="296" spans="1:2" x14ac:dyDescent="0.25">
      <c r="A296">
        <f ca="1">34233.7983225666*((RANDBETWEEN(1620,2416)))</f>
        <v>71925210.275712401</v>
      </c>
      <c r="B296">
        <v>174856707.27642977</v>
      </c>
    </row>
    <row r="297" spans="1:2" x14ac:dyDescent="0.25">
      <c r="A297">
        <f ca="1">29703.3259474642*((RANDBETWEEN(1620,2416)))</f>
        <v>64188887.372470155</v>
      </c>
      <c r="B297">
        <v>158391560.07816428</v>
      </c>
    </row>
    <row r="298" spans="1:2" x14ac:dyDescent="0.25">
      <c r="A298">
        <f ca="1">32009.7141349934*((RANDBETWEEN(1620,2416)))</f>
        <v>64851680.837496608</v>
      </c>
      <c r="B298">
        <v>176738612.18600145</v>
      </c>
    </row>
    <row r="299" spans="1:2" x14ac:dyDescent="0.25">
      <c r="A299">
        <f ca="1">28955.1955496648*((RANDBETWEEN(1620,2416)))</f>
        <v>65554562.724441148</v>
      </c>
      <c r="B299">
        <v>157903935.4902125</v>
      </c>
    </row>
    <row r="300" spans="1:2" x14ac:dyDescent="0.25">
      <c r="A300">
        <f ca="1">31415.2558363523*((RANDBETWEEN(1620,2416)))</f>
        <v>74956800.425536513</v>
      </c>
      <c r="B300">
        <v>152389615.88389099</v>
      </c>
    </row>
    <row r="301" spans="1:2" x14ac:dyDescent="0.25">
      <c r="A301">
        <f ca="1">31473.1934038683*((RANDBETWEEN(1620,2416)))</f>
        <v>61593039.491370209</v>
      </c>
      <c r="B301">
        <v>151645605.97670612</v>
      </c>
    </row>
    <row r="302" spans="1:2" x14ac:dyDescent="0.25">
      <c r="A302">
        <f ca="1">32786.5723405787*((RANDBETWEEN(1620,2416)))</f>
        <v>78982852.768454134</v>
      </c>
      <c r="B302">
        <v>152407979.40878975</v>
      </c>
    </row>
    <row r="303" spans="1:2" x14ac:dyDescent="0.25">
      <c r="A303">
        <f ca="1">38090.7170721896*((RANDBETWEEN(1620,2416)))</f>
        <v>76409978.446812257</v>
      </c>
      <c r="B303">
        <v>199378801.27951297</v>
      </c>
    </row>
    <row r="304" spans="1:2" x14ac:dyDescent="0.25">
      <c r="A304">
        <f ca="1">38811.4862746764*((RANDBETWEEN(1620,2416)))</f>
        <v>70442847.588537723</v>
      </c>
      <c r="B304">
        <v>190293826.72679862</v>
      </c>
    </row>
    <row r="305" spans="1:2" x14ac:dyDescent="0.25">
      <c r="A305">
        <f ca="1">30848.6186653374*((RANDBETWEEN(1620,2416)))</f>
        <v>72525102.482208341</v>
      </c>
      <c r="B305">
        <v>165001975.05468178</v>
      </c>
    </row>
    <row r="306" spans="1:2" x14ac:dyDescent="0.25">
      <c r="A306">
        <f ca="1">32594.5552143201*((RANDBETWEEN(1620,2416)))</f>
        <v>53324692.33062765</v>
      </c>
      <c r="B306">
        <v>152173533.71338433</v>
      </c>
    </row>
    <row r="307" spans="1:2" x14ac:dyDescent="0.25">
      <c r="A307">
        <f ca="1">33724.0970728806*((RANDBETWEEN(1620,2416)))</f>
        <v>78172457.014937297</v>
      </c>
      <c r="B307">
        <v>148773233.01030904</v>
      </c>
    </row>
    <row r="308" spans="1:2" x14ac:dyDescent="0.25">
      <c r="A308">
        <f ca="1">30483.8988733343*((RANDBETWEEN(1620,2416)))</f>
        <v>59961829.083848491</v>
      </c>
      <c r="B308">
        <v>144571185.28324968</v>
      </c>
    </row>
    <row r="309" spans="1:2" x14ac:dyDescent="0.25">
      <c r="A309">
        <f ca="1">26106.1863807214*((RANDBETWEEN(1620,2416)))</f>
        <v>47199984.976344228</v>
      </c>
      <c r="B309">
        <v>158782410.70726579</v>
      </c>
    </row>
    <row r="310" spans="1:2" x14ac:dyDescent="0.25">
      <c r="A310">
        <f ca="1">28790.4853415767*((RANDBETWEEN(1620,2416)))</f>
        <v>50124234.979685016</v>
      </c>
      <c r="B310">
        <v>183708047.47920769</v>
      </c>
    </row>
    <row r="311" spans="1:2" x14ac:dyDescent="0.25">
      <c r="A311">
        <f ca="1">32534.1787188667*((RANDBETWEEN(1620,2416)))</f>
        <v>69785813.351968974</v>
      </c>
      <c r="B311">
        <v>191563935.12256646</v>
      </c>
    </row>
    <row r="312" spans="1:2" x14ac:dyDescent="0.25">
      <c r="A312">
        <f ca="1">32779.3496225214*((RANDBETWEEN(1620,2416)))</f>
        <v>77719837.95499827</v>
      </c>
      <c r="B312">
        <v>165855141.9121047</v>
      </c>
    </row>
    <row r="313" spans="1:2" x14ac:dyDescent="0.25">
      <c r="A313">
        <f ca="1">31678.0558233133*((RANDBETWEEN(1620,2416)))</f>
        <v>67505936.959480643</v>
      </c>
      <c r="B313">
        <v>185062821.62269038</v>
      </c>
    </row>
    <row r="314" spans="1:2" x14ac:dyDescent="0.25">
      <c r="A314">
        <f ca="1">30085.0197978181*((RANDBETWEEN(1620,2416)))</f>
        <v>59568339.199679844</v>
      </c>
      <c r="B314">
        <v>156507003.51070708</v>
      </c>
    </row>
    <row r="315" spans="1:2" x14ac:dyDescent="0.25">
      <c r="A315">
        <f ca="1">30533.8354280533*((RANDBETWEEN(1620,2416)))</f>
        <v>60273791.134977289</v>
      </c>
      <c r="B315">
        <v>169250652.48964009</v>
      </c>
    </row>
    <row r="316" spans="1:2" x14ac:dyDescent="0.25">
      <c r="A316">
        <f ca="1">39477.5612831497*((RANDBETWEEN(1620,2416)))</f>
        <v>77533930.360105991</v>
      </c>
      <c r="B316">
        <v>164957721.03286266</v>
      </c>
    </row>
    <row r="317" spans="1:2" x14ac:dyDescent="0.25">
      <c r="A317">
        <f ca="1">40004.411690559*((RANDBETWEEN(1620,2416)))</f>
        <v>71087839.574123308</v>
      </c>
      <c r="B317">
        <v>156182091.66106465</v>
      </c>
    </row>
    <row r="318" spans="1:2" x14ac:dyDescent="0.25">
      <c r="A318">
        <f ca="1">37879.2810361286*((RANDBETWEEN(1620,2416)))</f>
        <v>66591776.061514162</v>
      </c>
      <c r="B318">
        <v>145172545.54691997</v>
      </c>
    </row>
    <row r="319" spans="1:2" x14ac:dyDescent="0.25">
      <c r="A319">
        <f ca="1">32159.9695985909*((RANDBETWEEN(1620,2416)))</f>
        <v>62486820.930062108</v>
      </c>
      <c r="B319">
        <v>155963562.40999284</v>
      </c>
    </row>
    <row r="320" spans="1:2" x14ac:dyDescent="0.25">
      <c r="A320">
        <f ca="1">39892.5381958158*((RANDBETWEEN(1620,2416)))</f>
        <v>70609792.606593966</v>
      </c>
      <c r="B320">
        <v>186964566.42833471</v>
      </c>
    </row>
    <row r="321" spans="1:2" x14ac:dyDescent="0.25">
      <c r="A321">
        <f ca="1">29377.4419311466*((RANDBETWEEN(1620,2416)))</f>
        <v>66980567.603014305</v>
      </c>
      <c r="B321">
        <v>165484584.47187856</v>
      </c>
    </row>
    <row r="322" spans="1:2" x14ac:dyDescent="0.25">
      <c r="A322">
        <f ca="1">28296.3884897012*((RANDBETWEEN(1620,2416)))</f>
        <v>66072067.12345238</v>
      </c>
      <c r="B322">
        <v>167214269.31453386</v>
      </c>
    </row>
    <row r="323" spans="1:2" x14ac:dyDescent="0.25">
      <c r="A323">
        <f ca="1">30720.2852884486*((RANDBETWEEN(1620,2416)))</f>
        <v>74005167.259872645</v>
      </c>
      <c r="B323">
        <v>199182037.9768233</v>
      </c>
    </row>
    <row r="324" spans="1:2" x14ac:dyDescent="0.25">
      <c r="A324">
        <f ca="1">33348.3758280903*((RANDBETWEEN(1620,2416)))</f>
        <v>58526399.57829845</v>
      </c>
      <c r="B324">
        <v>177096447.74135917</v>
      </c>
    </row>
    <row r="325" spans="1:2" x14ac:dyDescent="0.25">
      <c r="A325">
        <f ca="1">30976.4496782776*((RANDBETWEEN(1620,2416)))</f>
        <v>52536058.65435873</v>
      </c>
      <c r="B325">
        <v>171158179.45682037</v>
      </c>
    </row>
    <row r="326" spans="1:2" x14ac:dyDescent="0.25">
      <c r="A326">
        <f ca="1">27045.8973074649*((RANDBETWEEN(1620,2416)))</f>
        <v>50143093.608039908</v>
      </c>
      <c r="B326">
        <v>152122056.19281375</v>
      </c>
    </row>
    <row r="327" spans="1:2" x14ac:dyDescent="0.25">
      <c r="A327">
        <f ca="1">31267.3961898721*((RANDBETWEEN(1620,2416)))</f>
        <v>61096492.155010156</v>
      </c>
      <c r="B327">
        <v>170424680.33563057</v>
      </c>
    </row>
    <row r="328" spans="1:2" x14ac:dyDescent="0.25">
      <c r="A328">
        <f ca="1">35828.3471278747*((RANDBETWEEN(1620,2416)))</f>
        <v>59510884.579399809</v>
      </c>
      <c r="B328">
        <v>148476081.4439674</v>
      </c>
    </row>
    <row r="329" spans="1:2" x14ac:dyDescent="0.25">
      <c r="A329">
        <f ca="1">30810.2880142138*((RANDBETWEEN(1620,2416)))</f>
        <v>60634646.811972745</v>
      </c>
      <c r="B329">
        <v>157924366.76758668</v>
      </c>
    </row>
    <row r="330" spans="1:2" x14ac:dyDescent="0.25">
      <c r="A330">
        <f ca="1">38656.1037627218*((RANDBETWEEN(1620,2416)))</f>
        <v>63898539.519779116</v>
      </c>
      <c r="B330">
        <v>175010228.60737592</v>
      </c>
    </row>
    <row r="331" spans="1:2" x14ac:dyDescent="0.25">
      <c r="A331">
        <f ca="1">34739.5181055232*((RANDBETWEEN(1620,2416)))</f>
        <v>72466634.768121421</v>
      </c>
      <c r="B331">
        <v>144897171.34365803</v>
      </c>
    </row>
    <row r="332" spans="1:2" x14ac:dyDescent="0.25">
      <c r="A332">
        <f ca="1">29965.9313749382*((RANDBETWEEN(1620,2416)))</f>
        <v>65415628.191490121</v>
      </c>
      <c r="B332">
        <v>150421410.22408509</v>
      </c>
    </row>
    <row r="333" spans="1:2" x14ac:dyDescent="0.25">
      <c r="A333">
        <f ca="1">32118.8879278186*((RANDBETWEEN(1620,2416)))</f>
        <v>56400767.201249376</v>
      </c>
      <c r="B333">
        <v>185255192.49425706</v>
      </c>
    </row>
    <row r="334" spans="1:2" x14ac:dyDescent="0.25">
      <c r="A334">
        <f ca="1">31262.0615781699*((RANDBETWEEN(1620,2416)))</f>
        <v>70808569.474554718</v>
      </c>
      <c r="B334">
        <v>164879465.38971883</v>
      </c>
    </row>
    <row r="335" spans="1:2" x14ac:dyDescent="0.25">
      <c r="A335">
        <f ca="1">35169.2060753562*((RANDBETWEEN(1620,2416)))</f>
        <v>68790967.083396748</v>
      </c>
      <c r="B335">
        <v>144541318.45643872</v>
      </c>
    </row>
    <row r="336" spans="1:2" x14ac:dyDescent="0.25">
      <c r="A336">
        <f ca="1">40269.2555626187*((RANDBETWEEN(1620,2416)))</f>
        <v>67934234.13413772</v>
      </c>
      <c r="B336">
        <v>167246618.80202943</v>
      </c>
    </row>
    <row r="337" spans="1:2" x14ac:dyDescent="0.25">
      <c r="A337">
        <f ca="1">36052.4227095696*((RANDBETWEEN(1620,2416)))</f>
        <v>76503240.98970674</v>
      </c>
      <c r="B337">
        <v>203475602.91889542</v>
      </c>
    </row>
    <row r="338" spans="1:2" x14ac:dyDescent="0.25">
      <c r="A338">
        <f ca="1">29587.4781905371*((RANDBETWEEN(1620,2416)))</f>
        <v>65003689.584610075</v>
      </c>
      <c r="B338">
        <v>182133232.13823512</v>
      </c>
    </row>
    <row r="339" spans="1:2" x14ac:dyDescent="0.25">
      <c r="A339">
        <f ca="1">32610.0791648428*((RANDBETWEEN(1620,2416)))</f>
        <v>60719967.404937372</v>
      </c>
      <c r="B339">
        <v>150270125.79731458</v>
      </c>
    </row>
    <row r="340" spans="1:2" x14ac:dyDescent="0.25">
      <c r="A340">
        <f ca="1">31479.5523590296*((RANDBETWEEN(1620,2416)))</f>
        <v>64501602.783651747</v>
      </c>
      <c r="B340">
        <v>164340464.36069673</v>
      </c>
    </row>
    <row r="341" spans="1:2" x14ac:dyDescent="0.25">
      <c r="A341">
        <f ca="1">28431.9148001007*((RANDBETWEEN(1620,2416)))</f>
        <v>58086401.936605729</v>
      </c>
      <c r="B341">
        <v>165817133.26145053</v>
      </c>
    </row>
    <row r="342" spans="1:2" x14ac:dyDescent="0.25">
      <c r="A342">
        <f ca="1">40042.6609554503*((RANDBETWEEN(1620,2416)))</f>
        <v>78763914.099370793</v>
      </c>
      <c r="B342">
        <v>175105288.30679187</v>
      </c>
    </row>
    <row r="343" spans="1:2" x14ac:dyDescent="0.25">
      <c r="A343">
        <f ca="1">31353.5099442246*((RANDBETWEEN(1620,2416)))</f>
        <v>61421525.980736017</v>
      </c>
      <c r="B343">
        <v>166206050.42775467</v>
      </c>
    </row>
    <row r="344" spans="1:2" x14ac:dyDescent="0.25">
      <c r="A344">
        <f ca="1">32662.959943928*((RANDBETWEEN(1620,2416)))</f>
        <v>65129942.128192417</v>
      </c>
      <c r="B344">
        <v>154279341.24616158</v>
      </c>
    </row>
    <row r="345" spans="1:2" x14ac:dyDescent="0.25">
      <c r="A345">
        <f ca="1">32191.7099048823*((RANDBETWEEN(1620,2416)))</f>
        <v>61840274.727278821</v>
      </c>
      <c r="B345">
        <v>156943835.17860359</v>
      </c>
    </row>
    <row r="346" spans="1:2" x14ac:dyDescent="0.25">
      <c r="A346">
        <f ca="1">40226.342707385*((RANDBETWEEN(1620,2416)))</f>
        <v>70355873.395216331</v>
      </c>
      <c r="B346">
        <v>154016547.37472636</v>
      </c>
    </row>
    <row r="347" spans="1:2" x14ac:dyDescent="0.25">
      <c r="A347">
        <f ca="1">29951.4759258337*((RANDBETWEEN(1620,2416)))</f>
        <v>51306878.260953188</v>
      </c>
      <c r="B347">
        <v>180306968.2674568</v>
      </c>
    </row>
    <row r="348" spans="1:2" x14ac:dyDescent="0.25">
      <c r="A348">
        <f ca="1">31280.0650576354*((RANDBETWEEN(1620,2416)))</f>
        <v>74102474.121538222</v>
      </c>
      <c r="B348">
        <v>200821865.78916514</v>
      </c>
    </row>
    <row r="349" spans="1:2" x14ac:dyDescent="0.25">
      <c r="A349">
        <f ca="1">32430.7754041165*((RANDBETWEEN(1620,2416)))</f>
        <v>62494104.203732468</v>
      </c>
      <c r="B349">
        <v>179416346.66254205</v>
      </c>
    </row>
    <row r="350" spans="1:2" x14ac:dyDescent="0.25">
      <c r="A350">
        <f ca="1">33585.6615456269*((RANDBETWEEN(1620,2416)))</f>
        <v>64148613.552147351</v>
      </c>
      <c r="B350">
        <v>152547254.87547866</v>
      </c>
    </row>
    <row r="351" spans="1:2" x14ac:dyDescent="0.25">
      <c r="A351">
        <f ca="1">34725.786166429*((RANDBETWEEN(1620,2416)))</f>
        <v>61881350.948576473</v>
      </c>
      <c r="B351">
        <v>184680062.60723108</v>
      </c>
    </row>
    <row r="352" spans="1:2" x14ac:dyDescent="0.25">
      <c r="A352">
        <f ca="1">32895.7326487046*((RANDBETWEEN(1620,2416)))</f>
        <v>74837791.775802895</v>
      </c>
      <c r="B352">
        <v>148632745.81548998</v>
      </c>
    </row>
    <row r="353" spans="1:2" x14ac:dyDescent="0.25">
      <c r="A353">
        <f ca="1">31576.0530739726*((RANDBETWEEN(1620,2416)))</f>
        <v>68141122.53363286</v>
      </c>
      <c r="B353">
        <v>183268387.04817832</v>
      </c>
    </row>
    <row r="354" spans="1:2" x14ac:dyDescent="0.25">
      <c r="A354">
        <f ca="1">33320.3728758857*((RANDBETWEEN(1620,2416)))</f>
        <v>71705442.428905964</v>
      </c>
      <c r="B354">
        <v>146610421.57088307</v>
      </c>
    </row>
    <row r="355" spans="1:2" x14ac:dyDescent="0.25">
      <c r="A355">
        <f ca="1">39237.515701174*((RANDBETWEEN(1620,2416)))</f>
        <v>77376380.962715194</v>
      </c>
      <c r="B355">
        <v>152520231.73809409</v>
      </c>
    </row>
    <row r="356" spans="1:2" x14ac:dyDescent="0.25">
      <c r="A356">
        <f ca="1">30510.1964834793*((RANDBETWEEN(1620,2416)))</f>
        <v>56199781.922568932</v>
      </c>
      <c r="B356">
        <v>176648444.85800195</v>
      </c>
    </row>
    <row r="357" spans="1:2" x14ac:dyDescent="0.25">
      <c r="A357">
        <f ca="1">37803.4140549721*((RANDBETWEEN(1620,2416)))</f>
        <v>63812162.924792841</v>
      </c>
      <c r="B357">
        <v>151724773.15447584</v>
      </c>
    </row>
    <row r="358" spans="1:2" x14ac:dyDescent="0.25">
      <c r="A358">
        <f ca="1">33345.6303223395*((RANDBETWEEN(1620,2416)))</f>
        <v>55987313.311207995</v>
      </c>
      <c r="B358">
        <v>193379363.25354022</v>
      </c>
    </row>
    <row r="359" spans="1:2" x14ac:dyDescent="0.25">
      <c r="A359">
        <f ca="1">33217.0218809241*((RANDBETWEEN(1620,2416)))</f>
        <v>76664886.5011729</v>
      </c>
      <c r="B359">
        <v>188020672.645138</v>
      </c>
    </row>
    <row r="360" spans="1:2" x14ac:dyDescent="0.25">
      <c r="A360">
        <f ca="1">34710.831165343*((RANDBETWEEN(1620,2416)))</f>
        <v>58001798.877288185</v>
      </c>
      <c r="B360">
        <v>157514001.46036911</v>
      </c>
    </row>
    <row r="361" spans="1:2" x14ac:dyDescent="0.25">
      <c r="A361">
        <f ca="1">33354.2930497668*((RANDBETWEEN(1620,2416)))</f>
        <v>61171773.453272402</v>
      </c>
      <c r="B361">
        <v>170748576.33280107</v>
      </c>
    </row>
    <row r="362" spans="1:2" x14ac:dyDescent="0.25">
      <c r="A362">
        <f ca="1">28926.0342155074*((RANDBETWEEN(1620,2416)))</f>
        <v>68236514.714382038</v>
      </c>
      <c r="B362">
        <v>179811654.36001205</v>
      </c>
    </row>
    <row r="363" spans="1:2" x14ac:dyDescent="0.25">
      <c r="A363">
        <f ca="1">31743.8205183934*((RANDBETWEEN(1620,2416)))</f>
        <v>51710683.624462888</v>
      </c>
      <c r="B363">
        <v>154512254.5102613</v>
      </c>
    </row>
    <row r="364" spans="1:2" x14ac:dyDescent="0.25">
      <c r="A364">
        <f ca="1">30550.0574467716*((RANDBETWEEN(1620,2416)))</f>
        <v>60794614.319075547</v>
      </c>
      <c r="B364">
        <v>147910097.60923269</v>
      </c>
    </row>
    <row r="365" spans="1:2" x14ac:dyDescent="0.25">
      <c r="A365">
        <f ca="1">33460.963167923*((RANDBETWEEN(1620,2416)))</f>
        <v>78867490.186794475</v>
      </c>
      <c r="B365">
        <v>170711240.23071486</v>
      </c>
    </row>
    <row r="366" spans="1:2" x14ac:dyDescent="0.25">
      <c r="A366">
        <f ca="1">31735.4395182339*((RANDBETWEEN(1620,2416)))</f>
        <v>66866571.06491892</v>
      </c>
      <c r="B366">
        <v>151572810.05215356</v>
      </c>
    </row>
    <row r="367" spans="1:2" x14ac:dyDescent="0.25">
      <c r="A367">
        <f ca="1">41388.1588582288*((RANDBETWEEN(1620,2416)))</f>
        <v>86542640.172556356</v>
      </c>
      <c r="B367">
        <v>143858783.0252268</v>
      </c>
    </row>
    <row r="368" spans="1:2" x14ac:dyDescent="0.25">
      <c r="A368">
        <f ca="1">33963.26933644*((RANDBETWEEN(1620,2416)))</f>
        <v>71696461.569224939</v>
      </c>
      <c r="B368">
        <v>169930395.92526123</v>
      </c>
    </row>
    <row r="369" spans="1:2" x14ac:dyDescent="0.25">
      <c r="A369">
        <f ca="1">29993.0936572104*((RANDBETWEEN(1620,2416)))</f>
        <v>54857368.299037792</v>
      </c>
      <c r="B369">
        <v>144659139.35934815</v>
      </c>
    </row>
    <row r="370" spans="1:2" x14ac:dyDescent="0.25">
      <c r="A370">
        <f ca="1">31561.4449000394*((RANDBETWEEN(1620,2416)))</f>
        <v>53812263.554567195</v>
      </c>
      <c r="B370">
        <v>160984714.88493282</v>
      </c>
    </row>
    <row r="371" spans="1:2" x14ac:dyDescent="0.25">
      <c r="A371">
        <f ca="1">37028.0333763211*((RANDBETWEEN(1620,2416)))</f>
        <v>87238046.634612501</v>
      </c>
      <c r="B371">
        <v>179169864.34563357</v>
      </c>
    </row>
    <row r="372" spans="1:2" x14ac:dyDescent="0.25">
      <c r="A372">
        <f ca="1">30011.5861557208*((RANDBETWEEN(1620,2416)))</f>
        <v>61883890.653096229</v>
      </c>
      <c r="B372">
        <v>156280850.51413888</v>
      </c>
    </row>
    <row r="373" spans="1:2" x14ac:dyDescent="0.25">
      <c r="A373">
        <f ca="1">35407.8422150315*((RANDBETWEEN(1620,2416)))</f>
        <v>75100033.338081703</v>
      </c>
      <c r="B373">
        <v>175971541.15458882</v>
      </c>
    </row>
    <row r="374" spans="1:2" x14ac:dyDescent="0.25">
      <c r="A374">
        <f ca="1">29575.908379989*((RANDBETWEEN(1620,2416)))</f>
        <v>70420237.852753863</v>
      </c>
      <c r="B374">
        <v>149644602.76678601</v>
      </c>
    </row>
    <row r="375" spans="1:2" x14ac:dyDescent="0.25">
      <c r="A375">
        <f ca="1">36797.4966816619*((RANDBETWEEN(1620,2416)))</f>
        <v>61672604.438465327</v>
      </c>
      <c r="B375">
        <v>188599038.75979781</v>
      </c>
    </row>
    <row r="376" spans="1:2" x14ac:dyDescent="0.25">
      <c r="A376">
        <f ca="1">34174.4156362338*((RANDBETWEEN(1620,2416)))</f>
        <v>64247901.396119617</v>
      </c>
      <c r="B376">
        <v>197619674.17801479</v>
      </c>
    </row>
    <row r="377" spans="1:2" x14ac:dyDescent="0.25">
      <c r="A377">
        <f ca="1">42478.4435027452*((RANDBETWEEN(1620,2416)))</f>
        <v>92857877.497000903</v>
      </c>
      <c r="B377">
        <v>143032466.26301545</v>
      </c>
    </row>
    <row r="378" spans="1:2" x14ac:dyDescent="0.25">
      <c r="A378">
        <f ca="1">32437.1536119098*((RANDBETWEEN(1620,2416)))</f>
        <v>58549062.269497208</v>
      </c>
      <c r="B378">
        <v>169243570.94078451</v>
      </c>
    </row>
    <row r="379" spans="1:2" x14ac:dyDescent="0.25">
      <c r="A379">
        <f ca="1">33638.1837759571*((RANDBETWEEN(1620,2416)))</f>
        <v>58025867.013525918</v>
      </c>
      <c r="B379">
        <v>174908667.77148488</v>
      </c>
    </row>
    <row r="380" spans="1:2" x14ac:dyDescent="0.25">
      <c r="A380">
        <f ca="1">37120.2071843325*((RANDBETWEEN(1620,2416)))</f>
        <v>80142527.310973793</v>
      </c>
      <c r="B380">
        <v>177565637.05447578</v>
      </c>
    </row>
    <row r="381" spans="1:2" x14ac:dyDescent="0.25">
      <c r="A381">
        <f ca="1">39495.6197842235*((RANDBETWEEN(1620,2416)))</f>
        <v>78122335.933194101</v>
      </c>
      <c r="B381">
        <v>170023913.90494075</v>
      </c>
    </row>
    <row r="382" spans="1:2" x14ac:dyDescent="0.25">
      <c r="A382">
        <f ca="1">38798.8411843643*((RANDBETWEEN(1620,2416)))</f>
        <v>89508926.61232838</v>
      </c>
      <c r="B382">
        <v>177999062.75679275</v>
      </c>
    </row>
    <row r="383" spans="1:2" x14ac:dyDescent="0.25">
      <c r="A383">
        <f ca="1">31393.5340501862*((RANDBETWEEN(1620,2416)))</f>
        <v>64921828.415785044</v>
      </c>
      <c r="B383">
        <v>170930948.30054313</v>
      </c>
    </row>
    <row r="384" spans="1:2" x14ac:dyDescent="0.25">
      <c r="A384">
        <f ca="1">30216.3932724942*((RANDBETWEEN(1620,2416)))</f>
        <v>53452799.699042261</v>
      </c>
      <c r="B384">
        <v>191285716.56728995</v>
      </c>
    </row>
    <row r="385" spans="1:2" x14ac:dyDescent="0.25">
      <c r="A385">
        <f ca="1">37071.6317909575*((RANDBETWEEN(1620,2416)))</f>
        <v>84819893.537710667</v>
      </c>
      <c r="B385">
        <v>159962899.76116979</v>
      </c>
    </row>
    <row r="386" spans="1:2" x14ac:dyDescent="0.25">
      <c r="A386">
        <f ca="1">31626.2065437802*((RANDBETWEEN(1620,2416)))</f>
        <v>73625808.833920211</v>
      </c>
      <c r="B386">
        <v>174557080.23820633</v>
      </c>
    </row>
    <row r="387" spans="1:2" x14ac:dyDescent="0.25">
      <c r="A387">
        <f ca="1">32544.263482216*((RANDBETWEEN(1620,2416)))</f>
        <v>75828133.913563177</v>
      </c>
      <c r="B387">
        <v>165911913.56132492</v>
      </c>
    </row>
    <row r="388" spans="1:2" x14ac:dyDescent="0.25">
      <c r="A388">
        <f ca="1">39456.8903038669*((RANDBETWEEN(1620,2416)))</f>
        <v>67629109.980827823</v>
      </c>
      <c r="B388">
        <v>200598743.64181003</v>
      </c>
    </row>
    <row r="389" spans="1:2" x14ac:dyDescent="0.25">
      <c r="A389">
        <f ca="1">35443.4517925821*((RANDBETWEEN(1620,2416)))</f>
        <v>85099727.753989682</v>
      </c>
      <c r="B389">
        <v>149564636.62290651</v>
      </c>
    </row>
    <row r="390" spans="1:2" x14ac:dyDescent="0.25">
      <c r="A390">
        <f ca="1">34233.959205787*((RANDBETWEEN(1620,2416)))</f>
        <v>77368747.805078641</v>
      </c>
      <c r="B390">
        <v>167219878.60907918</v>
      </c>
    </row>
    <row r="391" spans="1:2" x14ac:dyDescent="0.25">
      <c r="A391">
        <f ca="1">38084.2859627803*((RANDBETWEEN(1620,2416)))</f>
        <v>91288033.452784494</v>
      </c>
      <c r="B391">
        <v>194105970.15374175</v>
      </c>
    </row>
    <row r="392" spans="1:2" x14ac:dyDescent="0.25">
      <c r="A392">
        <f ca="1">31993.809800447*((RANDBETWEEN(1620,2416)))</f>
        <v>58900603.842622928</v>
      </c>
      <c r="B392">
        <v>162718215.3560572</v>
      </c>
    </row>
    <row r="393" spans="1:2" x14ac:dyDescent="0.25">
      <c r="A393">
        <f ca="1">37802.9972404906*((RANDBETWEEN(1620,2416)))</f>
        <v>75795009.467183724</v>
      </c>
      <c r="B393">
        <v>195121589.68527535</v>
      </c>
    </row>
    <row r="394" spans="1:2" x14ac:dyDescent="0.25">
      <c r="A394">
        <f ca="1">33436.5671633725*((RANDBETWEEN(1620,2416)))</f>
        <v>72891716.41615203</v>
      </c>
      <c r="B394">
        <v>155405610.13028273</v>
      </c>
    </row>
    <row r="395" spans="1:2" x14ac:dyDescent="0.25">
      <c r="A395">
        <f ca="1">33281.2019910991*((RANDBETWEEN(1620,2416)))</f>
        <v>57643041.848583639</v>
      </c>
      <c r="B395">
        <v>186680163.64598551</v>
      </c>
    </row>
    <row r="396" spans="1:2" x14ac:dyDescent="0.25">
      <c r="A396">
        <f ca="1">36883.0869336835*((RANDBETWEEN(1620,2416)))</f>
        <v>78782273.690347865</v>
      </c>
      <c r="B396">
        <v>154421601.70984471</v>
      </c>
    </row>
    <row r="397" spans="1:2" x14ac:dyDescent="0.25">
      <c r="A397">
        <f ca="1">40119.5431050551*((RANDBETWEEN(1620,2416)))</f>
        <v>87701321.227650508</v>
      </c>
      <c r="B397">
        <v>167028809.04722333</v>
      </c>
    </row>
    <row r="398" spans="1:2" x14ac:dyDescent="0.25">
      <c r="A398">
        <f ca="1">33362.3444621218*((RANDBETWEEN(1620,2416)))</f>
        <v>66457790.168546565</v>
      </c>
      <c r="B398">
        <v>158117289.94435942</v>
      </c>
    </row>
    <row r="399" spans="1:2" x14ac:dyDescent="0.25">
      <c r="A399">
        <f ca="1">39585.0627405937*((RANDBETWEEN(1620,2416)))</f>
        <v>84514108.951167479</v>
      </c>
      <c r="B399">
        <v>183682250.98069733</v>
      </c>
    </row>
    <row r="400" spans="1:2" x14ac:dyDescent="0.25">
      <c r="A400">
        <f ca="1">36137.3187809623*((RANDBETWEEN(1620,2416)))</f>
        <v>81742615.082536638</v>
      </c>
      <c r="B400">
        <v>195893291.32609928</v>
      </c>
    </row>
    <row r="401" spans="1:2" x14ac:dyDescent="0.25">
      <c r="A401">
        <f ca="1">40173.2983272425*((RANDBETWEEN(1620,2416)))</f>
        <v>89024029.093169466</v>
      </c>
      <c r="B401">
        <v>153499987.25957322</v>
      </c>
    </row>
    <row r="402" spans="1:2" x14ac:dyDescent="0.25">
      <c r="A402">
        <f ca="1">31865.9924486751*((RANDBETWEEN(1620,2416)))</f>
        <v>66886718.149768986</v>
      </c>
      <c r="B402">
        <v>176495473.20802984</v>
      </c>
    </row>
    <row r="403" spans="1:2" x14ac:dyDescent="0.25">
      <c r="A403">
        <f ca="1">32590.3757226333*((RANDBETWEEN(1620,2416)))</f>
        <v>78347263.237210542</v>
      </c>
      <c r="B403">
        <v>149390355.89026022</v>
      </c>
    </row>
    <row r="404" spans="1:2" x14ac:dyDescent="0.25">
      <c r="A404">
        <f ca="1">33649.9958381774*((RANDBETWEEN(1620,2416)))</f>
        <v>65449241.905255094</v>
      </c>
      <c r="B404">
        <v>161100213.17948484</v>
      </c>
    </row>
    <row r="405" spans="1:2" x14ac:dyDescent="0.25">
      <c r="A405">
        <f ca="1">31702.2360217086*((RANDBETWEEN(1620,2416)))</f>
        <v>71551946.700996354</v>
      </c>
      <c r="B405">
        <v>195867993.84892449</v>
      </c>
    </row>
    <row r="406" spans="1:2" x14ac:dyDescent="0.25">
      <c r="A406">
        <f ca="1">42024.8355952692*((RANDBETWEEN(1620,2416)))</f>
        <v>90605545.543400407</v>
      </c>
      <c r="B406">
        <v>160382833.76008373</v>
      </c>
    </row>
    <row r="407" spans="1:2" x14ac:dyDescent="0.25">
      <c r="A407">
        <f ca="1">32102.0738493496*((RANDBETWEEN(1620,2416)))</f>
        <v>59902469.802886374</v>
      </c>
      <c r="B407">
        <v>162328734.93955502</v>
      </c>
    </row>
    <row r="408" spans="1:2" x14ac:dyDescent="0.25">
      <c r="A408">
        <f ca="1">31521.4348107191*((RANDBETWEEN(1620,2416)))</f>
        <v>51127767.262986444</v>
      </c>
      <c r="B408">
        <v>177350470.53056034</v>
      </c>
    </row>
    <row r="409" spans="1:2" x14ac:dyDescent="0.25">
      <c r="A409">
        <f ca="1">32868.3947032653*((RANDBETWEEN(1620,2416)))</f>
        <v>65046553.117762119</v>
      </c>
      <c r="B409">
        <v>166036183.4702605</v>
      </c>
    </row>
    <row r="410" spans="1:2" x14ac:dyDescent="0.25">
      <c r="A410">
        <f ca="1">30746.0861972963*((RANDBETWEEN(1620,2416)))</f>
        <v>50700296.13934157</v>
      </c>
      <c r="B410">
        <v>201628822.94736922</v>
      </c>
    </row>
    <row r="411" spans="1:2" x14ac:dyDescent="0.25">
      <c r="A411">
        <f ca="1">29346.6219773415*((RANDBETWEEN(1620,2416)))</f>
        <v>59602989.23598066</v>
      </c>
      <c r="B411">
        <v>156186228.34484965</v>
      </c>
    </row>
    <row r="412" spans="1:2" x14ac:dyDescent="0.25">
      <c r="A412">
        <f ca="1">33064.2312804851*((RANDBETWEEN(1620,2416)))</f>
        <v>59714001.692556046</v>
      </c>
      <c r="B412">
        <v>175166734.28759575</v>
      </c>
    </row>
    <row r="413" spans="1:2" x14ac:dyDescent="0.25">
      <c r="A413">
        <f ca="1">34727.4691602718*((RANDBETWEEN(1620,2416)))</f>
        <v>58585240.473378517</v>
      </c>
      <c r="B413">
        <v>175002818.18999958</v>
      </c>
    </row>
    <row r="414" spans="1:2" x14ac:dyDescent="0.25">
      <c r="A414">
        <f ca="1">33025.0239903217*((RANDBETWEEN(1620,2416)))</f>
        <v>66083073.00463368</v>
      </c>
      <c r="B414">
        <v>147671406.11950842</v>
      </c>
    </row>
    <row r="415" spans="1:2" x14ac:dyDescent="0.25">
      <c r="A415">
        <f ca="1">36634.2560113619*((RANDBETWEEN(1620,2416)))</f>
        <v>64879267.396121852</v>
      </c>
      <c r="B415">
        <v>154017190.48739588</v>
      </c>
    </row>
    <row r="416" spans="1:2" x14ac:dyDescent="0.25">
      <c r="A416">
        <f ca="1">31447.9181962557*((RANDBETWEEN(1620,2416)))</f>
        <v>55757158.961961284</v>
      </c>
      <c r="B416">
        <v>174627029.95083398</v>
      </c>
    </row>
    <row r="417" spans="1:2" x14ac:dyDescent="0.25">
      <c r="A417">
        <f ca="1">31207.3036237807*((RANDBETWEEN(1620,2416)))</f>
        <v>63350826.356274776</v>
      </c>
      <c r="B417">
        <v>144245674.35947779</v>
      </c>
    </row>
    <row r="418" spans="1:2" x14ac:dyDescent="0.25">
      <c r="A418">
        <f ca="1">29905.7820711576*((RANDBETWEEN(1620,2416)))</f>
        <v>51946343.457600676</v>
      </c>
      <c r="B418">
        <v>158070255.77118799</v>
      </c>
    </row>
    <row r="419" spans="1:2" x14ac:dyDescent="0.25">
      <c r="A419">
        <f ca="1">32546.5177665411*((RANDBETWEEN(1620,2416)))</f>
        <v>53831940.38585902</v>
      </c>
      <c r="B419">
        <v>143636730.32447627</v>
      </c>
    </row>
    <row r="420" spans="1:2" x14ac:dyDescent="0.25">
      <c r="A420">
        <f ca="1">30464.1197260921*((RANDBETWEEN(1620,2416)))</f>
        <v>65101823.854658879</v>
      </c>
      <c r="B420">
        <v>160714259.51803184</v>
      </c>
    </row>
    <row r="421" spans="1:2" x14ac:dyDescent="0.25">
      <c r="A421">
        <f ca="1">30972.6824892743*((RANDBETWEEN(1620,2416)))</f>
        <v>69161999.998549461</v>
      </c>
      <c r="B421">
        <v>143198791.48089564</v>
      </c>
    </row>
    <row r="422" spans="1:2" x14ac:dyDescent="0.25">
      <c r="A422">
        <f ca="1">32583.4259935172*((RANDBETWEEN(1620,2416)))</f>
        <v>71325119.499809206</v>
      </c>
      <c r="B422">
        <v>173193721.85843438</v>
      </c>
    </row>
    <row r="423" spans="1:2" x14ac:dyDescent="0.25">
      <c r="A423">
        <f ca="1">26438.158427851*((RANDBETWEEN(1620,2416)))</f>
        <v>49412918.101653546</v>
      </c>
      <c r="B423">
        <v>144997176.45460355</v>
      </c>
    </row>
    <row r="424" spans="1:2" x14ac:dyDescent="0.25">
      <c r="A424">
        <f ca="1">39697.4781222222*((RANDBETWEEN(1620,2416)))</f>
        <v>92812703.849755466</v>
      </c>
      <c r="B424">
        <v>148244172.20734519</v>
      </c>
    </row>
    <row r="425" spans="1:2" x14ac:dyDescent="0.25">
      <c r="A425">
        <f ca="1">36870.5709867661*((RANDBETWEEN(1620,2416)))</f>
        <v>84765442.698575258</v>
      </c>
      <c r="B425">
        <v>176438783.45362249</v>
      </c>
    </row>
    <row r="426" spans="1:2" x14ac:dyDescent="0.25">
      <c r="A426">
        <f ca="1">33085.6764136227*((RANDBETWEEN(1620,2416)))</f>
        <v>56477249.638053983</v>
      </c>
      <c r="B426">
        <v>192133346.15752178</v>
      </c>
    </row>
    <row r="427" spans="1:2" x14ac:dyDescent="0.25">
      <c r="A427">
        <f ca="1">29361.3230906762*((RANDBETWEEN(1620,2416)))</f>
        <v>68822941.324545071</v>
      </c>
      <c r="B427">
        <v>144188241.23162919</v>
      </c>
    </row>
    <row r="428" spans="1:2" x14ac:dyDescent="0.25">
      <c r="A428">
        <f ca="1">33672.8084497612*((RANDBETWEEN(1620,2416)))</f>
        <v>62160004.398259096</v>
      </c>
      <c r="B428">
        <v>200187397.50920421</v>
      </c>
    </row>
    <row r="429" spans="1:2" x14ac:dyDescent="0.25">
      <c r="A429">
        <f ca="1">39901.1023762103*((RANDBETWEEN(1620,2416)))</f>
        <v>84470633.730437279</v>
      </c>
      <c r="B429">
        <v>150415279.60645771</v>
      </c>
    </row>
    <row r="430" spans="1:2" x14ac:dyDescent="0.25">
      <c r="A430">
        <f ca="1">34306.1108305177*((RANDBETWEEN(1620,2416)))</f>
        <v>81031033.78168276</v>
      </c>
      <c r="B430">
        <v>169769808.02933225</v>
      </c>
    </row>
    <row r="431" spans="1:2" x14ac:dyDescent="0.25">
      <c r="A431">
        <f ca="1">42359.434965405*((RANDBETWEEN(1620,2416)))</f>
        <v>80228769.824477136</v>
      </c>
      <c r="B431">
        <v>187620510.76977456</v>
      </c>
    </row>
    <row r="432" spans="1:2" x14ac:dyDescent="0.25">
      <c r="A432">
        <f ca="1">34091.7307373324*((RANDBETWEEN(1620,2416)))</f>
        <v>73535863.200426027</v>
      </c>
      <c r="B432">
        <v>160415410.4000324</v>
      </c>
    </row>
    <row r="433" spans="1:2" x14ac:dyDescent="0.25">
      <c r="A433">
        <f ca="1">31243.3241038061*((RANDBETWEEN(1620,2416)))</f>
        <v>53144894.300574094</v>
      </c>
      <c r="B433">
        <v>185543740.43395153</v>
      </c>
    </row>
    <row r="434" spans="1:2" x14ac:dyDescent="0.25">
      <c r="A434">
        <f ca="1">30471.2196248396*((RANDBETWEEN(1620,2416)))</f>
        <v>51618246.04447829</v>
      </c>
      <c r="B434">
        <v>160396676.75798842</v>
      </c>
    </row>
    <row r="435" spans="1:2" x14ac:dyDescent="0.25">
      <c r="A435">
        <f ca="1">30785.5181361523*((RANDBETWEEN(1620,2416)))</f>
        <v>50395893.188881293</v>
      </c>
      <c r="B435">
        <v>144098110.80308336</v>
      </c>
    </row>
    <row r="436" spans="1:2" x14ac:dyDescent="0.25">
      <c r="A436">
        <f ca="1">29559.8398328336*((RANDBETWEEN(1620,2416)))</f>
        <v>51907078.746455766</v>
      </c>
      <c r="B436">
        <v>158116454.72537428</v>
      </c>
    </row>
    <row r="437" spans="1:2" x14ac:dyDescent="0.25">
      <c r="A437">
        <f ca="1">31239.2534335137*((RANDBETWEEN(1620,2416)))</f>
        <v>63665598.497500874</v>
      </c>
      <c r="B437">
        <v>143282769.22461617</v>
      </c>
    </row>
    <row r="438" spans="1:2" x14ac:dyDescent="0.25">
      <c r="A438">
        <f ca="1">37885.0108416473*((RANDBETWEEN(1620,2416)))</f>
        <v>89294970.553762689</v>
      </c>
      <c r="B438">
        <v>164034098.28841591</v>
      </c>
    </row>
    <row r="439" spans="1:2" x14ac:dyDescent="0.25">
      <c r="A439">
        <f ca="1">30477.9320071124*((RANDBETWEEN(1620,2416)))</f>
        <v>51477227.160012789</v>
      </c>
      <c r="B439">
        <v>144695016.86925086</v>
      </c>
    </row>
    <row r="440" spans="1:2" x14ac:dyDescent="0.25">
      <c r="A440">
        <f ca="1">36504.5197281871*((RANDBETWEEN(1620,2416)))</f>
        <v>70928281.831867591</v>
      </c>
      <c r="B440">
        <v>190678774.43181187</v>
      </c>
    </row>
    <row r="441" spans="1:2" x14ac:dyDescent="0.25">
      <c r="A441">
        <f ca="1">37967.9103371307*((RANDBETWEEN(1620,2416)))</f>
        <v>73961489.33673057</v>
      </c>
      <c r="B441">
        <v>202934960.04869464</v>
      </c>
    </row>
    <row r="442" spans="1:2" x14ac:dyDescent="0.25">
      <c r="A442">
        <f ca="1">33389.6749278189*((RANDBETWEEN(1620,2416)))</f>
        <v>59533790.396301076</v>
      </c>
      <c r="B442">
        <v>144126144.60715294</v>
      </c>
    </row>
    <row r="443" spans="1:2" x14ac:dyDescent="0.25">
      <c r="A443">
        <f ca="1">31436.6838119994*((RANDBETWEEN(1620,2416)))</f>
        <v>67620306.879610747</v>
      </c>
      <c r="B443">
        <v>183149641.08082965</v>
      </c>
    </row>
    <row r="444" spans="1:2" x14ac:dyDescent="0.25">
      <c r="A444">
        <f ca="1">33843.8517853047*((RANDBETWEEN(1620,2416)))</f>
        <v>63355690.542090446</v>
      </c>
      <c r="B444">
        <v>184323397.92122811</v>
      </c>
    </row>
    <row r="445" spans="1:2" x14ac:dyDescent="0.25">
      <c r="A445">
        <f ca="1">31085.127865649*((RANDBETWEEN(1620,2416)))</f>
        <v>68418366.432293579</v>
      </c>
      <c r="B445">
        <v>191842670.20685506</v>
      </c>
    </row>
    <row r="446" spans="1:2" x14ac:dyDescent="0.25">
      <c r="A446">
        <f ca="1">30033.6971860262*((RANDBETWEEN(1620,2416)))</f>
        <v>58085170.357774742</v>
      </c>
      <c r="B446">
        <v>203034668.71635705</v>
      </c>
    </row>
    <row r="447" spans="1:2" x14ac:dyDescent="0.25">
      <c r="A447">
        <f ca="1">40274.0523716132*((RANDBETWEEN(1620,2416)))</f>
        <v>79903719.905280486</v>
      </c>
      <c r="B447">
        <v>189136210.71630004</v>
      </c>
    </row>
    <row r="448" spans="1:2" x14ac:dyDescent="0.25">
      <c r="A448">
        <f ca="1">33204.1990264433*((RANDBETWEEN(1620,2416)))</f>
        <v>60929705.21352338</v>
      </c>
      <c r="B448">
        <v>177340101.64166772</v>
      </c>
    </row>
    <row r="449" spans="1:2" x14ac:dyDescent="0.25">
      <c r="A449">
        <f ca="1">32993.1409956604*((RANDBETWEEN(1620,2416)))</f>
        <v>73739670.125301033</v>
      </c>
      <c r="B449">
        <v>143532028.75435156</v>
      </c>
    </row>
    <row r="450" spans="1:2" x14ac:dyDescent="0.25">
      <c r="A450">
        <f ca="1">33307.9797084454*((RANDBETWEEN(1620,2416)))</f>
        <v>58488812.36803019</v>
      </c>
      <c r="B450">
        <v>195754832.90938368</v>
      </c>
    </row>
    <row r="451" spans="1:2" x14ac:dyDescent="0.25">
      <c r="A451">
        <f ca="1">38896.6645550835*((RANDBETWEEN(1620,2416)))</f>
        <v>86078318.660399765</v>
      </c>
      <c r="B451">
        <v>189532020.44058973</v>
      </c>
    </row>
    <row r="452" spans="1:2" x14ac:dyDescent="0.25">
      <c r="A452">
        <f ca="1">27542.405866624*((RANDBETWEEN(1620,2416)))</f>
        <v>57233119.390844613</v>
      </c>
      <c r="B452">
        <v>180939698.40506214</v>
      </c>
    </row>
    <row r="453" spans="1:2" x14ac:dyDescent="0.25">
      <c r="A453">
        <f ca="1">31876.3851344791*((RANDBETWEEN(1620,2416)))</f>
        <v>64804690.978395969</v>
      </c>
      <c r="B453">
        <v>159531164.54721731</v>
      </c>
    </row>
    <row r="454" spans="1:2" x14ac:dyDescent="0.25">
      <c r="A454">
        <f ca="1">37164.9940054745*((RANDBETWEEN(1620,2416)))</f>
        <v>85182166.260547623</v>
      </c>
      <c r="B454">
        <v>196993635.19198492</v>
      </c>
    </row>
    <row r="455" spans="1:2" x14ac:dyDescent="0.25">
      <c r="A455">
        <f ca="1">32214.7545229741*((RANDBETWEEN(1620,2416)))</f>
        <v>64816086.100223869</v>
      </c>
      <c r="B455">
        <v>186866397.13093334</v>
      </c>
    </row>
    <row r="456" spans="1:2" x14ac:dyDescent="0.25">
      <c r="A456">
        <f ca="1">28379.8496161626*((RANDBETWEEN(1620,2416)))</f>
        <v>67827840.582628578</v>
      </c>
      <c r="B456">
        <v>170471801.42589197</v>
      </c>
    </row>
    <row r="457" spans="1:2" x14ac:dyDescent="0.25">
      <c r="A457">
        <f ca="1">30634.9358698255*((RANDBETWEEN(1620,2416)))</f>
        <v>67948287.759273008</v>
      </c>
      <c r="B457">
        <v>146264570.56125391</v>
      </c>
    </row>
    <row r="458" spans="1:2" x14ac:dyDescent="0.25">
      <c r="A458">
        <f ca="1">32802.111661248*((RANDBETWEEN(1620,2416)))</f>
        <v>64554555.749336161</v>
      </c>
      <c r="B458">
        <v>173904469.78252435</v>
      </c>
    </row>
    <row r="459" spans="1:2" x14ac:dyDescent="0.25">
      <c r="A459">
        <f ca="1">31915.8080126947*((RANDBETWEEN(1620,2416)))</f>
        <v>63129468.249110058</v>
      </c>
      <c r="B459">
        <v>150535622.41671732</v>
      </c>
    </row>
    <row r="460" spans="1:2" x14ac:dyDescent="0.25">
      <c r="A460">
        <f ca="1">40734.7774991978*((RANDBETWEEN(1620,2416)))</f>
        <v>92630884.033175781</v>
      </c>
      <c r="B460">
        <v>170336380.99384135</v>
      </c>
    </row>
    <row r="461" spans="1:2" x14ac:dyDescent="0.25">
      <c r="A461">
        <f ca="1">32075.4035057976*((RANDBETWEEN(1620,2416)))</f>
        <v>62771564.660845973</v>
      </c>
      <c r="B461">
        <v>145723459.20752567</v>
      </c>
    </row>
    <row r="462" spans="1:2" x14ac:dyDescent="0.25">
      <c r="A462">
        <f ca="1">34065.3620861342*((RANDBETWEEN(1620,2416)))</f>
        <v>70447168.794125497</v>
      </c>
      <c r="B462">
        <v>161044648.46437138</v>
      </c>
    </row>
    <row r="463" spans="1:2" x14ac:dyDescent="0.25">
      <c r="A463">
        <f ca="1">32376.4814962388*((RANDBETWEEN(1620,2416)))</f>
        <v>68735270.216515005</v>
      </c>
      <c r="B463">
        <v>194848206.57652727</v>
      </c>
    </row>
    <row r="464" spans="1:2" x14ac:dyDescent="0.25">
      <c r="A464">
        <f ca="1">41228.3510832777*((RANDBETWEEN(1620,2416)))</f>
        <v>67284668.967909187</v>
      </c>
      <c r="B464">
        <v>144905677.41429564</v>
      </c>
    </row>
    <row r="465" spans="1:2" x14ac:dyDescent="0.25">
      <c r="A465">
        <f ca="1">31484.8193020802*((RANDBETWEEN(1620,2416)))</f>
        <v>63473395.712993711</v>
      </c>
      <c r="B465">
        <v>143157230.03370768</v>
      </c>
    </row>
    <row r="466" spans="1:2" x14ac:dyDescent="0.25">
      <c r="A466">
        <f ca="1">34623.6101158861*((RANDBETWEEN(1620,2416)))</f>
        <v>67550663.336093813</v>
      </c>
      <c r="B466">
        <v>185066265.67643899</v>
      </c>
    </row>
    <row r="467" spans="1:2" x14ac:dyDescent="0.25">
      <c r="A467">
        <f ca="1">39386.8976317972*((RANDBETWEEN(1620,2416)))</f>
        <v>68572588.776958972</v>
      </c>
      <c r="B467">
        <v>174283359.17227224</v>
      </c>
    </row>
    <row r="468" spans="1:2" x14ac:dyDescent="0.25">
      <c r="A468">
        <f ca="1">28850.9491692551*((RANDBETWEEN(1620,2416)))</f>
        <v>59490657.187004</v>
      </c>
      <c r="B468">
        <v>159192543.27477986</v>
      </c>
    </row>
    <row r="469" spans="1:2" x14ac:dyDescent="0.25">
      <c r="A469">
        <f ca="1">32160.6568717379*((RANDBETWEEN(1620,2416)))</f>
        <v>56088185.584310859</v>
      </c>
      <c r="B469">
        <v>158930340.1238367</v>
      </c>
    </row>
    <row r="470" spans="1:2" x14ac:dyDescent="0.25">
      <c r="A470">
        <f ca="1">40684.6618527754*((RANDBETWEEN(1620,2416)))</f>
        <v>96788810.547752678</v>
      </c>
      <c r="B470">
        <v>171116916.98281094</v>
      </c>
    </row>
    <row r="471" spans="1:2" x14ac:dyDescent="0.25">
      <c r="A471">
        <f ca="1">28744.4412825909*((RANDBETWEEN(1620,2416)))</f>
        <v>54413227.34794461</v>
      </c>
      <c r="B471">
        <v>186751192.64179102</v>
      </c>
    </row>
    <row r="472" spans="1:2" x14ac:dyDescent="0.25">
      <c r="A472">
        <f ca="1">34316.1702943236*((RANDBETWEEN(1620,2416)))</f>
        <v>71206053.360721365</v>
      </c>
      <c r="B472">
        <v>180785681.95878646</v>
      </c>
    </row>
    <row r="473" spans="1:2" x14ac:dyDescent="0.25">
      <c r="A473">
        <f ca="1">38833.4617031022*((RANDBETWEEN(1620,2416)))</f>
        <v>87957790.757526487</v>
      </c>
      <c r="B473">
        <v>155191323.44292364</v>
      </c>
    </row>
    <row r="474" spans="1:2" x14ac:dyDescent="0.25">
      <c r="A474">
        <f ca="1">33351.6378854849*((RANDBETWEEN(1620,2416)))</f>
        <v>77008931.877584696</v>
      </c>
      <c r="B474">
        <v>176920740.23016086</v>
      </c>
    </row>
    <row r="475" spans="1:2" x14ac:dyDescent="0.25">
      <c r="A475">
        <f ca="1">36091.3032560488*((RANDBETWEEN(1620,2416)))</f>
        <v>69042663.128821328</v>
      </c>
      <c r="B475">
        <v>155531688.07803297</v>
      </c>
    </row>
    <row r="476" spans="1:2" x14ac:dyDescent="0.25">
      <c r="A476">
        <f ca="1">40746.7022841746*((RANDBETWEEN(1620,2416)))</f>
        <v>93961895.467306659</v>
      </c>
      <c r="B476">
        <v>169418545.37584621</v>
      </c>
    </row>
    <row r="477" spans="1:2" x14ac:dyDescent="0.25">
      <c r="A477">
        <f ca="1">31743.0062287647*((RANDBETWEEN(1620,2416)))</f>
        <v>64501788.656849846</v>
      </c>
      <c r="B477">
        <v>156225601.74436605</v>
      </c>
    </row>
    <row r="478" spans="1:2" x14ac:dyDescent="0.25">
      <c r="A478">
        <f ca="1">29623.7624053817*((RANDBETWEEN(1620,2416)))</f>
        <v>56581386.194279119</v>
      </c>
      <c r="B478">
        <v>172924769.40569919</v>
      </c>
    </row>
    <row r="479" spans="1:2" x14ac:dyDescent="0.25">
      <c r="A479">
        <f ca="1">33795.363427916*((RANDBETWEEN(1620,2416)))</f>
        <v>73978050.543708101</v>
      </c>
      <c r="B479">
        <v>167999595.38121694</v>
      </c>
    </row>
    <row r="480" spans="1:2" x14ac:dyDescent="0.25">
      <c r="A480">
        <f ca="1">31566.7092031856*((RANDBETWEEN(1620,2416)))</f>
        <v>51580002.83800523</v>
      </c>
      <c r="B480">
        <v>191615182.99414346</v>
      </c>
    </row>
    <row r="481" spans="1:2" x14ac:dyDescent="0.25">
      <c r="A481">
        <f ca="1">29391.890003413*((RANDBETWEEN(1620,2416)))</f>
        <v>62781077.047290079</v>
      </c>
      <c r="B481">
        <v>161350782.18519658</v>
      </c>
    </row>
    <row r="482" spans="1:2" x14ac:dyDescent="0.25">
      <c r="A482">
        <f ca="1">36688.476749241*((RANDBETWEEN(1620,2416)))</f>
        <v>85961101.023471743</v>
      </c>
      <c r="B482">
        <v>199511118.66596809</v>
      </c>
    </row>
    <row r="483" spans="1:2" x14ac:dyDescent="0.25">
      <c r="A483">
        <f ca="1">31303.5512582622*((RANDBETWEEN(1620,2416)))</f>
        <v>71528614.625129178</v>
      </c>
      <c r="B483">
        <v>160746231.44418472</v>
      </c>
    </row>
    <row r="484" spans="1:2" x14ac:dyDescent="0.25">
      <c r="A484">
        <f ca="1">31110.6003947893*((RANDBETWEEN(1620,2416)))</f>
        <v>52639135.867983468</v>
      </c>
      <c r="B484">
        <v>152564867.05043602</v>
      </c>
    </row>
    <row r="485" spans="1:2" x14ac:dyDescent="0.25">
      <c r="A485">
        <f ca="1">31020.1960634381*((RANDBETWEEN(1620,2416)))</f>
        <v>73703985.846728951</v>
      </c>
      <c r="B485">
        <v>188045836.81473678</v>
      </c>
    </row>
    <row r="486" spans="1:2" x14ac:dyDescent="0.25">
      <c r="A486">
        <f ca="1">33519.2071982117*((RANDBETWEEN(1620,2416)))</f>
        <v>72703160.412921235</v>
      </c>
      <c r="B486">
        <v>150804078.14545789</v>
      </c>
    </row>
    <row r="487" spans="1:2" x14ac:dyDescent="0.25">
      <c r="A487">
        <f ca="1">28747.8753520804*((RANDBETWEEN(1620,2416)))</f>
        <v>50682504.245717771</v>
      </c>
      <c r="B487">
        <v>147796719.15997157</v>
      </c>
    </row>
    <row r="488" spans="1:2" x14ac:dyDescent="0.25">
      <c r="A488">
        <f ca="1">39778.8963635036*((RANDBETWEEN(1620,2416)))</f>
        <v>70169973.185220435</v>
      </c>
      <c r="B488">
        <v>163282612.0833872</v>
      </c>
    </row>
    <row r="489" spans="1:2" x14ac:dyDescent="0.25">
      <c r="A489">
        <f ca="1">30514.37486025*((RANDBETWEEN(1620,2416)))</f>
        <v>72013924.670189992</v>
      </c>
      <c r="B489">
        <v>144199455.94029832</v>
      </c>
    </row>
    <row r="490" spans="1:2" x14ac:dyDescent="0.25">
      <c r="A490">
        <f ca="1">33065.239582853*((RANDBETWEEN(1620,2416)))</f>
        <v>71520113.217710942</v>
      </c>
      <c r="B490">
        <v>164313737.04986173</v>
      </c>
    </row>
    <row r="491" spans="1:2" x14ac:dyDescent="0.25">
      <c r="A491">
        <f ca="1">30896.1049010983*((RANDBETWEEN(1620,2416)))</f>
        <v>71957028.314658031</v>
      </c>
      <c r="B491">
        <v>174107365.16415378</v>
      </c>
    </row>
    <row r="492" spans="1:2" x14ac:dyDescent="0.25">
      <c r="A492">
        <f ca="1">30257.8104267566*((RANDBETWEEN(1620,2416)))</f>
        <v>70470440.483916029</v>
      </c>
      <c r="B492">
        <v>148553492.28185472</v>
      </c>
    </row>
    <row r="493" spans="1:2" x14ac:dyDescent="0.25">
      <c r="A493">
        <f ca="1">31619.4132584426*((RANDBETWEEN(1620,2416)))</f>
        <v>66938297.868122883</v>
      </c>
      <c r="B493">
        <v>170493413.95954058</v>
      </c>
    </row>
    <row r="494" spans="1:2" x14ac:dyDescent="0.25">
      <c r="A494">
        <f ca="1">32332.5738543117*((RANDBETWEEN(1620,2416)))</f>
        <v>53445744.581177197</v>
      </c>
      <c r="B494">
        <v>153658453.03701091</v>
      </c>
    </row>
    <row r="495" spans="1:2" x14ac:dyDescent="0.25">
      <c r="A495">
        <f ca="1">30268.039939593*((RANDBETWEEN(1620,2416)))</f>
        <v>57176327.44589112</v>
      </c>
      <c r="B495">
        <v>186637007.36677596</v>
      </c>
    </row>
    <row r="496" spans="1:2" x14ac:dyDescent="0.25">
      <c r="A496">
        <f ca="1">32486.9388308556*((RANDBETWEEN(1620,2416)))</f>
        <v>76409280.130172446</v>
      </c>
      <c r="B496">
        <v>152675665.37922052</v>
      </c>
    </row>
    <row r="497" spans="1:2" x14ac:dyDescent="0.25">
      <c r="A497">
        <f ca="1">33236.9015556117*((RANDBETWEEN(1620,2416)))</f>
        <v>72124076.375677362</v>
      </c>
      <c r="B497">
        <v>201246497.23216558</v>
      </c>
    </row>
    <row r="498" spans="1:2" x14ac:dyDescent="0.25">
      <c r="A498">
        <f ca="1">32018.3447592211*((RANDBETWEEN(1620,2416)))</f>
        <v>72425495.845358104</v>
      </c>
      <c r="B498">
        <v>166651441.21258554</v>
      </c>
    </row>
    <row r="499" spans="1:2" x14ac:dyDescent="0.25">
      <c r="A499">
        <f ca="1">31101.3984776217*((RANDBETWEEN(1620,2416)))</f>
        <v>56542342.432316273</v>
      </c>
      <c r="B499">
        <v>151582293.6481334</v>
      </c>
    </row>
    <row r="500" spans="1:2" x14ac:dyDescent="0.25">
      <c r="A500">
        <f ca="1">32950.7209741122*((RANDBETWEEN(1620,2416)))</f>
        <v>68867006.835894495</v>
      </c>
      <c r="B500">
        <v>191793930.64988634</v>
      </c>
    </row>
    <row r="501" spans="1:2" x14ac:dyDescent="0.25">
      <c r="A501">
        <f ca="1">31216.8858125648*((RANDBETWEEN(1620,2416)))</f>
        <v>69395137.161331654</v>
      </c>
      <c r="B501">
        <v>184433503.37488449</v>
      </c>
    </row>
    <row r="502" spans="1:2" x14ac:dyDescent="0.25">
      <c r="A502">
        <f ca="1">35724.817329672*((RANDBETWEEN(1620,2416)))</f>
        <v>85525212.687234819</v>
      </c>
      <c r="B502">
        <v>158901629.49814421</v>
      </c>
    </row>
    <row r="503" spans="1:2" x14ac:dyDescent="0.25">
      <c r="A503">
        <f ca="1">28638.9849609817*((RANDBETWEEN(1620,2416)))</f>
        <v>50633725.411015674</v>
      </c>
      <c r="B503">
        <v>165731920.41403699</v>
      </c>
    </row>
    <row r="504" spans="1:2" x14ac:dyDescent="0.25">
      <c r="A504">
        <f ca="1">31606.5232012497*((RANDBETWEEN(1620,2416)))</f>
        <v>71462348.95802547</v>
      </c>
      <c r="B504">
        <v>196281683.19826534</v>
      </c>
    </row>
    <row r="505" spans="1:2" x14ac:dyDescent="0.25">
      <c r="A505">
        <f ca="1">30597.4987722745*((RANDBETWEEN(1620,2416)))</f>
        <v>53362037.858846657</v>
      </c>
      <c r="B505">
        <v>167577548.26158622</v>
      </c>
    </row>
    <row r="506" spans="1:2" x14ac:dyDescent="0.25">
      <c r="A506">
        <f ca="1">31753.2194665159*((RANDBETWEEN(1620,2416)))</f>
        <v>67126305.952214703</v>
      </c>
      <c r="B506">
        <v>175339853.24692607</v>
      </c>
    </row>
    <row r="507" spans="1:2" x14ac:dyDescent="0.25">
      <c r="A507">
        <f ca="1">36074.0227460261*((RANDBETWEEN(1620,2416)))</f>
        <v>64608574.738132685</v>
      </c>
      <c r="B507">
        <v>192987269.14286172</v>
      </c>
    </row>
    <row r="508" spans="1:2" x14ac:dyDescent="0.25">
      <c r="A508">
        <f ca="1">30888.2080972445*((RANDBETWEEN(1620,2416)))</f>
        <v>57081408.563707821</v>
      </c>
      <c r="B508">
        <v>148906386.02310294</v>
      </c>
    </row>
    <row r="509" spans="1:2" x14ac:dyDescent="0.25">
      <c r="A509">
        <f ca="1">31245.7351043266*((RANDBETWEEN(1620,2416)))</f>
        <v>71458996.183595017</v>
      </c>
      <c r="B509">
        <v>155821087.47654623</v>
      </c>
    </row>
    <row r="510" spans="1:2" x14ac:dyDescent="0.25">
      <c r="A510">
        <f ca="1">30272.4774316816*((RANDBETWEEN(1620,2416)))</f>
        <v>53249287.802328005</v>
      </c>
      <c r="B510">
        <v>199778431.38646606</v>
      </c>
    </row>
    <row r="511" spans="1:2" x14ac:dyDescent="0.25">
      <c r="A511">
        <f ca="1">29283.0741275409*((RANDBETWEEN(1620,2416)))</f>
        <v>51801758.131619848</v>
      </c>
      <c r="B511">
        <v>199380478.7974115</v>
      </c>
    </row>
    <row r="512" spans="1:2" x14ac:dyDescent="0.25">
      <c r="A512">
        <f ca="1">29280.3078100242*((RANDBETWEEN(1620,2416)))</f>
        <v>50801334.050392054</v>
      </c>
      <c r="B512">
        <v>169504306.97754326</v>
      </c>
    </row>
    <row r="513" spans="1:2" x14ac:dyDescent="0.25">
      <c r="A513">
        <f ca="1">31366.585250657*((RANDBETWEEN(1620,2416)))</f>
        <v>61917639.284796886</v>
      </c>
      <c r="B513">
        <v>148386009.32121938</v>
      </c>
    </row>
    <row r="514" spans="1:2" x14ac:dyDescent="0.25">
      <c r="A514">
        <f ca="1">39728.0373432525*((RANDBETWEEN(1620,2416)))</f>
        <v>80965740.105548576</v>
      </c>
      <c r="B514">
        <v>153864851.21400687</v>
      </c>
    </row>
    <row r="515" spans="1:2" x14ac:dyDescent="0.25">
      <c r="A515">
        <f ca="1">33368.1463325067*((RANDBETWEEN(1620,2416)))</f>
        <v>77681044.662075534</v>
      </c>
      <c r="B515">
        <v>154067247.51856732</v>
      </c>
    </row>
    <row r="516" spans="1:2" x14ac:dyDescent="0.25">
      <c r="A516">
        <f ca="1">33232.7701130408*((RANDBETWEEN(1620,2416)))</f>
        <v>55066700.077308595</v>
      </c>
      <c r="B516">
        <v>184643580.48864791</v>
      </c>
    </row>
    <row r="517" spans="1:2" x14ac:dyDescent="0.25">
      <c r="A517">
        <f ca="1">34642.6593049645*((RANDBETWEEN(1620,2416)))</f>
        <v>78777407.259489298</v>
      </c>
      <c r="B517">
        <v>147510030.55990255</v>
      </c>
    </row>
    <row r="518" spans="1:2" x14ac:dyDescent="0.25">
      <c r="A518">
        <f ca="1">31379.1590789145*((RANDBETWEEN(1620,2416)))</f>
        <v>71858274.290714279</v>
      </c>
      <c r="B518">
        <v>188654281.71641991</v>
      </c>
    </row>
    <row r="519" spans="1:2" x14ac:dyDescent="0.25">
      <c r="A519">
        <f ca="1">32948.0660159413*((RANDBETWEEN(1620,2416)))</f>
        <v>54627893.454430752</v>
      </c>
      <c r="B519">
        <v>170691400.32051095</v>
      </c>
    </row>
    <row r="520" spans="1:2" x14ac:dyDescent="0.25">
      <c r="A520">
        <f ca="1">28323.4386399375*((RANDBETWEEN(1620,2416)))</f>
        <v>52653272.431643747</v>
      </c>
      <c r="B520">
        <v>169503235.29840282</v>
      </c>
    </row>
    <row r="521" spans="1:2" x14ac:dyDescent="0.25">
      <c r="A521">
        <f ca="1">29828.8112923761*((RANDBETWEEN(1620,2416)))</f>
        <v>54377922.986001708</v>
      </c>
      <c r="B521">
        <v>191927165.71569902</v>
      </c>
    </row>
    <row r="522" spans="1:2" x14ac:dyDescent="0.25">
      <c r="A522">
        <f ca="1">32036.3231553438*((RANDBETWEEN(1620,2416)))</f>
        <v>57152800.509133421</v>
      </c>
      <c r="B522">
        <v>168158513.50769967</v>
      </c>
    </row>
    <row r="523" spans="1:2" x14ac:dyDescent="0.25">
      <c r="A523">
        <f ca="1">32243.139806958*((RANDBETWEEN(1620,2416)))</f>
        <v>69741911.402450085</v>
      </c>
      <c r="B523">
        <v>158415064.09402782</v>
      </c>
    </row>
    <row r="524" spans="1:2" x14ac:dyDescent="0.25">
      <c r="A524">
        <f ca="1">36381.3432241933*((RANDBETWEEN(1620,2416)))</f>
        <v>68833501.380173817</v>
      </c>
      <c r="B524">
        <v>203574086.03099412</v>
      </c>
    </row>
    <row r="525" spans="1:2" x14ac:dyDescent="0.25">
      <c r="A525">
        <f ca="1">32921.3859792575*((RANDBETWEEN(1620,2416)))</f>
        <v>55110400.129277013</v>
      </c>
      <c r="B525">
        <v>166955854.91280586</v>
      </c>
    </row>
    <row r="526" spans="1:2" x14ac:dyDescent="0.25">
      <c r="A526">
        <f ca="1">31468.3789227141*((RANDBETWEEN(1620,2416)))</f>
        <v>67562609.547067255</v>
      </c>
      <c r="B526">
        <v>155284941.80559438</v>
      </c>
    </row>
    <row r="527" spans="1:2" x14ac:dyDescent="0.25">
      <c r="A527">
        <f ca="1">30878.835840221*((RANDBETWEEN(1620,2416)))</f>
        <v>54779054.780552059</v>
      </c>
      <c r="B527">
        <v>151619311.60635641</v>
      </c>
    </row>
    <row r="528" spans="1:2" x14ac:dyDescent="0.25">
      <c r="A528">
        <f ca="1">34209.9213851903*((RANDBETWEEN(1620,2416)))</f>
        <v>82411700.616923481</v>
      </c>
      <c r="B528">
        <v>173471993.7405327</v>
      </c>
    </row>
    <row r="529" spans="1:2" x14ac:dyDescent="0.25">
      <c r="A529">
        <f ca="1">29520.808137237*((RANDBETWEEN(1620,2416)))</f>
        <v>51809018.280850984</v>
      </c>
      <c r="B529">
        <v>169900170.38265723</v>
      </c>
    </row>
    <row r="530" spans="1:2" x14ac:dyDescent="0.25">
      <c r="A530">
        <f ca="1">37703.4200410051*((RANDBETWEEN(1620,2416)))</f>
        <v>72767600.679139763</v>
      </c>
      <c r="B530">
        <v>149068650.90626684</v>
      </c>
    </row>
    <row r="531" spans="1:2" x14ac:dyDescent="0.25">
      <c r="A531">
        <f ca="1">32377.5557306327*((RANDBETWEEN(1620,2416)))</f>
        <v>70744959.271432385</v>
      </c>
      <c r="B531">
        <v>157753801.49015522</v>
      </c>
    </row>
    <row r="532" spans="1:2" x14ac:dyDescent="0.25">
      <c r="A532">
        <f ca="1">32775.5482923533*((RANDBETWEEN(1620,2416)))</f>
        <v>73286125.981701881</v>
      </c>
      <c r="B532">
        <v>185631264.16179532</v>
      </c>
    </row>
    <row r="533" spans="1:2" x14ac:dyDescent="0.25">
      <c r="A533">
        <f ca="1">38233.3139253524*((RANDBETWEEN(1620,2416)))</f>
        <v>79984092.731837302</v>
      </c>
      <c r="B533">
        <v>173053866.59819832</v>
      </c>
    </row>
    <row r="534" spans="1:2" x14ac:dyDescent="0.25">
      <c r="A534">
        <f ca="1">31097.8803240635*((RANDBETWEEN(1620,2416)))</f>
        <v>71058656.540485159</v>
      </c>
      <c r="B534">
        <v>150727529.71574113</v>
      </c>
    </row>
    <row r="535" spans="1:2" x14ac:dyDescent="0.25">
      <c r="A535">
        <f ca="1">30574.7473704366*((RANDBETWEEN(1620,2416)))</f>
        <v>61118919.993502758</v>
      </c>
      <c r="B535">
        <v>176343903.4871816</v>
      </c>
    </row>
    <row r="536" spans="1:2" x14ac:dyDescent="0.25">
      <c r="A536">
        <f ca="1">28415.5106982382*((RANDBETWEEN(1620,2416)))</f>
        <v>65838738.287817948</v>
      </c>
      <c r="B536">
        <v>162374614.0831188</v>
      </c>
    </row>
    <row r="537" spans="1:2" x14ac:dyDescent="0.25">
      <c r="A537">
        <f ca="1">38918.7211458186*((RANDBETWEEN(1620,2416)))</f>
        <v>91575750.856111169</v>
      </c>
      <c r="B537">
        <v>165149196.70391348</v>
      </c>
    </row>
    <row r="538" spans="1:2" x14ac:dyDescent="0.25">
      <c r="A538">
        <f ca="1">35676.7666005601*((RANDBETWEEN(1620,2416)))</f>
        <v>60686179.987552665</v>
      </c>
      <c r="B538">
        <v>180098626.4439334</v>
      </c>
    </row>
    <row r="539" spans="1:2" x14ac:dyDescent="0.25">
      <c r="A539">
        <f ca="1">29086.9416651159*((RANDBETWEEN(1620,2416)))</f>
        <v>53461798.780483022</v>
      </c>
      <c r="B539">
        <v>149803445.45444244</v>
      </c>
    </row>
    <row r="540" spans="1:2" x14ac:dyDescent="0.25">
      <c r="A540">
        <f ca="1">31479.682321354*((RANDBETWEEN(1620,2416)))</f>
        <v>56568989.131473139</v>
      </c>
      <c r="B540">
        <v>150695379.39688632</v>
      </c>
    </row>
    <row r="541" spans="1:2" x14ac:dyDescent="0.25">
      <c r="A541">
        <f ca="1">28784.802950032*((RANDBETWEEN(1620,2416)))</f>
        <v>67615502.129625201</v>
      </c>
      <c r="B541">
        <v>174746661.39920944</v>
      </c>
    </row>
    <row r="542" spans="1:2" x14ac:dyDescent="0.25">
      <c r="A542">
        <f ca="1">30855.2525014537*((RANDBETWEEN(1620,2416)))</f>
        <v>70072278.430801407</v>
      </c>
      <c r="B542">
        <v>172874829.0772011</v>
      </c>
    </row>
    <row r="543" spans="1:2" x14ac:dyDescent="0.25">
      <c r="A543">
        <f ca="1">31883.7220521346*((RANDBETWEEN(1620,2416)))</f>
        <v>69697816.405966148</v>
      </c>
      <c r="B543">
        <v>153320575.22580379</v>
      </c>
    </row>
    <row r="544" spans="1:2" x14ac:dyDescent="0.25">
      <c r="A544">
        <f ca="1">40070.788609995*((RANDBETWEEN(1620,2416)))</f>
        <v>78658958.041420221</v>
      </c>
      <c r="B544">
        <v>166892331.12852234</v>
      </c>
    </row>
    <row r="545" spans="1:2" x14ac:dyDescent="0.25">
      <c r="A545">
        <f ca="1">38645.037964613*((RANDBETWEEN(1620,2416)))</f>
        <v>76285304.942146063</v>
      </c>
      <c r="B545">
        <v>149842239.26287949</v>
      </c>
    </row>
    <row r="546" spans="1:2" x14ac:dyDescent="0.25">
      <c r="A546">
        <f ca="1">30731.6480155497*((RANDBETWEEN(1620,2416)))</f>
        <v>64935972.256856412</v>
      </c>
      <c r="B546">
        <v>156076981.76061687</v>
      </c>
    </row>
    <row r="547" spans="1:2" x14ac:dyDescent="0.25">
      <c r="A547">
        <f ca="1">31339.2401424592*((RANDBETWEEN(1620,2416)))</f>
        <v>57444827.181127779</v>
      </c>
      <c r="B547">
        <v>142918711.96760532</v>
      </c>
    </row>
    <row r="548" spans="1:2" x14ac:dyDescent="0.25">
      <c r="A548">
        <f ca="1">32292.6474784053*((RANDBETWEEN(1620,2416)))</f>
        <v>60451836.079574764</v>
      </c>
      <c r="B548">
        <v>187103169.89676386</v>
      </c>
    </row>
    <row r="549" spans="1:2" x14ac:dyDescent="0.25">
      <c r="A549">
        <f ca="1">34316.9491237645*((RANDBETWEEN(1620,2416)))</f>
        <v>71482205.024801359</v>
      </c>
      <c r="B549">
        <v>167048800.84422016</v>
      </c>
    </row>
    <row r="550" spans="1:2" x14ac:dyDescent="0.25">
      <c r="A550">
        <f ca="1">34287.2299066913*((RANDBETWEEN(1620,2416)))</f>
        <v>79957820.142404109</v>
      </c>
      <c r="B550">
        <v>184377575.15534899</v>
      </c>
    </row>
    <row r="551" spans="1:2" x14ac:dyDescent="0.25">
      <c r="A551">
        <f ca="1">31518.3855548512*((RANDBETWEEN(1620,2416)))</f>
        <v>73847577.355016276</v>
      </c>
      <c r="B551">
        <v>144757233.93016273</v>
      </c>
    </row>
    <row r="552" spans="1:2" x14ac:dyDescent="0.25">
      <c r="A552">
        <f ca="1">38806.8131890459*((RANDBETWEEN(1620,2416)))</f>
        <v>75362831.213127196</v>
      </c>
      <c r="B552">
        <v>183909776.53816944</v>
      </c>
    </row>
    <row r="553" spans="1:2" x14ac:dyDescent="0.25">
      <c r="A553">
        <f ca="1">37412.0141670972*((RANDBETWEEN(1620,2416)))</f>
        <v>66593385.217433006</v>
      </c>
      <c r="B553">
        <v>161055988.03476751</v>
      </c>
    </row>
    <row r="554" spans="1:2" x14ac:dyDescent="0.25">
      <c r="A554">
        <f ca="1">30439.7311294906*((RANDBETWEEN(1620,2416)))</f>
        <v>72629198.474964634</v>
      </c>
      <c r="B554">
        <v>159261915.66871148</v>
      </c>
    </row>
    <row r="555" spans="1:2" x14ac:dyDescent="0.25">
      <c r="A555">
        <f ca="1">42593.9722870114*((RANDBETWEEN(1620,2416)))</f>
        <v>94132678.754295215</v>
      </c>
      <c r="B555">
        <v>184212385.64041424</v>
      </c>
    </row>
    <row r="556" spans="1:2" x14ac:dyDescent="0.25">
      <c r="A556">
        <f ca="1">35237.2163674021*((RANDBETWEEN(1620,2416)))</f>
        <v>82525560.732455805</v>
      </c>
      <c r="B556">
        <v>164338560.40410858</v>
      </c>
    </row>
    <row r="557" spans="1:2" x14ac:dyDescent="0.25">
      <c r="A557">
        <f ca="1">28991.9448181932*((RANDBETWEEN(1620,2416)))</f>
        <v>65028932.22720731</v>
      </c>
      <c r="B557">
        <v>152557866.95104313</v>
      </c>
    </row>
    <row r="558" spans="1:2" x14ac:dyDescent="0.25">
      <c r="A558">
        <f ca="1">32411.0748790142*((RANDBETWEEN(1620,2416)))</f>
        <v>62099619.468191199</v>
      </c>
      <c r="B558">
        <v>161760063.57616359</v>
      </c>
    </row>
    <row r="559" spans="1:2" x14ac:dyDescent="0.25">
      <c r="A559">
        <f ca="1">31176.2866207664*((RANDBETWEEN(1620,2416)))</f>
        <v>71393696.361555174</v>
      </c>
      <c r="B559">
        <v>192270701.27852851</v>
      </c>
    </row>
    <row r="560" spans="1:2" x14ac:dyDescent="0.25">
      <c r="A560">
        <f ca="1">31042.6896533486*((RANDBETWEEN(1620,2416)))</f>
        <v>59633006.82408271</v>
      </c>
      <c r="B560">
        <v>156034726.71877524</v>
      </c>
    </row>
    <row r="561" spans="1:2" x14ac:dyDescent="0.25">
      <c r="A561">
        <f ca="1">31911.8478015056*((RANDBETWEEN(1620,2416)))</f>
        <v>69599740.055083811</v>
      </c>
      <c r="B561">
        <v>165722813.67623433</v>
      </c>
    </row>
    <row r="562" spans="1:2" x14ac:dyDescent="0.25">
      <c r="A562">
        <f ca="1">34203.8833932127*((RANDBETWEEN(1620,2416)))</f>
        <v>64440116.312812813</v>
      </c>
      <c r="B562">
        <v>200983538.87235343</v>
      </c>
    </row>
    <row r="563" spans="1:2" x14ac:dyDescent="0.25">
      <c r="A563">
        <f ca="1">30561.134931657*((RANDBETWEEN(1620,2416)))</f>
        <v>50456433.77216576</v>
      </c>
      <c r="B563">
        <v>162702322.44990402</v>
      </c>
    </row>
    <row r="564" spans="1:2" x14ac:dyDescent="0.25">
      <c r="A564">
        <f ca="1">38752.3335640214*((RANDBETWEEN(1620,2416)))</f>
        <v>91804278.213166654</v>
      </c>
      <c r="B564">
        <v>154338290.99508286</v>
      </c>
    </row>
    <row r="565" spans="1:2" x14ac:dyDescent="0.25">
      <c r="A565">
        <f ca="1">29212.2855019525*((RANDBETWEEN(1620,2416)))</f>
        <v>52114717.33548326</v>
      </c>
      <c r="B565">
        <v>156720280.80055499</v>
      </c>
    </row>
    <row r="566" spans="1:2" x14ac:dyDescent="0.25">
      <c r="A566">
        <f ca="1">41849.4278718483*((RANDBETWEEN(1620,2416)))</f>
        <v>89515926.217883468</v>
      </c>
      <c r="B566">
        <v>168250977.22299659</v>
      </c>
    </row>
    <row r="567" spans="1:2" x14ac:dyDescent="0.25">
      <c r="A567">
        <f ca="1">31110.0211664777*((RANDBETWEEN(1620,2416)))</f>
        <v>71241948.471234038</v>
      </c>
      <c r="B567">
        <v>192336378.41702709</v>
      </c>
    </row>
    <row r="568" spans="1:2" x14ac:dyDescent="0.25">
      <c r="A568">
        <f ca="1">41495.5801958537*((RANDBETWEEN(1620,2416)))</f>
        <v>87763152.114230499</v>
      </c>
      <c r="B568">
        <v>156125524.93517059</v>
      </c>
    </row>
    <row r="569" spans="1:2" x14ac:dyDescent="0.25">
      <c r="A569">
        <f ca="1">29841.446896226*((RANDBETWEEN(1620,2416)))</f>
        <v>58817491.83246135</v>
      </c>
      <c r="B569">
        <v>197917375.71570635</v>
      </c>
    </row>
    <row r="570" spans="1:2" x14ac:dyDescent="0.25">
      <c r="A570">
        <f ca="1">31674.7336769241*((RANDBETWEEN(1620,2416)))</f>
        <v>70349583.496448338</v>
      </c>
      <c r="B570">
        <v>146321563.73571756</v>
      </c>
    </row>
    <row r="571" spans="1:2" x14ac:dyDescent="0.25">
      <c r="A571">
        <f ca="1">31710.3820979143*((RANDBETWEEN(1620,2416)))</f>
        <v>54319884.533727169</v>
      </c>
      <c r="B571">
        <v>194123333.26783878</v>
      </c>
    </row>
    <row r="572" spans="1:2" x14ac:dyDescent="0.25">
      <c r="A572">
        <f ca="1">30384.5606538634*((RANDBETWEEN(1620,2416)))</f>
        <v>53112212.022953264</v>
      </c>
      <c r="B572">
        <v>147492583.98517162</v>
      </c>
    </row>
    <row r="573" spans="1:2" x14ac:dyDescent="0.25">
      <c r="A573">
        <f ca="1">41568.6591084805*((RANDBETWEEN(1620,2416)))</f>
        <v>100180468.45143811</v>
      </c>
      <c r="B573">
        <v>165036673.6214335</v>
      </c>
    </row>
    <row r="574" spans="1:2" x14ac:dyDescent="0.25">
      <c r="A574">
        <f ca="1">32881.7189587207*((RANDBETWEEN(1620,2416)))</f>
        <v>65927846.512235053</v>
      </c>
      <c r="B574">
        <v>157999311.39983124</v>
      </c>
    </row>
    <row r="575" spans="1:2" x14ac:dyDescent="0.25">
      <c r="A575">
        <f ca="1">35857.7372546168*((RANDBETWEEN(1620,2416)))</f>
        <v>64077776.47400023</v>
      </c>
      <c r="B575">
        <v>161755308.02518901</v>
      </c>
    </row>
    <row r="576" spans="1:2" x14ac:dyDescent="0.25">
      <c r="A576">
        <f ca="1">32916.7928756212*((RANDBETWEEN(1620,2416)))</f>
        <v>75840290.78543134</v>
      </c>
      <c r="B576">
        <v>145627024.80056083</v>
      </c>
    </row>
    <row r="577" spans="1:2" x14ac:dyDescent="0.25">
      <c r="A577">
        <f ca="1">35457.8746639906*((RANDBETWEEN(1620,2416)))</f>
        <v>60136555.430127978</v>
      </c>
      <c r="B577">
        <v>168641486.28074086</v>
      </c>
    </row>
    <row r="578" spans="1:2" x14ac:dyDescent="0.25">
      <c r="A578">
        <f ca="1">29801.8462300965*((RANDBETWEEN(1620,2416)))</f>
        <v>48875027.817358315</v>
      </c>
      <c r="B578">
        <v>153383044.80809751</v>
      </c>
    </row>
    <row r="579" spans="1:2" x14ac:dyDescent="0.25">
      <c r="A579">
        <f ca="1">33543.0505770375*((RANDBETWEEN(1620,2416)))</f>
        <v>62188815.7698275</v>
      </c>
      <c r="B579">
        <v>200162182.83862436</v>
      </c>
    </row>
    <row r="580" spans="1:2" x14ac:dyDescent="0.25">
      <c r="A580">
        <f ca="1">33800.0610481188*((RANDBETWEEN(1620,2416)))</f>
        <v>60197908.726699643</v>
      </c>
      <c r="B580">
        <v>160874831.16188654</v>
      </c>
    </row>
    <row r="581" spans="1:2" x14ac:dyDescent="0.25">
      <c r="A581">
        <f ca="1">31074.3226077859*((RANDBETWEEN(1620,2416)))</f>
        <v>73770441.870883822</v>
      </c>
      <c r="B581">
        <v>149830851.50235465</v>
      </c>
    </row>
    <row r="582" spans="1:2" x14ac:dyDescent="0.25">
      <c r="A582">
        <f ca="1">28931.9200080504*((RANDBETWEEN(1620,2416)))</f>
        <v>54970648.015295804</v>
      </c>
      <c r="B582">
        <v>184644318.58954683</v>
      </c>
    </row>
    <row r="583" spans="1:2" x14ac:dyDescent="0.25">
      <c r="A583">
        <f ca="1">42022.9812320302*((RANDBETWEEN(1620,2416)))</f>
        <v>80852215.890426174</v>
      </c>
      <c r="B583">
        <v>175748591.93458784</v>
      </c>
    </row>
    <row r="584" spans="1:2" x14ac:dyDescent="0.25">
      <c r="A584">
        <f ca="1">31246.5614155179*((RANDBETWEEN(1620,2416)))</f>
        <v>67117613.920532525</v>
      </c>
      <c r="B584">
        <v>149273220.10910061</v>
      </c>
    </row>
    <row r="585" spans="1:2" x14ac:dyDescent="0.25">
      <c r="A585">
        <f ca="1">33066.9581942299*((RANDBETWEEN(1620,2416)))</f>
        <v>73673182.856744125</v>
      </c>
      <c r="B585">
        <v>191002566.8401072</v>
      </c>
    </row>
    <row r="586" spans="1:2" x14ac:dyDescent="0.25">
      <c r="A586">
        <f ca="1">31563.5506358219*((RANDBETWEEN(1620,2416)))</f>
        <v>64452770.398348421</v>
      </c>
      <c r="B586">
        <v>144165816.92103654</v>
      </c>
    </row>
    <row r="587" spans="1:2" x14ac:dyDescent="0.25">
      <c r="A587">
        <f ca="1">34711.1137823544*((RANDBETWEEN(1620,2416)))</f>
        <v>77093383.710609183</v>
      </c>
      <c r="B587">
        <v>167013936.62932017</v>
      </c>
    </row>
    <row r="588" spans="1:2" x14ac:dyDescent="0.25">
      <c r="A588">
        <f ca="1">30769.2799783861*((RANDBETWEEN(1620,2416)))</f>
        <v>58369324.118998423</v>
      </c>
      <c r="B588">
        <v>171634883.0188725</v>
      </c>
    </row>
    <row r="589" spans="1:2" x14ac:dyDescent="0.25">
      <c r="A589">
        <f ca="1">34825.9262345618*((RANDBETWEEN(1620,2416)))</f>
        <v>66796126.5178895</v>
      </c>
      <c r="B589">
        <v>143971584.78681469</v>
      </c>
    </row>
    <row r="590" spans="1:2" x14ac:dyDescent="0.25">
      <c r="A590">
        <f ca="1">33576.7110449687*((RANDBETWEEN(1620,2416)))</f>
        <v>68496490.53173618</v>
      </c>
      <c r="B590">
        <v>162193290.65706831</v>
      </c>
    </row>
    <row r="591" spans="1:2" x14ac:dyDescent="0.25">
      <c r="A591">
        <f ca="1">29655.7316845486*((RANDBETWEEN(1620,2416)))</f>
        <v>59845266.539419115</v>
      </c>
      <c r="B591">
        <v>190269693.98426393</v>
      </c>
    </row>
    <row r="592" spans="1:2" x14ac:dyDescent="0.25">
      <c r="A592">
        <f ca="1">35183.0365644726*((RANDBETWEEN(1620,2416)))</f>
        <v>65616363.192741446</v>
      </c>
      <c r="B592">
        <v>185838902.28065985</v>
      </c>
    </row>
    <row r="593" spans="1:2" x14ac:dyDescent="0.25">
      <c r="A593">
        <f ca="1">34553.4918028327*((RANDBETWEEN(1620,2416)))</f>
        <v>65997169.343410499</v>
      </c>
      <c r="B593">
        <v>184240471.74777463</v>
      </c>
    </row>
    <row r="594" spans="1:2" x14ac:dyDescent="0.25">
      <c r="A594">
        <f ca="1">40158.3770350158*((RANDBETWEEN(1620,2416)))</f>
        <v>94211552.524147063</v>
      </c>
      <c r="B594">
        <v>163691740.20927301</v>
      </c>
    </row>
    <row r="595" spans="1:2" x14ac:dyDescent="0.25">
      <c r="A595">
        <f ca="1">31174.1626415924*((RANDBETWEEN(1620,2416)))</f>
        <v>68427286.998295307</v>
      </c>
      <c r="B595">
        <v>153891171.50816298</v>
      </c>
    </row>
    <row r="596" spans="1:2" x14ac:dyDescent="0.25">
      <c r="A596">
        <f ca="1">36349.0067656144*((RANDBETWEEN(1620,2416)))</f>
        <v>83711762.581210181</v>
      </c>
      <c r="B596">
        <v>197235911.26428673</v>
      </c>
    </row>
    <row r="597" spans="1:2" x14ac:dyDescent="0.25">
      <c r="A597">
        <f ca="1">33274.4193858134*((RANDBETWEEN(1620,2416)))</f>
        <v>74534699.424221992</v>
      </c>
      <c r="B597">
        <v>148854126.48372346</v>
      </c>
    </row>
    <row r="598" spans="1:2" x14ac:dyDescent="0.25">
      <c r="A598">
        <f ca="1">32565.4830974436*((RANDBETWEEN(1620,2416)))</f>
        <v>60148447.280978255</v>
      </c>
      <c r="B598">
        <v>148309443.11303779</v>
      </c>
    </row>
    <row r="599" spans="1:2" x14ac:dyDescent="0.25">
      <c r="A599">
        <f ca="1">36127.8548084101*((RANDBETWEEN(1620,2416)))</f>
        <v>65499800.767647497</v>
      </c>
      <c r="B599">
        <v>157288241.18860739</v>
      </c>
    </row>
    <row r="600" spans="1:2" x14ac:dyDescent="0.25">
      <c r="A600">
        <f ca="1">32955.1372337599*((RANDBETWEEN(1620,2416)))</f>
        <v>71743333.757895246</v>
      </c>
      <c r="B600">
        <v>158133715.06072873</v>
      </c>
    </row>
    <row r="601" spans="1:2" x14ac:dyDescent="0.25">
      <c r="A601">
        <f ca="1">38685.7685913823*((RANDBETWEEN(1620,2416)))</f>
        <v>74740904.91855064</v>
      </c>
      <c r="B601">
        <v>181277798.66138086</v>
      </c>
    </row>
    <row r="602" spans="1:2" x14ac:dyDescent="0.25">
      <c r="A602">
        <f ca="1">30180.3532525339*((RANDBETWEEN(1620,2416)))</f>
        <v>61749002.754684277</v>
      </c>
      <c r="B602">
        <v>175067845.49660239</v>
      </c>
    </row>
    <row r="603" spans="1:2" x14ac:dyDescent="0.25">
      <c r="A603">
        <f ca="1">30731.5530941942*((RANDBETWEEN(1620,2416)))</f>
        <v>53165586.852955885</v>
      </c>
      <c r="B603">
        <v>192036093.41528684</v>
      </c>
    </row>
    <row r="604" spans="1:2" x14ac:dyDescent="0.25">
      <c r="A604">
        <f ca="1">33676.1161112387*((RANDBETWEEN(1620,2416)))</f>
        <v>56239113.90576864</v>
      </c>
      <c r="B604">
        <v>144104915.24904442</v>
      </c>
    </row>
    <row r="605" spans="1:2" x14ac:dyDescent="0.25">
      <c r="A605">
        <f ca="1">33314.0851392895*((RANDBETWEEN(1620,2416)))</f>
        <v>73790698.583526224</v>
      </c>
      <c r="B605">
        <v>169250141.50955594</v>
      </c>
    </row>
    <row r="606" spans="1:2" x14ac:dyDescent="0.25">
      <c r="A606">
        <f ca="1">30399.791067569*((RANDBETWEEN(1620,2416)))</f>
        <v>53534032.069988996</v>
      </c>
      <c r="B606">
        <v>151590323.61908913</v>
      </c>
    </row>
    <row r="607" spans="1:2" x14ac:dyDescent="0.25">
      <c r="A607">
        <f ca="1">31016.2826219459*((RANDBETWEEN(1620,2416)))</f>
        <v>64979112.092976637</v>
      </c>
      <c r="B607">
        <v>194426904.91558635</v>
      </c>
    </row>
    <row r="608" spans="1:2" x14ac:dyDescent="0.25">
      <c r="A608">
        <f ca="1">32151.4566018366*((RANDBETWEEN(1620,2416)))</f>
        <v>56650866.53243611</v>
      </c>
      <c r="B608">
        <v>196977019.2855837</v>
      </c>
    </row>
    <row r="609" spans="1:2" x14ac:dyDescent="0.25">
      <c r="A609">
        <f ca="1">30601.0628747774*((RANDBETWEEN(1620,2416)))</f>
        <v>55234918.488973275</v>
      </c>
      <c r="B609">
        <v>144615964.39593619</v>
      </c>
    </row>
    <row r="610" spans="1:2" x14ac:dyDescent="0.25">
      <c r="A610">
        <f ca="1">33314.7284121826*((RANDBETWEEN(1620,2416)))</f>
        <v>73958697.075045452</v>
      </c>
      <c r="B610">
        <v>180721388.47471565</v>
      </c>
    </row>
    <row r="611" spans="1:2" x14ac:dyDescent="0.25">
      <c r="A611">
        <f ca="1">31222.3171921894*((RANDBETWEEN(1620,2416)))</f>
        <v>71311772.466960594</v>
      </c>
      <c r="B611">
        <v>160904003.66677904</v>
      </c>
    </row>
    <row r="612" spans="1:2" x14ac:dyDescent="0.25">
      <c r="A612">
        <f ca="1">40511.7561361061*((RANDBETWEEN(1620,2416)))</f>
        <v>75027772.364068434</v>
      </c>
      <c r="B612">
        <v>158067828.05286667</v>
      </c>
    </row>
    <row r="613" spans="1:2" x14ac:dyDescent="0.25">
      <c r="A613">
        <f ca="1">31972.218611858*((RANDBETWEEN(1620,2416)))</f>
        <v>68836186.671330467</v>
      </c>
      <c r="B613">
        <v>144349779.50649601</v>
      </c>
    </row>
    <row r="614" spans="1:2" x14ac:dyDescent="0.25">
      <c r="A614">
        <f ca="1">39498.6063370483*((RANDBETWEEN(1620,2416)))</f>
        <v>78523229.398052081</v>
      </c>
      <c r="B614">
        <v>195329769.6144799</v>
      </c>
    </row>
    <row r="615" spans="1:2" x14ac:dyDescent="0.25">
      <c r="A615">
        <f ca="1">30657.2466039946*((RANDBETWEEN(1620,2416)))</f>
        <v>65637164.979152426</v>
      </c>
      <c r="B615">
        <v>165172164.78474337</v>
      </c>
    </row>
    <row r="616" spans="1:2" x14ac:dyDescent="0.25">
      <c r="A616">
        <f ca="1">38095.488495125*((RANDBETWEEN(1620,2416)))</f>
        <v>86171994.975972831</v>
      </c>
      <c r="B616">
        <v>163547332.70554116</v>
      </c>
    </row>
    <row r="617" spans="1:2" x14ac:dyDescent="0.25">
      <c r="A617">
        <f ca="1">32187.8374468061*((RANDBETWEEN(1620,2416)))</f>
        <v>70587927.520845726</v>
      </c>
      <c r="B617">
        <v>143706197.11895829</v>
      </c>
    </row>
    <row r="618" spans="1:2" x14ac:dyDescent="0.25">
      <c r="A618">
        <f ca="1">30323.0800458209*((RANDBETWEEN(1620,2416)))</f>
        <v>72077961.268916398</v>
      </c>
      <c r="B618">
        <v>167703607.00738022</v>
      </c>
    </row>
    <row r="619" spans="1:2" x14ac:dyDescent="0.25">
      <c r="A619">
        <f ca="1">37327.2761366369*((RANDBETWEEN(1620,2416)))</f>
        <v>65882642.381164193</v>
      </c>
      <c r="B619">
        <v>171534288.51608694</v>
      </c>
    </row>
    <row r="620" spans="1:2" x14ac:dyDescent="0.25">
      <c r="A620">
        <f ca="1">30934.3770391717*((RANDBETWEEN(1620,2416)))</f>
        <v>50268362.688653938</v>
      </c>
      <c r="B620">
        <v>180887942.68062085</v>
      </c>
    </row>
    <row r="621" spans="1:2" x14ac:dyDescent="0.25">
      <c r="A621">
        <f ca="1">29099.3537810187*((RANDBETWEEN(1620,2416)))</f>
        <v>47548344.078184605</v>
      </c>
      <c r="B621">
        <v>175744761.36077192</v>
      </c>
    </row>
    <row r="622" spans="1:2" x14ac:dyDescent="0.25">
      <c r="A622">
        <f ca="1">41653.2755497471*((RANDBETWEEN(1620,2416)))</f>
        <v>72684965.834308743</v>
      </c>
      <c r="B622">
        <v>197079757.02136788</v>
      </c>
    </row>
    <row r="623" spans="1:2" x14ac:dyDescent="0.25">
      <c r="A623">
        <f ca="1">30279.9078937924*((RANDBETWEEN(1620,2416)))</f>
        <v>52475080.379942298</v>
      </c>
      <c r="B623">
        <v>155273814.83934459</v>
      </c>
    </row>
    <row r="624" spans="1:2" x14ac:dyDescent="0.25">
      <c r="A624">
        <f ca="1">27684.7941083883*((RANDBETWEEN(1620,2416)))</f>
        <v>64810103.007737055</v>
      </c>
      <c r="B624">
        <v>152638716.83322731</v>
      </c>
    </row>
    <row r="625" spans="1:2" x14ac:dyDescent="0.25">
      <c r="A625">
        <f ca="1">39913.2563486119*((RANDBETWEEN(1620,2416)))</f>
        <v>94275111.495421261</v>
      </c>
      <c r="B625">
        <v>186652450.33740515</v>
      </c>
    </row>
    <row r="626" spans="1:2" x14ac:dyDescent="0.25">
      <c r="A626">
        <f ca="1">34120.7949851214*((RANDBETWEEN(1620,2416)))</f>
        <v>58244197.039602257</v>
      </c>
      <c r="B626">
        <v>176841933.5232957</v>
      </c>
    </row>
    <row r="627" spans="1:2" x14ac:dyDescent="0.25">
      <c r="A627">
        <f ca="1">38202.5367062957*((RANDBETWEEN(1620,2416)))</f>
        <v>70712895.44335334</v>
      </c>
      <c r="B627">
        <v>183614070.19135937</v>
      </c>
    </row>
    <row r="628" spans="1:2" x14ac:dyDescent="0.25">
      <c r="A628">
        <f ca="1">31137.7701612034*((RANDBETWEEN(1620,2416)))</f>
        <v>50879116.443406291</v>
      </c>
      <c r="B628">
        <v>145593174.06402856</v>
      </c>
    </row>
    <row r="629" spans="1:2" x14ac:dyDescent="0.25">
      <c r="A629">
        <f ca="1">39672.3595410732*((RANDBETWEEN(1620,2416)))</f>
        <v>85454262.451471597</v>
      </c>
      <c r="B629">
        <v>150717771.10776615</v>
      </c>
    </row>
    <row r="630" spans="1:2" x14ac:dyDescent="0.25">
      <c r="A630">
        <f ca="1">39765.13122586*((RANDBETWEEN(1620,2416)))</f>
        <v>80524390.732366413</v>
      </c>
      <c r="B630">
        <v>165508207.67511699</v>
      </c>
    </row>
    <row r="631" spans="1:2" x14ac:dyDescent="0.25">
      <c r="A631">
        <f ca="1">31445.9307692978*((RANDBETWEEN(1620,2416)))</f>
        <v>63520780.153981604</v>
      </c>
      <c r="B631">
        <v>146148062.2127865</v>
      </c>
    </row>
    <row r="632" spans="1:2" x14ac:dyDescent="0.25">
      <c r="A632">
        <f ca="1">37680.8098013151*((RANDBETWEEN(1620,2416)))</f>
        <v>68352988.979585573</v>
      </c>
      <c r="B632">
        <v>144285335.58383849</v>
      </c>
    </row>
    <row r="633" spans="1:2" x14ac:dyDescent="0.25">
      <c r="A633">
        <f ca="1">32193.776276034*((RANDBETWEEN(1620,2416)))</f>
        <v>59107773.242798388</v>
      </c>
      <c r="B633">
        <v>170110225.17210722</v>
      </c>
    </row>
    <row r="634" spans="1:2" x14ac:dyDescent="0.25">
      <c r="A634">
        <f ca="1">33884.2552724295*((RANDBETWEEN(1620,2416)))</f>
        <v>69123880.755756274</v>
      </c>
      <c r="B634">
        <v>159198763.23185614</v>
      </c>
    </row>
    <row r="635" spans="1:2" x14ac:dyDescent="0.25">
      <c r="A635">
        <f ca="1">32754.3228906908*((RANDBETWEEN(1620,2416)))</f>
        <v>56435698.340660192</v>
      </c>
      <c r="B635">
        <v>164146252.42228875</v>
      </c>
    </row>
    <row r="636" spans="1:2" x14ac:dyDescent="0.25">
      <c r="A636">
        <f ca="1">32039.3702905021*((RANDBETWEEN(1620,2416)))</f>
        <v>71864307.56159614</v>
      </c>
      <c r="B636">
        <v>166086355.9208827</v>
      </c>
    </row>
    <row r="637" spans="1:2" x14ac:dyDescent="0.25">
      <c r="A637">
        <f ca="1">29824.2517624926*((RANDBETWEEN(1620,2416)))</f>
        <v>68476482.046682909</v>
      </c>
      <c r="B637">
        <v>187863573.4104808</v>
      </c>
    </row>
    <row r="638" spans="1:2" x14ac:dyDescent="0.25">
      <c r="A638">
        <f ca="1">31130.3870100388*((RANDBETWEEN(1620,2416)))</f>
        <v>51178356.244503818</v>
      </c>
      <c r="B638">
        <v>152369794.86667168</v>
      </c>
    </row>
    <row r="639" spans="1:2" x14ac:dyDescent="0.25">
      <c r="A639">
        <f ca="1">31794.7825803005*((RANDBETWEEN(1620,2416)))</f>
        <v>64320845.159947887</v>
      </c>
      <c r="B639">
        <v>152425866.31607509</v>
      </c>
    </row>
    <row r="640" spans="1:2" x14ac:dyDescent="0.25">
      <c r="A640">
        <f ca="1">32009.2795303911*((RANDBETWEEN(1620,2416)))</f>
        <v>70900554.159816235</v>
      </c>
      <c r="B640">
        <v>145802377.88508785</v>
      </c>
    </row>
    <row r="641" spans="1:2" x14ac:dyDescent="0.25">
      <c r="A641">
        <f ca="1">31914.462511101*((RANDBETWEEN(1620,2416)))</f>
        <v>65520391.535290271</v>
      </c>
      <c r="B641">
        <v>179229209.696275</v>
      </c>
    </row>
    <row r="642" spans="1:2" x14ac:dyDescent="0.25">
      <c r="A642">
        <f ca="1">31503.6940817371*((RANDBETWEEN(1620,2416)))</f>
        <v>64708587.643888019</v>
      </c>
      <c r="B642">
        <v>147317457.914875</v>
      </c>
    </row>
    <row r="643" spans="1:2" x14ac:dyDescent="0.25">
      <c r="A643">
        <f ca="1">30059.3594549652*((RANDBETWEEN(1620,2416)))</f>
        <v>55249102.678225957</v>
      </c>
      <c r="B643">
        <v>152582026.20103359</v>
      </c>
    </row>
    <row r="644" spans="1:2" x14ac:dyDescent="0.25">
      <c r="A644">
        <f ca="1">35156.9386863218*((RANDBETWEEN(1620,2416)))</f>
        <v>75481947.359532952</v>
      </c>
      <c r="B644">
        <v>163086880.09116685</v>
      </c>
    </row>
    <row r="645" spans="1:2" x14ac:dyDescent="0.25">
      <c r="A645">
        <f ca="1">31420.318222101*((RANDBETWEEN(1620,2416)))</f>
        <v>57813385.528665878</v>
      </c>
      <c r="B645">
        <v>180369080.96090567</v>
      </c>
    </row>
    <row r="646" spans="1:2" x14ac:dyDescent="0.25">
      <c r="A646">
        <f ca="1">31644.1004337407*((RANDBETWEEN(1620,2416)))</f>
        <v>56927736.680299453</v>
      </c>
      <c r="B646">
        <v>156122633.97442994</v>
      </c>
    </row>
    <row r="647" spans="1:2" x14ac:dyDescent="0.25">
      <c r="A647">
        <f ca="1">37603.525626907*((RANDBETWEEN(1620,2416)))</f>
        <v>62910698.37381535</v>
      </c>
      <c r="B647">
        <v>160519666.04172397</v>
      </c>
    </row>
    <row r="648" spans="1:2" x14ac:dyDescent="0.25">
      <c r="A648">
        <f ca="1">33238.5502829135*((RANDBETWEEN(1620,2416)))</f>
        <v>58865472.551039837</v>
      </c>
      <c r="B648">
        <v>152766405.92189315</v>
      </c>
    </row>
    <row r="649" spans="1:2" x14ac:dyDescent="0.25">
      <c r="A649">
        <f ca="1">31352.8997968278*((RANDBETWEEN(1620,2416)))</f>
        <v>70544024.542862549</v>
      </c>
      <c r="B649">
        <v>194625992.56144959</v>
      </c>
    </row>
    <row r="650" spans="1:2" x14ac:dyDescent="0.25">
      <c r="A650">
        <f ca="1">34349.5801473593*((RANDBETWEEN(1620,2416)))</f>
        <v>59733919.87625774</v>
      </c>
      <c r="B650">
        <v>196948111.4346936</v>
      </c>
    </row>
    <row r="651" spans="1:2" x14ac:dyDescent="0.25">
      <c r="A651">
        <f ca="1">32930.9663531457*((RANDBETWEEN(1620,2416)))</f>
        <v>72184678.246095419</v>
      </c>
      <c r="B651">
        <v>147843329.71152878</v>
      </c>
    </row>
    <row r="652" spans="1:2" x14ac:dyDescent="0.25">
      <c r="A652">
        <f ca="1">37095.0840604301*((RANDBETWEEN(1620,2416)))</f>
        <v>66400200.468169965</v>
      </c>
      <c r="B652">
        <v>182629630.76986945</v>
      </c>
    </row>
    <row r="653" spans="1:2" x14ac:dyDescent="0.25">
      <c r="A653">
        <f ca="1">31788.7802383529*((RANDBETWEEN(1620,2416)))</f>
        <v>75402986.725373119</v>
      </c>
      <c r="B653">
        <v>189218119.53787461</v>
      </c>
    </row>
    <row r="654" spans="1:2" x14ac:dyDescent="0.25">
      <c r="A654">
        <f ca="1">33020.4054681011*((RANDBETWEEN(1620,2416)))</f>
        <v>70927830.945481241</v>
      </c>
      <c r="B654">
        <v>160675361.02613068</v>
      </c>
    </row>
    <row r="655" spans="1:2" x14ac:dyDescent="0.25">
      <c r="A655">
        <f ca="1">33550.7893696343*((RANDBETWEEN(1620,2416)))</f>
        <v>68779118.207750261</v>
      </c>
      <c r="B655">
        <v>155739457.22141197</v>
      </c>
    </row>
    <row r="656" spans="1:2" x14ac:dyDescent="0.25">
      <c r="A656">
        <f ca="1">29888.7755406771*((RANDBETWEEN(1620,2416)))</f>
        <v>68983293.947882667</v>
      </c>
      <c r="B656">
        <v>200889081.12275094</v>
      </c>
    </row>
    <row r="657" spans="1:2" x14ac:dyDescent="0.25">
      <c r="A657">
        <f ca="1">40831.0759816318*((RANDBETWEEN(1620,2416)))</f>
        <v>91706596.654745191</v>
      </c>
      <c r="B657">
        <v>162267570.25438023</v>
      </c>
    </row>
    <row r="658" spans="1:2" x14ac:dyDescent="0.25">
      <c r="A658">
        <f ca="1">33141.7628167447*((RANDBETWEEN(1620,2416)))</f>
        <v>56606130.890999869</v>
      </c>
      <c r="B658">
        <v>149632496.55853486</v>
      </c>
    </row>
    <row r="659" spans="1:2" x14ac:dyDescent="0.25">
      <c r="A659">
        <f ca="1">32348.8776772157*((RANDBETWEEN(1620,2416)))</f>
        <v>75308187.232558176</v>
      </c>
      <c r="B659">
        <v>197059914.83292454</v>
      </c>
    </row>
    <row r="660" spans="1:2" x14ac:dyDescent="0.25">
      <c r="A660">
        <f ca="1">38197.2890140034*((RANDBETWEEN(1620,2416)))</f>
        <v>68640528.358164072</v>
      </c>
      <c r="B660">
        <v>196444141.21077681</v>
      </c>
    </row>
    <row r="661" spans="1:2" x14ac:dyDescent="0.25">
      <c r="A661">
        <f ca="1">34853.70247174*((RANDBETWEEN(1620,2416)))</f>
        <v>75353704.743901893</v>
      </c>
      <c r="B661">
        <v>164826588.38786754</v>
      </c>
    </row>
    <row r="662" spans="1:2" x14ac:dyDescent="0.25">
      <c r="A662">
        <f ca="1">32275.2190819987*((RANDBETWEEN(1620,2416)))</f>
        <v>69843574.093445167</v>
      </c>
      <c r="B662">
        <v>147738123.57988936</v>
      </c>
    </row>
    <row r="663" spans="1:2" x14ac:dyDescent="0.25">
      <c r="A663">
        <f ca="1">33060.1559330978*((RANDBETWEEN(1620,2416)))</f>
        <v>79377434.395367727</v>
      </c>
      <c r="B663">
        <v>160243759.1871292</v>
      </c>
    </row>
    <row r="664" spans="1:2" x14ac:dyDescent="0.25">
      <c r="A664">
        <f ca="1">31548.6533952099*((RANDBETWEEN(1620,2416)))</f>
        <v>75906060.068874896</v>
      </c>
      <c r="B664">
        <v>144028347.56679943</v>
      </c>
    </row>
    <row r="665" spans="1:2" x14ac:dyDescent="0.25">
      <c r="A665">
        <f ca="1">38766.261018828*((RANDBETWEEN(1620,2416)))</f>
        <v>82339538.403990582</v>
      </c>
      <c r="B665">
        <v>158204422.5359377</v>
      </c>
    </row>
    <row r="666" spans="1:2" x14ac:dyDescent="0.25">
      <c r="A666">
        <f ca="1">36115.1949752958*((RANDBETWEEN(1620,2416)))</f>
        <v>72699887.485270515</v>
      </c>
      <c r="B666">
        <v>149381006.25300983</v>
      </c>
    </row>
    <row r="667" spans="1:2" x14ac:dyDescent="0.25">
      <c r="A667">
        <f ca="1">31956.2789833678*((RANDBETWEEN(1620,2416)))</f>
        <v>73115966.313945457</v>
      </c>
      <c r="B667">
        <v>177975538.71759918</v>
      </c>
    </row>
    <row r="668" spans="1:2" x14ac:dyDescent="0.25">
      <c r="A668">
        <f ca="1">32393.7634853161*((RANDBETWEEN(1620,2416)))</f>
        <v>69452228.912517816</v>
      </c>
      <c r="B668">
        <v>165924013.93469286</v>
      </c>
    </row>
    <row r="669" spans="1:2" x14ac:dyDescent="0.25">
      <c r="A669">
        <f ca="1">33056.6033777922*((RANDBETWEEN(1620,2416)))</f>
        <v>74807093.443943679</v>
      </c>
      <c r="B669">
        <v>147916456.22625279</v>
      </c>
    </row>
    <row r="670" spans="1:2" x14ac:dyDescent="0.25">
      <c r="A670">
        <f ca="1">35166.5376287491*((RANDBETWEEN(1620,2416)))</f>
        <v>60134779.345160902</v>
      </c>
      <c r="B670">
        <v>190789123.72840828</v>
      </c>
    </row>
    <row r="671" spans="1:2" x14ac:dyDescent="0.25">
      <c r="A671">
        <f ca="1">29160.1280627713*((RANDBETWEEN(1620,2416)))</f>
        <v>66310131.214742027</v>
      </c>
      <c r="B671">
        <v>172665645.13887674</v>
      </c>
    </row>
    <row r="672" spans="1:2" x14ac:dyDescent="0.25">
      <c r="A672">
        <f ca="1">39190.6920462882*((RANDBETWEEN(1620,2416)))</f>
        <v>73678501.047021776</v>
      </c>
      <c r="B672">
        <v>162068611.40183711</v>
      </c>
    </row>
    <row r="673" spans="1:2" x14ac:dyDescent="0.25">
      <c r="A673">
        <f ca="1">31198.5165468104*((RANDBETWEEN(1620,2416)))</f>
        <v>73534903.50083214</v>
      </c>
      <c r="B673">
        <v>150623901.30112079</v>
      </c>
    </row>
    <row r="674" spans="1:2" x14ac:dyDescent="0.25">
      <c r="A674">
        <f ca="1">31895.7909259272*((RANDBETWEEN(1620,2416)))</f>
        <v>69787990.545928761</v>
      </c>
      <c r="B674">
        <v>148635068.99088329</v>
      </c>
    </row>
    <row r="675" spans="1:2" x14ac:dyDescent="0.25">
      <c r="A675">
        <f ca="1">32598.3794918979*((RANDBETWEEN(1620,2416)))</f>
        <v>63306052.973265678</v>
      </c>
      <c r="B675">
        <v>145344480.03438649</v>
      </c>
    </row>
    <row r="676" spans="1:2" x14ac:dyDescent="0.25">
      <c r="A676">
        <f ca="1">29232.3971709631*((RANDBETWEEN(1620,2416)))</f>
        <v>68842295.337618038</v>
      </c>
      <c r="B676">
        <v>183446212.81341591</v>
      </c>
    </row>
    <row r="677" spans="1:2" x14ac:dyDescent="0.25">
      <c r="A677">
        <f ca="1">32521.1894289753*((RANDBETWEEN(1620,2416)))</f>
        <v>66375747.624538504</v>
      </c>
      <c r="B677">
        <v>146300487.50650224</v>
      </c>
    </row>
    <row r="678" spans="1:2" x14ac:dyDescent="0.25">
      <c r="A678">
        <f ca="1">32550.165641768*((RANDBETWEEN(1620,2416)))</f>
        <v>55856084.24127385</v>
      </c>
      <c r="B678">
        <v>147625009.68555066</v>
      </c>
    </row>
    <row r="679" spans="1:2" x14ac:dyDescent="0.25">
      <c r="A679">
        <f ca="1">33770.3232586838*((RANDBETWEEN(1620,2416)))</f>
        <v>59469539.25854221</v>
      </c>
      <c r="B679">
        <v>183565674.21878719</v>
      </c>
    </row>
    <row r="680" spans="1:2" x14ac:dyDescent="0.25">
      <c r="A680">
        <f ca="1">31875.0389096558*((RANDBETWEEN(1620,2416)))</f>
        <v>74555716.009684891</v>
      </c>
      <c r="B680">
        <v>161102460.84555623</v>
      </c>
    </row>
    <row r="681" spans="1:2" x14ac:dyDescent="0.25">
      <c r="A681">
        <f ca="1">28717.6318189187*((RANDBETWEEN(1620,2416)))</f>
        <v>61254708.669753551</v>
      </c>
      <c r="B681">
        <v>178973327.52977535</v>
      </c>
    </row>
    <row r="682" spans="1:2" x14ac:dyDescent="0.25">
      <c r="A682">
        <f ca="1">31060.6455186593*((RANDBETWEEN(1620,2416)))</f>
        <v>58456134.866116859</v>
      </c>
      <c r="B682">
        <v>167148411.49102437</v>
      </c>
    </row>
    <row r="683" spans="1:2" x14ac:dyDescent="0.25">
      <c r="A683">
        <f ca="1">29143.8725610027*((RANDBETWEEN(1620,2416)))</f>
        <v>67817791.449453235</v>
      </c>
      <c r="B683">
        <v>160213823.70852694</v>
      </c>
    </row>
    <row r="684" spans="1:2" x14ac:dyDescent="0.25">
      <c r="A684">
        <f ca="1">31054.4184936348*((RANDBETWEEN(1620,2416)))</f>
        <v>54096797.015911847</v>
      </c>
      <c r="B684">
        <v>154562096.90177852</v>
      </c>
    </row>
    <row r="685" spans="1:2" x14ac:dyDescent="0.25">
      <c r="A685">
        <f ca="1">33600.3808059267*((RANDBETWEEN(1620,2416)))</f>
        <v>62395907.156605884</v>
      </c>
      <c r="B685">
        <v>167553009.94628942</v>
      </c>
    </row>
    <row r="686" spans="1:2" x14ac:dyDescent="0.25">
      <c r="A686">
        <f ca="1">41166.0199690938*((RANDBETWEEN(1620,2416)))</f>
        <v>88506942.933551729</v>
      </c>
      <c r="B686">
        <v>159558048.52338493</v>
      </c>
    </row>
    <row r="687" spans="1:2" x14ac:dyDescent="0.25">
      <c r="A687">
        <f ca="1">30194.4690945869*((RANDBETWEEN(1620,2416)))</f>
        <v>59785048.807282045</v>
      </c>
      <c r="B687">
        <v>188555388.96160236</v>
      </c>
    </row>
    <row r="688" spans="1:2" x14ac:dyDescent="0.25">
      <c r="A688">
        <f ca="1">32607.336232616*((RANDBETWEEN(1620,2416)))</f>
        <v>70627490.279846311</v>
      </c>
      <c r="B688">
        <v>143737615.53243333</v>
      </c>
    </row>
    <row r="689" spans="1:2" x14ac:dyDescent="0.25">
      <c r="A689">
        <f ca="1">40074.5947353927*((RANDBETWEEN(1620,2416)))</f>
        <v>96259176.554413334</v>
      </c>
      <c r="B689">
        <v>172875413.27119961</v>
      </c>
    </row>
    <row r="690" spans="1:2" x14ac:dyDescent="0.25">
      <c r="A690">
        <f ca="1">33237.7253877815*((RANDBETWEEN(1620,2416)))</f>
        <v>76612957.018836468</v>
      </c>
      <c r="B690">
        <v>169219537.96537066</v>
      </c>
    </row>
    <row r="691" spans="1:2" x14ac:dyDescent="0.25">
      <c r="A691">
        <f ca="1">29149.5547789362*((RANDBETWEEN(1620,2416)))</f>
        <v>50545327.986675419</v>
      </c>
      <c r="B691">
        <v>176203029.31651366</v>
      </c>
    </row>
    <row r="692" spans="1:2" x14ac:dyDescent="0.25">
      <c r="A692">
        <f ca="1">34438.8523907115*((RANDBETWEEN(1620,2416)))</f>
        <v>65778208.066259034</v>
      </c>
      <c r="B692">
        <v>146106814.02316362</v>
      </c>
    </row>
    <row r="693" spans="1:2" x14ac:dyDescent="0.25">
      <c r="A693">
        <f ca="1">32516.7379059356*((RANDBETWEEN(1620,2416)))</f>
        <v>56123889.625644907</v>
      </c>
      <c r="B693">
        <v>183704995.45698038</v>
      </c>
    </row>
    <row r="694" spans="1:2" x14ac:dyDescent="0.25">
      <c r="A694">
        <f ca="1">34291.8790060775*((RANDBETWEEN(1620,2416)))</f>
        <v>77396770.916716859</v>
      </c>
      <c r="B694">
        <v>183480770.39332211</v>
      </c>
    </row>
    <row r="695" spans="1:2" x14ac:dyDescent="0.25">
      <c r="A695">
        <f ca="1">30120.1626641461*((RANDBETWEEN(1620,2416)))</f>
        <v>63161981.106714346</v>
      </c>
      <c r="B695">
        <v>181425142.50169253</v>
      </c>
    </row>
    <row r="696" spans="1:2" x14ac:dyDescent="0.25">
      <c r="A696">
        <f ca="1">34222.1946930392*((RANDBETWEEN(1620,2416)))</f>
        <v>77205271.227496415</v>
      </c>
      <c r="B696">
        <v>144069785.56566864</v>
      </c>
    </row>
    <row r="697" spans="1:2" x14ac:dyDescent="0.25">
      <c r="A697">
        <f ca="1">34211.4982545329*((RANDBETWEEN(1620,2416)))</f>
        <v>55901588.14790681</v>
      </c>
      <c r="B697">
        <v>175016539.39189768</v>
      </c>
    </row>
    <row r="698" spans="1:2" x14ac:dyDescent="0.25">
      <c r="A698">
        <f ca="1">31658.7285573114*((RANDBETWEEN(1620,2416)))</f>
        <v>73479908.981519714</v>
      </c>
      <c r="B698">
        <v>195539515.40274945</v>
      </c>
    </row>
    <row r="699" spans="1:2" x14ac:dyDescent="0.25">
      <c r="A699">
        <f ca="1">29698.7927670432*((RANDBETWEEN(1620,2416)))</f>
        <v>49775176.677564442</v>
      </c>
      <c r="B699">
        <v>148576243.68624848</v>
      </c>
    </row>
    <row r="700" spans="1:2" x14ac:dyDescent="0.25">
      <c r="A700">
        <f ca="1">31471.984255693*((RANDBETWEEN(1620,2416)))</f>
        <v>74557130.701736808</v>
      </c>
      <c r="B700">
        <v>175202251.48612773</v>
      </c>
    </row>
    <row r="701" spans="1:2" x14ac:dyDescent="0.25">
      <c r="A701">
        <f ca="1">34580.8611640009*((RANDBETWEEN(1620,2416)))</f>
        <v>64112916.598057635</v>
      </c>
      <c r="B701">
        <v>163679778.19809771</v>
      </c>
    </row>
    <row r="702" spans="1:2" x14ac:dyDescent="0.25">
      <c r="A702">
        <f ca="1">35782.7180679962*((RANDBETWEEN(1620,2416)))</f>
        <v>63335410.980353259</v>
      </c>
      <c r="B702">
        <v>171357773.78768477</v>
      </c>
    </row>
    <row r="703" spans="1:2" x14ac:dyDescent="0.25">
      <c r="A703">
        <f ca="1">28625.0185527748*((RANDBETWEEN(1620,2416)))</f>
        <v>54874160.565669365</v>
      </c>
      <c r="B703">
        <v>172560632.06553149</v>
      </c>
    </row>
    <row r="704" spans="1:2" x14ac:dyDescent="0.25">
      <c r="A704">
        <f ca="1">40972.7449262903*((RANDBETWEEN(1620,2416)))</f>
        <v>75553741.644079298</v>
      </c>
      <c r="B704">
        <v>156715207.90562502</v>
      </c>
    </row>
    <row r="705" spans="1:2" x14ac:dyDescent="0.25">
      <c r="A705">
        <f ca="1">31746.1912485145*((RANDBETWEEN(1620,2416)))</f>
        <v>76571813.291416943</v>
      </c>
      <c r="B705">
        <v>151566831.6277912</v>
      </c>
    </row>
    <row r="706" spans="1:2" x14ac:dyDescent="0.25">
      <c r="A706">
        <f ca="1">31849.9633517638*((RANDBETWEEN(1620,2416)))</f>
        <v>74019314.82949914</v>
      </c>
      <c r="B706">
        <v>168648585.40001544</v>
      </c>
    </row>
    <row r="707" spans="1:2" x14ac:dyDescent="0.25">
      <c r="A707">
        <f ca="1">31657.8921555535*((RANDBETWEEN(1620,2416)))</f>
        <v>66829810.340373412</v>
      </c>
      <c r="B707">
        <v>157749945.80907741</v>
      </c>
    </row>
    <row r="708" spans="1:2" x14ac:dyDescent="0.25">
      <c r="A708">
        <f ca="1">32572.6825329964*((RANDBETWEEN(1620,2416)))</f>
        <v>69510104.525414407</v>
      </c>
      <c r="B708">
        <v>144301680.71818507</v>
      </c>
    </row>
    <row r="709" spans="1:2" x14ac:dyDescent="0.25">
      <c r="A709">
        <f ca="1">33573.3650292412*((RANDBETWEEN(1620,2416)))</f>
        <v>78024500.327956483</v>
      </c>
      <c r="B709">
        <v>194125872.81737256</v>
      </c>
    </row>
    <row r="710" spans="1:2" x14ac:dyDescent="0.25">
      <c r="A710">
        <f ca="1">38158.8459541616*((RANDBETWEEN(1620,2416)))</f>
        <v>66167438.884516209</v>
      </c>
      <c r="B710">
        <v>196727162.71308815</v>
      </c>
    </row>
    <row r="711" spans="1:2" x14ac:dyDescent="0.25">
      <c r="A711">
        <f ca="1">33152.8339202285*((RANDBETWEEN(1620,2416)))</f>
        <v>72604706.285300523</v>
      </c>
      <c r="B711">
        <v>167097077.84056944</v>
      </c>
    </row>
    <row r="712" spans="1:2" x14ac:dyDescent="0.25">
      <c r="A712">
        <f ca="1">33402.2428989155*((RANDBETWEEN(1620,2416)))</f>
        <v>59155372.173979312</v>
      </c>
      <c r="B712">
        <v>191480586.55855495</v>
      </c>
    </row>
    <row r="713" spans="1:2" x14ac:dyDescent="0.25">
      <c r="A713">
        <f ca="1">37421.6038418648*((RANDBETWEEN(1620,2416)))</f>
        <v>88277563.462959036</v>
      </c>
      <c r="B713">
        <v>197684231.63500774</v>
      </c>
    </row>
    <row r="714" spans="1:2" x14ac:dyDescent="0.25">
      <c r="A714">
        <f ca="1">37871.0847645103*((RANDBETWEEN(1620,2416)))</f>
        <v>91117829.943411723</v>
      </c>
      <c r="B714">
        <v>169503501.73618129</v>
      </c>
    </row>
    <row r="715" spans="1:2" x14ac:dyDescent="0.25">
      <c r="A715">
        <f ca="1">39068.0766987339*((RANDBETWEEN(1620,2416)))</f>
        <v>67744044.9956045</v>
      </c>
      <c r="B715">
        <v>166330581.29983595</v>
      </c>
    </row>
    <row r="716" spans="1:2" x14ac:dyDescent="0.25">
      <c r="A716">
        <f ca="1">33744.8040291641*((RANDBETWEEN(1620,2416)))</f>
        <v>72281370.23046957</v>
      </c>
      <c r="B716">
        <v>154540227.14006257</v>
      </c>
    </row>
    <row r="717" spans="1:2" x14ac:dyDescent="0.25">
      <c r="A717">
        <f ca="1">35755.8515323616*((RANDBETWEEN(1620,2416)))</f>
        <v>61643088.041791409</v>
      </c>
      <c r="B717">
        <v>167639619.30493981</v>
      </c>
    </row>
    <row r="718" spans="1:2" x14ac:dyDescent="0.25">
      <c r="A718">
        <f ca="1">27771.5290116452*((RANDBETWEEN(1620,2416)))</f>
        <v>62013824.283003651</v>
      </c>
      <c r="B718">
        <v>169195087.28483525</v>
      </c>
    </row>
    <row r="719" spans="1:2" x14ac:dyDescent="0.25">
      <c r="A719">
        <f ca="1">32197.5344496527*((RANDBETWEEN(1620,2416)))</f>
        <v>66616698.776331499</v>
      </c>
      <c r="B719">
        <v>163028307.01434276</v>
      </c>
    </row>
    <row r="720" spans="1:2" x14ac:dyDescent="0.25">
      <c r="A720">
        <f ca="1">39868.5106946367*((RANDBETWEEN(1620,2416)))</f>
        <v>69570551.162141025</v>
      </c>
      <c r="B720">
        <v>163624758.1809459</v>
      </c>
    </row>
    <row r="721" spans="1:2" x14ac:dyDescent="0.25">
      <c r="A721">
        <f ca="1">31818.448864594*((RANDBETWEEN(1620,2416)))</f>
        <v>74327896.547691688</v>
      </c>
      <c r="B721">
        <v>190485229.83812848</v>
      </c>
    </row>
    <row r="722" spans="1:2" x14ac:dyDescent="0.25">
      <c r="A722">
        <f ca="1">31109.2824167213*((RANDBETWEEN(1620,2416)))</f>
        <v>59667603.675271489</v>
      </c>
      <c r="B722">
        <v>153031159.00452837</v>
      </c>
    </row>
    <row r="723" spans="1:2" x14ac:dyDescent="0.25">
      <c r="A723">
        <f ca="1">33958.6649731882*((RANDBETWEEN(1620,2416)))</f>
        <v>74946773.595826462</v>
      </c>
      <c r="B723">
        <v>150198404.94393679</v>
      </c>
    </row>
    <row r="724" spans="1:2" x14ac:dyDescent="0.25">
      <c r="A724">
        <f ca="1">34693.0738551086*((RANDBETWEEN(1620,2416)))</f>
        <v>57208878.787074015</v>
      </c>
      <c r="B724">
        <v>191829065.76357096</v>
      </c>
    </row>
    <row r="725" spans="1:2" x14ac:dyDescent="0.25">
      <c r="A725">
        <f ca="1">32845.5550330597*((RANDBETWEEN(1620,2416)))</f>
        <v>63227693.438639887</v>
      </c>
      <c r="B725">
        <v>149484498.56295604</v>
      </c>
    </row>
    <row r="726" spans="1:2" x14ac:dyDescent="0.25">
      <c r="A726">
        <f ca="1">29561.2408541698*((RANDBETWEEN(1620,2416)))</f>
        <v>58531256.891256288</v>
      </c>
      <c r="B726">
        <v>157715585.68508017</v>
      </c>
    </row>
    <row r="727" spans="1:2" x14ac:dyDescent="0.25">
      <c r="A727">
        <f ca="1">32212.329076473*((RANDBETWEEN(1620,2416)))</f>
        <v>54664322.442774698</v>
      </c>
      <c r="B727">
        <v>147674444.99697828</v>
      </c>
    </row>
    <row r="728" spans="1:2" x14ac:dyDescent="0.25">
      <c r="A728">
        <f ca="1">29529.1905919793*((RANDBETWEEN(1620,2416)))</f>
        <v>58644972.515670858</v>
      </c>
      <c r="B728">
        <v>167355607.23962501</v>
      </c>
    </row>
    <row r="729" spans="1:2" x14ac:dyDescent="0.25">
      <c r="A729">
        <f ca="1">37284.0560742223*((RANDBETWEEN(1620,2416)))</f>
        <v>63718451.830845825</v>
      </c>
      <c r="B729">
        <v>195573584.12705389</v>
      </c>
    </row>
    <row r="730" spans="1:2" x14ac:dyDescent="0.25">
      <c r="A730">
        <f ca="1">39279.3846439554*((RANDBETWEEN(1620,2416)))</f>
        <v>68110452.972618625</v>
      </c>
      <c r="B730">
        <v>187263687.34358621</v>
      </c>
    </row>
    <row r="731" spans="1:2" x14ac:dyDescent="0.25">
      <c r="A731">
        <f ca="1">31562.6188772366*((RANDBETWEEN(1620,2416)))</f>
        <v>53751139.947933905</v>
      </c>
      <c r="B731">
        <v>163826585.82916802</v>
      </c>
    </row>
    <row r="732" spans="1:2" x14ac:dyDescent="0.25">
      <c r="A732">
        <f ca="1">41490.6799310859*((RANDBETWEEN(1620,2416)))</f>
        <v>95636017.241153046</v>
      </c>
      <c r="B732">
        <v>155901873.95874485</v>
      </c>
    </row>
    <row r="733" spans="1:2" x14ac:dyDescent="0.25">
      <c r="A733">
        <f ca="1">38365.6004845745*((RANDBETWEEN(1620,2416)))</f>
        <v>89583677.131481349</v>
      </c>
      <c r="B733">
        <v>193228260.38730797</v>
      </c>
    </row>
    <row r="734" spans="1:2" x14ac:dyDescent="0.25">
      <c r="A734">
        <f ca="1">36277.1487431673*((RANDBETWEEN(1620,2416)))</f>
        <v>65480253.481416911</v>
      </c>
      <c r="B734">
        <v>163935154.26903161</v>
      </c>
    </row>
    <row r="735" spans="1:2" x14ac:dyDescent="0.25">
      <c r="A735">
        <f ca="1">34380.3074720685*((RANDBETWEEN(1620,2416)))</f>
        <v>79727933.027726844</v>
      </c>
      <c r="B735">
        <v>192881790.36492822</v>
      </c>
    </row>
    <row r="736" spans="1:2" x14ac:dyDescent="0.25">
      <c r="A736">
        <f ca="1">31350.3419757464*((RANDBETWEEN(1620,2416)))</f>
        <v>69096153.714545086</v>
      </c>
      <c r="B736">
        <v>181491254.86301517</v>
      </c>
    </row>
    <row r="737" spans="1:2" x14ac:dyDescent="0.25">
      <c r="A737">
        <f ca="1">32568.0892914777*((RANDBETWEEN(1620,2416)))</f>
        <v>77218939.710093573</v>
      </c>
      <c r="B737">
        <v>147589381.83311614</v>
      </c>
    </row>
    <row r="738" spans="1:2" x14ac:dyDescent="0.25">
      <c r="A738">
        <f ca="1">40566.2926513719*((RANDBETWEEN(1620,2416)))</f>
        <v>92207183.19656831</v>
      </c>
      <c r="B738">
        <v>171122273.12175402</v>
      </c>
    </row>
    <row r="739" spans="1:2" x14ac:dyDescent="0.25">
      <c r="A739">
        <f ca="1">31011.3361834582*((RANDBETWEEN(1620,2416)))</f>
        <v>67914826.241773501</v>
      </c>
      <c r="B739">
        <v>165004701.63892221</v>
      </c>
    </row>
    <row r="740" spans="1:2" x14ac:dyDescent="0.25">
      <c r="A740">
        <f ca="1">29339.1127380679*((RANDBETWEEN(1620,2416)))</f>
        <v>64692743.587439731</v>
      </c>
      <c r="B740">
        <v>169820071.93643215</v>
      </c>
    </row>
    <row r="741" spans="1:2" x14ac:dyDescent="0.25">
      <c r="A741">
        <f ca="1">31310.3041466466*((RANDBETWEEN(1620,2416)))</f>
        <v>65062812.016731665</v>
      </c>
      <c r="B741">
        <v>146147468.52141294</v>
      </c>
    </row>
    <row r="742" spans="1:2" x14ac:dyDescent="0.25">
      <c r="A742">
        <f ca="1">38330.555690227*((RANDBETWEEN(1620,2416)))</f>
        <v>62785450.22059188</v>
      </c>
      <c r="B742">
        <v>162968018.89226657</v>
      </c>
    </row>
    <row r="743" spans="1:2" x14ac:dyDescent="0.25">
      <c r="A743">
        <f ca="1">40639.4144108283*((RANDBETWEEN(1620,2416)))</f>
        <v>94933672.063694865</v>
      </c>
      <c r="B743">
        <v>187806986.62300327</v>
      </c>
    </row>
    <row r="744" spans="1:2" x14ac:dyDescent="0.25">
      <c r="A744">
        <f ca="1">38630.5469406292*((RANDBETWEEN(1620,2416)))</f>
        <v>79578926.697696254</v>
      </c>
      <c r="B744">
        <v>170848520.79252088</v>
      </c>
    </row>
    <row r="745" spans="1:2" x14ac:dyDescent="0.25">
      <c r="A745">
        <f ca="1">37001.771288534*((RANDBETWEEN(1620,2416)))</f>
        <v>89100265.26278992</v>
      </c>
      <c r="B745">
        <v>177682211.68070701</v>
      </c>
    </row>
    <row r="746" spans="1:2" x14ac:dyDescent="0.25">
      <c r="A746">
        <f ca="1">39060.5562489802*((RANDBETWEEN(1620,2416)))</f>
        <v>83198984.810327739</v>
      </c>
      <c r="B746">
        <v>193285659.48607093</v>
      </c>
    </row>
    <row r="747" spans="1:2" x14ac:dyDescent="0.25">
      <c r="A747">
        <f ca="1">39534.5928592148*((RANDBETWEEN(1620,2416)))</f>
        <v>65192543.624845162</v>
      </c>
      <c r="B747">
        <v>187303501.9892993</v>
      </c>
    </row>
    <row r="748" spans="1:2" x14ac:dyDescent="0.25">
      <c r="A748">
        <f ca="1">38077.5365903744*((RANDBETWEEN(1620,2416)))</f>
        <v>87540256.621270806</v>
      </c>
      <c r="B748">
        <v>198158467.75593606</v>
      </c>
    </row>
    <row r="749" spans="1:2" x14ac:dyDescent="0.25">
      <c r="A749">
        <f ca="1">30099.990271007*((RANDBETWEEN(1620,2416)))</f>
        <v>71668076.835267559</v>
      </c>
      <c r="B749">
        <v>173984129.49101105</v>
      </c>
    </row>
    <row r="750" spans="1:2" x14ac:dyDescent="0.25">
      <c r="A750">
        <f ca="1">32858.1141750986*((RANDBETWEEN(1620,2416)))</f>
        <v>73142162.153769583</v>
      </c>
      <c r="B750">
        <v>165405912.75556064</v>
      </c>
    </row>
    <row r="751" spans="1:2" x14ac:dyDescent="0.25">
      <c r="A751">
        <f ca="1">32195.5738485472*((RANDBETWEEN(1620,2416)))</f>
        <v>67964856.394283086</v>
      </c>
      <c r="B751">
        <v>169847315.11999765</v>
      </c>
    </row>
    <row r="752" spans="1:2" x14ac:dyDescent="0.25">
      <c r="A752">
        <f ca="1">33129.9648419736*((RANDBETWEEN(1620,2416)))</f>
        <v>63046323.094275713</v>
      </c>
      <c r="B752">
        <v>170501722.4050115</v>
      </c>
    </row>
    <row r="753" spans="1:2" x14ac:dyDescent="0.25">
      <c r="A753">
        <f ca="1">32215.5016300626*((RANDBETWEEN(1620,2416)))</f>
        <v>64431003.260125101</v>
      </c>
      <c r="B753">
        <v>156792252.88512731</v>
      </c>
    </row>
    <row r="754" spans="1:2" x14ac:dyDescent="0.25">
      <c r="A754">
        <f ca="1">31391.0638094719*((RANDBETWEEN(1620,2416)))</f>
        <v>57477037.835143059</v>
      </c>
      <c r="B754">
        <v>162099370.0996058</v>
      </c>
    </row>
    <row r="755" spans="1:2" x14ac:dyDescent="0.25">
      <c r="A755">
        <f ca="1">31542.7004856267*((RANDBETWEEN(1620,2416)))</f>
        <v>59205648.811521225</v>
      </c>
      <c r="B755">
        <v>181100632.20233321</v>
      </c>
    </row>
    <row r="756" spans="1:2" x14ac:dyDescent="0.25">
      <c r="A756">
        <f ca="1">36937.8341441683*((RANDBETWEEN(1620,2416)))</f>
        <v>66820541.966800533</v>
      </c>
      <c r="B756">
        <v>186076432.22981787</v>
      </c>
    </row>
    <row r="757" spans="1:2" x14ac:dyDescent="0.25">
      <c r="A757">
        <f ca="1">33075.9732365154*((RANDBETWEEN(1620,2416)))</f>
        <v>67706517.215147048</v>
      </c>
      <c r="B757">
        <v>144343917.35611513</v>
      </c>
    </row>
    <row r="758" spans="1:2" x14ac:dyDescent="0.25">
      <c r="A758">
        <f ca="1">32000.2723939245*((RANDBETWEEN(1620,2416)))</f>
        <v>65280555.683605984</v>
      </c>
      <c r="B758">
        <v>197434598.24539724</v>
      </c>
    </row>
    <row r="759" spans="1:2" x14ac:dyDescent="0.25">
      <c r="A759">
        <f ca="1">38625.9399208273*((RANDBETWEEN(1620,2416)))</f>
        <v>93127141.149114594</v>
      </c>
      <c r="B759">
        <v>155659230.43653437</v>
      </c>
    </row>
    <row r="760" spans="1:2" x14ac:dyDescent="0.25">
      <c r="A760">
        <f ca="1">29977.0408563911*((RANDBETWEEN(1620,2416)))</f>
        <v>57975597.016260311</v>
      </c>
      <c r="B760">
        <v>167708877.42659846</v>
      </c>
    </row>
    <row r="761" spans="1:2" x14ac:dyDescent="0.25">
      <c r="A761">
        <f ca="1">30070.3644389883*((RANDBETWEEN(1620,2416)))</f>
        <v>61343543.455536157</v>
      </c>
      <c r="B761">
        <v>160414698.97979641</v>
      </c>
    </row>
    <row r="762" spans="1:2" x14ac:dyDescent="0.25">
      <c r="A762">
        <f ca="1">31180.8920383897*((RANDBETWEEN(1620,2416)))</f>
        <v>74459970.187674716</v>
      </c>
      <c r="B762">
        <v>203093928.82103112</v>
      </c>
    </row>
    <row r="763" spans="1:2" x14ac:dyDescent="0.25">
      <c r="A763">
        <f ca="1">30404.7165146748*((RANDBETWEEN(1620,2416)))</f>
        <v>50684662.429962941</v>
      </c>
      <c r="B763">
        <v>158548588.74945801</v>
      </c>
    </row>
    <row r="764" spans="1:2" x14ac:dyDescent="0.25">
      <c r="A764">
        <f ca="1">37684.285570369*((RANDBETWEEN(1620,2416)))</f>
        <v>62254439.762249574</v>
      </c>
      <c r="B764">
        <v>154917105.5572283</v>
      </c>
    </row>
    <row r="765" spans="1:2" x14ac:dyDescent="0.25">
      <c r="A765">
        <f ca="1">33923.4361611104*((RANDBETWEEN(1620,2416)))</f>
        <v>69237733.204826325</v>
      </c>
      <c r="B765">
        <v>186027948.54254365</v>
      </c>
    </row>
    <row r="766" spans="1:2" x14ac:dyDescent="0.25">
      <c r="A766">
        <f ca="1">36900.9761757792*((RANDBETWEEN(1620,2416)))</f>
        <v>83617612.01431559</v>
      </c>
      <c r="B766">
        <v>189866634.73103085</v>
      </c>
    </row>
    <row r="767" spans="1:2" x14ac:dyDescent="0.25">
      <c r="A767">
        <f ca="1">29081.4960455007*((RANDBETWEEN(1620,2416)))</f>
        <v>68312434.210881025</v>
      </c>
      <c r="B767">
        <v>170960766.0646103</v>
      </c>
    </row>
    <row r="768" spans="1:2" x14ac:dyDescent="0.25">
      <c r="A768">
        <f ca="1">36352.8724876405*((RANDBETWEEN(1620,2416)))</f>
        <v>81721257.352215767</v>
      </c>
      <c r="B768">
        <v>145221088.34429437</v>
      </c>
    </row>
    <row r="769" spans="1:2" x14ac:dyDescent="0.25">
      <c r="A769">
        <f ca="1">32003.913164343*((RANDBETWEEN(1620,2416)))</f>
        <v>71336722.443320483</v>
      </c>
      <c r="B769">
        <v>153949275.81972456</v>
      </c>
    </row>
    <row r="770" spans="1:2" x14ac:dyDescent="0.25">
      <c r="A770">
        <f ca="1">33585.8011990072*((RANDBETWEEN(1620,2416)))</f>
        <v>70899626.331104115</v>
      </c>
      <c r="B770">
        <v>180903092.28882456</v>
      </c>
    </row>
    <row r="771" spans="1:2" x14ac:dyDescent="0.25">
      <c r="A771">
        <f ca="1">30288.5903086393*((RANDBETWEEN(1620,2416)))</f>
        <v>72601750.969808415</v>
      </c>
      <c r="B771">
        <v>152239761.95252085</v>
      </c>
    </row>
    <row r="772" spans="1:2" x14ac:dyDescent="0.25">
      <c r="A772">
        <f ca="1">29980.5941186424*((RANDBETWEEN(1620,2416)))</f>
        <v>59781304.672572896</v>
      </c>
      <c r="B772">
        <v>182475928.50193173</v>
      </c>
    </row>
    <row r="773" spans="1:2" x14ac:dyDescent="0.25">
      <c r="A773">
        <f ca="1">31425.6945255327*((RANDBETWEEN(1620,2416)))</f>
        <v>60683016.128803641</v>
      </c>
      <c r="B773">
        <v>143865312.2689887</v>
      </c>
    </row>
    <row r="774" spans="1:2" x14ac:dyDescent="0.25">
      <c r="A774">
        <f ca="1">35364.7981856935*((RANDBETWEEN(1620,2416)))</f>
        <v>59801873.732007757</v>
      </c>
      <c r="B774">
        <v>172495401.81537101</v>
      </c>
    </row>
    <row r="775" spans="1:2" x14ac:dyDescent="0.25">
      <c r="A775">
        <f ca="1">39619.6774164056*((RANDBETWEEN(1620,2416)))</f>
        <v>89738569.348158687</v>
      </c>
      <c r="B775">
        <v>181051948.57492718</v>
      </c>
    </row>
    <row r="776" spans="1:2" x14ac:dyDescent="0.25">
      <c r="A776">
        <f ca="1">30655.8861910076*((RANDBETWEEN(1620,2416)))</f>
        <v>62446040.171082512</v>
      </c>
      <c r="B776">
        <v>172250253.60036987</v>
      </c>
    </row>
    <row r="777" spans="1:2" x14ac:dyDescent="0.25">
      <c r="A777">
        <f ca="1">32529.9887576284*((RANDBETWEEN(1620,2416)))</f>
        <v>71403325.322994307</v>
      </c>
      <c r="B777">
        <v>158772069.56569153</v>
      </c>
    </row>
    <row r="778" spans="1:2" x14ac:dyDescent="0.25">
      <c r="A778">
        <f ca="1">36494.1033901738*((RANDBETWEEN(1620,2416)))</f>
        <v>63244281.175171137</v>
      </c>
      <c r="B778">
        <v>169903700.41276661</v>
      </c>
    </row>
    <row r="779" spans="1:2" x14ac:dyDescent="0.25">
      <c r="A779">
        <f ca="1">33758.9428058752*((RANDBETWEEN(1620,2416)))</f>
        <v>76531523.340919062</v>
      </c>
      <c r="B779">
        <v>157473322.02898139</v>
      </c>
    </row>
    <row r="780" spans="1:2" x14ac:dyDescent="0.25">
      <c r="A780">
        <f ca="1">30718.2106988696*((RANDBETWEEN(1620,2416)))</f>
        <v>58364600.32785219</v>
      </c>
      <c r="B780">
        <v>172755385.22501171</v>
      </c>
    </row>
    <row r="781" spans="1:2" x14ac:dyDescent="0.25">
      <c r="A781">
        <f ca="1">35499.6950835686*((RANDBETWEEN(1620,2416)))</f>
        <v>57580505.42554827</v>
      </c>
      <c r="B781">
        <v>153519876.59108728</v>
      </c>
    </row>
    <row r="782" spans="1:2" x14ac:dyDescent="0.25">
      <c r="A782">
        <f ca="1">26442.6762889041*((RANDBETWEEN(1620,2416)))</f>
        <v>63859063.237703353</v>
      </c>
      <c r="B782">
        <v>180355312.06558061</v>
      </c>
    </row>
    <row r="783" spans="1:2" x14ac:dyDescent="0.25">
      <c r="A783">
        <f ca="1">38771.5028334383*((RANDBETWEEN(1620,2416)))</f>
        <v>79016322.774547264</v>
      </c>
      <c r="B783">
        <v>196859914.3010579</v>
      </c>
    </row>
    <row r="784" spans="1:2" x14ac:dyDescent="0.25">
      <c r="A784">
        <f ca="1">39035.5542432213*((RANDBETWEEN(1620,2416)))</f>
        <v>76275472.991254359</v>
      </c>
      <c r="B784">
        <v>168524761.87889597</v>
      </c>
    </row>
    <row r="785" spans="1:2" x14ac:dyDescent="0.25">
      <c r="A785">
        <f ca="1">29202.3062137148*((RANDBETWEEN(1620,2416)))</f>
        <v>49059874.439040899</v>
      </c>
      <c r="B785">
        <v>148062620.141662</v>
      </c>
    </row>
    <row r="786" spans="1:2" x14ac:dyDescent="0.25">
      <c r="A786">
        <f ca="1">29846.1713337988*((RANDBETWEEN(1620,2416)))</f>
        <v>59901265.866934188</v>
      </c>
      <c r="B786">
        <v>169080796.26039788</v>
      </c>
    </row>
    <row r="787" spans="1:2" x14ac:dyDescent="0.25">
      <c r="A787">
        <f ca="1">30363.7883177478*((RANDBETWEEN(1620,2416)))</f>
        <v>50707526.490638882</v>
      </c>
      <c r="B787">
        <v>149145572.47908238</v>
      </c>
    </row>
    <row r="788" spans="1:2" x14ac:dyDescent="0.25">
      <c r="A788">
        <f ca="1">30670.9464343913*((RANDBETWEEN(1620,2416)))</f>
        <v>59839016.493497416</v>
      </c>
      <c r="B788">
        <v>153211750.72003636</v>
      </c>
    </row>
    <row r="789" spans="1:2" x14ac:dyDescent="0.25">
      <c r="A789">
        <f ca="1">34297.374629353*((RANDBETWEEN(1620,2416)))</f>
        <v>69177804.627405107</v>
      </c>
      <c r="B789">
        <v>174187044.04612154</v>
      </c>
    </row>
    <row r="790" spans="1:2" x14ac:dyDescent="0.25">
      <c r="A790">
        <f ca="1">29865.2694517854*((RANDBETWEEN(1620,2416)))</f>
        <v>69914595.786629513</v>
      </c>
      <c r="B790">
        <v>148833414.03364515</v>
      </c>
    </row>
    <row r="791" spans="1:2" x14ac:dyDescent="0.25">
      <c r="A791">
        <f ca="1">31486.4848762527*((RANDBETWEEN(1620,2416)))</f>
        <v>65397429.08797688</v>
      </c>
      <c r="B791">
        <v>143624430.72201762</v>
      </c>
    </row>
    <row r="792" spans="1:2" x14ac:dyDescent="0.25">
      <c r="A792">
        <f ca="1">31545.2690237402*((RANDBETWEEN(1620,2416)))</f>
        <v>75550919.311857894</v>
      </c>
      <c r="B792">
        <v>189268814.05600196</v>
      </c>
    </row>
    <row r="793" spans="1:2" x14ac:dyDescent="0.25">
      <c r="A793">
        <f ca="1">30644.0856792277*((RANDBETWEEN(1620,2416)))</f>
        <v>73361941.116071075</v>
      </c>
      <c r="B793">
        <v>173393667.89810762</v>
      </c>
    </row>
    <row r="794" spans="1:2" x14ac:dyDescent="0.25">
      <c r="A794">
        <f ca="1">28330.8419908126*((RANDBETWEEN(1620,2416)))</f>
        <v>63007792.587567277</v>
      </c>
      <c r="B794">
        <v>154470636.90414843</v>
      </c>
    </row>
    <row r="795" spans="1:2" x14ac:dyDescent="0.25">
      <c r="A795">
        <f ca="1">30224.2640610232*((RANDBETWEEN(1620,2416)))</f>
        <v>72508009.482394606</v>
      </c>
      <c r="B795">
        <v>157835363.84431624</v>
      </c>
    </row>
    <row r="796" spans="1:2" x14ac:dyDescent="0.25">
      <c r="A796">
        <f ca="1">39665.0092218596*((RANDBETWEEN(1620,2416)))</f>
        <v>89642920.841402709</v>
      </c>
      <c r="B796">
        <v>195035786.35653275</v>
      </c>
    </row>
    <row r="797" spans="1:2" x14ac:dyDescent="0.25">
      <c r="A797">
        <f ca="1">37670.1193623838*((RANDBETWEEN(1620,2416)))</f>
        <v>61703655.51558467</v>
      </c>
      <c r="B797">
        <v>144000061.86142647</v>
      </c>
    </row>
    <row r="798" spans="1:2" x14ac:dyDescent="0.25">
      <c r="A798">
        <f ca="1">30328.194326478*((RANDBETWEEN(1620,2416)))</f>
        <v>70179441.67147021</v>
      </c>
      <c r="B798">
        <v>155405676.88490129</v>
      </c>
    </row>
    <row r="799" spans="1:2" x14ac:dyDescent="0.25">
      <c r="A799">
        <f ca="1">31625.9985368823*((RANDBETWEEN(1620,2416)))</f>
        <v>64390533.02109243</v>
      </c>
      <c r="B799">
        <v>150404659.48630103</v>
      </c>
    </row>
    <row r="800" spans="1:2" x14ac:dyDescent="0.25">
      <c r="A800">
        <f ca="1">39852.1304632681*((RANDBETWEEN(1620,2416)))</f>
        <v>80979529.101360857</v>
      </c>
      <c r="B800">
        <v>161476087.35178286</v>
      </c>
    </row>
    <row r="801" spans="1:2" x14ac:dyDescent="0.25">
      <c r="A801">
        <f ca="1">30271.0667625843*((RANDBETWEEN(1620,2416)))</f>
        <v>72590018.096677259</v>
      </c>
      <c r="B801">
        <v>169450895.72881725</v>
      </c>
    </row>
    <row r="802" spans="1:2" x14ac:dyDescent="0.25">
      <c r="A802">
        <f ca="1">37295.0089537035*((RANDBETWEEN(1620,2416)))</f>
        <v>88463761.238184631</v>
      </c>
      <c r="B802">
        <v>168083631.00511807</v>
      </c>
    </row>
    <row r="803" spans="1:2" x14ac:dyDescent="0.25">
      <c r="A803">
        <f ca="1">37307.7321654817*((RANDBETWEEN(1620,2416)))</f>
        <v>85845091.712773412</v>
      </c>
      <c r="B803">
        <v>187859574.16046858</v>
      </c>
    </row>
    <row r="804" spans="1:2" x14ac:dyDescent="0.25">
      <c r="A804">
        <f ca="1">34136.3109534535*((RANDBETWEEN(1620,2416)))</f>
        <v>64346946.147259936</v>
      </c>
      <c r="B804">
        <v>174307414.3192178</v>
      </c>
    </row>
    <row r="805" spans="1:2" x14ac:dyDescent="0.25">
      <c r="A805">
        <f ca="1">28892.9779467262*((RANDBETWEEN(1620,2416)))</f>
        <v>65298130.159601144</v>
      </c>
      <c r="B805">
        <v>152668172.17158788</v>
      </c>
    </row>
    <row r="806" spans="1:2" x14ac:dyDescent="0.25">
      <c r="A806">
        <f ca="1">36906.6373625708*((RANDBETWEEN(1620,2416)))</f>
        <v>75843139.780083001</v>
      </c>
      <c r="B806">
        <v>202242510.33532971</v>
      </c>
    </row>
    <row r="807" spans="1:2" x14ac:dyDescent="0.25">
      <c r="A807">
        <f ca="1">30650.2566937097*((RANDBETWEEN(1620,2416)))</f>
        <v>52289337.919468708</v>
      </c>
      <c r="B807">
        <v>143269803.92367291</v>
      </c>
    </row>
    <row r="808" spans="1:2" x14ac:dyDescent="0.25">
      <c r="A808">
        <f ca="1">32531.932401206*((RANDBETWEEN(1620,2416)))</f>
        <v>55564540.541259825</v>
      </c>
      <c r="B808">
        <v>152424841.12358731</v>
      </c>
    </row>
    <row r="809" spans="1:2" x14ac:dyDescent="0.25">
      <c r="A809">
        <f ca="1">30791.3588868317*((RANDBETWEEN(1620,2416)))</f>
        <v>68079694.498784795</v>
      </c>
      <c r="B809">
        <v>180060157.84391683</v>
      </c>
    </row>
    <row r="810" spans="1:2" x14ac:dyDescent="0.25">
      <c r="A810">
        <f ca="1">29997.7212385257*((RANDBETWEEN(1620,2416)))</f>
        <v>70554640.353012532</v>
      </c>
      <c r="B810">
        <v>148020325.86279821</v>
      </c>
    </row>
    <row r="811" spans="1:2" x14ac:dyDescent="0.25">
      <c r="A811">
        <f ca="1">32151.2455366345*((RANDBETWEEN(1620,2416)))</f>
        <v>75812636.975384116</v>
      </c>
      <c r="B811">
        <v>154767940.85496742</v>
      </c>
    </row>
    <row r="812" spans="1:2" x14ac:dyDescent="0.25">
      <c r="A812">
        <f ca="1">29435.0262987877*((RANDBETWEEN(1620,2416)))</f>
        <v>62284515.648234777</v>
      </c>
      <c r="B812">
        <v>147208328.90615094</v>
      </c>
    </row>
    <row r="813" spans="1:2" x14ac:dyDescent="0.25">
      <c r="A813">
        <f ca="1">30576.3219588499*((RANDBETWEEN(1620,2416)))</f>
        <v>71884932.925256088</v>
      </c>
      <c r="B813">
        <v>166249148.69558442</v>
      </c>
    </row>
    <row r="814" spans="1:2" x14ac:dyDescent="0.25">
      <c r="A814">
        <f ca="1">37962.2976037679*((RANDBETWEEN(1620,2416)))</f>
        <v>72166327.744762823</v>
      </c>
      <c r="B814">
        <v>144031575.72786281</v>
      </c>
    </row>
    <row r="815" spans="1:2" x14ac:dyDescent="0.25">
      <c r="A815">
        <f ca="1">30381.3532465163*((RANDBETWEEN(1620,2416)))</f>
        <v>60671562.433293089</v>
      </c>
      <c r="B815">
        <v>148011117.15450656</v>
      </c>
    </row>
    <row r="816" spans="1:2" x14ac:dyDescent="0.25">
      <c r="A816">
        <f ca="1">31562.8292060033*((RANDBETWEEN(1620,2416)))</f>
        <v>63157221.241212621</v>
      </c>
      <c r="B816">
        <v>189407888.29350767</v>
      </c>
    </row>
    <row r="817" spans="1:2" x14ac:dyDescent="0.25">
      <c r="A817">
        <f ca="1">31126.2810037951*((RANDBETWEEN(1620,2416)))</f>
        <v>67979797.712288573</v>
      </c>
      <c r="B817">
        <v>184240467.58836627</v>
      </c>
    </row>
    <row r="818" spans="1:2" x14ac:dyDescent="0.25">
      <c r="A818">
        <f ca="1">33739.8884712217*((RANDBETWEEN(1620,2416)))</f>
        <v>72945638.874781281</v>
      </c>
      <c r="B818">
        <v>165660047.77742931</v>
      </c>
    </row>
    <row r="819" spans="1:2" x14ac:dyDescent="0.25">
      <c r="A819">
        <f ca="1">31507.0926294948*((RANDBETWEEN(1620,2416)))</f>
        <v>61879929.924327806</v>
      </c>
      <c r="B819">
        <v>166113402.44589531</v>
      </c>
    </row>
    <row r="820" spans="1:2" x14ac:dyDescent="0.25">
      <c r="A820">
        <f ca="1">28890.1686830697*((RANDBETWEEN(1620,2416)))</f>
        <v>55238002.522029378</v>
      </c>
      <c r="B820">
        <v>155979547.1871306</v>
      </c>
    </row>
    <row r="821" spans="1:2" x14ac:dyDescent="0.25">
      <c r="A821">
        <f ca="1">30936.0139024975*((RANDBETWEEN(1620,2416)))</f>
        <v>51044422.939120941</v>
      </c>
      <c r="B821">
        <v>153481781.98488429</v>
      </c>
    </row>
    <row r="822" spans="1:2" x14ac:dyDescent="0.25">
      <c r="A822">
        <f ca="1">32949.102364932*((RANDBETWEEN(1620,2416)))</f>
        <v>71993788.667376503</v>
      </c>
      <c r="B822">
        <v>163318807.51769882</v>
      </c>
    </row>
    <row r="823" spans="1:2" x14ac:dyDescent="0.25">
      <c r="A823">
        <f ca="1">29816.1140646582*((RANDBETWEEN(1620,2416)))</f>
        <v>67712395.040838733</v>
      </c>
      <c r="B823">
        <v>152117850.25605598</v>
      </c>
    </row>
    <row r="824" spans="1:2" x14ac:dyDescent="0.25">
      <c r="A824">
        <f ca="1">32349.2638319376*((RANDBETWEEN(1620,2416)))</f>
        <v>53279237.531201199</v>
      </c>
      <c r="B824">
        <v>188869308.56805897</v>
      </c>
    </row>
    <row r="825" spans="1:2" x14ac:dyDescent="0.25">
      <c r="A825">
        <f ca="1">31280.4393308741*((RANDBETWEEN(1620,2416)))</f>
        <v>60058443.51527828</v>
      </c>
      <c r="B825">
        <v>199369405.77216288</v>
      </c>
    </row>
    <row r="826" spans="1:2" x14ac:dyDescent="0.25">
      <c r="A826">
        <f ca="1">39535.5286956456*((RANDBETWEEN(1620,2416)))</f>
        <v>68554606.758249477</v>
      </c>
      <c r="B826">
        <v>152102637.97983748</v>
      </c>
    </row>
    <row r="827" spans="1:2" x14ac:dyDescent="0.25">
      <c r="A827">
        <f ca="1">36406.6848096933*((RANDBETWEEN(1620,2416)))</f>
        <v>82788801.257242635</v>
      </c>
      <c r="B827">
        <v>197426357.94506946</v>
      </c>
    </row>
    <row r="828" spans="1:2" x14ac:dyDescent="0.25">
      <c r="A828">
        <f ca="1">33454.3571314922*((RANDBETWEEN(1620,2416)))</f>
        <v>65704357.406250656</v>
      </c>
      <c r="B828">
        <v>145120181.95002729</v>
      </c>
    </row>
    <row r="829" spans="1:2" x14ac:dyDescent="0.25">
      <c r="A829">
        <f ca="1">32745.6729983022*((RANDBETWEEN(1620,2416)))</f>
        <v>62576981.099755503</v>
      </c>
      <c r="B829">
        <v>179132556.92638928</v>
      </c>
    </row>
    <row r="830" spans="1:2" x14ac:dyDescent="0.25">
      <c r="A830">
        <f ca="1">39236.6009599351*((RANDBETWEEN(1620,2416)))</f>
        <v>84319455.462900519</v>
      </c>
      <c r="B830">
        <v>163928490.13213992</v>
      </c>
    </row>
    <row r="831" spans="1:2" x14ac:dyDescent="0.25">
      <c r="A831">
        <f ca="1">38742.5699260663*((RANDBETWEEN(1620,2416)))</f>
        <v>82947842.211707965</v>
      </c>
      <c r="B831">
        <v>185882388.85563111</v>
      </c>
    </row>
    <row r="832" spans="1:2" x14ac:dyDescent="0.25">
      <c r="A832">
        <f ca="1">39259.9176993626*((RANDBETWEEN(1620,2416)))</f>
        <v>84094743.712034613</v>
      </c>
      <c r="B832">
        <v>156257975.06714228</v>
      </c>
    </row>
    <row r="833" spans="1:2" x14ac:dyDescent="0.25">
      <c r="A833">
        <f ca="1">29529.1554990803*((RANDBETWEEN(1620,2416)))</f>
        <v>62867572.057541966</v>
      </c>
      <c r="B833">
        <v>163487141.02915078</v>
      </c>
    </row>
    <row r="834" spans="1:2" x14ac:dyDescent="0.25">
      <c r="A834">
        <f ca="1">28242.8870974829*((RANDBETWEEN(1620,2416)))</f>
        <v>60326806.840223394</v>
      </c>
      <c r="B834">
        <v>197293087.99781147</v>
      </c>
    </row>
    <row r="835" spans="1:2" x14ac:dyDescent="0.25">
      <c r="A835">
        <f ca="1">32369.6537720151*((RANDBETWEEN(1620,2416)))</f>
        <v>73090678.217210189</v>
      </c>
      <c r="B835">
        <v>145972727.57026345</v>
      </c>
    </row>
    <row r="836" spans="1:2" x14ac:dyDescent="0.25">
      <c r="A836">
        <f ca="1">31957.7237679124*((RANDBETWEEN(1620,2416)))</f>
        <v>57236283.268331133</v>
      </c>
      <c r="B836">
        <v>163192624.04877186</v>
      </c>
    </row>
    <row r="837" spans="1:2" x14ac:dyDescent="0.25">
      <c r="A837">
        <f ca="1">32587.5843215379*((RANDBETWEEN(1620,2416)))</f>
        <v>78536078.214906409</v>
      </c>
      <c r="B837">
        <v>167950164.90607119</v>
      </c>
    </row>
    <row r="838" spans="1:2" x14ac:dyDescent="0.25">
      <c r="A838">
        <f ca="1">34297.0548559989*((RANDBETWEEN(1620,2416)))</f>
        <v>73327103.282125682</v>
      </c>
      <c r="B838">
        <v>149026561.38973385</v>
      </c>
    </row>
    <row r="839" spans="1:2" x14ac:dyDescent="0.25">
      <c r="A839">
        <f ca="1">33931.3778359599*((RANDBETWEEN(1620,2416)))</f>
        <v>78585071.068083093</v>
      </c>
      <c r="B839">
        <v>152279720.56556413</v>
      </c>
    </row>
    <row r="840" spans="1:2" x14ac:dyDescent="0.25">
      <c r="A840">
        <f ca="1">29270.8868687938*((RANDBETWEEN(1620,2416)))</f>
        <v>65918037.228523582</v>
      </c>
      <c r="B840">
        <v>183422339.08828887</v>
      </c>
    </row>
    <row r="841" spans="1:2" x14ac:dyDescent="0.25">
      <c r="A841">
        <f ca="1">40502.943063111*((RANDBETWEEN(1620,2416)))</f>
        <v>94452863.223174781</v>
      </c>
      <c r="B841">
        <v>194921593.6640718</v>
      </c>
    </row>
    <row r="842" spans="1:2" x14ac:dyDescent="0.25">
      <c r="A842">
        <f ca="1">39801.7326805985*((RANDBETWEEN(1620,2416)))</f>
        <v>72518756.944050521</v>
      </c>
      <c r="B842">
        <v>160928292.05386052</v>
      </c>
    </row>
    <row r="843" spans="1:2" x14ac:dyDescent="0.25">
      <c r="A843">
        <f ca="1">32133.5581104138*((RANDBETWEEN(1620,2416)))</f>
        <v>76574268.977115974</v>
      </c>
      <c r="B843">
        <v>188129171.6396161</v>
      </c>
    </row>
    <row r="844" spans="1:2" x14ac:dyDescent="0.25">
      <c r="A844">
        <f ca="1">29553.60752468*((RANDBETWEEN(1620,2416)))</f>
        <v>60969092.32341475</v>
      </c>
      <c r="B844">
        <v>193257577.66199932</v>
      </c>
    </row>
    <row r="845" spans="1:2" x14ac:dyDescent="0.25">
      <c r="A845">
        <f ca="1">33605.9806893106*((RANDBETWEEN(1620,2416)))</f>
        <v>59549797.781458341</v>
      </c>
      <c r="B845">
        <v>154509873.82540348</v>
      </c>
    </row>
    <row r="846" spans="1:2" x14ac:dyDescent="0.25">
      <c r="A846">
        <f ca="1">33092.0031139849*((RANDBETWEEN(1620,2416)))</f>
        <v>61848953.820037834</v>
      </c>
      <c r="B846">
        <v>156123267.065853</v>
      </c>
    </row>
    <row r="847" spans="1:2" x14ac:dyDescent="0.25">
      <c r="A847">
        <f ca="1">40274.5354208039*((RANDBETWEEN(1620,2416)))</f>
        <v>86590251.154728368</v>
      </c>
      <c r="B847">
        <v>202056227.60317418</v>
      </c>
    </row>
    <row r="848" spans="1:2" x14ac:dyDescent="0.25">
      <c r="A848">
        <f ca="1">35635.1447670626*((RANDBETWEEN(1620,2416)))</f>
        <v>77114453.275923371</v>
      </c>
      <c r="B848">
        <v>155898350.83840162</v>
      </c>
    </row>
    <row r="849" spans="1:2" x14ac:dyDescent="0.25">
      <c r="A849">
        <f ca="1">31734.2545330113*((RANDBETWEEN(1620,2416)))</f>
        <v>72512771.60793075</v>
      </c>
      <c r="B849">
        <v>160814836.45341247</v>
      </c>
    </row>
    <row r="850" spans="1:2" x14ac:dyDescent="0.25">
      <c r="A850">
        <f ca="1">27950.6441644701*((RANDBETWEEN(1620,2416)))</f>
        <v>49919850.477743551</v>
      </c>
      <c r="B850">
        <v>188282634.14972252</v>
      </c>
    </row>
    <row r="851" spans="1:2" x14ac:dyDescent="0.25">
      <c r="A851">
        <f ca="1">32643.8087557753*((RANDBETWEEN(1620,2416)))</f>
        <v>57355171.983897172</v>
      </c>
      <c r="B851">
        <v>196785848.22405261</v>
      </c>
    </row>
    <row r="852" spans="1:2" x14ac:dyDescent="0.25">
      <c r="A852">
        <f ca="1">37571.960290915*((RANDBETWEEN(1620,2416)))</f>
        <v>61204723.313900553</v>
      </c>
      <c r="B852">
        <v>154459175.08591729</v>
      </c>
    </row>
    <row r="853" spans="1:2" x14ac:dyDescent="0.25">
      <c r="A853">
        <f ca="1">33376.0316994445*((RANDBETWEEN(1620,2416)))</f>
        <v>66218046.891697846</v>
      </c>
      <c r="B853">
        <v>167524322.2669614</v>
      </c>
    </row>
    <row r="854" spans="1:2" x14ac:dyDescent="0.25">
      <c r="A854">
        <f ca="1">29290.3568583492*((RANDBETWEEN(1620,2416)))</f>
        <v>51961093.066711478</v>
      </c>
      <c r="B854">
        <v>169723363.41146573</v>
      </c>
    </row>
    <row r="855" spans="1:2" x14ac:dyDescent="0.25">
      <c r="A855">
        <f ca="1">31839.5418063375*((RANDBETWEEN(1620,2416)))</f>
        <v>58680275.549080014</v>
      </c>
      <c r="B855">
        <v>154820496.80524886</v>
      </c>
    </row>
    <row r="856" spans="1:2" x14ac:dyDescent="0.25">
      <c r="A856">
        <f ca="1">33561.0639413134*((RANDBETWEEN(1620,2416)))</f>
        <v>77693863.024140462</v>
      </c>
      <c r="B856">
        <v>196390030.73912925</v>
      </c>
    </row>
    <row r="857" spans="1:2" x14ac:dyDescent="0.25">
      <c r="A857">
        <f ca="1">31947.1800862029*((RANDBETWEEN(1620,2416)))</f>
        <v>54150470.246113896</v>
      </c>
      <c r="B857">
        <v>192486504.10889894</v>
      </c>
    </row>
    <row r="858" spans="1:2" x14ac:dyDescent="0.25">
      <c r="A858">
        <f ca="1">28785.3875117308*((RANDBETWEEN(1620,2416)))</f>
        <v>62752144.775573254</v>
      </c>
      <c r="B858">
        <v>197718768.18818384</v>
      </c>
    </row>
    <row r="859" spans="1:2" x14ac:dyDescent="0.25">
      <c r="A859">
        <f ca="1">34193.3665018248*((RANDBETWEEN(1620,2416)))</f>
        <v>56692601.660025544</v>
      </c>
      <c r="B859">
        <v>166998740.80141601</v>
      </c>
    </row>
    <row r="860" spans="1:2" x14ac:dyDescent="0.25">
      <c r="A860">
        <f ca="1">38969.6883748229*((RANDBETWEEN(1620,2416)))</f>
        <v>71041741.907302141</v>
      </c>
      <c r="B860">
        <v>146601231.14348239</v>
      </c>
    </row>
    <row r="861" spans="1:2" x14ac:dyDescent="0.25">
      <c r="A861">
        <f ca="1">29592.5683398161*((RANDBETWEEN(1620,2416)))</f>
        <v>60191284.003185846</v>
      </c>
      <c r="B861">
        <v>160850767.76529217</v>
      </c>
    </row>
    <row r="862" spans="1:2" x14ac:dyDescent="0.25">
      <c r="A862">
        <f ca="1">35897.014028334*((RANDBETWEEN(1620,2416)))</f>
        <v>81163148.718063235</v>
      </c>
      <c r="B862">
        <v>187559704.63298553</v>
      </c>
    </row>
    <row r="863" spans="1:2" x14ac:dyDescent="0.25">
      <c r="A863">
        <f ca="1">30148.7033812084*((RANDBETWEEN(1620,2416)))</f>
        <v>52941123.137402028</v>
      </c>
      <c r="B863">
        <v>180606989.30413169</v>
      </c>
    </row>
    <row r="864" spans="1:2" x14ac:dyDescent="0.25">
      <c r="A864">
        <f ca="1">30452.3439234455*((RANDBETWEEN(1620,2416)))</f>
        <v>66203395.689570479</v>
      </c>
      <c r="B864">
        <v>171011660.26965246</v>
      </c>
    </row>
    <row r="865" spans="1:2" x14ac:dyDescent="0.25">
      <c r="A865">
        <f ca="1">38850.4488943218*((RANDBETWEEN(1620,2416)))</f>
        <v>89822237.843672112</v>
      </c>
      <c r="B865">
        <v>163730199.37717849</v>
      </c>
    </row>
    <row r="866" spans="1:2" x14ac:dyDescent="0.25">
      <c r="A866">
        <f ca="1">41491.4097776792*((RANDBETWEEN(1620,2416)))</f>
        <v>91530049.969560295</v>
      </c>
      <c r="B866">
        <v>166813964.78211543</v>
      </c>
    </row>
    <row r="867" spans="1:2" x14ac:dyDescent="0.25">
      <c r="A867">
        <f ca="1">29841.1737127705*((RANDBETWEEN(1620,2416)))</f>
        <v>71738181.60550034</v>
      </c>
      <c r="B867">
        <v>171004918.93215141</v>
      </c>
    </row>
    <row r="868" spans="1:2" x14ac:dyDescent="0.25">
      <c r="A868">
        <f ca="1">29625.388955603*((RANDBETWEEN(1620,2416)))</f>
        <v>67901391.486242026</v>
      </c>
      <c r="B868">
        <v>144263290.83787954</v>
      </c>
    </row>
    <row r="869" spans="1:2" x14ac:dyDescent="0.25">
      <c r="A869">
        <f ca="1">33604.5959428631*((RANDBETWEEN(1620,2416)))</f>
        <v>74366970.821555957</v>
      </c>
      <c r="B869">
        <v>149068088.36892626</v>
      </c>
    </row>
    <row r="870" spans="1:2" x14ac:dyDescent="0.25">
      <c r="A870">
        <f ca="1">38175.7274845733*((RANDBETWEEN(1620,2416)))</f>
        <v>86315319.842620254</v>
      </c>
      <c r="B870">
        <v>158294760.27217564</v>
      </c>
    </row>
    <row r="871" spans="1:2" x14ac:dyDescent="0.25">
      <c r="A871">
        <f ca="1">30138.2651272579*((RANDBETWEEN(1620,2416)))</f>
        <v>72030453.654146358</v>
      </c>
      <c r="B871">
        <v>171964562.80800468</v>
      </c>
    </row>
    <row r="872" spans="1:2" x14ac:dyDescent="0.25">
      <c r="A872">
        <f ca="1">30769.8386144127*((RANDBETWEEN(1620,2416)))</f>
        <v>55354939.667328395</v>
      </c>
      <c r="B872">
        <v>159067422.40889376</v>
      </c>
    </row>
    <row r="873" spans="1:2" x14ac:dyDescent="0.25">
      <c r="A873">
        <f ca="1">31248.00283213*((RANDBETWEEN(1620,2416)))</f>
        <v>66901974.063590318</v>
      </c>
      <c r="B873">
        <v>168208056.174427</v>
      </c>
    </row>
    <row r="874" spans="1:2" x14ac:dyDescent="0.25">
      <c r="A874">
        <f ca="1">30392.7038598974*((RANDBETWEEN(1620,2416)))</f>
        <v>67714944.199851319</v>
      </c>
      <c r="B874">
        <v>159522295.99254888</v>
      </c>
    </row>
    <row r="875" spans="1:2" x14ac:dyDescent="0.25">
      <c r="A875">
        <f ca="1">29578.6395268557*((RANDBETWEEN(1620,2416)))</f>
        <v>70811263.027292535</v>
      </c>
      <c r="B875">
        <v>152797927.43626887</v>
      </c>
    </row>
    <row r="876" spans="1:2" x14ac:dyDescent="0.25">
      <c r="A876">
        <f ca="1">41802.4454199981*((RANDBETWEEN(1620,2416)))</f>
        <v>89582640.535055906</v>
      </c>
      <c r="B876">
        <v>145439250.20930564</v>
      </c>
    </row>
    <row r="877" spans="1:2" x14ac:dyDescent="0.25">
      <c r="A877">
        <f ca="1">38241.6456421287*((RANDBETWEEN(1620,2416)))</f>
        <v>80116247.620259687</v>
      </c>
      <c r="B877">
        <v>188712818.78735021</v>
      </c>
    </row>
    <row r="878" spans="1:2" x14ac:dyDescent="0.25">
      <c r="A878">
        <f ca="1">36455.7962351756*((RANDBETWEEN(1620,2416)))</f>
        <v>79218445.219036564</v>
      </c>
      <c r="B878">
        <v>164791813.28367817</v>
      </c>
    </row>
    <row r="879" spans="1:2" x14ac:dyDescent="0.25">
      <c r="A879">
        <f ca="1">30980.0268651006*((RANDBETWEEN(1620,2416)))</f>
        <v>53440546.342298545</v>
      </c>
      <c r="B879">
        <v>168601075.30096254</v>
      </c>
    </row>
    <row r="880" spans="1:2" x14ac:dyDescent="0.25">
      <c r="A880">
        <f ca="1">39209.6081950831*((RANDBETWEEN(1620,2416)))</f>
        <v>94495155.750150189</v>
      </c>
      <c r="B880">
        <v>147496341.09391004</v>
      </c>
    </row>
    <row r="881" spans="1:2" x14ac:dyDescent="0.25">
      <c r="A881">
        <f ca="1">30767.3227174551*((RANDBETWEEN(1620,2416)))</f>
        <v>61903853.307519615</v>
      </c>
      <c r="B881">
        <v>163448649.30138651</v>
      </c>
    </row>
    <row r="882" spans="1:2" x14ac:dyDescent="0.25">
      <c r="A882">
        <f ca="1">41920.9997634305*((RANDBETWEEN(1620,2416)))</f>
        <v>99017401.441222817</v>
      </c>
      <c r="B882">
        <v>201366157.72451818</v>
      </c>
    </row>
    <row r="883" spans="1:2" x14ac:dyDescent="0.25">
      <c r="A883">
        <f ca="1">31467.0550164598*((RANDBETWEEN(1620,2416)))</f>
        <v>59787404.531273551</v>
      </c>
      <c r="B883">
        <v>146989169.94822365</v>
      </c>
    </row>
    <row r="884" spans="1:2" x14ac:dyDescent="0.25">
      <c r="A884">
        <f ca="1">32051.6004830148*((RANDBETWEEN(1620,2416)))</f>
        <v>68109651.026406452</v>
      </c>
      <c r="B884">
        <v>166713421.15877393</v>
      </c>
    </row>
    <row r="885" spans="1:2" x14ac:dyDescent="0.25">
      <c r="A885">
        <f ca="1">29742.6785542339*((RANDBETWEEN(1620,2416)))</f>
        <v>49848729.256896004</v>
      </c>
      <c r="B885">
        <v>182300442.6104497</v>
      </c>
    </row>
    <row r="886" spans="1:2" x14ac:dyDescent="0.25">
      <c r="A886">
        <f ca="1">39740.0733248135*((RANDBETWEEN(1620,2416)))</f>
        <v>72485893.744459897</v>
      </c>
      <c r="B886">
        <v>171371212.17982846</v>
      </c>
    </row>
    <row r="887" spans="1:2" x14ac:dyDescent="0.25">
      <c r="A887">
        <f ca="1">39123.8898044578*((RANDBETWEEN(1620,2416)))</f>
        <v>66275869.328751579</v>
      </c>
      <c r="B887">
        <v>197474355.07343498</v>
      </c>
    </row>
    <row r="888" spans="1:2" x14ac:dyDescent="0.25">
      <c r="A888">
        <f ca="1">31515.4173502209*((RANDBETWEEN(1620,2416)))</f>
        <v>71666059.054402411</v>
      </c>
      <c r="B888">
        <v>142970568.61149567</v>
      </c>
    </row>
    <row r="889" spans="1:2" x14ac:dyDescent="0.25">
      <c r="A889">
        <f ca="1">29542.5119881767*((RANDBETWEEN(1620,2416)))</f>
        <v>54210509.498304181</v>
      </c>
      <c r="B889">
        <v>145021128.18416318</v>
      </c>
    </row>
    <row r="890" spans="1:2" x14ac:dyDescent="0.25">
      <c r="A890">
        <f ca="1">31233.0108907855*((RANDBETWEEN(1620,2416)))</f>
        <v>66651245.24093622</v>
      </c>
      <c r="B890">
        <v>145203129.08374989</v>
      </c>
    </row>
    <row r="891" spans="1:2" x14ac:dyDescent="0.25">
      <c r="A891">
        <f ca="1">30080.1088659104*((RANDBETWEEN(1620,2416)))</f>
        <v>62957667.856350407</v>
      </c>
      <c r="B891">
        <v>189184856.09158137</v>
      </c>
    </row>
    <row r="892" spans="1:2" x14ac:dyDescent="0.25">
      <c r="A892">
        <f ca="1">30428.1158128085*((RANDBETWEEN(1620,2416)))</f>
        <v>61921215.679065339</v>
      </c>
      <c r="B892">
        <v>154114394.39709073</v>
      </c>
    </row>
    <row r="893" spans="1:2" x14ac:dyDescent="0.25">
      <c r="A893">
        <f ca="1">31217.723023848*((RANDBETWEEN(1620,2416)))</f>
        <v>67586370.346630931</v>
      </c>
      <c r="B893">
        <v>203173244.84659961</v>
      </c>
    </row>
    <row r="894" spans="1:2" x14ac:dyDescent="0.25">
      <c r="A894">
        <f ca="1">36459.7209905959*((RANDBETWEEN(1620,2416)))</f>
        <v>74450750.262796819</v>
      </c>
      <c r="B894">
        <v>157484593.06938803</v>
      </c>
    </row>
    <row r="895" spans="1:2" x14ac:dyDescent="0.25">
      <c r="A895">
        <f ca="1">32355.5859575854*((RANDBETWEEN(1620,2416)))</f>
        <v>78041673.329696</v>
      </c>
      <c r="B895">
        <v>154011822.35114226</v>
      </c>
    </row>
    <row r="896" spans="1:2" x14ac:dyDescent="0.25">
      <c r="A896">
        <f ca="1">31864.4940604903*((RANDBETWEEN(1620,2416)))</f>
        <v>56878121.897975206</v>
      </c>
      <c r="B896">
        <v>173225317.79794514</v>
      </c>
    </row>
    <row r="897" spans="1:2" x14ac:dyDescent="0.25">
      <c r="A897">
        <f ca="1">31516.9821987352*((RANDBETWEEN(1620,2416)))</f>
        <v>59125858.604827158</v>
      </c>
      <c r="B897">
        <v>188573705.11524338</v>
      </c>
    </row>
    <row r="898" spans="1:2" x14ac:dyDescent="0.25">
      <c r="A898">
        <f ca="1">37519.6826403672*((RANDBETWEEN(1620,2416)))</f>
        <v>81455231.012237296</v>
      </c>
      <c r="B898">
        <v>143857602.7343801</v>
      </c>
    </row>
    <row r="899" spans="1:2" x14ac:dyDescent="0.25">
      <c r="A899">
        <f ca="1">29857.4128912024*((RANDBETWEEN(1620,2416)))</f>
        <v>59207249.763254374</v>
      </c>
      <c r="B899">
        <v>189758863.43829298</v>
      </c>
    </row>
    <row r="900" spans="1:2" x14ac:dyDescent="0.25">
      <c r="A900">
        <f ca="1">35614.2281911975*((RANDBETWEEN(1620,2416)))</f>
        <v>84405720.813138187</v>
      </c>
      <c r="B900">
        <v>186537565.58886689</v>
      </c>
    </row>
    <row r="901" spans="1:2" x14ac:dyDescent="0.25">
      <c r="A901">
        <f ca="1">32813.4056777453*((RANDBETWEEN(1620,2416)))</f>
        <v>60015718.984596089</v>
      </c>
      <c r="B901">
        <v>158897385.18805444</v>
      </c>
    </row>
    <row r="902" spans="1:2" x14ac:dyDescent="0.25">
      <c r="A902">
        <f ca="1">30112.4810959325*((RANDBETWEEN(1620,2416)))</f>
        <v>54563815.745829716</v>
      </c>
      <c r="B902">
        <v>154680094.37300208</v>
      </c>
    </row>
    <row r="903" spans="1:2" x14ac:dyDescent="0.25">
      <c r="A903">
        <f ca="1">31026.0057900572*((RANDBETWEEN(1620,2416)))</f>
        <v>57274006.68844559</v>
      </c>
      <c r="B903">
        <v>151300587.13512307</v>
      </c>
    </row>
    <row r="904" spans="1:2" x14ac:dyDescent="0.25">
      <c r="A904">
        <f ca="1">34096.3074323765*((RANDBETWEEN(1620,2416)))</f>
        <v>80944633.844461903</v>
      </c>
      <c r="B904">
        <v>149079597.56525439</v>
      </c>
    </row>
    <row r="905" spans="1:2" x14ac:dyDescent="0.25">
      <c r="A905">
        <f ca="1">29175.471273293*((RANDBETWEEN(1620,2416)))</f>
        <v>47672720.0605608</v>
      </c>
      <c r="B905">
        <v>149201423.9577601</v>
      </c>
    </row>
    <row r="906" spans="1:2" x14ac:dyDescent="0.25">
      <c r="A906">
        <f ca="1">33441.2058541304*((RANDBETWEEN(1620,2416)))</f>
        <v>74239476.996169478</v>
      </c>
      <c r="B906">
        <v>163098794.49646378</v>
      </c>
    </row>
    <row r="907" spans="1:2" x14ac:dyDescent="0.25">
      <c r="A907">
        <f ca="1">28366.8694118918*((RANDBETWEEN(1620,2416)))</f>
        <v>63626888.090873308</v>
      </c>
      <c r="B907">
        <v>147186309.08911785</v>
      </c>
    </row>
    <row r="908" spans="1:2" x14ac:dyDescent="0.25">
      <c r="A908">
        <f ca="1">31732.15357362*((RANDBETWEEN(1620,2416)))</f>
        <v>59910305.94699464</v>
      </c>
      <c r="B908">
        <v>149051326.7823059</v>
      </c>
    </row>
    <row r="909" spans="1:2" x14ac:dyDescent="0.25">
      <c r="A909">
        <f ca="1">31335.1918047042*((RANDBETWEEN(1620,2416)))</f>
        <v>58095445.605921634</v>
      </c>
      <c r="B909">
        <v>154991725.44470012</v>
      </c>
    </row>
    <row r="910" spans="1:2" x14ac:dyDescent="0.25">
      <c r="A910">
        <f ca="1">30470.2766779084*((RANDBETWEEN(1620,2416)))</f>
        <v>67065078.96807643</v>
      </c>
      <c r="B910">
        <v>166099010.5799787</v>
      </c>
    </row>
    <row r="911" spans="1:2" x14ac:dyDescent="0.25">
      <c r="A911">
        <f ca="1">30094.3185911139*((RANDBETWEEN(1620,2416)))</f>
        <v>62325333.802196898</v>
      </c>
      <c r="B911">
        <v>165381682.90690351</v>
      </c>
    </row>
    <row r="912" spans="1:2" x14ac:dyDescent="0.25">
      <c r="A912">
        <f ca="1">33848.4476800335*((RANDBETWEEN(1620,2416)))</f>
        <v>56222271.596535586</v>
      </c>
      <c r="B912">
        <v>183768535.8708224</v>
      </c>
    </row>
    <row r="913" spans="1:2" x14ac:dyDescent="0.25">
      <c r="A913">
        <f ca="1">38271.6413817494*((RANDBETWEEN(1620,2416)))</f>
        <v>87067984.143479913</v>
      </c>
      <c r="B913">
        <v>155328806.24078941</v>
      </c>
    </row>
    <row r="914" spans="1:2" x14ac:dyDescent="0.25">
      <c r="A914">
        <f ca="1">29464.6726178045*((RANDBETWEEN(1620,2416)))</f>
        <v>66501766.098384663</v>
      </c>
      <c r="B914">
        <v>165510136.45464069</v>
      </c>
    </row>
    <row r="915" spans="1:2" x14ac:dyDescent="0.25">
      <c r="A915">
        <f ca="1">32859.4960354314*((RANDBETWEEN(1620,2416)))</f>
        <v>65390397.110508531</v>
      </c>
      <c r="B915">
        <v>202610326.18148544</v>
      </c>
    </row>
    <row r="916" spans="1:2" x14ac:dyDescent="0.25">
      <c r="A916">
        <f ca="1">37447.4731209467*((RANDBETWEEN(1620,2416)))</f>
        <v>73584284.682660297</v>
      </c>
      <c r="B916">
        <v>179546538.46829864</v>
      </c>
    </row>
    <row r="917" spans="1:2" x14ac:dyDescent="0.25">
      <c r="A917">
        <f ca="1">37022.5923915535*((RANDBETWEEN(1620,2416)))</f>
        <v>82708471.40273051</v>
      </c>
      <c r="B917">
        <v>189008589.52216214</v>
      </c>
    </row>
    <row r="918" spans="1:2" x14ac:dyDescent="0.25">
      <c r="A918">
        <f ca="1">34670.0995208648*((RANDBETWEEN(1620,2416)))</f>
        <v>75927517.95069401</v>
      </c>
      <c r="B918">
        <v>169219539.44176915</v>
      </c>
    </row>
    <row r="919" spans="1:2" x14ac:dyDescent="0.25">
      <c r="A919">
        <f ca="1">33496.8355242958*((RANDBETWEEN(1620,2416)))</f>
        <v>57815538.114934534</v>
      </c>
      <c r="B919">
        <v>155534339.02960724</v>
      </c>
    </row>
    <row r="920" spans="1:2" x14ac:dyDescent="0.25">
      <c r="A920">
        <f ca="1">29463.122518948*((RANDBETWEEN(1620,2416)))</f>
        <v>59368191.875680268</v>
      </c>
      <c r="B920">
        <v>145012926.20439431</v>
      </c>
    </row>
    <row r="921" spans="1:2" x14ac:dyDescent="0.25">
      <c r="A921">
        <f ca="1">32254.2830403793*((RANDBETWEEN(1620,2416)))</f>
        <v>67088908.723988861</v>
      </c>
      <c r="B921">
        <v>163296293.59974763</v>
      </c>
    </row>
    <row r="922" spans="1:2" x14ac:dyDescent="0.25">
      <c r="A922">
        <f ca="1">30143.1829777522*((RANDBETWEEN(1620,2416)))</f>
        <v>56066320.33861912</v>
      </c>
      <c r="B922">
        <v>149130201.49751842</v>
      </c>
    </row>
    <row r="923" spans="1:2" x14ac:dyDescent="0.25">
      <c r="A923">
        <f ca="1">30591.3326474572*((RANDBETWEEN(1620,2416)))</f>
        <v>70696569.748273492</v>
      </c>
      <c r="B923">
        <v>191767481.3693479</v>
      </c>
    </row>
    <row r="924" spans="1:2" x14ac:dyDescent="0.25">
      <c r="A924">
        <f ca="1">32231.9036687146*((RANDBETWEEN(1620,2416)))</f>
        <v>69169665.273061439</v>
      </c>
      <c r="B924">
        <v>177059879.75041676</v>
      </c>
    </row>
    <row r="925" spans="1:2" x14ac:dyDescent="0.25">
      <c r="A925">
        <f ca="1">37005.1921839889*((RANDBETWEEN(1620,2416)))</f>
        <v>79968220.3096001</v>
      </c>
      <c r="B925">
        <v>201594791.03105727</v>
      </c>
    </row>
    <row r="926" spans="1:2" x14ac:dyDescent="0.25">
      <c r="A926">
        <f ca="1">39233.4253865104*((RANDBETWEEN(1620,2416)))</f>
        <v>91531581.42672886</v>
      </c>
      <c r="B926">
        <v>193075977.7602511</v>
      </c>
    </row>
    <row r="927" spans="1:2" x14ac:dyDescent="0.25">
      <c r="A927">
        <f ca="1">38630.9138729449*((RANDBETWEEN(1620,2416)))</f>
        <v>62659342.301916644</v>
      </c>
      <c r="B927">
        <v>165779200.68381339</v>
      </c>
    </row>
    <row r="928" spans="1:2" x14ac:dyDescent="0.25">
      <c r="A928">
        <f ca="1">28694.4259619071*((RANDBETWEEN(1620,2416)))</f>
        <v>53027299.177604228</v>
      </c>
      <c r="B928">
        <v>180176665.21238944</v>
      </c>
    </row>
    <row r="929" spans="1:2" x14ac:dyDescent="0.25">
      <c r="A929">
        <f ca="1">41710.3138197297*((RANDBETWEEN(1620,2416)))</f>
        <v>85589563.958085418</v>
      </c>
      <c r="B929">
        <v>157599879.04187462</v>
      </c>
    </row>
    <row r="930" spans="1:2" x14ac:dyDescent="0.25">
      <c r="A930">
        <f ca="1">34722.4554248971*((RANDBETWEEN(1620,2416)))</f>
        <v>71736592.907837451</v>
      </c>
      <c r="B930">
        <v>151902022.43260637</v>
      </c>
    </row>
    <row r="931" spans="1:2" x14ac:dyDescent="0.25">
      <c r="A931">
        <f ca="1">35962.4827756019*((RANDBETWEEN(1620,2416)))</f>
        <v>71349565.826794118</v>
      </c>
      <c r="B931">
        <v>193239421.02887991</v>
      </c>
    </row>
    <row r="932" spans="1:2" x14ac:dyDescent="0.25">
      <c r="A932">
        <f ca="1">31852.8419939044*((RANDBETWEEN(1620,2416)))</f>
        <v>70840720.59444347</v>
      </c>
      <c r="B932">
        <v>182972098.84674859</v>
      </c>
    </row>
    <row r="933" spans="1:2" x14ac:dyDescent="0.25">
      <c r="A933">
        <f ca="1">31144.6872087593*((RANDBETWEEN(1620,2416)))</f>
        <v>58614301.326885052</v>
      </c>
      <c r="B933">
        <v>161786009.58524296</v>
      </c>
    </row>
    <row r="934" spans="1:2" x14ac:dyDescent="0.25">
      <c r="A934">
        <f ca="1">33420.9950490777*((RANDBETWEEN(1620,2416)))</f>
        <v>65271203.330848783</v>
      </c>
      <c r="B934">
        <v>150594633.79766297</v>
      </c>
    </row>
    <row r="935" spans="1:2" x14ac:dyDescent="0.25">
      <c r="A935">
        <f ca="1">42832.6131159765*((RANDBETWEEN(1620,2416)))</f>
        <v>95730890.314207524</v>
      </c>
      <c r="B935">
        <v>200637570.45089939</v>
      </c>
    </row>
    <row r="936" spans="1:2" x14ac:dyDescent="0.25">
      <c r="A936">
        <f ca="1">32853.5009519053*((RANDBETWEEN(1620,2416)))</f>
        <v>69189473.004712567</v>
      </c>
      <c r="B936">
        <v>150182738.46647495</v>
      </c>
    </row>
    <row r="937" spans="1:2" x14ac:dyDescent="0.25">
      <c r="A937">
        <f ca="1">31393.2772633879*((RANDBETWEEN(1620,2416)))</f>
        <v>63320240.240253434</v>
      </c>
      <c r="B937">
        <v>160940421.37022224</v>
      </c>
    </row>
    <row r="938" spans="1:2" x14ac:dyDescent="0.25">
      <c r="A938">
        <f ca="1">30684.2282747555*((RANDBETWEEN(1620,2416)))</f>
        <v>51979082.697435781</v>
      </c>
      <c r="B938">
        <v>203377383.84501755</v>
      </c>
    </row>
    <row r="939" spans="1:2" x14ac:dyDescent="0.25">
      <c r="A939">
        <f ca="1">34368.995140309*((RANDBETWEEN(1620,2416)))</f>
        <v>63926330.960974813</v>
      </c>
      <c r="B939">
        <v>144334012.21663189</v>
      </c>
    </row>
    <row r="940" spans="1:2" x14ac:dyDescent="0.25">
      <c r="A940">
        <f ca="1">36911.1307681352*((RANDBETWEEN(1620,2416)))</f>
        <v>60755721.244350508</v>
      </c>
      <c r="B940">
        <v>152115411.73837379</v>
      </c>
    </row>
    <row r="941" spans="1:2" x14ac:dyDescent="0.25">
      <c r="A941">
        <f ca="1">40297.0748709338*((RANDBETWEEN(1620,2416)))</f>
        <v>89499803.288343877</v>
      </c>
      <c r="B941">
        <v>176843381.48028749</v>
      </c>
    </row>
    <row r="942" spans="1:2" x14ac:dyDescent="0.25">
      <c r="A942">
        <f ca="1">32855.8901154283*((RANDBETWEEN(1620,2416)))</f>
        <v>64266121.065777846</v>
      </c>
      <c r="B942">
        <v>154134629.24534935</v>
      </c>
    </row>
    <row r="943" spans="1:2" x14ac:dyDescent="0.25">
      <c r="A943">
        <f ca="1">31013.5225961382*((RANDBETWEEN(1620,2416)))</f>
        <v>62306166.895641617</v>
      </c>
      <c r="B943">
        <v>162296833.82870305</v>
      </c>
    </row>
    <row r="944" spans="1:2" x14ac:dyDescent="0.25">
      <c r="A944">
        <f ca="1">30834.7659091663*((RANDBETWEEN(1620,2416)))</f>
        <v>67836485.000165924</v>
      </c>
      <c r="B944">
        <v>150801963.66814005</v>
      </c>
    </row>
    <row r="945" spans="1:2" x14ac:dyDescent="0.25">
      <c r="A945">
        <f ca="1">30602.2792031251*((RANDBETWEEN(1620,2416)))</f>
        <v>62459251.853578381</v>
      </c>
      <c r="B945">
        <v>184749080.17190725</v>
      </c>
    </row>
    <row r="946" spans="1:2" x14ac:dyDescent="0.25">
      <c r="A946">
        <f ca="1">32426.248542952*((RANDBETWEEN(1620,2416)))</f>
        <v>66246825.77325093</v>
      </c>
      <c r="B946">
        <v>155631969.13807186</v>
      </c>
    </row>
    <row r="947" spans="1:2" x14ac:dyDescent="0.25">
      <c r="A947">
        <f ca="1">34042.0519711679*((RANDBETWEEN(1620,2416)))</f>
        <v>66586253.65560437</v>
      </c>
      <c r="B947">
        <v>190370654.63982311</v>
      </c>
    </row>
    <row r="948" spans="1:2" x14ac:dyDescent="0.25">
      <c r="A948">
        <f ca="1">36792.7401108792*((RANDBETWEEN(1620,2416)))</f>
        <v>70237340.871668369</v>
      </c>
      <c r="B948">
        <v>146803999.69715673</v>
      </c>
    </row>
    <row r="949" spans="1:2" x14ac:dyDescent="0.25">
      <c r="A949">
        <f ca="1">30500.6123637138*((RANDBETWEEN(1620,2416)))</f>
        <v>50234508.563036568</v>
      </c>
      <c r="B949">
        <v>188620570.30553666</v>
      </c>
    </row>
    <row r="950" spans="1:2" x14ac:dyDescent="0.25">
      <c r="A950">
        <f ca="1">39331.5208162052*((RANDBETWEEN(1620,2416)))</f>
        <v>76696465.591600135</v>
      </c>
      <c r="B950">
        <v>147011648.403844</v>
      </c>
    </row>
    <row r="951" spans="1:2" x14ac:dyDescent="0.25">
      <c r="A951">
        <f ca="1">39371.5287045341*((RANDBETWEEN(1620,2416)))</f>
        <v>69057661.34775278</v>
      </c>
      <c r="B951">
        <v>145241696.84750575</v>
      </c>
    </row>
    <row r="952" spans="1:2" x14ac:dyDescent="0.25">
      <c r="A952">
        <f ca="1">31761.6392041882*((RANDBETWEEN(1620,2416)))</f>
        <v>55932246.638575435</v>
      </c>
      <c r="B952">
        <v>197419526.53979564</v>
      </c>
    </row>
    <row r="953" spans="1:2" x14ac:dyDescent="0.25">
      <c r="A953">
        <f ca="1">36063.0295977452*((RANDBETWEEN(1620,2416)))</f>
        <v>73460391.290606946</v>
      </c>
      <c r="B953">
        <v>169464422.47515425</v>
      </c>
    </row>
    <row r="954" spans="1:2" x14ac:dyDescent="0.25">
      <c r="A954">
        <f ca="1">35415.8659100056*((RANDBETWEEN(1620,2416)))</f>
        <v>78091984.33156231</v>
      </c>
      <c r="B954">
        <v>155220418.41084039</v>
      </c>
    </row>
    <row r="955" spans="1:2" x14ac:dyDescent="0.25">
      <c r="A955">
        <f ca="1">39485.0233405595*((RANDBETWEEN(1620,2416)))</f>
        <v>72612957.923288941</v>
      </c>
      <c r="B955">
        <v>152549161.77668226</v>
      </c>
    </row>
    <row r="956" spans="1:2" x14ac:dyDescent="0.25">
      <c r="A956">
        <f ca="1">30624.1088375825*((RANDBETWEEN(1620,2416)))</f>
        <v>52857211.853667341</v>
      </c>
      <c r="B956">
        <v>176299791.7650969</v>
      </c>
    </row>
    <row r="957" spans="1:2" x14ac:dyDescent="0.25">
      <c r="A957">
        <f ca="1">31572.2366644704*((RANDBETWEEN(1620,2416)))</f>
        <v>64596796.215506405</v>
      </c>
      <c r="B957">
        <v>145060594.39487368</v>
      </c>
    </row>
    <row r="958" spans="1:2" x14ac:dyDescent="0.25">
      <c r="A958">
        <f ca="1">31763.7049146809*((RANDBETWEEN(1620,2416)))</f>
        <v>66735544.025744617</v>
      </c>
      <c r="B958">
        <v>149612236.23265535</v>
      </c>
    </row>
    <row r="959" spans="1:2" x14ac:dyDescent="0.25">
      <c r="A959">
        <f ca="1">33688.4126779122*((RANDBETWEEN(1620,2416)))</f>
        <v>65119701.706404373</v>
      </c>
      <c r="B959">
        <v>178595373.26536629</v>
      </c>
    </row>
    <row r="960" spans="1:2" x14ac:dyDescent="0.25">
      <c r="A960">
        <f ca="1">40712.3073646437*((RANDBETWEEN(1620,2416)))</f>
        <v>84070914.707989261</v>
      </c>
      <c r="B960">
        <v>174768589.63671982</v>
      </c>
    </row>
    <row r="961" spans="1:2" x14ac:dyDescent="0.25">
      <c r="A961">
        <f ca="1">35784.7943951111*((RANDBETWEEN(1620,2416)))</f>
        <v>66738641.546882205</v>
      </c>
      <c r="B961">
        <v>150448370.91315293</v>
      </c>
    </row>
    <row r="962" spans="1:2" x14ac:dyDescent="0.25">
      <c r="A962">
        <f ca="1">31069.2233843011*((RANDBETWEEN(1620,2416)))</f>
        <v>59404355.110783651</v>
      </c>
      <c r="B962">
        <v>193268474.27903956</v>
      </c>
    </row>
    <row r="963" spans="1:2" x14ac:dyDescent="0.25">
      <c r="A963">
        <f ca="1">29448.8950190809*((RANDBETWEEN(1620,2416)))</f>
        <v>56689122.911730647</v>
      </c>
      <c r="B963">
        <v>148949708.52439815</v>
      </c>
    </row>
    <row r="964" spans="1:2" x14ac:dyDescent="0.25">
      <c r="A964">
        <f ca="1">39827.3022588133*((RANDBETWEEN(1620,2416)))</f>
        <v>65117639.193159752</v>
      </c>
      <c r="B964">
        <v>170277440.11001164</v>
      </c>
    </row>
    <row r="965" spans="1:2" x14ac:dyDescent="0.25">
      <c r="A965">
        <f ca="1">37653.326453342*((RANDBETWEEN(1620,2416)))</f>
        <v>88033477.247913659</v>
      </c>
      <c r="B965">
        <v>170031196.55818987</v>
      </c>
    </row>
    <row r="966" spans="1:2" x14ac:dyDescent="0.25">
      <c r="A966">
        <f ca="1">28940.8861325228*((RANDBETWEEN(1620,2416)))</f>
        <v>60370688.472442552</v>
      </c>
      <c r="B966">
        <v>187550050.06001294</v>
      </c>
    </row>
    <row r="967" spans="1:2" x14ac:dyDescent="0.25">
      <c r="A967">
        <f ca="1">32637.4462478659*((RANDBETWEEN(1620,2416)))</f>
        <v>70398971.55664672</v>
      </c>
      <c r="B967">
        <v>179624587.11694443</v>
      </c>
    </row>
    <row r="968" spans="1:2" x14ac:dyDescent="0.25">
      <c r="A968">
        <f ca="1">32580.3883178617*((RANDBETWEEN(1620,2416)))</f>
        <v>74706830.412856817</v>
      </c>
      <c r="B968">
        <v>201407054.30419034</v>
      </c>
    </row>
    <row r="969" spans="1:2" x14ac:dyDescent="0.25">
      <c r="A969">
        <f ca="1">35561.0253896649*((RANDBETWEEN(1620,2416)))</f>
        <v>78945476.365055963</v>
      </c>
      <c r="B969">
        <v>165934259.46980146</v>
      </c>
    </row>
    <row r="970" spans="1:2" x14ac:dyDescent="0.25">
      <c r="A970">
        <f ca="1">32856.7133716622*((RANDBETWEEN(1620,2416)))</f>
        <v>78494688.244900987</v>
      </c>
      <c r="B970">
        <v>151233757.80247995</v>
      </c>
    </row>
    <row r="971" spans="1:2" x14ac:dyDescent="0.25">
      <c r="A971">
        <f ca="1">30590.5842248402*((RANDBETWEEN(1620,2416)))</f>
        <v>51269819.160832219</v>
      </c>
      <c r="B971">
        <v>148724117.80368885</v>
      </c>
    </row>
    <row r="972" spans="1:2" x14ac:dyDescent="0.25">
      <c r="A972">
        <f ca="1">32180.931171245*((RANDBETWEEN(1620,2416)))</f>
        <v>74724122.179630801</v>
      </c>
      <c r="B972">
        <v>188512991.75078055</v>
      </c>
    </row>
    <row r="973" spans="1:2" x14ac:dyDescent="0.25">
      <c r="A973">
        <f ca="1">33644.9908694303*((RANDBETWEEN(1620,2416)))</f>
        <v>58441349.140200421</v>
      </c>
      <c r="B973">
        <v>176501868.35063028</v>
      </c>
    </row>
    <row r="974" spans="1:2" x14ac:dyDescent="0.25">
      <c r="A974">
        <f ca="1">30904.5067089626*((RANDBETWEEN(1620,2416)))</f>
        <v>65146700.142493233</v>
      </c>
      <c r="B974">
        <v>158065809.28947341</v>
      </c>
    </row>
    <row r="975" spans="1:2" x14ac:dyDescent="0.25">
      <c r="A975">
        <f ca="1">30801.3558430432*((RANDBETWEEN(1620,2416)))</f>
        <v>67547373.363793835</v>
      </c>
      <c r="B975">
        <v>167120032.48269004</v>
      </c>
    </row>
    <row r="976" spans="1:2" x14ac:dyDescent="0.25">
      <c r="A976">
        <f ca="1">30723.8101822355*((RANDBETWEEN(1620,2416)))</f>
        <v>55333582.138206169</v>
      </c>
      <c r="B976">
        <v>159193561.23527211</v>
      </c>
    </row>
    <row r="977" spans="1:2" x14ac:dyDescent="0.25">
      <c r="A977">
        <f ca="1">32414.5037860359*((RANDBETWEEN(1620,2416)))</f>
        <v>58184034.295934431</v>
      </c>
      <c r="B977">
        <v>158415595.70187965</v>
      </c>
    </row>
    <row r="978" spans="1:2" x14ac:dyDescent="0.25">
      <c r="A978">
        <f ca="1">40768.2057288422*((RANDBETWEEN(1620,2416)))</f>
        <v>75502717.009815738</v>
      </c>
      <c r="B978">
        <v>165699895.78884205</v>
      </c>
    </row>
    <row r="979" spans="1:2" x14ac:dyDescent="0.25">
      <c r="A979">
        <f ca="1">29810.1517478164*((RANDBETWEEN(1620,2416)))</f>
        <v>65820815.05917871</v>
      </c>
      <c r="B979">
        <v>175146564.24611592</v>
      </c>
    </row>
    <row r="980" spans="1:2" x14ac:dyDescent="0.25">
      <c r="A980">
        <f ca="1">31554.0632120358*((RANDBETWEEN(1620,2416)))</f>
        <v>66168870.555638984</v>
      </c>
      <c r="B980">
        <v>165221413.76649714</v>
      </c>
    </row>
    <row r="981" spans="1:2" x14ac:dyDescent="0.25">
      <c r="A981">
        <f ca="1">33049.5901486994*((RANDBETWEEN(1620,2416)))</f>
        <v>56514799.154276021</v>
      </c>
      <c r="B981">
        <v>174381614.93927324</v>
      </c>
    </row>
    <row r="982" spans="1:2" x14ac:dyDescent="0.25">
      <c r="A982">
        <f ca="1">30412.4472194146*((RANDBETWEEN(1620,2416)))</f>
        <v>54225393.392216235</v>
      </c>
      <c r="B982">
        <v>154765535.44847408</v>
      </c>
    </row>
    <row r="983" spans="1:2" x14ac:dyDescent="0.25">
      <c r="A983">
        <f ca="1">30210.4969743023*((RANDBETWEEN(1620,2416)))</f>
        <v>70692562.919867411</v>
      </c>
      <c r="B983">
        <v>152501924.86865994</v>
      </c>
    </row>
    <row r="984" spans="1:2" x14ac:dyDescent="0.25">
      <c r="A984">
        <f ca="1">30577.7923661537*((RANDBETWEEN(1620,2416)))</f>
        <v>53847492.356796607</v>
      </c>
      <c r="B984">
        <v>151374552.61664981</v>
      </c>
    </row>
    <row r="985" spans="1:2" x14ac:dyDescent="0.25">
      <c r="A985">
        <f ca="1">32253.7645437221*((RANDBETWEEN(1620,2416)))</f>
        <v>58411567.588680759</v>
      </c>
      <c r="B985">
        <v>178498702.81033188</v>
      </c>
    </row>
    <row r="986" spans="1:2" x14ac:dyDescent="0.25">
      <c r="A986">
        <f ca="1">32361.4957160375*((RANDBETWEEN(1620,2416)))</f>
        <v>54367312.802943058</v>
      </c>
      <c r="B986">
        <v>159120696.96428695</v>
      </c>
    </row>
    <row r="987" spans="1:2" x14ac:dyDescent="0.25">
      <c r="A987">
        <f ca="1">37176.6475524956*((RANDBETWEEN(1620,2416)))</f>
        <v>67178202.127359524</v>
      </c>
      <c r="B987">
        <v>174743314.98664311</v>
      </c>
    </row>
    <row r="988" spans="1:2" x14ac:dyDescent="0.25">
      <c r="A988">
        <f ca="1">42278.5785524229*((RANDBETWEEN(1620,2416)))</f>
        <v>101637702.84002475</v>
      </c>
      <c r="B988">
        <v>180021693.8091279</v>
      </c>
    </row>
    <row r="989" spans="1:2" x14ac:dyDescent="0.25">
      <c r="A989">
        <f ca="1">32069.5046496055*((RANDBETWEEN(1620,2416)))</f>
        <v>62535534.066730738</v>
      </c>
      <c r="B989">
        <v>148138599.8249954</v>
      </c>
    </row>
    <row r="990" spans="1:2" x14ac:dyDescent="0.25">
      <c r="A990">
        <f ca="1">31290.5973223121*((RANDBETWEEN(1620,2416)))</f>
        <v>64489921.081285231</v>
      </c>
      <c r="B990">
        <v>170221148.86190462</v>
      </c>
    </row>
    <row r="991" spans="1:2" x14ac:dyDescent="0.25">
      <c r="A991">
        <f ca="1">30276.1789689924*((RANDBETWEEN(1620,2416)))</f>
        <v>63156109.329318151</v>
      </c>
      <c r="B991">
        <v>144938303.26066306</v>
      </c>
    </row>
    <row r="992" spans="1:2" x14ac:dyDescent="0.25">
      <c r="A992">
        <f ca="1">31027.4145359302*((RANDBETWEEN(1620,2416)))</f>
        <v>71921546.894286126</v>
      </c>
      <c r="B992">
        <v>189082129.1140756</v>
      </c>
    </row>
    <row r="993" spans="1:2" x14ac:dyDescent="0.25">
      <c r="A993">
        <f ca="1">31073.9130430771*((RANDBETWEEN(1620,2416)))</f>
        <v>60065873.912267983</v>
      </c>
      <c r="B993">
        <v>184656547.76307815</v>
      </c>
    </row>
    <row r="994" spans="1:2" x14ac:dyDescent="0.25">
      <c r="A994">
        <f ca="1">37593.9057880359*((RANDBETWEEN(1620,2416)))</f>
        <v>61165284.717134483</v>
      </c>
      <c r="B994">
        <v>186914585.63691664</v>
      </c>
    </row>
    <row r="995" spans="1:2" x14ac:dyDescent="0.25">
      <c r="A995">
        <f ca="1">29084.4868336319*((RANDBETWEEN(1620,2416)))</f>
        <v>54446159.352558933</v>
      </c>
      <c r="B995">
        <v>171470747.02909288</v>
      </c>
    </row>
    <row r="996" spans="1:2" x14ac:dyDescent="0.25">
      <c r="A996">
        <f ca="1">29905.4253612466*((RANDBETWEEN(1620,2416)))</f>
        <v>70337560.449652001</v>
      </c>
      <c r="B996">
        <v>169384436.01296255</v>
      </c>
    </row>
    <row r="997" spans="1:2" x14ac:dyDescent="0.25">
      <c r="A997">
        <f ca="1">31621.0681075191*((RANDBETWEEN(1620,2416)))</f>
        <v>59415986.974028483</v>
      </c>
      <c r="B997">
        <v>147195064.20125017</v>
      </c>
    </row>
    <row r="998" spans="1:2" x14ac:dyDescent="0.25">
      <c r="A998">
        <f ca="1">32456.0094694763*((RANDBETWEEN(1620,2416)))</f>
        <v>55694512.249621414</v>
      </c>
      <c r="B998">
        <v>154453699.62355062</v>
      </c>
    </row>
    <row r="999" spans="1:2" x14ac:dyDescent="0.25">
      <c r="A999">
        <f ca="1">29446.068653234*((RANDBETWEEN(1620,2416)))</f>
        <v>60305548.601823241</v>
      </c>
      <c r="B999">
        <v>195351401.07890469</v>
      </c>
    </row>
    <row r="1000" spans="1:2" x14ac:dyDescent="0.25">
      <c r="A1000">
        <f ca="1">27481.5464339561*((RANDBETWEEN(1620,2416)))</f>
        <v>44904846.873084232</v>
      </c>
      <c r="B1000">
        <v>143613791.71651831</v>
      </c>
    </row>
    <row r="1001" spans="1:2" x14ac:dyDescent="0.25">
      <c r="A1001">
        <f ca="1">37448.9910602573*((RANDBETWEEN(1620,2416)))</f>
        <v>69355531.443596542</v>
      </c>
      <c r="B1001">
        <v>152173231.53347576</v>
      </c>
    </row>
    <row r="1002" spans="1:2" x14ac:dyDescent="0.25">
      <c r="A1002">
        <f ca="1">35368.4902696185*((RANDBETWEEN(1620,2416)))</f>
        <v>65290233.037715673</v>
      </c>
      <c r="B1002">
        <v>184874975.01186118</v>
      </c>
    </row>
    <row r="1003" spans="1:2" x14ac:dyDescent="0.25">
      <c r="A1003">
        <f ca="1">37465.0891876*((RANDBETWEEN(1620,2416)))</f>
        <v>62828954.567605227</v>
      </c>
      <c r="B1003">
        <v>198417739.45349193</v>
      </c>
    </row>
    <row r="1004" spans="1:2" x14ac:dyDescent="0.25">
      <c r="A1004">
        <f ca="1">36839.6925207939*((RANDBETWEEN(1620,2416)))</f>
        <v>80936804.468184173</v>
      </c>
      <c r="B1004">
        <v>198787430.37024787</v>
      </c>
    </row>
    <row r="1005" spans="1:2" x14ac:dyDescent="0.25">
      <c r="A1005">
        <f ca="1">33333.8085535146*((RANDBETWEEN(1620,2416)))</f>
        <v>77634440.121135414</v>
      </c>
      <c r="B1005">
        <v>146225162.52425832</v>
      </c>
    </row>
    <row r="1006" spans="1:2" x14ac:dyDescent="0.25">
      <c r="A1006">
        <f ca="1">29178.7977771856*((RANDBETWEEN(1620,2416)))</f>
        <v>60108323.421002306</v>
      </c>
      <c r="B1006">
        <v>151543714.2860885</v>
      </c>
    </row>
    <row r="1007" spans="1:2" x14ac:dyDescent="0.25">
      <c r="A1007">
        <f ca="1">30977.5210077996*((RANDBETWEEN(1620,2416)))</f>
        <v>61211581.511411943</v>
      </c>
      <c r="B1007">
        <v>150284515.44777495</v>
      </c>
    </row>
    <row r="1008" spans="1:2" x14ac:dyDescent="0.25">
      <c r="A1008">
        <f ca="1">33598.708810367*((RANDBETWEEN(1620,2416)))</f>
        <v>69851715.616752997</v>
      </c>
      <c r="B1008">
        <v>146734978.70189947</v>
      </c>
    </row>
    <row r="1009" spans="1:2" x14ac:dyDescent="0.25">
      <c r="A1009">
        <f ca="1">33903.5859843209*((RANDBETWEEN(1620,2416)))</f>
        <v>54923809.294599861</v>
      </c>
      <c r="B1009">
        <v>191682727.05140862</v>
      </c>
    </row>
    <row r="1010" spans="1:2" x14ac:dyDescent="0.25">
      <c r="A1010">
        <f ca="1">30021.8895917584*((RANDBETWEEN(1620,2416)))</f>
        <v>58092356.360052496</v>
      </c>
      <c r="B1010">
        <v>181802876.04435953</v>
      </c>
    </row>
    <row r="1011" spans="1:2" x14ac:dyDescent="0.25">
      <c r="A1011">
        <f ca="1">36523.9745255459*((RANDBETWEEN(1620,2416)))</f>
        <v>67971116.592040926</v>
      </c>
      <c r="B1011">
        <v>171981874.29096681</v>
      </c>
    </row>
    <row r="1012" spans="1:2" x14ac:dyDescent="0.25">
      <c r="A1012">
        <f ca="1">30931.1335836965*((RANDBETWEEN(1620,2416)))</f>
        <v>56634905.591748349</v>
      </c>
      <c r="B1012">
        <v>155986496.69737741</v>
      </c>
    </row>
    <row r="1013" spans="1:2" x14ac:dyDescent="0.25">
      <c r="A1013">
        <f ca="1">40261.1819201772*((RANDBETWEEN(1620,2416)))</f>
        <v>67719307.989738032</v>
      </c>
      <c r="B1013">
        <v>162227235.00975588</v>
      </c>
    </row>
    <row r="1014" spans="1:2" x14ac:dyDescent="0.25">
      <c r="A1014">
        <f ca="1">38865.2463618301*((RANDBETWEEN(1620,2416)))</f>
        <v>91994038.138451874</v>
      </c>
      <c r="B1014">
        <v>174617225.1108028</v>
      </c>
    </row>
    <row r="1015" spans="1:2" x14ac:dyDescent="0.25">
      <c r="A1015">
        <f ca="1">29520.4242031089*((RANDBETWEEN(1620,2416)))</f>
        <v>63616514.15769957</v>
      </c>
      <c r="B1015">
        <v>176294605.49633086</v>
      </c>
    </row>
    <row r="1016" spans="1:2" x14ac:dyDescent="0.25">
      <c r="A1016">
        <f ca="1">38611.9803947874*((RANDBETWEEN(1620,2416)))</f>
        <v>91278721.653277442</v>
      </c>
      <c r="B1016">
        <v>190198561.07218051</v>
      </c>
    </row>
    <row r="1017" spans="1:2" x14ac:dyDescent="0.25">
      <c r="A1017">
        <f ca="1">37133.3934040122*((RANDBETWEEN(1620,2416)))</f>
        <v>77051791.31332536</v>
      </c>
      <c r="B1017">
        <v>186253879.87436551</v>
      </c>
    </row>
    <row r="1018" spans="1:2" x14ac:dyDescent="0.25">
      <c r="A1018">
        <f ca="1">35591.0131307396*((RANDBETWEEN(1620,2416)))</f>
        <v>58511625.586935878</v>
      </c>
      <c r="B1018">
        <v>171523883.50527748</v>
      </c>
    </row>
    <row r="1019" spans="1:2" x14ac:dyDescent="0.25">
      <c r="A1019">
        <f ca="1">32246.0520340309*((RANDBETWEEN(1620,2416)))</f>
        <v>67362002.69909054</v>
      </c>
      <c r="B1019">
        <v>170214429.62515444</v>
      </c>
    </row>
    <row r="1020" spans="1:2" x14ac:dyDescent="0.25">
      <c r="A1020">
        <f ca="1">33297.7499479609*((RANDBETWEEN(1620,2416)))</f>
        <v>66628797.645869769</v>
      </c>
      <c r="B1020">
        <v>154491170.12522653</v>
      </c>
    </row>
    <row r="1021" spans="1:2" x14ac:dyDescent="0.25">
      <c r="A1021">
        <f ca="1">30186.6329376809*((RANDBETWEEN(1620,2416)))</f>
        <v>56449003.593463264</v>
      </c>
      <c r="B1021">
        <v>167090565.45627257</v>
      </c>
    </row>
    <row r="1022" spans="1:2" x14ac:dyDescent="0.25">
      <c r="A1022">
        <f ca="1">31084.6594741532*((RANDBETWEEN(1620,2416)))</f>
        <v>69847229.838422239</v>
      </c>
      <c r="B1022">
        <v>169151669.01869208</v>
      </c>
    </row>
    <row r="1023" spans="1:2" x14ac:dyDescent="0.25">
      <c r="A1023">
        <f ca="1">29256.3790970475*((RANDBETWEEN(1620,2416)))</f>
        <v>48155999.993740164</v>
      </c>
      <c r="B1023">
        <v>148764608.06799871</v>
      </c>
    </row>
    <row r="1024" spans="1:2" x14ac:dyDescent="0.25">
      <c r="A1024">
        <f ca="1">28464.5352244358*((RANDBETWEEN(1620,2416)))</f>
        <v>66663941.49562861</v>
      </c>
      <c r="B1024">
        <v>155993792.8442924</v>
      </c>
    </row>
    <row r="1025" spans="1:2" x14ac:dyDescent="0.25">
      <c r="A1025">
        <f ca="1">31840.3686857194*((RANDBETWEEN(1620,2416)))</f>
        <v>74219899.406411856</v>
      </c>
      <c r="B1025">
        <v>185642345.42711854</v>
      </c>
    </row>
    <row r="1026" spans="1:2" x14ac:dyDescent="0.25">
      <c r="A1026">
        <f ca="1">38445.3983909294*((RANDBETWEEN(1620,2416)))</f>
        <v>70931760.031264663</v>
      </c>
      <c r="B1026">
        <v>147711243.19527245</v>
      </c>
    </row>
    <row r="1027" spans="1:2" x14ac:dyDescent="0.25">
      <c r="A1027">
        <f ca="1">33446.6901166389*((RANDBETWEEN(1620,2416)))</f>
        <v>62812884.039047919</v>
      </c>
      <c r="B1027">
        <v>163253096.63957042</v>
      </c>
    </row>
    <row r="1028" spans="1:2" x14ac:dyDescent="0.25">
      <c r="A1028">
        <f ca="1">32240.6264197193*((RANDBETWEEN(1620,2416)))</f>
        <v>54905786.792781979</v>
      </c>
      <c r="B1028">
        <v>163170777.30670789</v>
      </c>
    </row>
    <row r="1029" spans="1:2" x14ac:dyDescent="0.25">
      <c r="A1029">
        <f ca="1">28604.9321432581*((RANDBETWEEN(1620,2416)))</f>
        <v>55808222.61149656</v>
      </c>
      <c r="B1029">
        <v>152545527.71916348</v>
      </c>
    </row>
    <row r="1030" spans="1:2" x14ac:dyDescent="0.25">
      <c r="A1030">
        <f ca="1">33914.262083327*((RANDBETWEEN(1620,2416)))</f>
        <v>71355607.423319936</v>
      </c>
      <c r="B1030">
        <v>154220003.90449679</v>
      </c>
    </row>
    <row r="1031" spans="1:2" x14ac:dyDescent="0.25">
      <c r="A1031">
        <f ca="1">40008.6017696016*((RANDBETWEEN(1620,2416)))</f>
        <v>91979775.468314111</v>
      </c>
      <c r="B1031">
        <v>161422650.56735778</v>
      </c>
    </row>
    <row r="1032" spans="1:2" x14ac:dyDescent="0.25">
      <c r="A1032">
        <f ca="1">29324.2784603152*((RANDBETWEEN(1620,2416)))</f>
        <v>67445840.458724856</v>
      </c>
      <c r="B1032">
        <v>153871127.78618211</v>
      </c>
    </row>
    <row r="1033" spans="1:2" x14ac:dyDescent="0.25">
      <c r="A1033">
        <f ca="1">31314.4308089936*((RANDBETWEEN(1620,2416)))</f>
        <v>65415845.95998764</v>
      </c>
      <c r="B1033">
        <v>160579668.77884433</v>
      </c>
    </row>
    <row r="1034" spans="1:2" x14ac:dyDescent="0.25">
      <c r="A1034">
        <f ca="1">33913.8568534117*((RANDBETWEEN(1620,2416)))</f>
        <v>67929455.27738364</v>
      </c>
      <c r="B1034">
        <v>156487057.15177596</v>
      </c>
    </row>
    <row r="1035" spans="1:2" x14ac:dyDescent="0.25">
      <c r="A1035">
        <f ca="1">29669.8657592703*((RANDBETWEEN(1620,2416)))</f>
        <v>59310061.652781405</v>
      </c>
      <c r="B1035">
        <v>167642118.47900963</v>
      </c>
    </row>
    <row r="1036" spans="1:2" x14ac:dyDescent="0.25">
      <c r="A1036">
        <f ca="1">37594.5397597757*((RANDBETWEEN(1620,2416)))</f>
        <v>73384541.611082211</v>
      </c>
      <c r="B1036">
        <v>187185195.66336977</v>
      </c>
    </row>
    <row r="1037" spans="1:2" x14ac:dyDescent="0.25">
      <c r="A1037">
        <f ca="1">38363.8587405738*((RANDBETWEEN(1620,2416)))</f>
        <v>77456630.797218546</v>
      </c>
      <c r="B1037">
        <v>153464150.51672354</v>
      </c>
    </row>
    <row r="1038" spans="1:2" x14ac:dyDescent="0.25">
      <c r="A1038">
        <f ca="1">31130.7838321014*((RANDBETWEEN(1620,2416)))</f>
        <v>68394332.079126865</v>
      </c>
      <c r="B1038">
        <v>155153926.68605292</v>
      </c>
    </row>
    <row r="1039" spans="1:2" x14ac:dyDescent="0.25">
      <c r="A1039">
        <f ca="1">32258.8399129235*((RANDBETWEEN(1620,2416)))</f>
        <v>62872478.9902879</v>
      </c>
      <c r="B1039">
        <v>154450458.91117209</v>
      </c>
    </row>
    <row r="1040" spans="1:2" x14ac:dyDescent="0.25">
      <c r="A1040">
        <f ca="1">31197.1883790687*((RANDBETWEEN(1620,2416)))</f>
        <v>66106842.175246552</v>
      </c>
      <c r="B1040">
        <v>172403201.79134312</v>
      </c>
    </row>
    <row r="1041" spans="1:2" x14ac:dyDescent="0.25">
      <c r="A1041">
        <f ca="1">32813.7593311201*((RANDBETWEEN(1620,2416)))</f>
        <v>74159096.088331386</v>
      </c>
      <c r="B1041">
        <v>181803227.43891752</v>
      </c>
    </row>
    <row r="1042" spans="1:2" x14ac:dyDescent="0.25">
      <c r="A1042">
        <f ca="1">35204.8919785721*((RANDBETWEEN(1620,2416)))</f>
        <v>77063508.541094348</v>
      </c>
      <c r="B1042">
        <v>187129952.88145781</v>
      </c>
    </row>
    <row r="1043" spans="1:2" x14ac:dyDescent="0.25">
      <c r="A1043">
        <f ca="1">33105.5639469479*((RANDBETWEEN(1620,2416)))</f>
        <v>76374536.025608748</v>
      </c>
      <c r="B1043">
        <v>145752985.73465148</v>
      </c>
    </row>
    <row r="1044" spans="1:2" x14ac:dyDescent="0.25">
      <c r="A1044">
        <f ca="1">32509.456899077*((RANDBETWEEN(1620,2416)))</f>
        <v>60825193.858173147</v>
      </c>
      <c r="B1044">
        <v>196403640.98451769</v>
      </c>
    </row>
    <row r="1045" spans="1:2" x14ac:dyDescent="0.25">
      <c r="A1045">
        <f ca="1">32251.1168366986*((RANDBETWEEN(1620,2416)))</f>
        <v>75596617.865221411</v>
      </c>
      <c r="B1045">
        <v>154152242.1972717</v>
      </c>
    </row>
    <row r="1046" spans="1:2" x14ac:dyDescent="0.25">
      <c r="A1046">
        <f ca="1">31130.2465307645*((RANDBETWEEN(1620,2416)))</f>
        <v>67895067.683597296</v>
      </c>
      <c r="B1046">
        <v>151941787.39397123</v>
      </c>
    </row>
    <row r="1047" spans="1:2" x14ac:dyDescent="0.25">
      <c r="A1047">
        <f ca="1">32064.216094893*((RANDBETWEEN(1620,2416)))</f>
        <v>62525221.385041408</v>
      </c>
      <c r="B1047">
        <v>167894155.54860723</v>
      </c>
    </row>
    <row r="1048" spans="1:2" x14ac:dyDescent="0.25">
      <c r="A1048">
        <f ca="1">35607.349885516*((RANDBETWEEN(1620,2416)))</f>
        <v>71855632.068971351</v>
      </c>
      <c r="B1048">
        <v>199421948.95370489</v>
      </c>
    </row>
    <row r="1049" spans="1:2" x14ac:dyDescent="0.25">
      <c r="A1049">
        <f ca="1">32303.2925689215*((RANDBETWEEN(1620,2416)))</f>
        <v>65220347.696652412</v>
      </c>
      <c r="B1049">
        <v>143895033.99680233</v>
      </c>
    </row>
    <row r="1050" spans="1:2" x14ac:dyDescent="0.25">
      <c r="A1050">
        <f ca="1">32092.2042044925*((RANDBETWEEN(1620,2416)))</f>
        <v>54941853.598091096</v>
      </c>
      <c r="B1050">
        <v>182254500.00538597</v>
      </c>
    </row>
    <row r="1051" spans="1:2" x14ac:dyDescent="0.25">
      <c r="A1051">
        <f ca="1">30287.2849891832*((RANDBETWEEN(1620,2416)))</f>
        <v>71599141.714429051</v>
      </c>
      <c r="B1051">
        <v>161047745.0778268</v>
      </c>
    </row>
    <row r="1052" spans="1:2" x14ac:dyDescent="0.25">
      <c r="A1052">
        <f ca="1">35169.3139500522*((RANDBETWEEN(1620,2416)))</f>
        <v>81452131.108320937</v>
      </c>
      <c r="B1052">
        <v>154516507.25841558</v>
      </c>
    </row>
    <row r="1053" spans="1:2" x14ac:dyDescent="0.25">
      <c r="A1053">
        <f ca="1">38335.6571754187*((RANDBETWEEN(1620,2416)))</f>
        <v>62678799.481809638</v>
      </c>
      <c r="B1053">
        <v>193875064.98995379</v>
      </c>
    </row>
    <row r="1054" spans="1:2" x14ac:dyDescent="0.25">
      <c r="A1054">
        <f ca="1">31024.1060257603*((RANDBETWEEN(1620,2416)))</f>
        <v>61303633.50690227</v>
      </c>
      <c r="B1054">
        <v>158181353.0162397</v>
      </c>
    </row>
    <row r="1055" spans="1:2" x14ac:dyDescent="0.25">
      <c r="A1055">
        <f ca="1">37373.1823609326*((RANDBETWEEN(1620,2416)))</f>
        <v>65776800.955241404</v>
      </c>
      <c r="B1055">
        <v>177221971.21148214</v>
      </c>
    </row>
    <row r="1056" spans="1:2" x14ac:dyDescent="0.25">
      <c r="A1056">
        <f ca="1">32013.5239678085*((RANDBETWEEN(1620,2416)))</f>
        <v>57336221.426344991</v>
      </c>
      <c r="B1056">
        <v>151429561.48987424</v>
      </c>
    </row>
    <row r="1057" spans="1:2" x14ac:dyDescent="0.25">
      <c r="A1057">
        <f ca="1">31789.4545041967*((RANDBETWEEN(1620,2416)))</f>
        <v>56871334.108007811</v>
      </c>
      <c r="B1057">
        <v>146522451.71511114</v>
      </c>
    </row>
    <row r="1058" spans="1:2" x14ac:dyDescent="0.25">
      <c r="A1058">
        <f ca="1">30419.6819709942*((RANDBETWEEN(1620,2416)))</f>
        <v>50831288.573531315</v>
      </c>
      <c r="B1058">
        <v>169358558.6073406</v>
      </c>
    </row>
    <row r="1059" spans="1:2" x14ac:dyDescent="0.25">
      <c r="A1059">
        <f ca="1">40220.9661120259*((RANDBETWEEN(1620,2416)))</f>
        <v>79717954.834035277</v>
      </c>
      <c r="B1059">
        <v>203070070.9866966</v>
      </c>
    </row>
    <row r="1060" spans="1:2" x14ac:dyDescent="0.25">
      <c r="A1060">
        <f ca="1">32043.376462893*((RANDBETWEEN(1620,2416)))</f>
        <v>53416308.563642591</v>
      </c>
      <c r="B1060">
        <v>182487522.57117975</v>
      </c>
    </row>
    <row r="1061" spans="1:2" x14ac:dyDescent="0.25">
      <c r="A1061">
        <f ca="1">40513.1132313236*((RANDBETWEEN(1620,2416)))</f>
        <v>87508324.579659</v>
      </c>
      <c r="B1061">
        <v>145712067.32727674</v>
      </c>
    </row>
    <row r="1062" spans="1:2" x14ac:dyDescent="0.25">
      <c r="A1062">
        <f ca="1">28423.5608650293*((RANDBETWEEN(1620,2416)))</f>
        <v>64862565.893996805</v>
      </c>
      <c r="B1062">
        <v>188371741.82305586</v>
      </c>
    </row>
    <row r="1063" spans="1:2" x14ac:dyDescent="0.25">
      <c r="A1063">
        <f ca="1">34526.3148193428*((RANDBETWEEN(1620,2416)))</f>
        <v>67982313.879285917</v>
      </c>
      <c r="B1063">
        <v>146213624.78083727</v>
      </c>
    </row>
    <row r="1064" spans="1:2" x14ac:dyDescent="0.25">
      <c r="A1064">
        <f ca="1">34160.6987650185*((RANDBETWEEN(1620,2416)))</f>
        <v>74743608.897860587</v>
      </c>
      <c r="B1064">
        <v>198748419.56550658</v>
      </c>
    </row>
    <row r="1065" spans="1:2" x14ac:dyDescent="0.25">
      <c r="A1065">
        <f ca="1">29472.5215710505*((RANDBETWEEN(1620,2416)))</f>
        <v>68494140.131121367</v>
      </c>
      <c r="B1065">
        <v>148126165.43255073</v>
      </c>
    </row>
    <row r="1066" spans="1:2" x14ac:dyDescent="0.25">
      <c r="A1066">
        <f ca="1">30430.3118694261*((RANDBETWEEN(1620,2416)))</f>
        <v>65699043.326091044</v>
      </c>
      <c r="B1066">
        <v>155412018.14781085</v>
      </c>
    </row>
    <row r="1067" spans="1:2" x14ac:dyDescent="0.25">
      <c r="A1067">
        <f ca="1">41318.1690521649*((RANDBETWEEN(1620,2416)))</f>
        <v>73959522.603375182</v>
      </c>
      <c r="B1067">
        <v>148246306.94799578</v>
      </c>
    </row>
    <row r="1068" spans="1:2" x14ac:dyDescent="0.25">
      <c r="A1068">
        <f ca="1">38512.0163185381*((RANDBETWEEN(1620,2416)))</f>
        <v>77909809.012402564</v>
      </c>
      <c r="B1068">
        <v>180248073.64990395</v>
      </c>
    </row>
    <row r="1069" spans="1:2" x14ac:dyDescent="0.25">
      <c r="A1069">
        <f ca="1">31814.5459169817*((RANDBETWEEN(1620,2416)))</f>
        <v>53480251.686446242</v>
      </c>
      <c r="B1069">
        <v>200700358.5510641</v>
      </c>
    </row>
    <row r="1070" spans="1:2" x14ac:dyDescent="0.25">
      <c r="A1070">
        <f ca="1">35397.6393909891*((RANDBETWEEN(1620,2416)))</f>
        <v>75715550.65732576</v>
      </c>
      <c r="B1070">
        <v>157979923.2922256</v>
      </c>
    </row>
    <row r="1071" spans="1:2" x14ac:dyDescent="0.25">
      <c r="A1071">
        <f ca="1">27988.800653351*((RANDBETWEEN(1620,2416)))</f>
        <v>64010387.094213784</v>
      </c>
      <c r="B1071">
        <v>144028393.06711811</v>
      </c>
    </row>
    <row r="1072" spans="1:2" x14ac:dyDescent="0.25">
      <c r="A1072">
        <f ca="1">30861.5775062473*((RANDBETWEEN(1620,2416)))</f>
        <v>58359243.064313635</v>
      </c>
      <c r="B1072">
        <v>188952854.39323857</v>
      </c>
    </row>
    <row r="1073" spans="1:2" x14ac:dyDescent="0.25">
      <c r="A1073">
        <f ca="1">33677.0225341886*((RANDBETWEEN(1620,2416)))</f>
        <v>62841324.048796006</v>
      </c>
      <c r="B1073">
        <v>155274133.54328933</v>
      </c>
    </row>
    <row r="1074" spans="1:2" x14ac:dyDescent="0.25">
      <c r="A1074">
        <f ca="1">37945.3483177018*((RANDBETWEEN(1620,2416)))</f>
        <v>63710239.825421281</v>
      </c>
      <c r="B1074">
        <v>149467957.64893115</v>
      </c>
    </row>
    <row r="1075" spans="1:2" x14ac:dyDescent="0.25">
      <c r="A1075">
        <f ca="1">40360.0867949087*((RANDBETWEEN(1620,2416)))</f>
        <v>82496017.408793315</v>
      </c>
      <c r="B1075">
        <v>143201446.45912802</v>
      </c>
    </row>
    <row r="1076" spans="1:2" x14ac:dyDescent="0.25">
      <c r="A1076">
        <f ca="1">37702.0548016334*((RANDBETWEEN(1620,2416)))</f>
        <v>62321496.587100044</v>
      </c>
      <c r="B1076">
        <v>190727832.59690806</v>
      </c>
    </row>
    <row r="1077" spans="1:2" x14ac:dyDescent="0.25">
      <c r="A1077">
        <f ca="1">34155.0917604879*((RANDBETWEEN(1620,2416)))</f>
        <v>57995345.809308611</v>
      </c>
      <c r="B1077">
        <v>176221352.95453215</v>
      </c>
    </row>
    <row r="1078" spans="1:2" x14ac:dyDescent="0.25">
      <c r="A1078">
        <f ca="1">33722.0273476851*((RANDBETWEEN(1620,2416)))</f>
        <v>79921204.81401363</v>
      </c>
      <c r="B1078">
        <v>195324740.83917546</v>
      </c>
    </row>
    <row r="1079" spans="1:2" x14ac:dyDescent="0.25">
      <c r="A1079">
        <f ca="1">37738.0437346758*((RANDBETWEEN(1620,2416)))</f>
        <v>72758948.320454851</v>
      </c>
      <c r="B1079">
        <v>145339570.97334403</v>
      </c>
    </row>
    <row r="1080" spans="1:2" x14ac:dyDescent="0.25">
      <c r="A1080">
        <f ca="1">34052.950605219*((RANDBETWEEN(1620,2416)))</f>
        <v>70319342.999777138</v>
      </c>
      <c r="B1080">
        <v>197830391.19168669</v>
      </c>
    </row>
    <row r="1081" spans="1:2" x14ac:dyDescent="0.25">
      <c r="A1081">
        <f ca="1">28653.8317552171*((RANDBETWEEN(1620,2416)))</f>
        <v>51863435.476942874</v>
      </c>
      <c r="B1081">
        <v>171948851.67716289</v>
      </c>
    </row>
    <row r="1082" spans="1:2" x14ac:dyDescent="0.25">
      <c r="A1082">
        <f ca="1">32228.4331217748*((RANDBETWEEN(1620,2416)))</f>
        <v>63973439.746723071</v>
      </c>
      <c r="B1082">
        <v>146357303.45477313</v>
      </c>
    </row>
    <row r="1083" spans="1:2" x14ac:dyDescent="0.25">
      <c r="A1083">
        <f ca="1">30882.3310006407*((RANDBETWEEN(1620,2416)))</f>
        <v>51697022.095072456</v>
      </c>
      <c r="B1083">
        <v>177495325.45347229</v>
      </c>
    </row>
    <row r="1084" spans="1:2" x14ac:dyDescent="0.25">
      <c r="A1084">
        <f ca="1">39704.293020742*((RANDBETWEEN(1620,2416)))</f>
        <v>77661597.148571372</v>
      </c>
      <c r="B1084">
        <v>175802199.85800961</v>
      </c>
    </row>
    <row r="1085" spans="1:2" x14ac:dyDescent="0.25">
      <c r="A1085">
        <f ca="1">31881.0497932078*((RANDBETWEEN(1620,2416)))</f>
        <v>69787617.997331813</v>
      </c>
      <c r="B1085">
        <v>149744424.36737925</v>
      </c>
    </row>
    <row r="1086" spans="1:2" x14ac:dyDescent="0.25">
      <c r="A1086">
        <f ca="1">31080.286603423*((RANDBETWEEN(1620,2416)))</f>
        <v>61010602.602519274</v>
      </c>
      <c r="B1086">
        <v>195490978.0450677</v>
      </c>
    </row>
    <row r="1087" spans="1:2" x14ac:dyDescent="0.25">
      <c r="A1087">
        <f ca="1">29874.683903278*((RANDBETWEEN(1620,2416)))</f>
        <v>58136134.875779048</v>
      </c>
      <c r="B1087">
        <v>146753950.96980977</v>
      </c>
    </row>
    <row r="1088" spans="1:2" x14ac:dyDescent="0.25">
      <c r="A1088">
        <f ca="1">37174.9652977844*((RANDBETWEEN(1620,2416)))</f>
        <v>61524567.56783326</v>
      </c>
      <c r="B1088">
        <v>156023073.2939218</v>
      </c>
    </row>
    <row r="1089" spans="1:2" x14ac:dyDescent="0.25">
      <c r="A1089">
        <f ca="1">33084.1764499378*((RANDBETWEEN(1620,2416)))</f>
        <v>76788373.540305674</v>
      </c>
      <c r="B1089">
        <v>158817022.00035644</v>
      </c>
    </row>
    <row r="1090" spans="1:2" x14ac:dyDescent="0.25">
      <c r="A1090">
        <f ca="1">27361.7543867993*((RANDBETWEEN(1620,2416)))</f>
        <v>65887104.563412674</v>
      </c>
      <c r="B1090">
        <v>147926046.05196622</v>
      </c>
    </row>
    <row r="1091" spans="1:2" x14ac:dyDescent="0.25">
      <c r="A1091">
        <f ca="1">31669.8742041153*((RANDBETWEEN(1620,2416)))</f>
        <v>73569117.776159853</v>
      </c>
      <c r="B1091">
        <v>151253487.51149449</v>
      </c>
    </row>
    <row r="1092" spans="1:2" x14ac:dyDescent="0.25">
      <c r="A1092">
        <f ca="1">30683.6392282055*((RANDBETWEEN(1620,2416)))</f>
        <v>70909890.256382927</v>
      </c>
      <c r="B1092">
        <v>147100458.35494551</v>
      </c>
    </row>
    <row r="1093" spans="1:2" x14ac:dyDescent="0.25">
      <c r="A1093">
        <f ca="1">28130.9488541907*((RANDBETWEEN(1620,2416)))</f>
        <v>48132053.489520334</v>
      </c>
      <c r="B1093">
        <v>145065511.55111614</v>
      </c>
    </row>
    <row r="1094" spans="1:2" x14ac:dyDescent="0.25">
      <c r="A1094">
        <f ca="1">31671.78465533*((RANDBETWEEN(1620,2416)))</f>
        <v>63723630.726523913</v>
      </c>
      <c r="B1094">
        <v>191389732.32809013</v>
      </c>
    </row>
    <row r="1095" spans="1:2" x14ac:dyDescent="0.25">
      <c r="A1095">
        <f ca="1">32045.9542147634*((RANDBETWEEN(1620,2416)))</f>
        <v>66527400.949848831</v>
      </c>
      <c r="B1095">
        <v>152393559.45226935</v>
      </c>
    </row>
    <row r="1096" spans="1:2" x14ac:dyDescent="0.25">
      <c r="A1096">
        <f ca="1">40441.4220104262*((RANDBETWEEN(1620,2416)))</f>
        <v>69518804.435922563</v>
      </c>
      <c r="B1096">
        <v>185325870.17094082</v>
      </c>
    </row>
    <row r="1097" spans="1:2" x14ac:dyDescent="0.25">
      <c r="A1097">
        <f ca="1">33877.3450504858*((RANDBETWEEN(1620,2416)))</f>
        <v>63011861.793903612</v>
      </c>
      <c r="B1097">
        <v>171116350.22432181</v>
      </c>
    </row>
    <row r="1098" spans="1:2" x14ac:dyDescent="0.25">
      <c r="A1098">
        <f ca="1">29829.6474061944*((RANDBETWEEN(1620,2416)))</f>
        <v>66878069.484687895</v>
      </c>
      <c r="B1098">
        <v>172140055.64854753</v>
      </c>
    </row>
    <row r="1099" spans="1:2" x14ac:dyDescent="0.25">
      <c r="A1099">
        <f ca="1">30349.1281091916*((RANDBETWEEN(1620,2416)))</f>
        <v>54324939.315452993</v>
      </c>
      <c r="B1099">
        <v>151283030.5679515</v>
      </c>
    </row>
    <row r="1100" spans="1:2" x14ac:dyDescent="0.25">
      <c r="A1100">
        <f ca="1">30096.0971185931*((RANDBETWEEN(1620,2416)))</f>
        <v>54654512.367365144</v>
      </c>
      <c r="B1100">
        <v>150186500.15229666</v>
      </c>
    </row>
    <row r="1101" spans="1:2" x14ac:dyDescent="0.25">
      <c r="A1101">
        <f ca="1">37981.4904021862*((RANDBETWEEN(1620,2416)))</f>
        <v>82078000.759124309</v>
      </c>
      <c r="B1101">
        <v>192001503.74230695</v>
      </c>
    </row>
    <row r="1102" spans="1:2" x14ac:dyDescent="0.25">
      <c r="A1102">
        <f ca="1">35007.6562992698*((RANDBETWEEN(1620,2416)))</f>
        <v>60493230.085138202</v>
      </c>
      <c r="B1102">
        <v>193947322.94189176</v>
      </c>
    </row>
    <row r="1103" spans="1:2" x14ac:dyDescent="0.25">
      <c r="A1103">
        <f ca="1">40268.9123522584*((RANDBETWEEN(1620,2416)))</f>
        <v>94068179.254875511</v>
      </c>
      <c r="B1103">
        <v>163623598.91150469</v>
      </c>
    </row>
    <row r="1104" spans="1:2" x14ac:dyDescent="0.25">
      <c r="A1104">
        <f ca="1">30694.5007543584*((RANDBETWEEN(1620,2416)))</f>
        <v>66729844.639975116</v>
      </c>
      <c r="B1104">
        <v>162265000.80109388</v>
      </c>
    </row>
    <row r="1105" spans="1:2" x14ac:dyDescent="0.25">
      <c r="A1105">
        <f ca="1">30230.876098131*((RANDBETWEEN(1620,2416)))</f>
        <v>63242992.797289968</v>
      </c>
      <c r="B1105">
        <v>157744778.24295694</v>
      </c>
    </row>
    <row r="1106" spans="1:2" x14ac:dyDescent="0.25">
      <c r="A1106">
        <f ca="1">30960.5579417547*((RANDBETWEEN(1620,2416)))</f>
        <v>62013997.557334602</v>
      </c>
      <c r="B1106">
        <v>196112020.59925342</v>
      </c>
    </row>
    <row r="1107" spans="1:2" x14ac:dyDescent="0.25">
      <c r="A1107">
        <f ca="1">41215.9804163867*((RANDBETWEEN(1620,2416)))</f>
        <v>81566425.244029284</v>
      </c>
      <c r="B1107">
        <v>170275373.0091047</v>
      </c>
    </row>
    <row r="1108" spans="1:2" x14ac:dyDescent="0.25">
      <c r="A1108">
        <f ca="1">33749.2479874729*((RANDBETWEEN(1620,2416)))</f>
        <v>67768489.95884563</v>
      </c>
      <c r="B1108">
        <v>156034725.1064899</v>
      </c>
    </row>
    <row r="1109" spans="1:2" x14ac:dyDescent="0.25">
      <c r="A1109">
        <f ca="1">32218.1858646146*((RANDBETWEEN(1620,2416)))</f>
        <v>61826698.674195461</v>
      </c>
      <c r="B1109">
        <v>166332553.48033428</v>
      </c>
    </row>
    <row r="1110" spans="1:2" x14ac:dyDescent="0.25">
      <c r="A1110">
        <f ca="1">34693.3866673407*((RANDBETWEEN(1620,2416)))</f>
        <v>66472528.85462486</v>
      </c>
      <c r="B1110">
        <v>149989942.32186019</v>
      </c>
    </row>
    <row r="1111" spans="1:2" x14ac:dyDescent="0.25">
      <c r="A1111">
        <f ca="1">34659.5001896329*((RANDBETWEEN(1620,2416)))</f>
        <v>67863301.371301159</v>
      </c>
      <c r="B1111">
        <v>144104923.9398174</v>
      </c>
    </row>
    <row r="1112" spans="1:2" x14ac:dyDescent="0.25">
      <c r="A1112">
        <f ca="1">36752.7056156517*((RANDBETWEEN(1620,2416)))</f>
        <v>78503779.195032001</v>
      </c>
      <c r="B1112">
        <v>150325626.38779205</v>
      </c>
    </row>
    <row r="1113" spans="1:2" x14ac:dyDescent="0.25">
      <c r="A1113">
        <f ca="1">32414.0679922742*((RANDBETWEEN(1620,2416)))</f>
        <v>56562548.646518469</v>
      </c>
      <c r="B1113">
        <v>170420670.33861351</v>
      </c>
    </row>
    <row r="1114" spans="1:2" x14ac:dyDescent="0.25">
      <c r="A1114">
        <f ca="1">29673.8878655778*((RANDBETWEEN(1620,2416)))</f>
        <v>50267566.04428871</v>
      </c>
      <c r="B1114">
        <v>181687625.99432257</v>
      </c>
    </row>
    <row r="1115" spans="1:2" x14ac:dyDescent="0.25">
      <c r="A1115">
        <f ca="1">32674.071528209*((RANDBETWEEN(1620,2416)))</f>
        <v>76490001.447537288</v>
      </c>
      <c r="B1115">
        <v>164109964.1578798</v>
      </c>
    </row>
    <row r="1116" spans="1:2" x14ac:dyDescent="0.25">
      <c r="A1116">
        <f ca="1">36657.6739801596*((RANDBETWEEN(1620,2416)))</f>
        <v>62757937.854033321</v>
      </c>
      <c r="B1116">
        <v>192942080.96589771</v>
      </c>
    </row>
    <row r="1117" spans="1:2" x14ac:dyDescent="0.25">
      <c r="A1117">
        <f ca="1">38087.9447612792*((RANDBETWEEN(1620,2416)))</f>
        <v>80327475.501537904</v>
      </c>
      <c r="B1117">
        <v>156311423.87171036</v>
      </c>
    </row>
    <row r="1118" spans="1:2" x14ac:dyDescent="0.25">
      <c r="A1118">
        <f ca="1">32424.8489362693*((RANDBETWEEN(1620,2416)))</f>
        <v>73150459.200223505</v>
      </c>
      <c r="B1118">
        <v>196274231.7634114</v>
      </c>
    </row>
    <row r="1119" spans="1:2" x14ac:dyDescent="0.25">
      <c r="A1119">
        <f ca="1">33556.1438529805*((RANDBETWEEN(1620,2416)))</f>
        <v>60669508.086188667</v>
      </c>
      <c r="B1119">
        <v>174637482.62340343</v>
      </c>
    </row>
    <row r="1120" spans="1:2" x14ac:dyDescent="0.25">
      <c r="A1120">
        <f ca="1">34672.8265378107*((RANDBETWEEN(1620,2416)))</f>
        <v>72812935.729402483</v>
      </c>
      <c r="B1120">
        <v>203525357.06820643</v>
      </c>
    </row>
    <row r="1121" spans="1:2" x14ac:dyDescent="0.25">
      <c r="A1121">
        <f ca="1">32600.0276818703*((RANDBETWEEN(1620,2416)))</f>
        <v>74882263.585256055</v>
      </c>
      <c r="B1121">
        <v>151788277.96677595</v>
      </c>
    </row>
    <row r="1122" spans="1:2" x14ac:dyDescent="0.25">
      <c r="A1122">
        <f ca="1">28300.8172047676*((RANDBETWEEN(1620,2416)))</f>
        <v>57733667.097725987</v>
      </c>
      <c r="B1122">
        <v>152252615.81250075</v>
      </c>
    </row>
    <row r="1123" spans="1:2" x14ac:dyDescent="0.25">
      <c r="A1123">
        <f ca="1">30553.2303220771*((RANDBETWEEN(1620,2416)))</f>
        <v>56248497.022943914</v>
      </c>
      <c r="B1123">
        <v>172871638.20191428</v>
      </c>
    </row>
    <row r="1124" spans="1:2" x14ac:dyDescent="0.25">
      <c r="A1124">
        <f ca="1">31894.0395614825*((RANDBETWEEN(1620,2416)))</f>
        <v>71634012.855089799</v>
      </c>
      <c r="B1124">
        <v>153038266.9997637</v>
      </c>
    </row>
    <row r="1125" spans="1:2" x14ac:dyDescent="0.25">
      <c r="A1125">
        <f ca="1">29839.9679541123*((RANDBETWEEN(1620,2416)))</f>
        <v>66572968.50562463</v>
      </c>
      <c r="B1125">
        <v>201322817.03963369</v>
      </c>
    </row>
    <row r="1126" spans="1:2" x14ac:dyDescent="0.25">
      <c r="A1126">
        <f ca="1">39810.6564174654*((RANDBETWEEN(1620,2416)))</f>
        <v>70106565.951156497</v>
      </c>
      <c r="B1126">
        <v>164918791.79088491</v>
      </c>
    </row>
    <row r="1127" spans="1:2" x14ac:dyDescent="0.25">
      <c r="A1127">
        <f ca="1">31635.4930587726*((RANDBETWEEN(1620,2416)))</f>
        <v>63840424.992603123</v>
      </c>
      <c r="B1127">
        <v>180972370.81905293</v>
      </c>
    </row>
    <row r="1128" spans="1:2" x14ac:dyDescent="0.25">
      <c r="A1128">
        <f ca="1">30157.5530309119*((RANDBETWEEN(1620,2416)))</f>
        <v>52866190.463188618</v>
      </c>
      <c r="B1128">
        <v>147878896.25178513</v>
      </c>
    </row>
    <row r="1129" spans="1:2" x14ac:dyDescent="0.25">
      <c r="A1129">
        <f ca="1">31921.2968610453*((RANDBETWEEN(1620,2416)))</f>
        <v>59054399.192933895</v>
      </c>
      <c r="B1129">
        <v>184168112.74062189</v>
      </c>
    </row>
    <row r="1130" spans="1:2" x14ac:dyDescent="0.25">
      <c r="A1130">
        <f ca="1">28162.9266254162*((RANDBETWEEN(1620,2416)))</f>
        <v>48581048.42884288</v>
      </c>
      <c r="B1130">
        <v>152542965.23560816</v>
      </c>
    </row>
    <row r="1131" spans="1:2" x14ac:dyDescent="0.25">
      <c r="A1131">
        <f ca="1">41301.5497648173*((RANDBETWEEN(1620,2416)))</f>
        <v>83800844.472814232</v>
      </c>
      <c r="B1131">
        <v>161623485.9328163</v>
      </c>
    </row>
    <row r="1132" spans="1:2" x14ac:dyDescent="0.25">
      <c r="A1132">
        <f ca="1">34187.2963630855*((RANDBETWEEN(1620,2416)))</f>
        <v>78186346.782376558</v>
      </c>
      <c r="B1132">
        <v>175058891.37152153</v>
      </c>
    </row>
    <row r="1133" spans="1:2" x14ac:dyDescent="0.25">
      <c r="A1133">
        <f ca="1">31047.6296209362*((RANDBETWEEN(1620,2416)))</f>
        <v>54364399.466259293</v>
      </c>
      <c r="B1133">
        <v>197143217.51430917</v>
      </c>
    </row>
    <row r="1134" spans="1:2" x14ac:dyDescent="0.25">
      <c r="A1134">
        <f ca="1">32303.7456700096*((RANDBETWEEN(1620,2416)))</f>
        <v>57306844.818597049</v>
      </c>
      <c r="B1134">
        <v>171237072.37827966</v>
      </c>
    </row>
    <row r="1135" spans="1:2" x14ac:dyDescent="0.25">
      <c r="A1135">
        <f ca="1">32450.1606717582*((RANDBETWEEN(1620,2416)))</f>
        <v>67788385.643302798</v>
      </c>
      <c r="B1135">
        <v>172436227.56681192</v>
      </c>
    </row>
    <row r="1136" spans="1:2" x14ac:dyDescent="0.25">
      <c r="A1136">
        <f ca="1">39618.020490858*((RANDBETWEEN(1620,2416)))</f>
        <v>93934326.583824396</v>
      </c>
      <c r="B1136">
        <v>187080667.63776863</v>
      </c>
    </row>
    <row r="1137" spans="1:2" x14ac:dyDescent="0.25">
      <c r="A1137">
        <f ca="1">36399.1652317179*((RANDBETWEEN(1620,2416)))</f>
        <v>70468783.888606012</v>
      </c>
      <c r="B1137">
        <v>180744442.13115934</v>
      </c>
    </row>
    <row r="1138" spans="1:2" x14ac:dyDescent="0.25">
      <c r="A1138">
        <f ca="1">30603.0722570258*((RANDBETWEEN(1620,2416)))</f>
        <v>49944213.923466146</v>
      </c>
      <c r="B1138">
        <v>178359142.80528033</v>
      </c>
    </row>
    <row r="1139" spans="1:2" x14ac:dyDescent="0.25">
      <c r="A1139">
        <f ca="1">42215.4868295796*((RANDBETWEEN(1620,2416)))</f>
        <v>78900744.884484217</v>
      </c>
      <c r="B1139">
        <v>179495926.87005079</v>
      </c>
    </row>
    <row r="1140" spans="1:2" x14ac:dyDescent="0.25">
      <c r="A1140">
        <f ca="1">30023.2573909219*((RANDBETWEEN(1620,2416)))</f>
        <v>64249770.816572785</v>
      </c>
      <c r="B1140">
        <v>154185982.72056365</v>
      </c>
    </row>
    <row r="1141" spans="1:2" x14ac:dyDescent="0.25">
      <c r="A1141">
        <f ca="1">39490.996190616*((RANDBETWEEN(1620,2416)))</f>
        <v>83404983.954581067</v>
      </c>
      <c r="B1141">
        <v>155887709.42709237</v>
      </c>
    </row>
    <row r="1142" spans="1:2" x14ac:dyDescent="0.25">
      <c r="A1142">
        <f ca="1">31107.0561440072*((RANDBETWEEN(1620,2416)))</f>
        <v>66195815.474447288</v>
      </c>
      <c r="B1142">
        <v>150147254.45358974</v>
      </c>
    </row>
    <row r="1143" spans="1:2" x14ac:dyDescent="0.25">
      <c r="A1143">
        <f ca="1">38162.4229297498*((RANDBETWEEN(1620,2416)))</f>
        <v>88078872.121862605</v>
      </c>
      <c r="B1143">
        <v>163639244.48918626</v>
      </c>
    </row>
    <row r="1144" spans="1:2" x14ac:dyDescent="0.25">
      <c r="A1144">
        <f ca="1">38431.8352771542*((RANDBETWEEN(1620,2416)))</f>
        <v>63950573.901184559</v>
      </c>
      <c r="B1144">
        <v>180346715.3419534</v>
      </c>
    </row>
    <row r="1145" spans="1:2" x14ac:dyDescent="0.25">
      <c r="A1145">
        <f ca="1">36794.97049587*((RANDBETWEEN(1620,2416)))</f>
        <v>69947238.912648901</v>
      </c>
      <c r="B1145">
        <v>171644264.73354813</v>
      </c>
    </row>
    <row r="1146" spans="1:2" x14ac:dyDescent="0.25">
      <c r="A1146">
        <f ca="1">30170.0558536078*((RANDBETWEEN(1620,2416)))</f>
        <v>64624259.638427868</v>
      </c>
      <c r="B1146">
        <v>144936665.18914318</v>
      </c>
    </row>
    <row r="1147" spans="1:2" x14ac:dyDescent="0.25">
      <c r="A1147">
        <f ca="1">31989.9980432692*((RANDBETWEEN(1620,2416)))</f>
        <v>57454036.485711507</v>
      </c>
      <c r="B1147">
        <v>195425645.58707756</v>
      </c>
    </row>
    <row r="1148" spans="1:2" x14ac:dyDescent="0.25">
      <c r="A1148">
        <f ca="1">29773.9346327938*((RANDBETWEEN(1620,2416)))</f>
        <v>56451380.063777052</v>
      </c>
      <c r="B1148">
        <v>152411319.23251674</v>
      </c>
    </row>
    <row r="1149" spans="1:2" x14ac:dyDescent="0.25">
      <c r="A1149">
        <f ca="1">35092.0257151975*((RANDBETWEEN(1620,2416)))</f>
        <v>72254480.947591633</v>
      </c>
      <c r="B1149">
        <v>176325430.5280827</v>
      </c>
    </row>
    <row r="1150" spans="1:2" x14ac:dyDescent="0.25">
      <c r="A1150">
        <f ca="1">29921.997542231*((RANDBETWEEN(1620,2416)))</f>
        <v>63584244.77724082</v>
      </c>
      <c r="B1150">
        <v>167050758.85450286</v>
      </c>
    </row>
    <row r="1151" spans="1:2" x14ac:dyDescent="0.25">
      <c r="A1151">
        <f ca="1">29346.4469150611*((RANDBETWEEN(1620,2416)))</f>
        <v>48509676.750595957</v>
      </c>
      <c r="B1151">
        <v>160991733.71692955</v>
      </c>
    </row>
    <row r="1152" spans="1:2" x14ac:dyDescent="0.25">
      <c r="A1152">
        <f ca="1">32282.28209703*((RANDBETWEEN(1620,2416)))</f>
        <v>59141140.801758878</v>
      </c>
      <c r="B1152">
        <v>150676869.94074342</v>
      </c>
    </row>
    <row r="1153" spans="1:2" x14ac:dyDescent="0.25">
      <c r="A1153">
        <f ca="1">29352.5180772396*((RANDBETWEEN(1620,2416)))</f>
        <v>56444892.262531683</v>
      </c>
      <c r="B1153">
        <v>150911086.12139019</v>
      </c>
    </row>
    <row r="1154" spans="1:2" x14ac:dyDescent="0.25">
      <c r="A1154">
        <f ca="1">27171.4789237451*((RANDBETWEEN(1620,2416)))</f>
        <v>59396852.927306734</v>
      </c>
      <c r="B1154">
        <v>191319728.72526419</v>
      </c>
    </row>
    <row r="1155" spans="1:2" x14ac:dyDescent="0.25">
      <c r="A1155">
        <f ca="1">29593.6874032778*((RANDBETWEEN(1620,2416)))</f>
        <v>49214302.151651025</v>
      </c>
      <c r="B1155">
        <v>183212850.28234178</v>
      </c>
    </row>
    <row r="1156" spans="1:2" x14ac:dyDescent="0.25">
      <c r="A1156">
        <f ca="1">37348.2198105128*((RANDBETWEEN(1620,2416)))</f>
        <v>79925190.39449735</v>
      </c>
      <c r="B1156">
        <v>160270705.37478584</v>
      </c>
    </row>
    <row r="1157" spans="1:2" x14ac:dyDescent="0.25">
      <c r="A1157">
        <f ca="1">37150.6831343777*((RANDBETWEEN(1620,2416)))</f>
        <v>66202517.345461011</v>
      </c>
      <c r="B1157">
        <v>180134408.87345362</v>
      </c>
    </row>
    <row r="1158" spans="1:2" x14ac:dyDescent="0.25">
      <c r="A1158">
        <f ca="1">32733.8289426858*((RANDBETWEEN(1620,2416)))</f>
        <v>59968374.623000361</v>
      </c>
      <c r="B1158">
        <v>171783876.1208607</v>
      </c>
    </row>
    <row r="1159" spans="1:2" x14ac:dyDescent="0.25">
      <c r="A1159">
        <f ca="1">34067.3759700663*((RANDBETWEEN(1620,2416)))</f>
        <v>63263117.176413119</v>
      </c>
      <c r="B1159">
        <v>146177036.03009516</v>
      </c>
    </row>
    <row r="1160" spans="1:2" x14ac:dyDescent="0.25">
      <c r="A1160">
        <f ca="1">33467.8014769412*((RANDBETWEEN(1620,2416)))</f>
        <v>54619452.010367975</v>
      </c>
      <c r="B1160">
        <v>175468809.49192193</v>
      </c>
    </row>
    <row r="1161" spans="1:2" x14ac:dyDescent="0.25">
      <c r="A1161">
        <f ca="1">31555.6037845781*((RANDBETWEEN(1620,2416)))</f>
        <v>55127639.811657883</v>
      </c>
      <c r="B1161">
        <v>171181652.48973501</v>
      </c>
    </row>
    <row r="1162" spans="1:2" x14ac:dyDescent="0.25">
      <c r="A1162">
        <f ca="1">30641.8816337882*((RANDBETWEEN(1620,2416)))</f>
        <v>73234097.104753911</v>
      </c>
      <c r="B1162">
        <v>153161640.2511709</v>
      </c>
    </row>
    <row r="1163" spans="1:2" x14ac:dyDescent="0.25">
      <c r="A1163">
        <f ca="1">32721.2444360576*((RANDBETWEEN(1620,2416)))</f>
        <v>58734633.762723438</v>
      </c>
      <c r="B1163">
        <v>169040857.90392053</v>
      </c>
    </row>
    <row r="1164" spans="1:2" x14ac:dyDescent="0.25">
      <c r="A1164">
        <f ca="1">36659.2572760903*((RANDBETWEEN(1620,2416)))</f>
        <v>81970099.269337922</v>
      </c>
      <c r="B1164">
        <v>159446949.33231619</v>
      </c>
    </row>
    <row r="1165" spans="1:2" x14ac:dyDescent="0.25">
      <c r="A1165">
        <f ca="1">35409.6328939661*((RANDBETWEEN(1620,2416)))</f>
        <v>62781279.121001877</v>
      </c>
      <c r="B1165">
        <v>152526680.27895457</v>
      </c>
    </row>
    <row r="1166" spans="1:2" x14ac:dyDescent="0.25">
      <c r="A1166">
        <f ca="1">28988.4439446799*((RANDBETWEEN(1620,2416)))</f>
        <v>62933911.80390007</v>
      </c>
      <c r="B1166">
        <v>145335640.8464098</v>
      </c>
    </row>
    <row r="1167" spans="1:2" x14ac:dyDescent="0.25">
      <c r="A1167">
        <f ca="1">31433.4082826898*((RANDBETWEEN(1620,2416)))</f>
        <v>72548306.316447958</v>
      </c>
      <c r="B1167">
        <v>143764482.26051641</v>
      </c>
    </row>
    <row r="1168" spans="1:2" x14ac:dyDescent="0.25">
      <c r="A1168">
        <f ca="1">37936.6108647347*((RANDBETWEEN(1620,2416)))</f>
        <v>61912548.931247085</v>
      </c>
      <c r="B1168">
        <v>153357573.1447311</v>
      </c>
    </row>
    <row r="1169" spans="1:2" x14ac:dyDescent="0.25">
      <c r="A1169">
        <f ca="1">30229.4349132084*((RANDBETWEEN(1620,2416)))</f>
        <v>60851852.480288513</v>
      </c>
      <c r="B1169">
        <v>184327786.2079654</v>
      </c>
    </row>
    <row r="1170" spans="1:2" x14ac:dyDescent="0.25">
      <c r="A1170">
        <f ca="1">29979.5943199329*((RANDBETWEEN(1620,2416)))</f>
        <v>68443413.8324067</v>
      </c>
      <c r="B1170">
        <v>166035301.84998292</v>
      </c>
    </row>
    <row r="1171" spans="1:2" x14ac:dyDescent="0.25">
      <c r="A1171">
        <f ca="1">27966.8165704822*((RANDBETWEEN(1620,2416)))</f>
        <v>53081017.850775212</v>
      </c>
      <c r="B1171">
        <v>174063884.65811694</v>
      </c>
    </row>
    <row r="1172" spans="1:2" x14ac:dyDescent="0.25">
      <c r="A1172">
        <f ca="1">31871.9883206493*((RANDBETWEEN(1620,2416)))</f>
        <v>63839592.606260628</v>
      </c>
      <c r="B1172">
        <v>167637105.74405697</v>
      </c>
    </row>
    <row r="1173" spans="1:2" x14ac:dyDescent="0.25">
      <c r="A1173">
        <f ca="1">33062.2614450459*((RANDBETWEEN(1620,2416)))</f>
        <v>56867089.685478933</v>
      </c>
      <c r="B1173">
        <v>167019708.60457495</v>
      </c>
    </row>
    <row r="1174" spans="1:2" x14ac:dyDescent="0.25">
      <c r="A1174">
        <f ca="1">35555.9308294189*((RANDBETWEEN(1620,2416)))</f>
        <v>58169502.836929373</v>
      </c>
      <c r="B1174">
        <v>155294919.23968589</v>
      </c>
    </row>
    <row r="1175" spans="1:2" x14ac:dyDescent="0.25">
      <c r="A1175">
        <f ca="1">29588.521094679*((RANDBETWEEN(1620,2416)))</f>
        <v>52490036.421960592</v>
      </c>
      <c r="B1175">
        <v>198171011.9372921</v>
      </c>
    </row>
    <row r="1176" spans="1:2" x14ac:dyDescent="0.25">
      <c r="A1176">
        <f ca="1">29688.116842302*((RANDBETWEEN(1620,2416)))</f>
        <v>49282273.958221279</v>
      </c>
      <c r="B1176">
        <v>157246185.58533105</v>
      </c>
    </row>
    <row r="1177" spans="1:2" x14ac:dyDescent="0.25">
      <c r="A1177">
        <f ca="1">34100.8969524829*((RANDBETWEEN(1620,2416)))</f>
        <v>73010020.375265941</v>
      </c>
      <c r="B1177">
        <v>171929480.22657099</v>
      </c>
    </row>
    <row r="1178" spans="1:2" x14ac:dyDescent="0.25">
      <c r="A1178">
        <f ca="1">30271.6259662247*((RANDBETWEEN(1620,2416)))</f>
        <v>60573523.558415718</v>
      </c>
      <c r="B1178">
        <v>145541348.4899531</v>
      </c>
    </row>
    <row r="1179" spans="1:2" x14ac:dyDescent="0.25">
      <c r="A1179">
        <f ca="1">34981.1733518266*((RANDBETWEEN(1620,2416)))</f>
        <v>69157779.716561213</v>
      </c>
      <c r="B1179">
        <v>156982819.10425842</v>
      </c>
    </row>
    <row r="1180" spans="1:2" x14ac:dyDescent="0.25">
      <c r="A1180">
        <f ca="1">35623.8881820232*((RANDBETWEEN(1620,2416)))</f>
        <v>81792447.265925229</v>
      </c>
      <c r="B1180">
        <v>146867729.19231588</v>
      </c>
    </row>
    <row r="1181" spans="1:2" x14ac:dyDescent="0.25">
      <c r="A1181">
        <f ca="1">34652.4200917588*((RANDBETWEEN(1620,2416)))</f>
        <v>68507834.521407157</v>
      </c>
      <c r="B1181">
        <v>154802018.2849181</v>
      </c>
    </row>
    <row r="1182" spans="1:2" x14ac:dyDescent="0.25">
      <c r="A1182">
        <f ca="1">30192.8313725679*((RANDBETWEEN(1620,2416)))</f>
        <v>58876021.176507309</v>
      </c>
      <c r="B1182">
        <v>173603032.08904296</v>
      </c>
    </row>
    <row r="1183" spans="1:2" x14ac:dyDescent="0.25">
      <c r="A1183">
        <f ca="1">38157.6161999903*((RANDBETWEEN(1620,2416)))</f>
        <v>79482314.544579744</v>
      </c>
      <c r="B1183">
        <v>181727452.72213915</v>
      </c>
    </row>
    <row r="1184" spans="1:2" x14ac:dyDescent="0.25">
      <c r="A1184">
        <f ca="1">30182.1940981175*((RANDBETWEEN(1620,2416)))</f>
        <v>66702648.956839621</v>
      </c>
      <c r="B1184">
        <v>199703023.30212018</v>
      </c>
    </row>
    <row r="1185" spans="1:2" x14ac:dyDescent="0.25">
      <c r="A1185">
        <f ca="1">32462.3081134133*((RANDBETWEEN(1620,2416)))</f>
        <v>74241298.655376226</v>
      </c>
      <c r="B1185">
        <v>151172403.27431342</v>
      </c>
    </row>
    <row r="1186" spans="1:2" x14ac:dyDescent="0.25">
      <c r="A1186">
        <f ca="1">31563.1277862687*((RANDBETWEEN(1620,2416)))</f>
        <v>55551104.903832994</v>
      </c>
      <c r="B1186">
        <v>171319986.96387792</v>
      </c>
    </row>
    <row r="1187" spans="1:2" x14ac:dyDescent="0.25">
      <c r="A1187">
        <f ca="1">34062.0830495791*((RANDBETWEEN(1620,2416)))</f>
        <v>79841522.668213516</v>
      </c>
      <c r="B1187">
        <v>182050687.2565822</v>
      </c>
    </row>
    <row r="1188" spans="1:2" x14ac:dyDescent="0.25">
      <c r="A1188">
        <f ca="1">35664.6184302964*((RANDBETWEEN(1620,2416)))</f>
        <v>65765556.385466605</v>
      </c>
      <c r="B1188">
        <v>161215802.07725403</v>
      </c>
    </row>
    <row r="1189" spans="1:2" x14ac:dyDescent="0.25">
      <c r="A1189">
        <f ca="1">30650.7872752999*((RANDBETWEEN(1620,2416)))</f>
        <v>70895270.967768595</v>
      </c>
      <c r="B1189">
        <v>146564909.63225967</v>
      </c>
    </row>
    <row r="1190" spans="1:2" x14ac:dyDescent="0.25">
      <c r="A1190">
        <f ca="1">37253.2421231492*((RANDBETWEEN(1620,2416)))</f>
        <v>82366918.33428286</v>
      </c>
      <c r="B1190">
        <v>147576269.91688132</v>
      </c>
    </row>
    <row r="1191" spans="1:2" x14ac:dyDescent="0.25">
      <c r="A1191">
        <f ca="1">34948.2306840054*((RANDBETWEEN(1620,2416)))</f>
        <v>56686030.169456698</v>
      </c>
      <c r="B1191">
        <v>164531735.57446852</v>
      </c>
    </row>
    <row r="1192" spans="1:2" x14ac:dyDescent="0.25">
      <c r="A1192">
        <f ca="1">32441.0342579471*((RANDBETWEEN(1620,2416)))</f>
        <v>53235737.217291117</v>
      </c>
      <c r="B1192">
        <v>170156828.68613797</v>
      </c>
    </row>
    <row r="1193" spans="1:2" x14ac:dyDescent="0.25">
      <c r="A1193">
        <f ca="1">37866.7960721648*((RANDBETWEEN(1620,2416)))</f>
        <v>85465358.734876052</v>
      </c>
      <c r="B1193">
        <v>144922290.40770152</v>
      </c>
    </row>
    <row r="1194" spans="1:2" x14ac:dyDescent="0.25">
      <c r="A1194">
        <f ca="1">42058.0189019139*((RANDBETWEEN(1620,2416)))</f>
        <v>82896355.255672291</v>
      </c>
      <c r="B1194">
        <v>198221431.98914549</v>
      </c>
    </row>
    <row r="1195" spans="1:2" x14ac:dyDescent="0.25">
      <c r="A1195">
        <f ca="1">32308.0417074993*((RANDBETWEEN(1620,2416)))</f>
        <v>72919250.133825973</v>
      </c>
      <c r="B1195">
        <v>162110575.46848601</v>
      </c>
    </row>
    <row r="1196" spans="1:2" x14ac:dyDescent="0.25">
      <c r="A1196">
        <f ca="1">32473.4183601497*((RANDBETWEEN(1620,2416)))</f>
        <v>56828482.130261928</v>
      </c>
      <c r="B1196">
        <v>173773726.25826401</v>
      </c>
    </row>
    <row r="1197" spans="1:2" x14ac:dyDescent="0.25">
      <c r="A1197">
        <f ca="1">38166.0968213665*((RANDBETWEEN(1620,2416)))</f>
        <v>75225376.834913373</v>
      </c>
      <c r="B1197">
        <v>159001696.06459272</v>
      </c>
    </row>
    <row r="1198" spans="1:2" x14ac:dyDescent="0.25">
      <c r="A1198">
        <f ca="1">30709.7121988642*((RANDBETWEEN(1620,2416)))</f>
        <v>71215822.589166105</v>
      </c>
      <c r="B1198">
        <v>173572396.41874719</v>
      </c>
    </row>
    <row r="1199" spans="1:2" x14ac:dyDescent="0.25">
      <c r="A1199">
        <f ca="1">31681.3318390005*((RANDBETWEEN(1620,2416)))</f>
        <v>53668176.135266863</v>
      </c>
      <c r="B1199">
        <v>168273996.71855909</v>
      </c>
    </row>
    <row r="1200" spans="1:2" x14ac:dyDescent="0.25">
      <c r="A1200">
        <f ca="1">33403.6111292347*((RANDBETWEEN(1620,2416)))</f>
        <v>60159903.643751636</v>
      </c>
      <c r="B1200">
        <v>192058201.80848372</v>
      </c>
    </row>
    <row r="1201" spans="1:2" x14ac:dyDescent="0.25">
      <c r="A1201">
        <f ca="1">28678.5208885553*((RANDBETWEEN(1620,2416)))</f>
        <v>49871947.825197734</v>
      </c>
      <c r="B1201">
        <v>153267256.87598097</v>
      </c>
    </row>
    <row r="1202" spans="1:2" x14ac:dyDescent="0.25">
      <c r="A1202">
        <f ca="1">30518.9494858769*((RANDBETWEEN(1620,2416)))</f>
        <v>67324802.565844491</v>
      </c>
      <c r="B1202">
        <v>156269757.48010379</v>
      </c>
    </row>
    <row r="1203" spans="1:2" x14ac:dyDescent="0.25">
      <c r="A1203">
        <f ca="1">33333.5752850582*((RANDBETWEEN(1620,2416)))</f>
        <v>76133885.951072827</v>
      </c>
      <c r="B1203">
        <v>174897398.69436729</v>
      </c>
    </row>
    <row r="1204" spans="1:2" x14ac:dyDescent="0.25">
      <c r="A1204">
        <f ca="1">32949.5187537413*((RANDBETWEEN(1620,2416)))</f>
        <v>67908958.151460737</v>
      </c>
      <c r="B1204">
        <v>171529534.05209106</v>
      </c>
    </row>
    <row r="1205" spans="1:2" x14ac:dyDescent="0.25">
      <c r="A1205">
        <f ca="1">31783.1961916432*((RANDBETWEEN(1620,2416)))</f>
        <v>75866489.30945228</v>
      </c>
      <c r="B1205">
        <v>174551110.17827147</v>
      </c>
    </row>
    <row r="1206" spans="1:2" x14ac:dyDescent="0.25">
      <c r="A1206">
        <f ca="1">38215.6929139772*((RANDBETWEEN(1620,2416)))</f>
        <v>88698623.253340974</v>
      </c>
      <c r="B1206">
        <v>156812589.72514087</v>
      </c>
    </row>
    <row r="1207" spans="1:2" x14ac:dyDescent="0.25">
      <c r="A1207">
        <f ca="1">33981.3155405926*((RANDBETWEEN(1620,2416)))</f>
        <v>67147079.508210912</v>
      </c>
      <c r="B1207">
        <v>143469110.59628081</v>
      </c>
    </row>
    <row r="1208" spans="1:2" x14ac:dyDescent="0.25">
      <c r="A1208">
        <f ca="1">35325.1944450704*((RANDBETWEEN(1620,2416)))</f>
        <v>73229128.084630981</v>
      </c>
      <c r="B1208">
        <v>158233287.9681828</v>
      </c>
    </row>
    <row r="1209" spans="1:2" x14ac:dyDescent="0.25">
      <c r="A1209">
        <f ca="1">40372.0727518822*((RANDBETWEEN(1620,2416)))</f>
        <v>82197540.122832209</v>
      </c>
      <c r="B1209">
        <v>184113831.91928291</v>
      </c>
    </row>
    <row r="1210" spans="1:2" x14ac:dyDescent="0.25">
      <c r="A1210">
        <f ca="1">31607.1333862974*((RANDBETWEEN(1620,2416)))</f>
        <v>62582124.104868762</v>
      </c>
      <c r="B1210">
        <v>163329472.89694464</v>
      </c>
    </row>
    <row r="1211" spans="1:2" x14ac:dyDescent="0.25">
      <c r="A1211">
        <f ca="1">31378.4159128784*((RANDBETWEEN(1620,2416)))</f>
        <v>74178575.21804446</v>
      </c>
      <c r="B1211">
        <v>191242316.25559381</v>
      </c>
    </row>
    <row r="1212" spans="1:2" x14ac:dyDescent="0.25">
      <c r="A1212">
        <f ca="1">28816.0179947074*((RANDBETWEEN(1620,2416)))</f>
        <v>51119615.922610946</v>
      </c>
      <c r="B1212">
        <v>145896749.10836402</v>
      </c>
    </row>
    <row r="1213" spans="1:2" x14ac:dyDescent="0.25">
      <c r="A1213">
        <f ca="1">30961.1294944557*((RANDBETWEEN(1620,2416)))</f>
        <v>64522993.866445631</v>
      </c>
      <c r="B1213">
        <v>182660070.9460839</v>
      </c>
    </row>
    <row r="1214" spans="1:2" x14ac:dyDescent="0.25">
      <c r="A1214">
        <f ca="1">39387.3158243094*((RANDBETWEEN(1620,2416)))</f>
        <v>65776817.426596746</v>
      </c>
      <c r="B1214">
        <v>151422517.73464686</v>
      </c>
    </row>
    <row r="1215" spans="1:2" x14ac:dyDescent="0.25">
      <c r="A1215">
        <f ca="1">29795.4463336339*((RANDBETWEEN(1620,2416)))</f>
        <v>64596527.651318364</v>
      </c>
      <c r="B1215">
        <v>180479943.06006384</v>
      </c>
    </row>
    <row r="1216" spans="1:2" x14ac:dyDescent="0.25">
      <c r="A1216">
        <f ca="1">30806.3032808627*((RANDBETWEEN(1620,2416)))</f>
        <v>68020317.644144908</v>
      </c>
      <c r="B1216">
        <v>145673402.78712764</v>
      </c>
    </row>
    <row r="1217" spans="1:2" x14ac:dyDescent="0.25">
      <c r="A1217">
        <f ca="1">36425.3698530951*((RANDBETWEEN(1620,2416)))</f>
        <v>71138747.32309477</v>
      </c>
      <c r="B1217">
        <v>152732940.96199214</v>
      </c>
    </row>
    <row r="1218" spans="1:2" x14ac:dyDescent="0.25">
      <c r="A1218">
        <f ca="1">39228.3125064887*((RANDBETWEEN(1620,2416)))</f>
        <v>78731223.200522766</v>
      </c>
      <c r="B1218">
        <v>182405724.57346165</v>
      </c>
    </row>
    <row r="1219" spans="1:2" x14ac:dyDescent="0.25">
      <c r="A1219">
        <f ca="1">38487.0291364565*((RANDBETWEEN(1620,2416)))</f>
        <v>68776321.066847831</v>
      </c>
      <c r="B1219">
        <v>164727971.08313841</v>
      </c>
    </row>
    <row r="1220" spans="1:2" x14ac:dyDescent="0.25">
      <c r="A1220">
        <f ca="1">40515.716050669*((RANDBETWEEN(1620,2416)))</f>
        <v>77992753.397537872</v>
      </c>
      <c r="B1220">
        <v>203648321.96332604</v>
      </c>
    </row>
    <row r="1221" spans="1:2" x14ac:dyDescent="0.25">
      <c r="A1221">
        <f ca="1">32630.6363212598*((RANDBETWEEN(1620,2416)))</f>
        <v>66860173.822261393</v>
      </c>
      <c r="B1221">
        <v>187042808.25108802</v>
      </c>
    </row>
    <row r="1222" spans="1:2" x14ac:dyDescent="0.25">
      <c r="A1222">
        <f ca="1">31276.9661499036*((RANDBETWEEN(1620,2416)))</f>
        <v>52826795.827187248</v>
      </c>
      <c r="B1222">
        <v>177497462.52738497</v>
      </c>
    </row>
    <row r="1223" spans="1:2" x14ac:dyDescent="0.25">
      <c r="A1223">
        <f ca="1">35442.6523769356*((RANDBETWEEN(1620,2416)))</f>
        <v>64611955.283153534</v>
      </c>
      <c r="B1223">
        <v>162297560.96709427</v>
      </c>
    </row>
    <row r="1224" spans="1:2" x14ac:dyDescent="0.25">
      <c r="A1224">
        <f ca="1">38913.9668672756*((RANDBETWEEN(1620,2416)))</f>
        <v>80551911.415260494</v>
      </c>
      <c r="B1224">
        <v>176349637.7917437</v>
      </c>
    </row>
    <row r="1225" spans="1:2" x14ac:dyDescent="0.25">
      <c r="A1225">
        <f ca="1">32741.2430880889*((RANDBETWEEN(1620,2416)))</f>
        <v>67807114.435432151</v>
      </c>
      <c r="B1225">
        <v>144030891.34856209</v>
      </c>
    </row>
    <row r="1226" spans="1:2" x14ac:dyDescent="0.25">
      <c r="A1226">
        <f ca="1">31801.6854959254*((RANDBETWEEN(1620,2416)))</f>
        <v>63094544.023916051</v>
      </c>
      <c r="B1226">
        <v>188086164.88476455</v>
      </c>
    </row>
    <row r="1227" spans="1:2" x14ac:dyDescent="0.25">
      <c r="A1227">
        <f ca="1">31336.5475765999*((RANDBETWEEN(1620,2416)))</f>
        <v>56405785.637879744</v>
      </c>
      <c r="B1227">
        <v>148695951.48926404</v>
      </c>
    </row>
    <row r="1228" spans="1:2" x14ac:dyDescent="0.25">
      <c r="A1228">
        <f ca="1">29366.6533036217*((RANDBETWEEN(1620,2416)))</f>
        <v>64724103.881182201</v>
      </c>
      <c r="B1228">
        <v>168419183.42399579</v>
      </c>
    </row>
    <row r="1229" spans="1:2" x14ac:dyDescent="0.25">
      <c r="A1229">
        <f ca="1">30577.893771192*((RANDBETWEEN(1620,2416)))</f>
        <v>52257620.454967126</v>
      </c>
      <c r="B1229">
        <v>147225722.80341426</v>
      </c>
    </row>
    <row r="1230" spans="1:2" x14ac:dyDescent="0.25">
      <c r="A1230">
        <f ca="1">32497.7355175083*((RANDBETWEEN(1620,2416)))</f>
        <v>65645425.74536673</v>
      </c>
      <c r="B1230">
        <v>160926667.91434312</v>
      </c>
    </row>
    <row r="1231" spans="1:2" x14ac:dyDescent="0.25">
      <c r="A1231">
        <f ca="1">37061.6644493443*((RANDBETWEEN(1620,2416)))</f>
        <v>78533666.968160495</v>
      </c>
      <c r="B1231">
        <v>179311374.92562053</v>
      </c>
    </row>
    <row r="1232" spans="1:2" x14ac:dyDescent="0.25">
      <c r="A1232">
        <f ca="1">34469.9934002474*((RANDBETWEEN(1620,2416)))</f>
        <v>57978528.89921613</v>
      </c>
      <c r="B1232">
        <v>181021149.53808704</v>
      </c>
    </row>
    <row r="1233" spans="1:2" x14ac:dyDescent="0.25">
      <c r="A1233">
        <f ca="1">30094.4996601231*((RANDBETWEEN(1620,2416)))</f>
        <v>70842452.199929774</v>
      </c>
      <c r="B1233">
        <v>164081776.05692703</v>
      </c>
    </row>
    <row r="1234" spans="1:2" x14ac:dyDescent="0.25">
      <c r="A1234">
        <f ca="1">30451.2892876564*((RANDBETWEEN(1620,2416)))</f>
        <v>62881912.379010379</v>
      </c>
      <c r="B1234">
        <v>155807239.75935516</v>
      </c>
    </row>
    <row r="1235" spans="1:2" x14ac:dyDescent="0.25">
      <c r="A1235">
        <f ca="1">37484.3789220628*((RANDBETWEEN(1620,2416)))</f>
        <v>60762178.232663743</v>
      </c>
      <c r="B1235">
        <v>157681879.59885585</v>
      </c>
    </row>
    <row r="1236" spans="1:2" x14ac:dyDescent="0.25">
      <c r="A1236">
        <f ca="1">41631.6458821192*((RANDBETWEEN(1620,2416)))</f>
        <v>86968508.247746915</v>
      </c>
      <c r="B1236">
        <v>148332580.06090534</v>
      </c>
    </row>
    <row r="1237" spans="1:2" x14ac:dyDescent="0.25">
      <c r="A1237">
        <f ca="1">33199.7567739101*((RANDBETWEEN(1620,2416)))</f>
        <v>67362306.494263679</v>
      </c>
      <c r="B1237">
        <v>182843725.63287562</v>
      </c>
    </row>
    <row r="1238" spans="1:2" x14ac:dyDescent="0.25">
      <c r="A1238">
        <f ca="1">32667.5987927723*((RANDBETWEEN(1620,2416)))</f>
        <v>68209946.279308647</v>
      </c>
      <c r="B1238">
        <v>170566729.79185918</v>
      </c>
    </row>
    <row r="1239" spans="1:2" x14ac:dyDescent="0.25">
      <c r="A1239">
        <f ca="1">38204.4539091398*((RANDBETWEEN(1620,2416)))</f>
        <v>62196850.964079633</v>
      </c>
      <c r="B1239">
        <v>170431866.99295855</v>
      </c>
    </row>
    <row r="1240" spans="1:2" x14ac:dyDescent="0.25">
      <c r="A1240">
        <f ca="1">39152.5416762348*((RANDBETWEEN(1620,2416)))</f>
        <v>88406439.104938075</v>
      </c>
      <c r="B1240">
        <v>149140166.84182477</v>
      </c>
    </row>
    <row r="1241" spans="1:2" x14ac:dyDescent="0.25">
      <c r="A1241">
        <f ca="1">32989.3812988723*((RANDBETWEEN(1620,2416)))</f>
        <v>72840553.90790996</v>
      </c>
      <c r="B1241">
        <v>187424279.91814998</v>
      </c>
    </row>
    <row r="1242" spans="1:2" x14ac:dyDescent="0.25">
      <c r="A1242">
        <f ca="1">30467.062244665*((RANDBETWEEN(1620,2416)))</f>
        <v>59654507.875053994</v>
      </c>
      <c r="B1242">
        <v>146710080.07656193</v>
      </c>
    </row>
    <row r="1243" spans="1:2" x14ac:dyDescent="0.25">
      <c r="A1243">
        <f ca="1">40192.4673908977*((RANDBETWEEN(1620,2416)))</f>
        <v>82635712.955685765</v>
      </c>
      <c r="B1243">
        <v>151630203.212161</v>
      </c>
    </row>
    <row r="1244" spans="1:2" x14ac:dyDescent="0.25">
      <c r="A1244">
        <f ca="1">33139.9026718025*((RANDBETWEEN(1620,2416)))</f>
        <v>72013008.505826935</v>
      </c>
      <c r="B1244">
        <v>172886230.82229581</v>
      </c>
    </row>
    <row r="1245" spans="1:2" x14ac:dyDescent="0.25">
      <c r="A1245">
        <f ca="1">33461.34047822*((RANDBETWEEN(1620,2416)))</f>
        <v>56783894.791539319</v>
      </c>
      <c r="B1245">
        <v>171318890.23360354</v>
      </c>
    </row>
    <row r="1246" spans="1:2" x14ac:dyDescent="0.25">
      <c r="A1246">
        <f ca="1">30340.8568718796*((RANDBETWEEN(1620,2416)))</f>
        <v>55645131.503027275</v>
      </c>
      <c r="B1246">
        <v>152818362.71670824</v>
      </c>
    </row>
    <row r="1247" spans="1:2" x14ac:dyDescent="0.25">
      <c r="A1247">
        <f ca="1">36474.128500015*((RANDBETWEEN(1620,2416)))</f>
        <v>72437619.201029748</v>
      </c>
      <c r="B1247">
        <v>163956380.2547949</v>
      </c>
    </row>
    <row r="1248" spans="1:2" x14ac:dyDescent="0.25">
      <c r="A1248">
        <f ca="1">31514.2603198502*((RANDBETWEEN(1620,2416)))</f>
        <v>75382110.685081691</v>
      </c>
      <c r="B1248">
        <v>153270349.44889286</v>
      </c>
    </row>
    <row r="1249" spans="1:2" x14ac:dyDescent="0.25">
      <c r="A1249">
        <f ca="1">34781.0814163226*((RANDBETWEEN(1620,2416)))</f>
        <v>58814808.675001532</v>
      </c>
      <c r="B1249">
        <v>143224716.35019109</v>
      </c>
    </row>
    <row r="1250" spans="1:2" x14ac:dyDescent="0.25">
      <c r="A1250">
        <f ca="1">31640.1928268031*((RANDBETWEEN(1620,2416)))</f>
        <v>59863244.828311488</v>
      </c>
      <c r="B1250">
        <v>147016129.40699768</v>
      </c>
    </row>
    <row r="1251" spans="1:2" x14ac:dyDescent="0.25">
      <c r="A1251">
        <f ca="1">31208.0001639991*((RANDBETWEEN(1620,2416)))</f>
        <v>52866352.277814463</v>
      </c>
      <c r="B1251">
        <v>183497257.71703202</v>
      </c>
    </row>
    <row r="1252" spans="1:2" x14ac:dyDescent="0.25">
      <c r="A1252">
        <f ca="1">31878.3970027576*((RANDBETWEEN(1620,2416)))</f>
        <v>72937772.34230949</v>
      </c>
      <c r="B1252">
        <v>148113777.06563061</v>
      </c>
    </row>
    <row r="1253" spans="1:2" x14ac:dyDescent="0.25">
      <c r="A1253">
        <f ca="1">31083.3598661562*((RANDBETWEEN(1620,2416)))</f>
        <v>69471309.300859034</v>
      </c>
      <c r="B1253">
        <v>191708007.60044146</v>
      </c>
    </row>
    <row r="1254" spans="1:2" x14ac:dyDescent="0.25">
      <c r="A1254">
        <f ca="1">34719.3842311135*((RANDBETWEEN(1620,2416)))</f>
        <v>79611548.041943327</v>
      </c>
      <c r="B1254">
        <v>160404974.12305513</v>
      </c>
    </row>
    <row r="1255" spans="1:2" x14ac:dyDescent="0.25">
      <c r="A1255">
        <f ca="1">39662.1728099151*((RANDBETWEEN(1620,2416)))</f>
        <v>79958940.384788826</v>
      </c>
      <c r="B1255">
        <v>176486282.17952698</v>
      </c>
    </row>
    <row r="1256" spans="1:2" x14ac:dyDescent="0.25">
      <c r="A1256">
        <f ca="1">32481.4525977018*((RANDBETWEEN(1620,2416)))</f>
        <v>62169500.272001296</v>
      </c>
      <c r="B1256">
        <v>166178946.5359588</v>
      </c>
    </row>
    <row r="1257" spans="1:2" x14ac:dyDescent="0.25">
      <c r="A1257">
        <f ca="1">40065.795480579*((RANDBETWEEN(1620,2416)))</f>
        <v>78849485.5057794</v>
      </c>
      <c r="B1257">
        <v>150084487.83536857</v>
      </c>
    </row>
    <row r="1258" spans="1:2" x14ac:dyDescent="0.25">
      <c r="A1258">
        <f ca="1">37269.3471491269*((RANDBETWEEN(1620,2416)))</f>
        <v>72526149.552201003</v>
      </c>
      <c r="B1258">
        <v>146533317.56146079</v>
      </c>
    </row>
    <row r="1259" spans="1:2" x14ac:dyDescent="0.25">
      <c r="A1259">
        <f ca="1">32066.5509381469*((RANDBETWEEN(1620,2416)))</f>
        <v>64357567.732860789</v>
      </c>
      <c r="B1259">
        <v>176170848.17130578</v>
      </c>
    </row>
    <row r="1260" spans="1:2" x14ac:dyDescent="0.25">
      <c r="A1260">
        <f ca="1">30482.5459692391*((RANDBETWEEN(1620,2416)))</f>
        <v>49412207.016136549</v>
      </c>
      <c r="B1260">
        <v>187224472.59132588</v>
      </c>
    </row>
    <row r="1261" spans="1:2" x14ac:dyDescent="0.25">
      <c r="A1261">
        <f ca="1">35616.1135108632*((RANDBETWEEN(1620,2416)))</f>
        <v>76823956.842931911</v>
      </c>
      <c r="B1261">
        <v>178494891.23270187</v>
      </c>
    </row>
    <row r="1262" spans="1:2" x14ac:dyDescent="0.25">
      <c r="A1262">
        <f ca="1">38962.5996247895*((RANDBETWEEN(1620,2416)))</f>
        <v>68963801.335877374</v>
      </c>
      <c r="B1262">
        <v>201455965.02768791</v>
      </c>
    </row>
    <row r="1263" spans="1:2" x14ac:dyDescent="0.25">
      <c r="A1263">
        <f ca="1">30432.2351868819*((RANDBETWEEN(1620,2416)))</f>
        <v>53804191.810407244</v>
      </c>
      <c r="B1263">
        <v>163971308.53766087</v>
      </c>
    </row>
    <row r="1264" spans="1:2" x14ac:dyDescent="0.25">
      <c r="A1264">
        <f ca="1">32539.9631573426*((RANDBETWEEN(1620,2416)))</f>
        <v>67878363.146216735</v>
      </c>
      <c r="B1264">
        <v>182209172.97669396</v>
      </c>
    </row>
    <row r="1265" spans="1:2" x14ac:dyDescent="0.25">
      <c r="A1265">
        <f ca="1">35025.6362952599*((RANDBETWEEN(1620,2416)))</f>
        <v>76986348.576981157</v>
      </c>
      <c r="B1265">
        <v>195028382.26443574</v>
      </c>
    </row>
    <row r="1266" spans="1:2" x14ac:dyDescent="0.25">
      <c r="A1266">
        <f ca="1">33369.5389329177*((RANDBETWEEN(1620,2416)))</f>
        <v>71010378.849248782</v>
      </c>
      <c r="B1266">
        <v>184075278.06362775</v>
      </c>
    </row>
    <row r="1267" spans="1:2" x14ac:dyDescent="0.25">
      <c r="A1267">
        <f ca="1">39743.4606387665*((RANDBETWEEN(1620,2416)))</f>
        <v>82904858.892466828</v>
      </c>
      <c r="B1267">
        <v>193854398.16112959</v>
      </c>
    </row>
    <row r="1268" spans="1:2" x14ac:dyDescent="0.25">
      <c r="A1268">
        <f ca="1">34470.1973691629*((RANDBETWEEN(1620,2416)))</f>
        <v>79591685.725397155</v>
      </c>
      <c r="B1268">
        <v>170979836.41650259</v>
      </c>
    </row>
    <row r="1269" spans="1:2" x14ac:dyDescent="0.25">
      <c r="A1269">
        <f ca="1">36609.1831346972*((RANDBETWEEN(1620,2416)))</f>
        <v>86763764.029232383</v>
      </c>
      <c r="B1269">
        <v>202456510.95084083</v>
      </c>
    </row>
    <row r="1270" spans="1:2" x14ac:dyDescent="0.25">
      <c r="A1270">
        <f ca="1">29113.4673830413*((RANDBETWEEN(1620,2416)))</f>
        <v>54383957.071521059</v>
      </c>
      <c r="B1270">
        <v>163105449.23425189</v>
      </c>
    </row>
    <row r="1271" spans="1:2" x14ac:dyDescent="0.25">
      <c r="A1271">
        <f ca="1">32329.5210215883*((RANDBETWEEN(1620,2416)))</f>
        <v>62654611.739838153</v>
      </c>
      <c r="B1271">
        <v>144208073.19021815</v>
      </c>
    </row>
    <row r="1272" spans="1:2" x14ac:dyDescent="0.25">
      <c r="A1272">
        <f ca="1">30799.4890773538*((RANDBETWEEN(1620,2416)))</f>
        <v>61598978.154707551</v>
      </c>
      <c r="B1272">
        <v>183235893.81852895</v>
      </c>
    </row>
    <row r="1273" spans="1:2" x14ac:dyDescent="0.25">
      <c r="A1273">
        <f ca="1">29780.4348561109*((RANDBETWEEN(1620,2416)))</f>
        <v>53545221.871287316</v>
      </c>
      <c r="B1273">
        <v>143263882.75446016</v>
      </c>
    </row>
    <row r="1274" spans="1:2" x14ac:dyDescent="0.25">
      <c r="A1274">
        <f ca="1">31665.1454773596*((RANDBETWEEN(1620,2416)))</f>
        <v>68428379.376574054</v>
      </c>
      <c r="B1274">
        <v>150604108.76694041</v>
      </c>
    </row>
    <row r="1275" spans="1:2" x14ac:dyDescent="0.25">
      <c r="A1275">
        <f ca="1">31675.6648083948*((RANDBETWEEN(1620,2416)))</f>
        <v>65220193.840484917</v>
      </c>
      <c r="B1275">
        <v>161639473.13082004</v>
      </c>
    </row>
    <row r="1276" spans="1:2" x14ac:dyDescent="0.25">
      <c r="A1276">
        <f ca="1">34731.8372469508*((RANDBETWEEN(1620,2416)))</f>
        <v>58905195.970828637</v>
      </c>
      <c r="B1276">
        <v>151653115.58467865</v>
      </c>
    </row>
    <row r="1277" spans="1:2" x14ac:dyDescent="0.25">
      <c r="A1277">
        <f ca="1">30693.8375144901*((RANDBETWEEN(1620,2416)))</f>
        <v>60497553.741060019</v>
      </c>
      <c r="B1277">
        <v>173684343.27060458</v>
      </c>
    </row>
    <row r="1278" spans="1:2" x14ac:dyDescent="0.25">
      <c r="A1278">
        <f ca="1">31248.1765590756*((RANDBETWEEN(1620,2416)))</f>
        <v>57215411.279667363</v>
      </c>
      <c r="B1278">
        <v>175748423.65975547</v>
      </c>
    </row>
    <row r="1279" spans="1:2" x14ac:dyDescent="0.25">
      <c r="A1279">
        <f ca="1">35251.641830882*((RANDBETWEEN(1620,2416)))</f>
        <v>60104049.321653843</v>
      </c>
      <c r="B1279">
        <v>184410967.93931991</v>
      </c>
    </row>
    <row r="1280" spans="1:2" x14ac:dyDescent="0.25">
      <c r="A1280">
        <f ca="1">33793.0426385099*((RANDBETWEEN(1620,2416)))</f>
        <v>78332272.836065903</v>
      </c>
      <c r="B1280">
        <v>146409882.50982192</v>
      </c>
    </row>
    <row r="1281" spans="1:2" x14ac:dyDescent="0.25">
      <c r="A1281">
        <f ca="1">37177.3910070467*((RANDBETWEEN(1620,2416)))</f>
        <v>73945830.713015825</v>
      </c>
      <c r="B1281">
        <v>200599873.23559478</v>
      </c>
    </row>
    <row r="1282" spans="1:2" x14ac:dyDescent="0.25">
      <c r="A1282">
        <f ca="1">32596.9832204104*((RANDBETWEEN(1620,2416)))</f>
        <v>58935345.662501983</v>
      </c>
      <c r="B1282">
        <v>158909309.1421634</v>
      </c>
    </row>
    <row r="1283" spans="1:2" x14ac:dyDescent="0.25">
      <c r="A1283">
        <f ca="1">27589.3422816656*((RANDBETWEEN(1620,2416)))</f>
        <v>61965662.764620826</v>
      </c>
      <c r="B1283">
        <v>154798346.68302366</v>
      </c>
    </row>
    <row r="1284" spans="1:2" x14ac:dyDescent="0.25">
      <c r="A1284">
        <f ca="1">29251.5415812919*((RANDBETWEEN(1620,2416)))</f>
        <v>58210567.746770911</v>
      </c>
      <c r="B1284">
        <v>198893015.90787035</v>
      </c>
    </row>
    <row r="1285" spans="1:2" x14ac:dyDescent="0.25">
      <c r="A1285">
        <f ca="1">36791.1000134862*((RANDBETWEEN(1620,2416)))</f>
        <v>82596019.530276477</v>
      </c>
      <c r="B1285">
        <v>196322917.39296415</v>
      </c>
    </row>
    <row r="1286" spans="1:2" x14ac:dyDescent="0.25">
      <c r="A1286">
        <f ca="1">41221.4316528987*((RANDBETWEEN(1620,2416)))</f>
        <v>67850476.500671253</v>
      </c>
      <c r="B1286">
        <v>147051990.35765904</v>
      </c>
    </row>
    <row r="1287" spans="1:2" x14ac:dyDescent="0.25">
      <c r="A1287">
        <f ca="1">35880.9183256173*((RANDBETWEEN(1620,2416)))</f>
        <v>75027000.218865812</v>
      </c>
      <c r="B1287">
        <v>164797271.91381437</v>
      </c>
    </row>
    <row r="1288" spans="1:2" x14ac:dyDescent="0.25">
      <c r="A1288">
        <f ca="1">36754.3002644919*((RANDBETWEEN(1620,2416)))</f>
        <v>81888580.989287853</v>
      </c>
      <c r="B1288">
        <v>146748585.41398984</v>
      </c>
    </row>
    <row r="1289" spans="1:2" x14ac:dyDescent="0.25">
      <c r="A1289">
        <f ca="1">38546.6901102079*((RANDBETWEEN(1620,2416)))</f>
        <v>80948049.231436551</v>
      </c>
      <c r="B1289">
        <v>153683640.76429251</v>
      </c>
    </row>
    <row r="1290" spans="1:2" x14ac:dyDescent="0.25">
      <c r="A1290">
        <f ca="1">30873.8853328682*((RANDBETWEEN(1620,2416)))</f>
        <v>65576132.447012104</v>
      </c>
      <c r="B1290">
        <v>172700155.91246861</v>
      </c>
    </row>
    <row r="1291" spans="1:2" x14ac:dyDescent="0.25">
      <c r="A1291">
        <f ca="1">41474.2113412728*((RANDBETWEEN(1620,2416)))</f>
        <v>71999230.888449505</v>
      </c>
      <c r="B1291">
        <v>185364398.92240918</v>
      </c>
    </row>
    <row r="1292" spans="1:2" x14ac:dyDescent="0.25">
      <c r="A1292">
        <f ca="1">30221.9670835761*((RANDBETWEEN(1620,2416)))</f>
        <v>65400336.768858641</v>
      </c>
      <c r="B1292">
        <v>190097384.45764369</v>
      </c>
    </row>
    <row r="1293" spans="1:2" x14ac:dyDescent="0.25">
      <c r="A1293">
        <f ca="1">39675.5433563996*((RANDBETWEEN(1620,2416)))</f>
        <v>81334863.880619228</v>
      </c>
      <c r="B1293">
        <v>175002668.82770637</v>
      </c>
    </row>
    <row r="1294" spans="1:2" x14ac:dyDescent="0.25">
      <c r="A1294">
        <f ca="1">33644.8059627347*((RANDBETWEEN(1620,2416)))</f>
        <v>70687737.327705622</v>
      </c>
      <c r="B1294">
        <v>190870973.9367809</v>
      </c>
    </row>
    <row r="1295" spans="1:2" x14ac:dyDescent="0.25">
      <c r="A1295">
        <f ca="1">30312.4938885937*((RANDBETWEEN(1620,2416)))</f>
        <v>67566548.877675265</v>
      </c>
      <c r="B1295">
        <v>168573078.82130373</v>
      </c>
    </row>
    <row r="1296" spans="1:2" x14ac:dyDescent="0.25">
      <c r="A1296">
        <f ca="1">31823.4216265275*((RANDBETWEEN(1620,2416)))</f>
        <v>55277283.365278289</v>
      </c>
      <c r="B1296">
        <v>191640614.36888155</v>
      </c>
    </row>
    <row r="1297" spans="1:2" x14ac:dyDescent="0.25">
      <c r="A1297">
        <f ca="1">30814.3911164507*((RANDBETWEEN(1620,2416)))</f>
        <v>53462968.587041914</v>
      </c>
      <c r="B1297">
        <v>153656948.81731126</v>
      </c>
    </row>
    <row r="1298" spans="1:2" x14ac:dyDescent="0.25">
      <c r="A1298">
        <f ca="1">34938.8644130592*((RANDBETWEEN(1620,2416)))</f>
        <v>75467947.13220787</v>
      </c>
      <c r="B1298">
        <v>155732413.86646712</v>
      </c>
    </row>
    <row r="1299" spans="1:2" x14ac:dyDescent="0.25">
      <c r="A1299">
        <f ca="1">39064.498243459*((RANDBETWEEN(1620,2416)))</f>
        <v>90082732.949416369</v>
      </c>
      <c r="B1299">
        <v>161845493.62518492</v>
      </c>
    </row>
    <row r="1300" spans="1:2" x14ac:dyDescent="0.25">
      <c r="A1300">
        <f ca="1">37803.2115181309*((RANDBETWEEN(1620,2416)))</f>
        <v>86758370.434110478</v>
      </c>
      <c r="B1300">
        <v>154717348.20700788</v>
      </c>
    </row>
    <row r="1301" spans="1:2" x14ac:dyDescent="0.25">
      <c r="A1301">
        <f ca="1">35180.5846098244*((RANDBETWEEN(1620,2416)))</f>
        <v>79472940.633593217</v>
      </c>
      <c r="B1301">
        <v>165117415.37041491</v>
      </c>
    </row>
    <row r="1302" spans="1:2" x14ac:dyDescent="0.25">
      <c r="A1302">
        <f ca="1">30468.5640732068*((RANDBETWEEN(1620,2416)))</f>
        <v>59657448.455338851</v>
      </c>
      <c r="B1302">
        <v>182710917.6285651</v>
      </c>
    </row>
    <row r="1303" spans="1:2" x14ac:dyDescent="0.25">
      <c r="A1303">
        <f ca="1">29283.1171917675*((RANDBETWEEN(1620,2416)))</f>
        <v>69810951.385173619</v>
      </c>
      <c r="B1303">
        <v>178362455.6858803</v>
      </c>
    </row>
    <row r="1304" spans="1:2" x14ac:dyDescent="0.25">
      <c r="A1304">
        <f ca="1">40377.5569846539*((RANDBETWEEN(1620,2416)))</f>
        <v>75950184.688134044</v>
      </c>
      <c r="B1304">
        <v>196368960.66092578</v>
      </c>
    </row>
    <row r="1305" spans="1:2" x14ac:dyDescent="0.25">
      <c r="A1305">
        <f ca="1">30854.9412944659*((RANDBETWEEN(1620,2416)))</f>
        <v>51959721.13988059</v>
      </c>
      <c r="B1305">
        <v>167062364.12726858</v>
      </c>
    </row>
    <row r="1306" spans="1:2" x14ac:dyDescent="0.25">
      <c r="A1306">
        <f ca="1">31089.245827272*((RANDBETWEEN(1620,2416)))</f>
        <v>62551562.604471266</v>
      </c>
      <c r="B1306">
        <v>176078470.10701159</v>
      </c>
    </row>
    <row r="1307" spans="1:2" x14ac:dyDescent="0.25">
      <c r="A1307">
        <f ca="1">30049.8303025495*((RANDBETWEEN(1620,2416)))</f>
        <v>51204910.835544363</v>
      </c>
      <c r="B1307">
        <v>154743960.35852128</v>
      </c>
    </row>
    <row r="1308" spans="1:2" x14ac:dyDescent="0.25">
      <c r="A1308">
        <f ca="1">38619.4069145465*((RANDBETWEEN(1620,2416)))</f>
        <v>85580605.72263509</v>
      </c>
      <c r="B1308">
        <v>158880052.18942702</v>
      </c>
    </row>
    <row r="1309" spans="1:2" x14ac:dyDescent="0.25">
      <c r="A1309">
        <f ca="1">32138.6069225522*((RANDBETWEEN(1620,2416)))</f>
        <v>55856898.83139579</v>
      </c>
      <c r="B1309">
        <v>152372714.52939051</v>
      </c>
    </row>
    <row r="1310" spans="1:2" x14ac:dyDescent="0.25">
      <c r="A1310">
        <f ca="1">31888.0244815881*((RANDBETWEEN(1620,2416)))</f>
        <v>62915072.302173339</v>
      </c>
      <c r="B1310">
        <v>146065099.94366074</v>
      </c>
    </row>
    <row r="1311" spans="1:2" x14ac:dyDescent="0.25">
      <c r="A1311">
        <f ca="1">36026.3234243886*((RANDBETWEEN(1620,2416)))</f>
        <v>66576645.688270129</v>
      </c>
      <c r="B1311">
        <v>160256141.92910427</v>
      </c>
    </row>
    <row r="1312" spans="1:2" x14ac:dyDescent="0.25">
      <c r="A1312">
        <f ca="1">29939.3389410456*((RANDBETWEEN(1620,2416)))</f>
        <v>48501729.08449392</v>
      </c>
      <c r="B1312">
        <v>148523421.21478248</v>
      </c>
    </row>
    <row r="1313" spans="1:2" x14ac:dyDescent="0.25">
      <c r="A1313">
        <f ca="1">36150.5856710501*((RANDBETWEEN(1620,2416)))</f>
        <v>70385190.301534459</v>
      </c>
      <c r="B1313">
        <v>168995938.48770314</v>
      </c>
    </row>
    <row r="1314" spans="1:2" x14ac:dyDescent="0.25">
      <c r="A1314">
        <f ca="1">35599.9497381303*((RANDBETWEEN(1620,2416)))</f>
        <v>76361892.188289553</v>
      </c>
      <c r="B1314">
        <v>195002190.54825056</v>
      </c>
    </row>
    <row r="1315" spans="1:2" x14ac:dyDescent="0.25">
      <c r="A1315">
        <f ca="1">30223.6924603411*((RANDBETWEEN(1620,2416)))</f>
        <v>60145147.996078737</v>
      </c>
      <c r="B1315">
        <v>151188621.4021062</v>
      </c>
    </row>
    <row r="1316" spans="1:2" x14ac:dyDescent="0.25">
      <c r="A1316">
        <f ca="1">37845.9711029142*((RANDBETWEEN(1620,2416)))</f>
        <v>66987368.852158181</v>
      </c>
      <c r="B1316">
        <v>161406751.79483506</v>
      </c>
    </row>
    <row r="1317" spans="1:2" x14ac:dyDescent="0.25">
      <c r="A1317">
        <f ca="1">29366.881331476*((RANDBETWEEN(1620,2416)))</f>
        <v>56971749.783063382</v>
      </c>
      <c r="B1317">
        <v>167077361.42146766</v>
      </c>
    </row>
    <row r="1318" spans="1:2" x14ac:dyDescent="0.25">
      <c r="A1318">
        <f ca="1">42394.2781495745*((RANDBETWEEN(1620,2416)))</f>
        <v>89579109.730050847</v>
      </c>
      <c r="B1318">
        <v>151862768.67158431</v>
      </c>
    </row>
    <row r="1319" spans="1:2" x14ac:dyDescent="0.25">
      <c r="A1319">
        <f ca="1">30881.2730949416*((RANDBETWEEN(1620,2416)))</f>
        <v>68371138.632200733</v>
      </c>
      <c r="B1319">
        <v>180677388.86465618</v>
      </c>
    </row>
    <row r="1320" spans="1:2" x14ac:dyDescent="0.25">
      <c r="A1320">
        <f ca="1">33444.6031953818*((RANDBETWEEN(1620,2416)))</f>
        <v>72574788.933978602</v>
      </c>
      <c r="B1320">
        <v>191133741.03522164</v>
      </c>
    </row>
    <row r="1321" spans="1:2" x14ac:dyDescent="0.25">
      <c r="A1321">
        <f ca="1">40737.8303315162*((RANDBETWEEN(1620,2416)))</f>
        <v>92474874.85254173</v>
      </c>
      <c r="B1321">
        <v>194153618.59669167</v>
      </c>
    </row>
    <row r="1322" spans="1:2" x14ac:dyDescent="0.25">
      <c r="A1322">
        <f ca="1">31568.2053288647*((RANDBETWEEN(1620,2416)))</f>
        <v>54392017.781633802</v>
      </c>
      <c r="B1322">
        <v>143434919.30180505</v>
      </c>
    </row>
    <row r="1323" spans="1:2" x14ac:dyDescent="0.25">
      <c r="A1323">
        <f ca="1">34994.0367304293*((RANDBETWEEN(1620,2416)))</f>
        <v>78001707.872126818</v>
      </c>
      <c r="B1323">
        <v>154391308.77149585</v>
      </c>
    </row>
    <row r="1324" spans="1:2" x14ac:dyDescent="0.25">
      <c r="A1324">
        <f ca="1">34518.1991698515*((RANDBETWEEN(1620,2416)))</f>
        <v>74455755.60936977</v>
      </c>
      <c r="B1324">
        <v>178189689.87975925</v>
      </c>
    </row>
    <row r="1325" spans="1:2" x14ac:dyDescent="0.25">
      <c r="A1325">
        <f ca="1">31757.8694345996*((RANDBETWEEN(1620,2416)))</f>
        <v>70629501.622549415</v>
      </c>
      <c r="B1325">
        <v>163450392.21736467</v>
      </c>
    </row>
    <row r="1326" spans="1:2" x14ac:dyDescent="0.25">
      <c r="A1326">
        <f ca="1">32111.8281349726*((RANDBETWEEN(1620,2416)))</f>
        <v>65829247.67669373</v>
      </c>
      <c r="B1326">
        <v>145000732.61070329</v>
      </c>
    </row>
    <row r="1327" spans="1:2" x14ac:dyDescent="0.25">
      <c r="A1327">
        <f ca="1">29599.3144870986*((RANDBETWEEN(1620,2416)))</f>
        <v>55883505.751642071</v>
      </c>
      <c r="B1327">
        <v>191383132.59490055</v>
      </c>
    </row>
    <row r="1328" spans="1:2" x14ac:dyDescent="0.25">
      <c r="A1328">
        <f ca="1">36148.4102239769*((RANDBETWEEN(1620,2416)))</f>
        <v>60150954.612697616</v>
      </c>
      <c r="B1328">
        <v>194273315.34252068</v>
      </c>
    </row>
    <row r="1329" spans="1:2" x14ac:dyDescent="0.25">
      <c r="A1329">
        <f ca="1">30086.2681065134*((RANDBETWEEN(1620,2416)))</f>
        <v>59119516.829298794</v>
      </c>
      <c r="B1329">
        <v>202545285.08958131</v>
      </c>
    </row>
    <row r="1330" spans="1:2" x14ac:dyDescent="0.25">
      <c r="A1330">
        <f ca="1">30998.9374967421*((RANDBETWEEN(1620,2416)))</f>
        <v>64353794.243236609</v>
      </c>
      <c r="B1330">
        <v>143642739.65289223</v>
      </c>
    </row>
    <row r="1331" spans="1:2" x14ac:dyDescent="0.25">
      <c r="A1331">
        <f ca="1">35978.5282050972*((RANDBETWEEN(1620,2416)))</f>
        <v>77353835.640958875</v>
      </c>
      <c r="B1331">
        <v>146503721.63368773</v>
      </c>
    </row>
    <row r="1332" spans="1:2" x14ac:dyDescent="0.25">
      <c r="A1332">
        <f ca="1">39969.5048219024*((RANDBETWEEN(1620,2416)))</f>
        <v>66829012.062220864</v>
      </c>
      <c r="B1332">
        <v>158362249.87067649</v>
      </c>
    </row>
    <row r="1333" spans="1:2" x14ac:dyDescent="0.25">
      <c r="A1333">
        <f ca="1">31875.5538854654*((RANDBETWEEN(1620,2416)))</f>
        <v>56196601.500075541</v>
      </c>
      <c r="B1333">
        <v>148577836.82676515</v>
      </c>
    </row>
    <row r="1334" spans="1:2" x14ac:dyDescent="0.25">
      <c r="A1334">
        <f ca="1">28108.5611810592*((RANDBETWEEN(1620,2416)))</f>
        <v>64846450.644703634</v>
      </c>
      <c r="B1334">
        <v>147951571.66659194</v>
      </c>
    </row>
    <row r="1335" spans="1:2" x14ac:dyDescent="0.25">
      <c r="A1335">
        <f ca="1">30781.2881301708*((RANDBETWEEN(1620,2416)))</f>
        <v>70920087.851913527</v>
      </c>
      <c r="B1335">
        <v>167730568.84293365</v>
      </c>
    </row>
    <row r="1336" spans="1:2" x14ac:dyDescent="0.25">
      <c r="A1336">
        <f ca="1">32609.3220820106*((RANDBETWEEN(1620,2416)))</f>
        <v>62544679.753296293</v>
      </c>
      <c r="B1336">
        <v>180542152.68482307</v>
      </c>
    </row>
    <row r="1337" spans="1:2" x14ac:dyDescent="0.25">
      <c r="A1337">
        <f ca="1">28520.9913583901*((RANDBETWEEN(1620,2416)))</f>
        <v>57469797.587156132</v>
      </c>
      <c r="B1337">
        <v>166762452.54038644</v>
      </c>
    </row>
    <row r="1338" spans="1:2" x14ac:dyDescent="0.25">
      <c r="A1338">
        <f ca="1">38215.0703706417*((RANDBETWEEN(1620,2416)))</f>
        <v>68863556.807896465</v>
      </c>
      <c r="B1338">
        <v>162561421.17906934</v>
      </c>
    </row>
    <row r="1339" spans="1:2" x14ac:dyDescent="0.25">
      <c r="A1339">
        <f ca="1">36517.5575098471*((RANDBETWEEN(1620,2416)))</f>
        <v>63284927.164565049</v>
      </c>
      <c r="B1339">
        <v>185427644.35520828</v>
      </c>
    </row>
    <row r="1340" spans="1:2" x14ac:dyDescent="0.25">
      <c r="A1340">
        <f ca="1">29792.6398131749*((RANDBETWEEN(1620,2416)))</f>
        <v>53924678.061846487</v>
      </c>
      <c r="B1340">
        <v>145349236.71588874</v>
      </c>
    </row>
    <row r="1341" spans="1:2" x14ac:dyDescent="0.25">
      <c r="A1341">
        <f ca="1">28847.3298675352*((RANDBETWEEN(1620,2416)))</f>
        <v>65166118.17076207</v>
      </c>
      <c r="B1341">
        <v>159603905.34909269</v>
      </c>
    </row>
    <row r="1342" spans="1:2" x14ac:dyDescent="0.25">
      <c r="A1342">
        <f ca="1">39404.9140321718*((RANDBETWEEN(1620,2416)))</f>
        <v>63835960.732118249</v>
      </c>
      <c r="B1342">
        <v>183112394.25408009</v>
      </c>
    </row>
    <row r="1343" spans="1:2" x14ac:dyDescent="0.25">
      <c r="A1343">
        <f ca="1">30837.6633218029*((RANDBETWEEN(1620,2416)))</f>
        <v>60596008.427342758</v>
      </c>
      <c r="B1343">
        <v>158792064.02993256</v>
      </c>
    </row>
    <row r="1344" spans="1:2" x14ac:dyDescent="0.25">
      <c r="A1344">
        <f ca="1">38440.7137383832*((RANDBETWEEN(1620,2416)))</f>
        <v>69846776.862642214</v>
      </c>
      <c r="B1344">
        <v>193758094.2553505</v>
      </c>
    </row>
    <row r="1345" spans="1:2" x14ac:dyDescent="0.25">
      <c r="A1345">
        <f ca="1">31404.7696382678*((RANDBETWEEN(1620,2416)))</f>
        <v>61396324.642813541</v>
      </c>
      <c r="B1345">
        <v>179061731.4632833</v>
      </c>
    </row>
    <row r="1346" spans="1:2" x14ac:dyDescent="0.25">
      <c r="A1346">
        <f ca="1">36931.5899176283*((RANDBETWEEN(1620,2416)))</f>
        <v>78184175.855619133</v>
      </c>
      <c r="B1346">
        <v>158054486.75291598</v>
      </c>
    </row>
    <row r="1347" spans="1:2" x14ac:dyDescent="0.25">
      <c r="A1347">
        <f ca="1">29726.6662956051*((RANDBETWEEN(1620,2416)))</f>
        <v>49613806.047364987</v>
      </c>
      <c r="B1347">
        <v>152073424.26996428</v>
      </c>
    </row>
    <row r="1348" spans="1:2" x14ac:dyDescent="0.25">
      <c r="A1348">
        <f ca="1">30995.9247282959*((RANDBETWEEN(1620,2416)))</f>
        <v>67230160.735673785</v>
      </c>
      <c r="B1348">
        <v>194743761.66523671</v>
      </c>
    </row>
    <row r="1349" spans="1:2" x14ac:dyDescent="0.25">
      <c r="A1349">
        <f ca="1">29799.5236371905*((RANDBETWEEN(1620,2416)))</f>
        <v>57781276.332512446</v>
      </c>
      <c r="B1349">
        <v>147352535.59899321</v>
      </c>
    </row>
    <row r="1350" spans="1:2" x14ac:dyDescent="0.25">
      <c r="A1350">
        <f ca="1">35811.6667428674*((RANDBETWEEN(1620,2416)))</f>
        <v>71659145.152477771</v>
      </c>
      <c r="B1350">
        <v>150516435.95983449</v>
      </c>
    </row>
    <row r="1351" spans="1:2" x14ac:dyDescent="0.25">
      <c r="A1351">
        <f ca="1">31991.831118655*((RANDBETWEEN(1620,2416)))</f>
        <v>70318044.798803762</v>
      </c>
      <c r="B1351">
        <v>192468831.52920812</v>
      </c>
    </row>
    <row r="1352" spans="1:2" x14ac:dyDescent="0.25">
      <c r="A1352">
        <f ca="1">40705.7195613578*((RANDBETWEEN(1620,2416)))</f>
        <v>93460332.112877443</v>
      </c>
      <c r="B1352">
        <v>175857186.35938761</v>
      </c>
    </row>
    <row r="1353" spans="1:2" x14ac:dyDescent="0.25">
      <c r="A1353">
        <f ca="1">36353.7164216389*((RANDBETWEEN(1620,2416)))</f>
        <v>64564200.364830695</v>
      </c>
      <c r="B1353">
        <v>172257303.6448622</v>
      </c>
    </row>
    <row r="1354" spans="1:2" x14ac:dyDescent="0.25">
      <c r="A1354">
        <f ca="1">37119.3872260678*((RANDBETWEEN(1620,2416)))</f>
        <v>64290778.675549373</v>
      </c>
      <c r="B1354">
        <v>145095454.15828896</v>
      </c>
    </row>
    <row r="1355" spans="1:2" x14ac:dyDescent="0.25">
      <c r="A1355">
        <f ca="1">34502.5649449862*((RANDBETWEEN(1620,2416)))</f>
        <v>73110935.118425742</v>
      </c>
      <c r="B1355">
        <v>168239415.41982865</v>
      </c>
    </row>
    <row r="1356" spans="1:2" x14ac:dyDescent="0.25">
      <c r="A1356">
        <f ca="1">36100.079902585*((RANDBETWEEN(1620,2416)))</f>
        <v>71658658.606631309</v>
      </c>
      <c r="B1356">
        <v>172855133.54545271</v>
      </c>
    </row>
    <row r="1357" spans="1:2" x14ac:dyDescent="0.25">
      <c r="A1357">
        <f ca="1">34103.391549776*((RANDBETWEEN(1620,2416)))</f>
        <v>55247494.310637042</v>
      </c>
      <c r="B1357">
        <v>190642179.83107096</v>
      </c>
    </row>
    <row r="1358" spans="1:2" x14ac:dyDescent="0.25">
      <c r="A1358">
        <f ca="1">30613.6023751312*((RANDBETWEEN(1620,2416)))</f>
        <v>64625314.613901995</v>
      </c>
      <c r="B1358">
        <v>145809163.66720057</v>
      </c>
    </row>
    <row r="1359" spans="1:2" x14ac:dyDescent="0.25">
      <c r="A1359">
        <f ca="1">33670.9675071094*((RANDBETWEEN(1620,2416)))</f>
        <v>58284444.754806377</v>
      </c>
      <c r="B1359">
        <v>176570934.6722815</v>
      </c>
    </row>
    <row r="1360" spans="1:2" x14ac:dyDescent="0.25">
      <c r="A1360">
        <f ca="1">31907.0790409126*((RANDBETWEEN(1620,2416)))</f>
        <v>57177485.641315326</v>
      </c>
      <c r="B1360">
        <v>202819493.41594982</v>
      </c>
    </row>
    <row r="1361" spans="1:2" x14ac:dyDescent="0.25">
      <c r="A1361">
        <f ca="1">34051.518992555*((RANDBETWEEN(1620,2416)))</f>
        <v>70554747.35257405</v>
      </c>
      <c r="B1361">
        <v>177798870.60409355</v>
      </c>
    </row>
    <row r="1362" spans="1:2" x14ac:dyDescent="0.25">
      <c r="A1362">
        <f ca="1">30629.7080655848*((RANDBETWEEN(1620,2416)))</f>
        <v>73970744.978387356</v>
      </c>
      <c r="B1362">
        <v>187929578.14186662</v>
      </c>
    </row>
    <row r="1363" spans="1:2" x14ac:dyDescent="0.25">
      <c r="A1363">
        <f ca="1">29777.731558565*((RANDBETWEEN(1620,2416)))</f>
        <v>69143892.678988025</v>
      </c>
      <c r="B1363">
        <v>166444955.14337805</v>
      </c>
    </row>
    <row r="1364" spans="1:2" x14ac:dyDescent="0.25">
      <c r="A1364">
        <f ca="1">31149.3481656406*((RANDBETWEEN(1620,2416)))</f>
        <v>56099976.046318755</v>
      </c>
      <c r="B1364">
        <v>166907548.13933936</v>
      </c>
    </row>
    <row r="1365" spans="1:2" x14ac:dyDescent="0.25">
      <c r="A1365">
        <f ca="1">38341.5159116587*((RANDBETWEEN(1620,2416)))</f>
        <v>66177456.463522904</v>
      </c>
      <c r="B1365">
        <v>174980245.83403277</v>
      </c>
    </row>
    <row r="1366" spans="1:2" x14ac:dyDescent="0.25">
      <c r="A1366">
        <f ca="1">36391.4833562528*((RANDBETWEEN(1620,2416)))</f>
        <v>86648121.871237889</v>
      </c>
      <c r="B1366">
        <v>154254846.37008411</v>
      </c>
    </row>
    <row r="1367" spans="1:2" x14ac:dyDescent="0.25">
      <c r="A1367">
        <f ca="1">31635.467198073*((RANDBETWEEN(1620,2416)))</f>
        <v>70420549.982910454</v>
      </c>
      <c r="B1367">
        <v>155058886.83571607</v>
      </c>
    </row>
    <row r="1368" spans="1:2" x14ac:dyDescent="0.25">
      <c r="A1368">
        <f ca="1">32714.1290426553*((RANDBETWEEN(1620,2416)))</f>
        <v>72690794.73278001</v>
      </c>
      <c r="B1368">
        <v>149632991.99883011</v>
      </c>
    </row>
    <row r="1369" spans="1:2" x14ac:dyDescent="0.25">
      <c r="A1369">
        <f ca="1">29298.9848431583*((RANDBETWEEN(1620,2416)))</f>
        <v>51712708.248174414</v>
      </c>
      <c r="B1369">
        <v>150219163.14409459</v>
      </c>
    </row>
    <row r="1370" spans="1:2" x14ac:dyDescent="0.25">
      <c r="A1370">
        <f ca="1">35621.0851409987*((RANDBETWEEN(1620,2416)))</f>
        <v>66967640.065077506</v>
      </c>
      <c r="B1370">
        <v>174104275.92392629</v>
      </c>
    </row>
    <row r="1371" spans="1:2" x14ac:dyDescent="0.25">
      <c r="A1371">
        <f ca="1">32747.2552843211*((RANDBETWEEN(1620,2416)))</f>
        <v>58159125.384954229</v>
      </c>
      <c r="B1371">
        <v>145234943.8356474</v>
      </c>
    </row>
    <row r="1372" spans="1:2" x14ac:dyDescent="0.25">
      <c r="A1372">
        <f ca="1">32085.8872841891*((RANDBETWEEN(1620,2416)))</f>
        <v>64332204.004799142</v>
      </c>
      <c r="B1372">
        <v>170478166.8832179</v>
      </c>
    </row>
    <row r="1373" spans="1:2" x14ac:dyDescent="0.25">
      <c r="A1373">
        <f ca="1">30617.0189078623*((RANDBETWEEN(1620,2416)))</f>
        <v>65520420.462825291</v>
      </c>
      <c r="B1373">
        <v>151429959.18830034</v>
      </c>
    </row>
    <row r="1374" spans="1:2" x14ac:dyDescent="0.25">
      <c r="A1374">
        <f ca="1">34632.693618953*((RANDBETWEEN(1620,2416)))</f>
        <v>64209013.969538838</v>
      </c>
      <c r="B1374">
        <v>153344505.17370284</v>
      </c>
    </row>
    <row r="1375" spans="1:2" x14ac:dyDescent="0.25">
      <c r="A1375">
        <f ca="1">31451.611049098*((RANDBETWEEN(1620,2416)))</f>
        <v>63752415.596521638</v>
      </c>
      <c r="B1375">
        <v>142993967.55127454</v>
      </c>
    </row>
    <row r="1376" spans="1:2" x14ac:dyDescent="0.25">
      <c r="A1376">
        <f ca="1">33513.722189471*((RANDBETWEEN(1620,2416)))</f>
        <v>67932314.878057718</v>
      </c>
      <c r="B1376">
        <v>142961253.44411671</v>
      </c>
    </row>
    <row r="1377" spans="1:2" x14ac:dyDescent="0.25">
      <c r="A1377">
        <f ca="1">38811.4230928072*((RANDBETWEEN(1620,2416)))</f>
        <v>68308104.643340692</v>
      </c>
      <c r="B1377">
        <v>200392800.79717314</v>
      </c>
    </row>
    <row r="1378" spans="1:2" x14ac:dyDescent="0.25">
      <c r="A1378">
        <f ca="1">29142.3478247173*((RANDBETWEEN(1620,2416)))</f>
        <v>70378769.996692196</v>
      </c>
      <c r="B1378">
        <v>186636183.51518816</v>
      </c>
    </row>
    <row r="1379" spans="1:2" x14ac:dyDescent="0.25">
      <c r="A1379">
        <f ca="1">34167.0067207559*((RANDBETWEEN(1620,2416)))</f>
        <v>66352327.051707953</v>
      </c>
      <c r="B1379">
        <v>182622170.67843828</v>
      </c>
    </row>
    <row r="1380" spans="1:2" x14ac:dyDescent="0.25">
      <c r="A1380">
        <f ca="1">32364.4813871842*((RANDBETWEEN(1620,2416)))</f>
        <v>53433758.770241193</v>
      </c>
      <c r="B1380">
        <v>146542807.61019182</v>
      </c>
    </row>
    <row r="1381" spans="1:2" x14ac:dyDescent="0.25">
      <c r="A1381">
        <f ca="1">42580.2683361577*((RANDBETWEEN(1620,2416)))</f>
        <v>82648300.840482101</v>
      </c>
      <c r="B1381">
        <v>191971509.5192135</v>
      </c>
    </row>
    <row r="1382" spans="1:2" x14ac:dyDescent="0.25">
      <c r="A1382">
        <f ca="1">41383.0471181212*((RANDBETWEEN(1620,2416)))</f>
        <v>70309797.053688005</v>
      </c>
      <c r="B1382">
        <v>163463805.60814053</v>
      </c>
    </row>
    <row r="1383" spans="1:2" x14ac:dyDescent="0.25">
      <c r="A1383">
        <f ca="1">31226.4123742109*((RANDBETWEEN(1620,2416)))</f>
        <v>51835844.54119008</v>
      </c>
      <c r="B1383">
        <v>153946407.75439364</v>
      </c>
    </row>
    <row r="1384" spans="1:2" x14ac:dyDescent="0.25">
      <c r="A1384">
        <f ca="1">31295.7553404506*((RANDBETWEEN(1620,2416)))</f>
        <v>67317169.737309217</v>
      </c>
      <c r="B1384">
        <v>173469384.72440389</v>
      </c>
    </row>
    <row r="1385" spans="1:2" x14ac:dyDescent="0.25">
      <c r="A1385">
        <f ca="1">34896.3472727596*((RANDBETWEEN(1620,2416)))</f>
        <v>82809032.07825841</v>
      </c>
      <c r="B1385">
        <v>159294323.92278761</v>
      </c>
    </row>
    <row r="1386" spans="1:2" x14ac:dyDescent="0.25">
      <c r="A1386">
        <f ca="1">32819.9480866318*((RANDBETWEEN(1620,2416)))</f>
        <v>55071872.889368109</v>
      </c>
      <c r="B1386">
        <v>171346813.32014376</v>
      </c>
    </row>
    <row r="1387" spans="1:2" x14ac:dyDescent="0.25">
      <c r="A1387">
        <f ca="1">31991.9071107288*((RANDBETWEEN(1620,2416)))</f>
        <v>58801125.26951953</v>
      </c>
      <c r="B1387">
        <v>166320381.70808396</v>
      </c>
    </row>
    <row r="1388" spans="1:2" x14ac:dyDescent="0.25">
      <c r="A1388">
        <f ca="1">35134.915396072*((RANDBETWEEN(1620,2416)))</f>
        <v>83796773.219631687</v>
      </c>
      <c r="B1388">
        <v>149473871.5671488</v>
      </c>
    </row>
    <row r="1389" spans="1:2" x14ac:dyDescent="0.25">
      <c r="A1389">
        <f ca="1">37255.987664781*((RANDBETWEEN(1620,2416)))</f>
        <v>74586487.304891616</v>
      </c>
      <c r="B1389">
        <v>199090454.55376267</v>
      </c>
    </row>
    <row r="1390" spans="1:2" x14ac:dyDescent="0.25">
      <c r="A1390">
        <f ca="1">27653.3811848062*((RANDBETWEEN(1620,2416)))</f>
        <v>50882221.380043484</v>
      </c>
      <c r="B1390">
        <v>159900132.97123209</v>
      </c>
    </row>
    <row r="1391" spans="1:2" x14ac:dyDescent="0.25">
      <c r="A1391">
        <f ca="1">32446.6049687512*((RANDBETWEEN(1620,2416)))</f>
        <v>65639481.851783611</v>
      </c>
      <c r="B1391">
        <v>145873446.77053303</v>
      </c>
    </row>
    <row r="1392" spans="1:2" x14ac:dyDescent="0.25">
      <c r="A1392">
        <f ca="1">36373.7054143238*((RANDBETWEEN(1620,2416)))</f>
        <v>80931494.54687053</v>
      </c>
      <c r="B1392">
        <v>150079963.79380795</v>
      </c>
    </row>
    <row r="1393" spans="1:2" x14ac:dyDescent="0.25">
      <c r="A1393">
        <f ca="1">31098.5388064662*((RANDBETWEEN(1620,2416)))</f>
        <v>59522603.275576286</v>
      </c>
      <c r="B1393">
        <v>148863499.83318371</v>
      </c>
    </row>
    <row r="1394" spans="1:2" x14ac:dyDescent="0.25">
      <c r="A1394">
        <f ca="1">31989.4006250281*((RANDBETWEEN(1620,2416)))</f>
        <v>59628242.765052378</v>
      </c>
      <c r="B1394">
        <v>158395666.54355872</v>
      </c>
    </row>
    <row r="1395" spans="1:2" x14ac:dyDescent="0.25">
      <c r="A1395">
        <f ca="1">34476.9824040385*((RANDBETWEEN(1620,2416)))</f>
        <v>68367856.107208312</v>
      </c>
      <c r="B1395">
        <v>193037039.97506163</v>
      </c>
    </row>
    <row r="1396" spans="1:2" x14ac:dyDescent="0.25">
      <c r="A1396">
        <f ca="1">36491.5888898913*((RANDBETWEEN(1620,2416)))</f>
        <v>68640678.701885477</v>
      </c>
      <c r="B1396">
        <v>149267070.81070566</v>
      </c>
    </row>
    <row r="1397" spans="1:2" x14ac:dyDescent="0.25">
      <c r="A1397">
        <f ca="1">32918.5298637353*((RANDBETWEEN(1620,2416)))</f>
        <v>54480166.924482003</v>
      </c>
      <c r="B1397">
        <v>170910811.97085416</v>
      </c>
    </row>
    <row r="1398" spans="1:2" x14ac:dyDescent="0.25">
      <c r="A1398">
        <f ca="1">29777.4620880124*((RANDBETWEEN(1620,2416)))</f>
        <v>57232282.133159801</v>
      </c>
      <c r="B1398">
        <v>168418009.23556918</v>
      </c>
    </row>
    <row r="1399" spans="1:2" x14ac:dyDescent="0.25">
      <c r="A1399">
        <f ca="1">37253.8439526553*((RANDBETWEEN(1620,2416)))</f>
        <v>79760479.902635098</v>
      </c>
      <c r="B1399">
        <v>182720617.68631262</v>
      </c>
    </row>
    <row r="1400" spans="1:2" x14ac:dyDescent="0.25">
      <c r="A1400">
        <f ca="1">36755.0644983471*((RANDBETWEEN(1620,2416)))</f>
        <v>69062766.192394137</v>
      </c>
      <c r="B1400">
        <v>174126978.40829694</v>
      </c>
    </row>
    <row r="1401" spans="1:2" x14ac:dyDescent="0.25">
      <c r="A1401">
        <f ca="1">29519.884115743*((RANDBETWEEN(1620,2416)))</f>
        <v>66419739.260421723</v>
      </c>
      <c r="B1401">
        <v>147583917.40877095</v>
      </c>
    </row>
    <row r="1402" spans="1:2" x14ac:dyDescent="0.25">
      <c r="A1402">
        <f ca="1">30431.7483526901*((RANDBETWEEN(1620,2416)))</f>
        <v>63176309.580184646</v>
      </c>
      <c r="B1402">
        <v>191459460.20429254</v>
      </c>
    </row>
    <row r="1403" spans="1:2" x14ac:dyDescent="0.25">
      <c r="A1403">
        <f ca="1">28926.1116028284*((RANDBETWEEN(1620,2416)))</f>
        <v>54699277.040948495</v>
      </c>
      <c r="B1403">
        <v>192585974.13518029</v>
      </c>
    </row>
    <row r="1404" spans="1:2" x14ac:dyDescent="0.25">
      <c r="A1404">
        <f ca="1">32156.5989467922*((RANDBETWEEN(1620,2416)))</f>
        <v>68879434.944028974</v>
      </c>
      <c r="B1404">
        <v>184390086.41851532</v>
      </c>
    </row>
    <row r="1405" spans="1:2" x14ac:dyDescent="0.25">
      <c r="A1405">
        <f ca="1">30529.4677447903*((RANDBETWEEN(1620,2416)))</f>
        <v>54464570.456705973</v>
      </c>
      <c r="B1405">
        <v>144042158.00152141</v>
      </c>
    </row>
    <row r="1406" spans="1:2" x14ac:dyDescent="0.25">
      <c r="A1406">
        <f ca="1">30409.8252842483*((RANDBETWEEN(1620,2416)))</f>
        <v>52761046.868170775</v>
      </c>
      <c r="B1406">
        <v>175599166.88339084</v>
      </c>
    </row>
    <row r="1407" spans="1:2" x14ac:dyDescent="0.25">
      <c r="A1407">
        <f ca="1">32181.9023944478*((RANDBETWEEN(1620,2416)))</f>
        <v>77043474.332308009</v>
      </c>
      <c r="B1407">
        <v>159840621.18432096</v>
      </c>
    </row>
    <row r="1408" spans="1:2" x14ac:dyDescent="0.25">
      <c r="A1408">
        <f ca="1">34514.0444535662*((RANDBETWEEN(1620,2416)))</f>
        <v>62090765.971965574</v>
      </c>
      <c r="B1408">
        <v>150214770.64617378</v>
      </c>
    </row>
    <row r="1409" spans="1:2" x14ac:dyDescent="0.25">
      <c r="A1409">
        <f ca="1">38125.0761729631*((RANDBETWEEN(1620,2416)))</f>
        <v>78690157.220995858</v>
      </c>
      <c r="B1409">
        <v>155871933.48726875</v>
      </c>
    </row>
    <row r="1410" spans="1:2" x14ac:dyDescent="0.25">
      <c r="A1410">
        <f ca="1">35175.4632780448*((RANDBETWEEN(1620,2416)))</f>
        <v>65461537.160441279</v>
      </c>
      <c r="B1410">
        <v>199111661.00930363</v>
      </c>
    </row>
    <row r="1411" spans="1:2" x14ac:dyDescent="0.25">
      <c r="A1411">
        <f ca="1">32044.88881861*((RANDBETWEEN(1620,2416)))</f>
        <v>73927558.504533336</v>
      </c>
      <c r="B1411">
        <v>151074586.11396927</v>
      </c>
    </row>
    <row r="1412" spans="1:2" x14ac:dyDescent="0.25">
      <c r="A1412">
        <f ca="1">30757.0897762137*((RANDBETWEEN(1620,2416)))</f>
        <v>51395097.01605311</v>
      </c>
      <c r="B1412">
        <v>159098846.53129435</v>
      </c>
    </row>
    <row r="1413" spans="1:2" x14ac:dyDescent="0.25">
      <c r="A1413">
        <f ca="1">30117.2294962212*((RANDBETWEEN(1620,2416)))</f>
        <v>70233379.185187757</v>
      </c>
      <c r="B1413">
        <v>201686355.13603458</v>
      </c>
    </row>
    <row r="1414" spans="1:2" x14ac:dyDescent="0.25">
      <c r="A1414">
        <f ca="1">30271.50459751*((RANDBETWEEN(1620,2416)))</f>
        <v>64569119.30648879</v>
      </c>
      <c r="B1414">
        <v>185352025.2801007</v>
      </c>
    </row>
    <row r="1415" spans="1:2" x14ac:dyDescent="0.25">
      <c r="A1415">
        <f ca="1">28143.8307690608*((RANDBETWEEN(1620,2416)))</f>
        <v>50180450.261235461</v>
      </c>
      <c r="B1415">
        <v>169447011.20766285</v>
      </c>
    </row>
    <row r="1416" spans="1:2" x14ac:dyDescent="0.25">
      <c r="A1416">
        <f ca="1">30812.0087224161*((RANDBETWEEN(1620,2416)))</f>
        <v>69573515.695215598</v>
      </c>
      <c r="B1416">
        <v>195568426.83563751</v>
      </c>
    </row>
    <row r="1417" spans="1:2" x14ac:dyDescent="0.25">
      <c r="A1417">
        <f ca="1">37002.2997336138*((RANDBETWEEN(1620,2416)))</f>
        <v>71932470.682145208</v>
      </c>
      <c r="B1417">
        <v>159407280.63424149</v>
      </c>
    </row>
    <row r="1418" spans="1:2" x14ac:dyDescent="0.25">
      <c r="A1418">
        <f ca="1">29732.8764963256*((RANDBETWEEN(1620,2416)))</f>
        <v>56938458.490463525</v>
      </c>
      <c r="B1418">
        <v>196120858.12078434</v>
      </c>
    </row>
    <row r="1419" spans="1:2" x14ac:dyDescent="0.25">
      <c r="A1419">
        <f ca="1">33479.6272515173*((RANDBETWEEN(1620,2416)))</f>
        <v>68934552.510874093</v>
      </c>
      <c r="B1419">
        <v>146754433.21246013</v>
      </c>
    </row>
    <row r="1420" spans="1:2" x14ac:dyDescent="0.25">
      <c r="A1420">
        <f ca="1">25966.9840126564*((RANDBETWEEN(1620,2416)))</f>
        <v>47545547.727173947</v>
      </c>
      <c r="B1420">
        <v>153685331.98927319</v>
      </c>
    </row>
    <row r="1421" spans="1:2" x14ac:dyDescent="0.25">
      <c r="A1421">
        <f ca="1">32982.570840481*((RANDBETWEEN(1620,2416)))</f>
        <v>78729396.596228153</v>
      </c>
      <c r="B1421">
        <v>171890207.15610582</v>
      </c>
    </row>
    <row r="1422" spans="1:2" x14ac:dyDescent="0.25">
      <c r="A1422">
        <f ca="1">35642.366952736*((RANDBETWEEN(1620,2416)))</f>
        <v>57883203.931243293</v>
      </c>
      <c r="B1422">
        <v>162974642.49600592</v>
      </c>
    </row>
    <row r="1423" spans="1:2" x14ac:dyDescent="0.25">
      <c r="A1423">
        <f ca="1">36486.3776877843*((RANDBETWEEN(1620,2416)))</f>
        <v>68375471.786907807</v>
      </c>
      <c r="B1423">
        <v>176589830.54108855</v>
      </c>
    </row>
    <row r="1424" spans="1:2" x14ac:dyDescent="0.25">
      <c r="A1424">
        <f ca="1">31486.3474344298*((RANDBETWEEN(1620,2416)))</f>
        <v>60642705.158711888</v>
      </c>
      <c r="B1424">
        <v>200960002.88964865</v>
      </c>
    </row>
    <row r="1425" spans="1:2" x14ac:dyDescent="0.25">
      <c r="A1425">
        <f ca="1">37316.3786731022*((RANDBETWEEN(1620,2416)))</f>
        <v>67281430.747603342</v>
      </c>
      <c r="B1425">
        <v>145264954.31033882</v>
      </c>
    </row>
    <row r="1426" spans="1:2" x14ac:dyDescent="0.25">
      <c r="A1426">
        <f ca="1">30694.4376947691*((RANDBETWEEN(1620,2416)))</f>
        <v>72285400.771181121</v>
      </c>
      <c r="B1426">
        <v>183146799.43950978</v>
      </c>
    </row>
    <row r="1427" spans="1:2" x14ac:dyDescent="0.25">
      <c r="A1427">
        <f ca="1">38392.8610275201*((RANDBETWEEN(1620,2416)))</f>
        <v>66074113.828362092</v>
      </c>
      <c r="B1427">
        <v>145590706.12226024</v>
      </c>
    </row>
    <row r="1428" spans="1:2" x14ac:dyDescent="0.25">
      <c r="A1428">
        <f ca="1">37961.7926266684*((RANDBETWEEN(1620,2416)))</f>
        <v>89627792.39156425</v>
      </c>
      <c r="B1428">
        <v>162626887.28931531</v>
      </c>
    </row>
    <row r="1429" spans="1:2" x14ac:dyDescent="0.25">
      <c r="A1429">
        <f ca="1">28867.207217912*((RANDBETWEEN(1620,2416)))</f>
        <v>53895075.875841692</v>
      </c>
      <c r="B1429">
        <v>151616453.31287202</v>
      </c>
    </row>
    <row r="1430" spans="1:2" x14ac:dyDescent="0.25">
      <c r="A1430">
        <f ca="1">31244.1278942343*((RANDBETWEEN(1620,2416)))</f>
        <v>66831189.56576708</v>
      </c>
      <c r="B1430">
        <v>169500453.22709978</v>
      </c>
    </row>
    <row r="1431" spans="1:2" x14ac:dyDescent="0.25">
      <c r="A1431">
        <f ca="1">32608.0125888786*((RANDBETWEEN(1620,2416)))</f>
        <v>53020628.469516642</v>
      </c>
      <c r="B1431">
        <v>150340607.0035426</v>
      </c>
    </row>
    <row r="1432" spans="1:2" x14ac:dyDescent="0.25">
      <c r="A1432">
        <f ca="1">30381.2117124006*((RANDBETWEEN(1620,2416)))</f>
        <v>67355146.366392076</v>
      </c>
      <c r="B1432">
        <v>154262095.57032564</v>
      </c>
    </row>
    <row r="1433" spans="1:2" x14ac:dyDescent="0.25">
      <c r="A1433">
        <f ca="1">30901.2696739688*((RANDBETWEEN(1620,2416)))</f>
        <v>74255751.02654697</v>
      </c>
      <c r="B1433">
        <v>172802062.60734838</v>
      </c>
    </row>
    <row r="1434" spans="1:2" x14ac:dyDescent="0.25">
      <c r="A1434">
        <f ca="1">39886.3048081675*((RANDBETWEEN(1620,2416)))</f>
        <v>70838077.339305401</v>
      </c>
      <c r="B1434">
        <v>143429160.53998098</v>
      </c>
    </row>
    <row r="1435" spans="1:2" x14ac:dyDescent="0.25">
      <c r="A1435">
        <f ca="1">31573.0295726277*((RANDBETWEEN(1620,2416)))</f>
        <v>61851564.93277771</v>
      </c>
      <c r="B1435">
        <v>170546856.91209954</v>
      </c>
    </row>
    <row r="1436" spans="1:2" x14ac:dyDescent="0.25">
      <c r="A1436">
        <f ca="1">36668.5721518909*((RANDBETWEEN(1620,2416)))</f>
        <v>62813264.09618903</v>
      </c>
      <c r="B1436">
        <v>169205584.9834497</v>
      </c>
    </row>
    <row r="1437" spans="1:2" x14ac:dyDescent="0.25">
      <c r="A1437">
        <f ca="1">38597.7007318862*((RANDBETWEEN(1620,2416)))</f>
        <v>69861838.32471399</v>
      </c>
      <c r="B1437">
        <v>201014085.10507441</v>
      </c>
    </row>
    <row r="1438" spans="1:2" x14ac:dyDescent="0.25">
      <c r="A1438">
        <f ca="1">29632.1333062502*((RANDBETWEEN(1620,2416)))</f>
        <v>63116443.942312971</v>
      </c>
      <c r="B1438">
        <v>199380135.88874319</v>
      </c>
    </row>
    <row r="1439" spans="1:2" x14ac:dyDescent="0.25">
      <c r="A1439">
        <f ca="1">37482.9111829434*((RANDBETWEEN(1620,2416)))</f>
        <v>88384704.569380626</v>
      </c>
      <c r="B1439">
        <v>163455362.53802499</v>
      </c>
    </row>
    <row r="1440" spans="1:2" x14ac:dyDescent="0.25">
      <c r="A1440">
        <f ca="1">31743.8023966948*((RANDBETWEEN(1620,2416)))</f>
        <v>72756795.093224451</v>
      </c>
      <c r="B1440">
        <v>148319814.61011732</v>
      </c>
    </row>
    <row r="1441" spans="1:2" x14ac:dyDescent="0.25">
      <c r="A1441">
        <f ca="1">34972.0704161758*((RANDBETWEEN(1620,2416)))</f>
        <v>62600006.04495474</v>
      </c>
      <c r="B1441">
        <v>154505763.77325904</v>
      </c>
    </row>
    <row r="1442" spans="1:2" x14ac:dyDescent="0.25">
      <c r="A1442">
        <f ca="1">28882.7523169562*((RANDBETWEEN(1620,2416)))</f>
        <v>62473393.261576332</v>
      </c>
      <c r="B1442">
        <v>181867518.32888234</v>
      </c>
    </row>
    <row r="1443" spans="1:2" x14ac:dyDescent="0.25">
      <c r="A1443">
        <f ca="1">29731.5224726803*((RANDBETWEEN(1620,2416)))</f>
        <v>50989561.040646695</v>
      </c>
      <c r="B1443">
        <v>148139348.14396921</v>
      </c>
    </row>
    <row r="1444" spans="1:2" x14ac:dyDescent="0.25">
      <c r="A1444">
        <f ca="1">29768.1744750454*((RANDBETWEEN(1620,2416)))</f>
        <v>63108529.887096271</v>
      </c>
      <c r="B1444">
        <v>151159738.61999527</v>
      </c>
    </row>
    <row r="1445" spans="1:2" x14ac:dyDescent="0.25">
      <c r="A1445">
        <f ca="1">32137.1844095138*((RANDBETWEEN(1620,2416)))</f>
        <v>59743025.817286186</v>
      </c>
      <c r="B1445">
        <v>148272658.37220815</v>
      </c>
    </row>
    <row r="1446" spans="1:2" x14ac:dyDescent="0.25">
      <c r="A1446">
        <f ca="1">31012.416689377*((RANDBETWEEN(1620,2416)))</f>
        <v>58458405.459475555</v>
      </c>
      <c r="B1446">
        <v>181919972.78050369</v>
      </c>
    </row>
    <row r="1447" spans="1:2" x14ac:dyDescent="0.25">
      <c r="A1447">
        <f ca="1">31734.5937570921*((RANDBETWEEN(1620,2416)))</f>
        <v>64548163.701925233</v>
      </c>
      <c r="B1447">
        <v>168688523.75431708</v>
      </c>
    </row>
    <row r="1448" spans="1:2" x14ac:dyDescent="0.25">
      <c r="A1448">
        <f ca="1">30398.6852263497*((RANDBETWEEN(1620,2416)))</f>
        <v>67089898.294553749</v>
      </c>
      <c r="B1448">
        <v>174114448.389963</v>
      </c>
    </row>
    <row r="1449" spans="1:2" x14ac:dyDescent="0.25">
      <c r="A1449">
        <f ca="1">37103.2638103238*((RANDBETWEEN(1620,2416)))</f>
        <v>76395620.185456693</v>
      </c>
      <c r="B1449">
        <v>175500081.46541685</v>
      </c>
    </row>
    <row r="1450" spans="1:2" x14ac:dyDescent="0.25">
      <c r="A1450">
        <f ca="1">33329.5973647596*((RANDBETWEEN(1620,2416)))</f>
        <v>59759968.075013943</v>
      </c>
      <c r="B1450">
        <v>148752835.21752748</v>
      </c>
    </row>
    <row r="1451" spans="1:2" x14ac:dyDescent="0.25">
      <c r="A1451">
        <f ca="1">30076.6555076432*((RANDBETWEEN(1620,2416)))</f>
        <v>71522286.797175586</v>
      </c>
      <c r="B1451">
        <v>150105993.79893771</v>
      </c>
    </row>
    <row r="1452" spans="1:2" x14ac:dyDescent="0.25">
      <c r="A1452">
        <f ca="1">35979.0833132281*((RANDBETWEEN(1620,2416)))</f>
        <v>70447045.127300695</v>
      </c>
      <c r="B1452">
        <v>174066952.69075298</v>
      </c>
    </row>
    <row r="1453" spans="1:2" x14ac:dyDescent="0.25">
      <c r="A1453">
        <f ca="1">31689.3809835851*((RANDBETWEEN(1620,2416)))</f>
        <v>74216530.263556212</v>
      </c>
      <c r="B1453">
        <v>182840792.06042328</v>
      </c>
    </row>
    <row r="1454" spans="1:2" x14ac:dyDescent="0.25">
      <c r="A1454">
        <f ca="1">30637.1420694252*((RANDBETWEEN(1620,2416)))</f>
        <v>60630904.155392431</v>
      </c>
      <c r="B1454">
        <v>194144407.33744672</v>
      </c>
    </row>
    <row r="1455" spans="1:2" x14ac:dyDescent="0.25">
      <c r="A1455">
        <f ca="1">32703.2704057133*((RANDBETWEEN(1620,2416)))</f>
        <v>59421842.327181093</v>
      </c>
      <c r="B1455">
        <v>191281819.26649791</v>
      </c>
    </row>
    <row r="1456" spans="1:2" x14ac:dyDescent="0.25">
      <c r="A1456">
        <f ca="1">37419.9459169174*((RANDBETWEEN(1620,2416)))</f>
        <v>78768986.155111209</v>
      </c>
      <c r="B1456">
        <v>194781246.52650672</v>
      </c>
    </row>
    <row r="1457" spans="1:2" x14ac:dyDescent="0.25">
      <c r="A1457">
        <f ca="1">42639.7463620692*((RANDBETWEEN(1620,2416)))</f>
        <v>69119028.852914125</v>
      </c>
      <c r="B1457">
        <v>162156926.99140048</v>
      </c>
    </row>
    <row r="1458" spans="1:2" x14ac:dyDescent="0.25">
      <c r="A1458">
        <f ca="1">33495.9175432529*((RANDBETWEEN(1620,2416)))</f>
        <v>65350535.12688645</v>
      </c>
      <c r="B1458">
        <v>152689495.56806582</v>
      </c>
    </row>
    <row r="1459" spans="1:2" x14ac:dyDescent="0.25">
      <c r="A1459">
        <f ca="1">35512.4042550292*((RANDBETWEEN(1620,2416)))</f>
        <v>64632575.744153224</v>
      </c>
      <c r="B1459">
        <v>152896267.78961459</v>
      </c>
    </row>
    <row r="1460" spans="1:2" x14ac:dyDescent="0.25">
      <c r="A1460">
        <f ca="1">33192.6614406448*((RANDBETWEEN(1620,2416)))</f>
        <v>72559157.909249648</v>
      </c>
      <c r="B1460">
        <v>200003596.43072301</v>
      </c>
    </row>
    <row r="1461" spans="1:2" x14ac:dyDescent="0.25">
      <c r="A1461">
        <f ca="1">34568.176511711*((RANDBETWEEN(1620,2416)))</f>
        <v>77640124.445302948</v>
      </c>
      <c r="B1461">
        <v>188287370.15080315</v>
      </c>
    </row>
    <row r="1462" spans="1:2" x14ac:dyDescent="0.25">
      <c r="A1462">
        <f ca="1">30084.239200293*((RANDBETWEEN(1620,2416)))</f>
        <v>65433220.260637246</v>
      </c>
      <c r="B1462">
        <v>163232269.61350402</v>
      </c>
    </row>
    <row r="1463" spans="1:2" x14ac:dyDescent="0.25">
      <c r="A1463">
        <f ca="1">30849.5054356121*((RANDBETWEEN(1620,2416)))</f>
        <v>66048791.137645535</v>
      </c>
      <c r="B1463">
        <v>159339393.85988501</v>
      </c>
    </row>
    <row r="1464" spans="1:2" x14ac:dyDescent="0.25">
      <c r="A1464">
        <f ca="1">32746.3199907774*((RANDBETWEEN(1620,2416)))</f>
        <v>60744423.582892053</v>
      </c>
      <c r="B1464">
        <v>179492872.94507176</v>
      </c>
    </row>
    <row r="1465" spans="1:2" x14ac:dyDescent="0.25">
      <c r="A1465">
        <f ca="1">31341.3086191291*((RANDBETWEEN(1620,2416)))</f>
        <v>53186200.726662003</v>
      </c>
      <c r="B1465">
        <v>151294421.5093807</v>
      </c>
    </row>
    <row r="1466" spans="1:2" x14ac:dyDescent="0.25">
      <c r="A1466">
        <f ca="1">31193.6273733283*((RANDBETWEEN(1620,2416)))</f>
        <v>57209112.602684163</v>
      </c>
      <c r="B1466">
        <v>169583910.24914938</v>
      </c>
    </row>
    <row r="1467" spans="1:2" x14ac:dyDescent="0.25">
      <c r="A1467">
        <f ca="1">30474.7757484754*((RANDBETWEEN(1620,2416)))</f>
        <v>65246494.877485737</v>
      </c>
      <c r="B1467">
        <v>151310636.99641645</v>
      </c>
    </row>
    <row r="1468" spans="1:2" x14ac:dyDescent="0.25">
      <c r="A1468">
        <f ca="1">37225.0283105977*((RANDBETWEEN(1620,2416)))</f>
        <v>77651409.055906832</v>
      </c>
      <c r="B1468">
        <v>183899259.25374183</v>
      </c>
    </row>
    <row r="1469" spans="1:2" x14ac:dyDescent="0.25">
      <c r="A1469">
        <f ca="1">29569.1819983752*((RANDBETWEEN(1620,2416)))</f>
        <v>57778181.624825209</v>
      </c>
      <c r="B1469">
        <v>143681087.69466233</v>
      </c>
    </row>
    <row r="1470" spans="1:2" x14ac:dyDescent="0.25">
      <c r="A1470">
        <f ca="1">33894.8323561626*((RANDBETWEEN(1620,2416)))</f>
        <v>55079102.578764275</v>
      </c>
      <c r="B1470">
        <v>164813100.7440781</v>
      </c>
    </row>
    <row r="1471" spans="1:2" x14ac:dyDescent="0.25">
      <c r="A1471">
        <f ca="1">37440.6251594426*((RANDBETWEEN(1620,2416)))</f>
        <v>61177981.510529198</v>
      </c>
      <c r="B1471">
        <v>149216908.0511421</v>
      </c>
    </row>
    <row r="1472" spans="1:2" x14ac:dyDescent="0.25">
      <c r="A1472">
        <f ca="1">34142.0514412782*((RANDBETWEEN(1620,2416)))</f>
        <v>57392788.472788677</v>
      </c>
      <c r="B1472">
        <v>158033896.69194677</v>
      </c>
    </row>
    <row r="1473" spans="1:2" x14ac:dyDescent="0.25">
      <c r="A1473">
        <f ca="1">35176.2614037004*((RANDBETWEEN(1620,2416)))</f>
        <v>81397868.888162643</v>
      </c>
      <c r="B1473">
        <v>154525134.46564308</v>
      </c>
    </row>
    <row r="1474" spans="1:2" x14ac:dyDescent="0.25">
      <c r="A1474">
        <f ca="1">34995.6739219289*((RANDBETWEEN(1620,2416)))</f>
        <v>78180335.541589171</v>
      </c>
      <c r="B1474">
        <v>202599810.98770067</v>
      </c>
    </row>
    <row r="1475" spans="1:2" x14ac:dyDescent="0.25">
      <c r="A1475">
        <f ca="1">29559.3024821148*((RANDBETWEEN(1620,2416)))</f>
        <v>58734334.031962164</v>
      </c>
      <c r="B1475">
        <v>181382448.34952283</v>
      </c>
    </row>
    <row r="1476" spans="1:2" x14ac:dyDescent="0.25">
      <c r="A1476">
        <f ca="1">41483.6574392449*((RANDBETWEEN(1620,2416)))</f>
        <v>85082981.407891348</v>
      </c>
      <c r="B1476">
        <v>167079766.80233485</v>
      </c>
    </row>
    <row r="1477" spans="1:2" x14ac:dyDescent="0.25">
      <c r="A1477">
        <f ca="1">31652.6302009895*((RANDBETWEEN(1620,2416)))</f>
        <v>62007502.563738503</v>
      </c>
      <c r="B1477">
        <v>147754331.01603371</v>
      </c>
    </row>
    <row r="1478" spans="1:2" x14ac:dyDescent="0.25">
      <c r="A1478">
        <f ca="1">37021.4679745339*((RANDBETWEEN(1620,2416)))</f>
        <v>67082899.969855428</v>
      </c>
      <c r="B1478">
        <v>176789909.92090997</v>
      </c>
    </row>
    <row r="1479" spans="1:2" x14ac:dyDescent="0.25">
      <c r="A1479">
        <f ca="1">32926.6546490952*((RANDBETWEEN(1620,2416)))</f>
        <v>64733803.040121198</v>
      </c>
      <c r="B1479">
        <v>174360136.37625521</v>
      </c>
    </row>
    <row r="1480" spans="1:2" x14ac:dyDescent="0.25">
      <c r="A1480">
        <f ca="1">32098.1964902712*((RANDBETWEEN(1620,2416)))</f>
        <v>74082637.499545917</v>
      </c>
      <c r="B1480">
        <v>146657877.9682188</v>
      </c>
    </row>
    <row r="1481" spans="1:2" x14ac:dyDescent="0.25">
      <c r="A1481">
        <f ca="1">29188.1352603548*((RANDBETWEEN(1620,2416)))</f>
        <v>55340704.453632653</v>
      </c>
      <c r="B1481">
        <v>182276952.03194654</v>
      </c>
    </row>
    <row r="1482" spans="1:2" x14ac:dyDescent="0.25">
      <c r="A1482">
        <f ca="1">35101.0952552991*((RANDBETWEEN(1620,2416)))</f>
        <v>68271630.271556795</v>
      </c>
      <c r="B1482">
        <v>190833868.8428551</v>
      </c>
    </row>
    <row r="1483" spans="1:2" x14ac:dyDescent="0.25">
      <c r="A1483">
        <f ca="1">34816.2214846459*((RANDBETWEEN(1620,2416)))</f>
        <v>78928374.105692297</v>
      </c>
      <c r="B1483">
        <v>153875056.44124246</v>
      </c>
    </row>
    <row r="1484" spans="1:2" x14ac:dyDescent="0.25">
      <c r="A1484">
        <f ca="1">37391.6592657273*((RANDBETWEEN(1620,2416)))</f>
        <v>81476425.540019885</v>
      </c>
      <c r="B1484">
        <v>144528266.83353764</v>
      </c>
    </row>
    <row r="1485" spans="1:2" x14ac:dyDescent="0.25">
      <c r="A1485">
        <f ca="1">30560.2154160133*((RANDBETWEEN(1620,2416)))</f>
        <v>57514325.412937105</v>
      </c>
      <c r="B1485">
        <v>178469484.10548133</v>
      </c>
    </row>
    <row r="1486" spans="1:2" x14ac:dyDescent="0.25">
      <c r="A1486">
        <f ca="1">39997.4906465725*((RANDBETWEEN(1620,2416)))</f>
        <v>89954356.464141667</v>
      </c>
      <c r="B1486">
        <v>173671287.99088156</v>
      </c>
    </row>
    <row r="1487" spans="1:2" x14ac:dyDescent="0.25">
      <c r="A1487">
        <f ca="1">29333.4191297181*((RANDBETWEEN(1620,2416)))</f>
        <v>50864148.770931102</v>
      </c>
      <c r="B1487">
        <v>162750385.37527525</v>
      </c>
    </row>
    <row r="1488" spans="1:2" x14ac:dyDescent="0.25">
      <c r="A1488">
        <f ca="1">36801.7659395527*((RANDBETWEEN(1620,2416)))</f>
        <v>84791268.724729374</v>
      </c>
      <c r="B1488">
        <v>195377239.46947226</v>
      </c>
    </row>
    <row r="1489" spans="1:2" x14ac:dyDescent="0.25">
      <c r="A1489">
        <f ca="1">37564.6244618285*((RANDBETWEEN(1620,2416)))</f>
        <v>77307997.142443076</v>
      </c>
      <c r="B1489">
        <v>193726796.95144075</v>
      </c>
    </row>
    <row r="1490" spans="1:2" x14ac:dyDescent="0.25">
      <c r="A1490">
        <f ca="1">30479.0336931031*((RANDBETWEEN(1620,2416)))</f>
        <v>56416691.365933925</v>
      </c>
      <c r="B1490">
        <v>198825626.63272181</v>
      </c>
    </row>
    <row r="1491" spans="1:2" x14ac:dyDescent="0.25">
      <c r="A1491">
        <f ca="1">31913.9508906048*((RANDBETWEEN(1620,2416)))</f>
        <v>56328123.321917482</v>
      </c>
      <c r="B1491">
        <v>186914230.22956133</v>
      </c>
    </row>
    <row r="1492" spans="1:2" x14ac:dyDescent="0.25">
      <c r="A1492">
        <f ca="1">31441.9530288255*((RANDBETWEEN(1620,2416)))</f>
        <v>51218941.483956791</v>
      </c>
      <c r="B1492">
        <v>144293987.03055054</v>
      </c>
    </row>
    <row r="1493" spans="1:2" x14ac:dyDescent="0.25">
      <c r="A1493">
        <f ca="1">28425.60538474*((RANDBETWEEN(1620,2416)))</f>
        <v>65918978.887212135</v>
      </c>
      <c r="B1493">
        <v>182589335.78532675</v>
      </c>
    </row>
    <row r="1494" spans="1:2" x14ac:dyDescent="0.25">
      <c r="A1494">
        <f ca="1">31072.9578996869*((RANDBETWEEN(1620,2416)))</f>
        <v>63264542.283762522</v>
      </c>
      <c r="B1494">
        <v>158722073.48385781</v>
      </c>
    </row>
    <row r="1495" spans="1:2" x14ac:dyDescent="0.25">
      <c r="A1495">
        <f ca="1">35903.5771363637*((RANDBETWEEN(1620,2416)))</f>
        <v>69293903.873181894</v>
      </c>
      <c r="B1495">
        <v>171697374.2246798</v>
      </c>
    </row>
    <row r="1496" spans="1:2" x14ac:dyDescent="0.25">
      <c r="A1496">
        <f ca="1">31202.538336891*((RANDBETWEEN(1620,2416)))</f>
        <v>52638682.174335174</v>
      </c>
      <c r="B1496">
        <v>168886036.90326166</v>
      </c>
    </row>
    <row r="1497" spans="1:2" x14ac:dyDescent="0.25">
      <c r="A1497">
        <f ca="1">30309.4424389869*((RANDBETWEEN(1620,2416)))</f>
        <v>51556361.588716798</v>
      </c>
      <c r="B1497">
        <v>176385733.47027266</v>
      </c>
    </row>
    <row r="1498" spans="1:2" x14ac:dyDescent="0.25">
      <c r="A1498">
        <f ca="1">33360.5238438615*((RANDBETWEEN(1620,2416)))</f>
        <v>71024555.263581172</v>
      </c>
      <c r="B1498">
        <v>160011504.06258005</v>
      </c>
    </row>
    <row r="1499" spans="1:2" x14ac:dyDescent="0.25">
      <c r="A1499">
        <f ca="1">37606.1057647212*((RANDBETWEEN(1620,2416)))</f>
        <v>62087680.617554761</v>
      </c>
      <c r="B1499">
        <v>148902418.6363436</v>
      </c>
    </row>
    <row r="1500" spans="1:2" x14ac:dyDescent="0.25">
      <c r="A1500">
        <f ca="1">31067.0176833254*((RANDBETWEEN(1620,2416)))</f>
        <v>51571249.354320206</v>
      </c>
      <c r="B1500">
        <v>147289000.83688843</v>
      </c>
    </row>
    <row r="1501" spans="1:2" x14ac:dyDescent="0.25">
      <c r="A1501">
        <f ca="1">39722.069051367*((RANDBETWEEN(1620,2416)))</f>
        <v>75352764.99044311</v>
      </c>
      <c r="B1501">
        <v>155923190.44662365</v>
      </c>
    </row>
    <row r="1502" spans="1:2" x14ac:dyDescent="0.25">
      <c r="A1502">
        <f ca="1">31486.9024499641*((RANDBETWEEN(1620,2416)))</f>
        <v>60580800.313731022</v>
      </c>
      <c r="B1502">
        <v>163620247.76131296</v>
      </c>
    </row>
    <row r="1503" spans="1:2" x14ac:dyDescent="0.25">
      <c r="A1503">
        <f ca="1">34598.8887349119*((RANDBETWEEN(1620,2416)))</f>
        <v>66983448.590789512</v>
      </c>
      <c r="B1503">
        <v>143466588.56765628</v>
      </c>
    </row>
    <row r="1504" spans="1:2" x14ac:dyDescent="0.25">
      <c r="A1504">
        <f ca="1">34412.6577639587*((RANDBETWEEN(1620,2416)))</f>
        <v>57847677.701214507</v>
      </c>
      <c r="B1504">
        <v>182592243.57296431</v>
      </c>
    </row>
    <row r="1505" spans="1:2" x14ac:dyDescent="0.25">
      <c r="A1505">
        <f ca="1">30946.4027813235*((RANDBETWEEN(1620,2416)))</f>
        <v>60345485.423580885</v>
      </c>
      <c r="B1505">
        <v>193851665.77649492</v>
      </c>
    </row>
    <row r="1506" spans="1:2" x14ac:dyDescent="0.25">
      <c r="A1506">
        <f ca="1">38941.2837639132*((RANDBETWEEN(1620,2416)))</f>
        <v>66278064.966180198</v>
      </c>
      <c r="B1506">
        <v>159791313.53388193</v>
      </c>
    </row>
    <row r="1507" spans="1:2" x14ac:dyDescent="0.25">
      <c r="A1507">
        <f ca="1">31472.7814788222*((RANDBETWEEN(1620,2416)))</f>
        <v>57217516.72849869</v>
      </c>
      <c r="B1507">
        <v>151394693.14536101</v>
      </c>
    </row>
    <row r="1508" spans="1:2" x14ac:dyDescent="0.25">
      <c r="A1508">
        <f ca="1">33137.4346655315*((RANDBETWEEN(1620,2416)))</f>
        <v>76680023.81603995</v>
      </c>
      <c r="B1508">
        <v>172238841.69949672</v>
      </c>
    </row>
    <row r="1509" spans="1:2" x14ac:dyDescent="0.25">
      <c r="A1509">
        <f ca="1">30426.8931814182*((RANDBETWEEN(1620,2416)))</f>
        <v>60001833.353756778</v>
      </c>
      <c r="B1509">
        <v>149081714.03798118</v>
      </c>
    </row>
    <row r="1510" spans="1:2" x14ac:dyDescent="0.25">
      <c r="A1510">
        <f ca="1">31802.518533953*((RANDBETWEEN(1620,2416)))</f>
        <v>60997230.548121937</v>
      </c>
      <c r="B1510">
        <v>159186683.46506178</v>
      </c>
    </row>
    <row r="1511" spans="1:2" x14ac:dyDescent="0.25">
      <c r="A1511">
        <f ca="1">31777.2643308727*((RANDBETWEEN(1620,2416)))</f>
        <v>52146490.766962178</v>
      </c>
      <c r="B1511">
        <v>192514874.20506972</v>
      </c>
    </row>
    <row r="1512" spans="1:2" x14ac:dyDescent="0.25">
      <c r="A1512">
        <f ca="1">28863.4748692338*((RANDBETWEEN(1620,2416)))</f>
        <v>51117213.993412994</v>
      </c>
      <c r="B1512">
        <v>182725837.37729231</v>
      </c>
    </row>
    <row r="1513" spans="1:2" x14ac:dyDescent="0.25">
      <c r="A1513">
        <f ca="1">30253.5859899941*((RANDBETWEEN(1620,2416)))</f>
        <v>66043578.216157027</v>
      </c>
      <c r="B1513">
        <v>147751166.3886323</v>
      </c>
    </row>
    <row r="1514" spans="1:2" x14ac:dyDescent="0.25">
      <c r="A1514">
        <f ca="1">36894.8346226585*((RANDBETWEEN(1620,2416)))</f>
        <v>74896514.28399685</v>
      </c>
      <c r="B1514">
        <v>155891178.15014717</v>
      </c>
    </row>
    <row r="1515" spans="1:2" x14ac:dyDescent="0.25">
      <c r="A1515">
        <f ca="1">30100.8639840484*((RANDBETWEEN(1620,2416)))</f>
        <v>72633384.793508783</v>
      </c>
      <c r="B1515">
        <v>197311146.09336531</v>
      </c>
    </row>
    <row r="1516" spans="1:2" x14ac:dyDescent="0.25">
      <c r="A1516">
        <f ca="1">29710.8310887771*((RANDBETWEEN(1620,2416)))</f>
        <v>55856362.446900859</v>
      </c>
      <c r="B1516">
        <v>157951693.4484252</v>
      </c>
    </row>
    <row r="1517" spans="1:2" x14ac:dyDescent="0.25">
      <c r="A1517">
        <f ca="1">31212.5205629771*((RANDBETWEEN(1620,2416)))</f>
        <v>74816411.789456174</v>
      </c>
      <c r="B1517">
        <v>163578866.1234284</v>
      </c>
    </row>
    <row r="1518" spans="1:2" x14ac:dyDescent="0.25">
      <c r="A1518">
        <f ca="1">28916.4539108622*((RANDBETWEEN(1620,2416)))</f>
        <v>57283495.197418086</v>
      </c>
      <c r="B1518">
        <v>191246608.9066197</v>
      </c>
    </row>
    <row r="1519" spans="1:2" x14ac:dyDescent="0.25">
      <c r="A1519">
        <f ca="1">35006.7890917648*((RANDBETWEEN(1620,2416)))</f>
        <v>83106117.303849667</v>
      </c>
      <c r="B1519">
        <v>161294242.54793859</v>
      </c>
    </row>
    <row r="1520" spans="1:2" x14ac:dyDescent="0.25">
      <c r="A1520">
        <f ca="1">31105.1300370643*((RANDBETWEEN(1620,2416)))</f>
        <v>62645731.894647568</v>
      </c>
      <c r="B1520">
        <v>165484808.74032414</v>
      </c>
    </row>
    <row r="1521" spans="1:2" x14ac:dyDescent="0.25">
      <c r="A1521">
        <f ca="1">31892.7522059012*((RANDBETWEEN(1620,2416)))</f>
        <v>62860614.597831257</v>
      </c>
      <c r="B1521">
        <v>147721059.32351172</v>
      </c>
    </row>
    <row r="1522" spans="1:2" x14ac:dyDescent="0.25">
      <c r="A1522">
        <f ca="1">30046.7081091931*((RANDBETWEEN(1620,2416)))</f>
        <v>52461552.358651124</v>
      </c>
      <c r="B1522">
        <v>166228816.7078371</v>
      </c>
    </row>
    <row r="1523" spans="1:2" x14ac:dyDescent="0.25">
      <c r="A1523">
        <f ca="1">34485.2417137408*((RANDBETWEEN(1620,2416)))</f>
        <v>74074299.201115251</v>
      </c>
      <c r="B1523">
        <v>145875867.95555365</v>
      </c>
    </row>
    <row r="1524" spans="1:2" x14ac:dyDescent="0.25">
      <c r="A1524">
        <f ca="1">33335.2360440395*((RANDBETWEEN(1620,2416)))</f>
        <v>55369827.069149531</v>
      </c>
      <c r="B1524">
        <v>158892022.46072224</v>
      </c>
    </row>
    <row r="1525" spans="1:2" x14ac:dyDescent="0.25">
      <c r="A1525">
        <f ca="1">33312.828742311*((RANDBETWEEN(1620,2416)))</f>
        <v>58364075.956528939</v>
      </c>
      <c r="B1525">
        <v>183819192.1003035</v>
      </c>
    </row>
    <row r="1526" spans="1:2" x14ac:dyDescent="0.25">
      <c r="A1526">
        <f ca="1">37273.6586371321*((RANDBETWEEN(1620,2416)))</f>
        <v>62470651.875833452</v>
      </c>
      <c r="B1526">
        <v>153904070.46491307</v>
      </c>
    </row>
    <row r="1527" spans="1:2" x14ac:dyDescent="0.25">
      <c r="A1527">
        <f ca="1">30931.1160203376*((RANDBETWEEN(1620,2416)))</f>
        <v>54005728.571509458</v>
      </c>
      <c r="B1527">
        <v>157995457.43511185</v>
      </c>
    </row>
    <row r="1528" spans="1:2" x14ac:dyDescent="0.25">
      <c r="A1528">
        <f ca="1">30664.1460406111*((RANDBETWEEN(1620,2416)))</f>
        <v>73072660.014776245</v>
      </c>
      <c r="B1528">
        <v>192762969.53954053</v>
      </c>
    </row>
    <row r="1529" spans="1:2" x14ac:dyDescent="0.25">
      <c r="A1529">
        <f ca="1">29547.4623076718*((RANDBETWEEN(1620,2416)))</f>
        <v>66452242.729953833</v>
      </c>
      <c r="B1529">
        <v>168418055.32803401</v>
      </c>
    </row>
    <row r="1530" spans="1:2" x14ac:dyDescent="0.25">
      <c r="A1530">
        <f ca="1">37984.9824566742*((RANDBETWEEN(1620,2416)))</f>
        <v>85846060.352083787</v>
      </c>
      <c r="B1530">
        <v>185902725.46708986</v>
      </c>
    </row>
    <row r="1531" spans="1:2" x14ac:dyDescent="0.25">
      <c r="A1531">
        <f ca="1">36305.4309847501*((RANDBETWEEN(1620,2416)))</f>
        <v>73917857.484951243</v>
      </c>
      <c r="B1531">
        <v>196125234.08268771</v>
      </c>
    </row>
    <row r="1532" spans="1:2" x14ac:dyDescent="0.25">
      <c r="A1532">
        <f ca="1">30796.5964928782*((RANDBETWEEN(1620,2416)))</f>
        <v>64611259.442058466</v>
      </c>
      <c r="B1532">
        <v>156576463.36704868</v>
      </c>
    </row>
    <row r="1533" spans="1:2" x14ac:dyDescent="0.25">
      <c r="A1533">
        <f ca="1">29756.3209024863*((RANDBETWEEN(1620,2416)))</f>
        <v>65017561.171932586</v>
      </c>
      <c r="B1533">
        <v>165364745.32339698</v>
      </c>
    </row>
    <row r="1534" spans="1:2" x14ac:dyDescent="0.25">
      <c r="A1534">
        <f ca="1">35366.1405597565*((RANDBETWEEN(1620,2416)))</f>
        <v>84808005.062296167</v>
      </c>
      <c r="B1534">
        <v>202861018.76713818</v>
      </c>
    </row>
    <row r="1535" spans="1:2" x14ac:dyDescent="0.25">
      <c r="A1535">
        <f ca="1">32056.2544336887*((RANDBETWEEN(1620,2416)))</f>
        <v>69914690.919875026</v>
      </c>
      <c r="B1535">
        <v>197889594.44622561</v>
      </c>
    </row>
    <row r="1536" spans="1:2" x14ac:dyDescent="0.25">
      <c r="A1536">
        <f ca="1">38185.7370479397*((RANDBETWEEN(1620,2416)))</f>
        <v>82557563.497645676</v>
      </c>
      <c r="B1536">
        <v>184671230.37300587</v>
      </c>
    </row>
    <row r="1537" spans="1:2" x14ac:dyDescent="0.25">
      <c r="A1537">
        <f ca="1">36767.8133095057*((RANDBETWEEN(1620,2416)))</f>
        <v>85117487.811505765</v>
      </c>
      <c r="B1537">
        <v>148311385.89178327</v>
      </c>
    </row>
    <row r="1538" spans="1:2" x14ac:dyDescent="0.25">
      <c r="A1538">
        <f ca="1">30772.2231699189*((RANDBETWEEN(1620,2416)))</f>
        <v>70868429.960323229</v>
      </c>
      <c r="B1538">
        <v>155669463.06577149</v>
      </c>
    </row>
    <row r="1539" spans="1:2" x14ac:dyDescent="0.25">
      <c r="A1539">
        <f ca="1">28556.4048209896*((RANDBETWEEN(1620,2416)))</f>
        <v>66222302.779874831</v>
      </c>
      <c r="B1539">
        <v>158332933.71174845</v>
      </c>
    </row>
    <row r="1540" spans="1:2" x14ac:dyDescent="0.25">
      <c r="A1540">
        <f ca="1">37942.6446679058*((RANDBETWEEN(1620,2416)))</f>
        <v>70459491.148301125</v>
      </c>
      <c r="B1540">
        <v>187605552.51075253</v>
      </c>
    </row>
    <row r="1541" spans="1:2" x14ac:dyDescent="0.25">
      <c r="A1541">
        <f ca="1">40498.2812016608*((RANDBETWEEN(1620,2416)))</f>
        <v>87638280.520393923</v>
      </c>
      <c r="B1541">
        <v>158926414.95314667</v>
      </c>
    </row>
    <row r="1542" spans="1:2" x14ac:dyDescent="0.25">
      <c r="A1542">
        <f ca="1">32186.3235158552*((RANDBETWEEN(1620,2416)))</f>
        <v>64694510.26686886</v>
      </c>
      <c r="B1542">
        <v>151388521.43211302</v>
      </c>
    </row>
    <row r="1543" spans="1:2" x14ac:dyDescent="0.25">
      <c r="A1543">
        <f ca="1">31480.486006922*((RANDBETWEEN(1620,2416)))</f>
        <v>72782883.648003697</v>
      </c>
      <c r="B1543">
        <v>143563608.30890721</v>
      </c>
    </row>
    <row r="1544" spans="1:2" x14ac:dyDescent="0.25">
      <c r="A1544">
        <f ca="1">31623.3671326762*((RANDBETWEEN(1620,2416)))</f>
        <v>51640958.527660206</v>
      </c>
      <c r="B1544">
        <v>199258194.10243076</v>
      </c>
    </row>
    <row r="1545" spans="1:2" x14ac:dyDescent="0.25">
      <c r="A1545">
        <f ca="1">28746.6989213189*((RANDBETWEEN(1620,2416)))</f>
        <v>61431695.594858393</v>
      </c>
      <c r="B1545">
        <v>151003376.81801817</v>
      </c>
    </row>
    <row r="1546" spans="1:2" x14ac:dyDescent="0.25">
      <c r="A1546">
        <f ca="1">33250.0501142514*((RANDBETWEEN(1620,2416)))</f>
        <v>66998850.980216667</v>
      </c>
      <c r="B1546">
        <v>144426966.7906872</v>
      </c>
    </row>
    <row r="1547" spans="1:2" x14ac:dyDescent="0.25">
      <c r="A1547">
        <f ca="1">41364.3489405229*((RANDBETWEEN(1620,2416)))</f>
        <v>80081379.54885228</v>
      </c>
      <c r="B1547">
        <v>143737494.13574785</v>
      </c>
    </row>
    <row r="1548" spans="1:2" x14ac:dyDescent="0.25">
      <c r="A1548">
        <f ca="1">31775.4494457149*((RANDBETWEEN(1620,2416)))</f>
        <v>56020117.37279544</v>
      </c>
      <c r="B1548">
        <v>191388157.09026933</v>
      </c>
    </row>
    <row r="1549" spans="1:2" x14ac:dyDescent="0.25">
      <c r="A1549">
        <f ca="1">32051.4658025898*((RANDBETWEEN(1620,2416)))</f>
        <v>71378614.34236744</v>
      </c>
      <c r="B1549">
        <v>153302808.7192733</v>
      </c>
    </row>
    <row r="1550" spans="1:2" x14ac:dyDescent="0.25">
      <c r="A1550">
        <f ca="1">36182.9624991237*((RANDBETWEEN(1620,2416)))</f>
        <v>62813622.898478769</v>
      </c>
      <c r="B1550">
        <v>160255134.74375468</v>
      </c>
    </row>
    <row r="1551" spans="1:2" x14ac:dyDescent="0.25">
      <c r="A1551">
        <f ca="1">32736.4534458468*((RANDBETWEEN(1620,2416)))</f>
        <v>64261658.114197202</v>
      </c>
      <c r="B1551">
        <v>152922599.96190667</v>
      </c>
    </row>
    <row r="1552" spans="1:2" x14ac:dyDescent="0.25">
      <c r="A1552">
        <f ca="1">38321.7928364812*((RANDBETWEEN(1620,2416)))</f>
        <v>91550763.086353615</v>
      </c>
      <c r="B1552">
        <v>184840056.52952835</v>
      </c>
    </row>
    <row r="1553" spans="1:2" x14ac:dyDescent="0.25">
      <c r="A1553">
        <f ca="1">33653.165248597*((RANDBETWEEN(1620,2416)))</f>
        <v>73094674.919952795</v>
      </c>
      <c r="B1553">
        <v>151404175.7324397</v>
      </c>
    </row>
    <row r="1554" spans="1:2" x14ac:dyDescent="0.25">
      <c r="A1554">
        <f ca="1">35533.9446541658*((RANDBETWEEN(1620,2416)))</f>
        <v>63605760.930956863</v>
      </c>
      <c r="B1554">
        <v>199563322.84432358</v>
      </c>
    </row>
    <row r="1555" spans="1:2" x14ac:dyDescent="0.25">
      <c r="A1555">
        <f ca="1">31189.7620797946*((RANDBETWEEN(1620,2416)))</f>
        <v>72984043.266719267</v>
      </c>
      <c r="B1555">
        <v>159566005.85447454</v>
      </c>
    </row>
    <row r="1556" spans="1:2" x14ac:dyDescent="0.25">
      <c r="A1556">
        <f ca="1">36217.9719276598*((RANDBETWEEN(1620,2416)))</f>
        <v>80222807.819766372</v>
      </c>
      <c r="B1556">
        <v>191927310.16351888</v>
      </c>
    </row>
    <row r="1557" spans="1:2" x14ac:dyDescent="0.25">
      <c r="A1557">
        <f ca="1">30374.0871304198*((RANDBETWEEN(1620,2416)))</f>
        <v>52000437.167278782</v>
      </c>
      <c r="B1557">
        <v>175251820.55700305</v>
      </c>
    </row>
    <row r="1558" spans="1:2" x14ac:dyDescent="0.25">
      <c r="A1558">
        <f ca="1">37138.5591373875*((RANDBETWEEN(1620,2416)))</f>
        <v>69486244.146051988</v>
      </c>
      <c r="B1558">
        <v>146691116.06368896</v>
      </c>
    </row>
    <row r="1559" spans="1:2" x14ac:dyDescent="0.25">
      <c r="A1559">
        <f ca="1">37999.8252016597*((RANDBETWEEN(1620,2416)))</f>
        <v>68551684.66379407</v>
      </c>
      <c r="B1559">
        <v>167810583.0262627</v>
      </c>
    </row>
    <row r="1560" spans="1:2" x14ac:dyDescent="0.25">
      <c r="A1560">
        <f ca="1">33603.7353566375*((RANDBETWEEN(1620,2416)))</f>
        <v>55412559.603095256</v>
      </c>
      <c r="B1560">
        <v>153522753.10097644</v>
      </c>
    </row>
    <row r="1561" spans="1:2" x14ac:dyDescent="0.25">
      <c r="A1561">
        <f ca="1">29361.7636649924*((RANDBETWEEN(1620,2416)))</f>
        <v>56815012.691760309</v>
      </c>
      <c r="B1561">
        <v>158823334.76115671</v>
      </c>
    </row>
    <row r="1562" spans="1:2" x14ac:dyDescent="0.25">
      <c r="A1562">
        <f ca="1">33239.5626175677*((RANDBETWEEN(1620,2416)))</f>
        <v>59831212.711621799</v>
      </c>
      <c r="B1562">
        <v>153378268.09934455</v>
      </c>
    </row>
    <row r="1563" spans="1:2" x14ac:dyDescent="0.25">
      <c r="A1563">
        <f ca="1">30813.5280614969*((RANDBETWEEN(1620,2416)))</f>
        <v>69607759.890921608</v>
      </c>
      <c r="B1563">
        <v>195533499.21058762</v>
      </c>
    </row>
    <row r="1564" spans="1:2" x14ac:dyDescent="0.25">
      <c r="A1564">
        <f ca="1">32518.3382541287*((RANDBETWEEN(1620,2416)))</f>
        <v>75019806.352274969</v>
      </c>
      <c r="B1564">
        <v>188342061.63749579</v>
      </c>
    </row>
    <row r="1565" spans="1:2" x14ac:dyDescent="0.25">
      <c r="A1565">
        <f ca="1">39784.3182975071*((RANDBETWEEN(1620,2416)))</f>
        <v>78693381.592469111</v>
      </c>
      <c r="B1565">
        <v>178404840.54032668</v>
      </c>
    </row>
    <row r="1566" spans="1:2" x14ac:dyDescent="0.25">
      <c r="A1566">
        <f ca="1">39757.9083141419*((RANDBETWEEN(1620,2416)))</f>
        <v>84644586.800808027</v>
      </c>
      <c r="B1566">
        <v>153762356.4729709</v>
      </c>
    </row>
    <row r="1567" spans="1:2" x14ac:dyDescent="0.25">
      <c r="A1567">
        <f ca="1">36265.5931854278*((RANDBETWEEN(1620,2416)))</f>
        <v>82721818.055960819</v>
      </c>
      <c r="B1567">
        <v>167017191.68813276</v>
      </c>
    </row>
    <row r="1568" spans="1:2" x14ac:dyDescent="0.25">
      <c r="A1568">
        <f ca="1">32798.2115128595*((RANDBETWEEN(1620,2416)))</f>
        <v>68941840.600030616</v>
      </c>
      <c r="B1568">
        <v>175133480.29105094</v>
      </c>
    </row>
    <row r="1569" spans="1:2" x14ac:dyDescent="0.25">
      <c r="A1569">
        <f ca="1">33212.0426406055*((RANDBETWEEN(1620,2416)))</f>
        <v>67320810.432507426</v>
      </c>
      <c r="B1569">
        <v>147922144.62364331</v>
      </c>
    </row>
    <row r="1570" spans="1:2" x14ac:dyDescent="0.25">
      <c r="A1570">
        <f ca="1">40039.1339412243*((RANDBETWEEN(1620,2416)))</f>
        <v>83401515.999570236</v>
      </c>
      <c r="B1570">
        <v>185889213.28436977</v>
      </c>
    </row>
    <row r="1571" spans="1:2" x14ac:dyDescent="0.25">
      <c r="A1571">
        <f ca="1">32440.337249288*((RANDBETWEEN(1620,2416)))</f>
        <v>56154223.778517522</v>
      </c>
      <c r="B1571">
        <v>153672082.34232706</v>
      </c>
    </row>
    <row r="1572" spans="1:2" x14ac:dyDescent="0.25">
      <c r="A1572">
        <f ca="1">35110.9078472925*((RANDBETWEEN(1620,2416)))</f>
        <v>75488451.871678889</v>
      </c>
      <c r="B1572">
        <v>161315022.5941785</v>
      </c>
    </row>
    <row r="1573" spans="1:2" x14ac:dyDescent="0.25">
      <c r="A1573">
        <f ca="1">37949.6701174171*((RANDBETWEEN(1620,2416)))</f>
        <v>75595742.873894885</v>
      </c>
      <c r="B1573">
        <v>144592882.76496163</v>
      </c>
    </row>
    <row r="1574" spans="1:2" x14ac:dyDescent="0.25">
      <c r="A1574">
        <f ca="1">43079.2823885909*((RANDBETWEEN(1620,2416)))</f>
        <v>94386707.713402823</v>
      </c>
      <c r="B1574">
        <v>179162284.11020738</v>
      </c>
    </row>
    <row r="1575" spans="1:2" x14ac:dyDescent="0.25">
      <c r="A1575">
        <f ca="1">30542.3977864202*((RANDBETWEEN(1620,2416)))</f>
        <v>66154833.60538619</v>
      </c>
      <c r="B1575">
        <v>143190142.49075085</v>
      </c>
    </row>
    <row r="1576" spans="1:2" x14ac:dyDescent="0.25">
      <c r="A1576">
        <f ca="1">31377.786131156*((RANDBETWEEN(1620,2416)))</f>
        <v>66301262.095132619</v>
      </c>
      <c r="B1576">
        <v>176071339.83237097</v>
      </c>
    </row>
    <row r="1577" spans="1:2" x14ac:dyDescent="0.25">
      <c r="A1577">
        <f ca="1">30217.5351883157*((RANDBETWEEN(1620,2416)))</f>
        <v>65269876.006761909</v>
      </c>
      <c r="B1577">
        <v>153817846.23824376</v>
      </c>
    </row>
    <row r="1578" spans="1:2" x14ac:dyDescent="0.25">
      <c r="A1578">
        <f ca="1">32429.209297765*((RANDBETWEEN(1620,2416)))</f>
        <v>71538835.71086967</v>
      </c>
      <c r="B1578">
        <v>148798169.38934511</v>
      </c>
    </row>
    <row r="1579" spans="1:2" x14ac:dyDescent="0.25">
      <c r="A1579">
        <f ca="1">30220.9221367487*((RANDBETWEEN(1620,2416)))</f>
        <v>72771980.50529094</v>
      </c>
      <c r="B1579">
        <v>150809385.43085468</v>
      </c>
    </row>
    <row r="1580" spans="1:2" x14ac:dyDescent="0.25">
      <c r="A1580">
        <f ca="1">36110.7119320636*((RANDBETWEEN(1620,2416)))</f>
        <v>70740884.674912676</v>
      </c>
      <c r="B1580">
        <v>165431417.61339968</v>
      </c>
    </row>
    <row r="1581" spans="1:2" x14ac:dyDescent="0.25">
      <c r="A1581">
        <f ca="1">34742.8492886291*((RANDBETWEEN(1620,2416)))</f>
        <v>58680672.448494487</v>
      </c>
      <c r="B1581">
        <v>146918857.26413381</v>
      </c>
    </row>
    <row r="1582" spans="1:2" x14ac:dyDescent="0.25">
      <c r="A1582">
        <f ca="1">30050.1512061393*((RANDBETWEEN(1620,2416)))</f>
        <v>50063551.909428142</v>
      </c>
      <c r="B1582">
        <v>145426047.02141091</v>
      </c>
    </row>
    <row r="1583" spans="1:2" x14ac:dyDescent="0.25">
      <c r="A1583">
        <f ca="1">30826.593155964*((RANDBETWEEN(1620,2416)))</f>
        <v>67880158.129432648</v>
      </c>
      <c r="B1583">
        <v>160766478.562567</v>
      </c>
    </row>
    <row r="1584" spans="1:2" x14ac:dyDescent="0.25">
      <c r="A1584">
        <f ca="1">38431.7069529195*((RANDBETWEEN(1620,2416)))</f>
        <v>65064879.87129271</v>
      </c>
      <c r="B1584">
        <v>190928845.756428</v>
      </c>
    </row>
    <row r="1585" spans="1:2" x14ac:dyDescent="0.25">
      <c r="A1585">
        <f ca="1">30013.692674546*((RANDBETWEEN(1620,2416)))</f>
        <v>68311164.527266786</v>
      </c>
      <c r="B1585">
        <v>158424376.2671451</v>
      </c>
    </row>
    <row r="1586" spans="1:2" x14ac:dyDescent="0.25">
      <c r="A1586">
        <f ca="1">28298.5950245545*((RANDBETWEEN(1620,2416)))</f>
        <v>52607088.150646843</v>
      </c>
      <c r="B1586">
        <v>171438210.56869394</v>
      </c>
    </row>
    <row r="1587" spans="1:2" x14ac:dyDescent="0.25">
      <c r="A1587">
        <f ca="1">35753.0062493099*((RANDBETWEEN(1620,2416)))</f>
        <v>60708604.61132814</v>
      </c>
      <c r="B1587">
        <v>157160416.9705596</v>
      </c>
    </row>
    <row r="1588" spans="1:2" x14ac:dyDescent="0.25">
      <c r="A1588">
        <f ca="1">33634.4067186435*((RANDBETWEEN(1620,2416)))</f>
        <v>67100641.403693736</v>
      </c>
      <c r="B1588">
        <v>173021167.47054499</v>
      </c>
    </row>
    <row r="1589" spans="1:2" x14ac:dyDescent="0.25">
      <c r="A1589">
        <f ca="1">31166.3900828723*((RANDBETWEEN(1620,2416)))</f>
        <v>58810978.086380094</v>
      </c>
      <c r="B1589">
        <v>161090249.49123383</v>
      </c>
    </row>
    <row r="1590" spans="1:2" x14ac:dyDescent="0.25">
      <c r="A1590">
        <f ca="1">36467.9739995474*((RANDBETWEEN(1620,2416)))</f>
        <v>75634578.075061291</v>
      </c>
      <c r="B1590">
        <v>160680081.36577779</v>
      </c>
    </row>
    <row r="1591" spans="1:2" x14ac:dyDescent="0.25">
      <c r="A1591">
        <f ca="1">36043.275788302*((RANDBETWEEN(1620,2416)))</f>
        <v>62390910.389550701</v>
      </c>
      <c r="B1591">
        <v>190694462.95485115</v>
      </c>
    </row>
    <row r="1592" spans="1:2" x14ac:dyDescent="0.25">
      <c r="A1592">
        <f ca="1">31540.8961012951*((RANDBETWEEN(1620,2416)))</f>
        <v>60400816.033980124</v>
      </c>
      <c r="B1592">
        <v>157195556.19350365</v>
      </c>
    </row>
    <row r="1593" spans="1:2" x14ac:dyDescent="0.25">
      <c r="A1593">
        <f ca="1">32305.0053613905*((RANDBETWEEN(1620,2416)))</f>
        <v>75496797.529569656</v>
      </c>
      <c r="B1593">
        <v>155662075.47154477</v>
      </c>
    </row>
    <row r="1594" spans="1:2" x14ac:dyDescent="0.25">
      <c r="A1594">
        <f ca="1">30889.4183599125*((RANDBETWEEN(1620,2416)))</f>
        <v>67524268.534768701</v>
      </c>
      <c r="B1594">
        <v>150626942.32815862</v>
      </c>
    </row>
    <row r="1595" spans="1:2" x14ac:dyDescent="0.25">
      <c r="A1595">
        <f ca="1">32320.1186985727*((RANDBETWEEN(1620,2416)))</f>
        <v>62086948.019958183</v>
      </c>
      <c r="B1595">
        <v>194973490.23895013</v>
      </c>
    </row>
    <row r="1596" spans="1:2" x14ac:dyDescent="0.25">
      <c r="A1596">
        <f ca="1">33687.0230252813*((RANDBETWEEN(1620,2416)))</f>
        <v>70372191.099812731</v>
      </c>
      <c r="B1596">
        <v>149318057.30232221</v>
      </c>
    </row>
    <row r="1597" spans="1:2" x14ac:dyDescent="0.25">
      <c r="A1597">
        <f ca="1">30694.5674355037*((RANDBETWEEN(1620,2416)))</f>
        <v>50983676.510371678</v>
      </c>
      <c r="B1597">
        <v>172767990.13279599</v>
      </c>
    </row>
    <row r="1598" spans="1:2" x14ac:dyDescent="0.25">
      <c r="A1598">
        <f ca="1">31273.6113391275*((RANDBETWEEN(1620,2416)))</f>
        <v>61890476.840133309</v>
      </c>
      <c r="B1598">
        <v>159006830.11902872</v>
      </c>
    </row>
    <row r="1599" spans="1:2" x14ac:dyDescent="0.25">
      <c r="A1599">
        <f ca="1">30030.9654551021*((RANDBETWEEN(1620,2416)))</f>
        <v>65347380.830302089</v>
      </c>
      <c r="B1599">
        <v>182318462.20425934</v>
      </c>
    </row>
    <row r="1600" spans="1:2" x14ac:dyDescent="0.25">
      <c r="A1600">
        <f ca="1">36048.0243310963*((RANDBETWEEN(1620,2416)))</f>
        <v>69464542.886022657</v>
      </c>
      <c r="B1600">
        <v>160585026.23736846</v>
      </c>
    </row>
    <row r="1601" spans="1:2" x14ac:dyDescent="0.25">
      <c r="A1601">
        <f ca="1">33359.7006131727*((RANDBETWEEN(1620,2416)))</f>
        <v>76226915.901099637</v>
      </c>
      <c r="B1601">
        <v>154341106.33893567</v>
      </c>
    </row>
    <row r="1602" spans="1:2" x14ac:dyDescent="0.25">
      <c r="A1602">
        <f ca="1">30247.4242763561*((RANDBETWEEN(1620,2416)))</f>
        <v>61130044.462515689</v>
      </c>
      <c r="B1602">
        <v>186255939.17975941</v>
      </c>
    </row>
    <row r="1603" spans="1:2" x14ac:dyDescent="0.25">
      <c r="A1603">
        <f ca="1">39309.8124174875*((RANDBETWEEN(1620,2416)))</f>
        <v>68752861.918185696</v>
      </c>
      <c r="B1603">
        <v>151922220.086826</v>
      </c>
    </row>
    <row r="1604" spans="1:2" x14ac:dyDescent="0.25">
      <c r="A1604">
        <f ca="1">36024.4007889894*((RANDBETWEEN(1620,2416)))</f>
        <v>76479802.875024602</v>
      </c>
      <c r="B1604">
        <v>156293130.05654806</v>
      </c>
    </row>
    <row r="1605" spans="1:2" x14ac:dyDescent="0.25">
      <c r="A1605">
        <f ca="1">35887.6409524571*((RANDBETWEEN(1620,2416)))</f>
        <v>85053709.057323262</v>
      </c>
      <c r="B1605">
        <v>142962825.5076364</v>
      </c>
    </row>
    <row r="1606" spans="1:2" x14ac:dyDescent="0.25">
      <c r="A1606">
        <f ca="1">33982.1172742563*((RANDBETWEEN(1620,2416)))</f>
        <v>80027886.180873513</v>
      </c>
      <c r="B1606">
        <v>170648180.00373024</v>
      </c>
    </row>
    <row r="1607" spans="1:2" x14ac:dyDescent="0.25">
      <c r="A1607">
        <f ca="1">37039.7699983107*((RANDBETWEEN(1620,2416)))</f>
        <v>73560983.216645002</v>
      </c>
      <c r="B1607">
        <v>199180838.0674848</v>
      </c>
    </row>
    <row r="1608" spans="1:2" x14ac:dyDescent="0.25">
      <c r="A1608">
        <f ca="1">32466.3606501735*((RANDBETWEEN(1620,2416)))</f>
        <v>73373975.06939207</v>
      </c>
      <c r="B1608">
        <v>159937241.81673473</v>
      </c>
    </row>
    <row r="1609" spans="1:2" x14ac:dyDescent="0.25">
      <c r="A1609">
        <f ca="1">41999.9655395052*((RANDBETWEEN(1620,2416)))</f>
        <v>101051917.0880495</v>
      </c>
      <c r="B1609">
        <v>168046343.47632045</v>
      </c>
    </row>
    <row r="1610" spans="1:2" x14ac:dyDescent="0.25">
      <c r="A1610">
        <f ca="1">35089.1222743197*((RANDBETWEEN(1620,2416)))</f>
        <v>80529535.619563654</v>
      </c>
      <c r="B1610">
        <v>146226609.53410456</v>
      </c>
    </row>
    <row r="1611" spans="1:2" x14ac:dyDescent="0.25">
      <c r="A1611">
        <f ca="1">31531.4292470006*((RANDBETWEEN(1620,2416)))</f>
        <v>73625887.291746378</v>
      </c>
      <c r="B1611">
        <v>144117417.40022928</v>
      </c>
    </row>
    <row r="1612" spans="1:2" x14ac:dyDescent="0.25">
      <c r="A1612">
        <f ca="1">29292.5130912255*((RANDBETWEEN(1620,2416)))</f>
        <v>51701285.606012993</v>
      </c>
      <c r="B1612">
        <v>143613344.90669191</v>
      </c>
    </row>
    <row r="1613" spans="1:2" x14ac:dyDescent="0.25">
      <c r="A1613">
        <f ca="1">35471.7068673872*((RANDBETWEEN(1620,2416)))</f>
        <v>70801526.907304913</v>
      </c>
      <c r="B1613">
        <v>161560331.66813445</v>
      </c>
    </row>
    <row r="1614" spans="1:2" x14ac:dyDescent="0.25">
      <c r="A1614">
        <f ca="1">29952.9601063628*((RANDBETWEEN(1620,2416)))</f>
        <v>64608534.949424624</v>
      </c>
      <c r="B1614">
        <v>163743121.66551149</v>
      </c>
    </row>
    <row r="1615" spans="1:2" x14ac:dyDescent="0.25">
      <c r="A1615">
        <f ca="1">30181.4457431736*((RANDBETWEEN(1620,2416)))</f>
        <v>53240070.290958151</v>
      </c>
      <c r="B1615">
        <v>169986161.78693622</v>
      </c>
    </row>
    <row r="1616" spans="1:2" x14ac:dyDescent="0.25">
      <c r="A1616">
        <f ca="1">33250.7690935091*((RANDBETWEEN(1620,2416)))</f>
        <v>67066801.261607811</v>
      </c>
      <c r="B1616">
        <v>145122278.92736462</v>
      </c>
    </row>
    <row r="1617" spans="1:2" x14ac:dyDescent="0.25">
      <c r="A1617">
        <f ca="1">40280.5577927973*((RANDBETWEEN(1620,2416)))</f>
        <v>70893781.71532318</v>
      </c>
      <c r="B1617">
        <v>185448665.5135242</v>
      </c>
    </row>
    <row r="1618" spans="1:2" x14ac:dyDescent="0.25">
      <c r="A1618">
        <f ca="1">29580.1536540514*((RANDBETWEEN(1620,2416)))</f>
        <v>50907444.438622437</v>
      </c>
      <c r="B1618">
        <v>167092244.1541411</v>
      </c>
    </row>
    <row r="1619" spans="1:2" x14ac:dyDescent="0.25">
      <c r="A1619">
        <f ca="1">32547.0386400098*((RANDBETWEEN(1620,2416)))</f>
        <v>63043613.84569905</v>
      </c>
      <c r="B1619">
        <v>167639555.50003877</v>
      </c>
    </row>
    <row r="1620" spans="1:2" x14ac:dyDescent="0.25">
      <c r="A1620">
        <f ca="1">35585.1604183568*((RANDBETWEEN(1620,2416)))</f>
        <v>59106951.454890676</v>
      </c>
      <c r="B1620">
        <v>183621804.4755941</v>
      </c>
    </row>
    <row r="1621" spans="1:2" x14ac:dyDescent="0.25">
      <c r="A1621">
        <f ca="1">35060.5850424733*((RANDBETWEEN(1620,2416)))</f>
        <v>56903329.523934193</v>
      </c>
      <c r="B1621">
        <v>143147318.68582919</v>
      </c>
    </row>
    <row r="1622" spans="1:2" x14ac:dyDescent="0.25">
      <c r="A1622">
        <f ca="1">32997.4033521823*((RANDBETWEEN(1620,2416)))</f>
        <v>76850952.407232493</v>
      </c>
      <c r="B1622">
        <v>152353223.57672414</v>
      </c>
    </row>
    <row r="1623" spans="1:2" x14ac:dyDescent="0.25">
      <c r="A1623">
        <f ca="1">32909.6353361224*((RANDBETWEEN(1620,2416)))</f>
        <v>60817006.101154335</v>
      </c>
      <c r="B1623">
        <v>190407725.3536624</v>
      </c>
    </row>
    <row r="1624" spans="1:2" x14ac:dyDescent="0.25">
      <c r="A1624">
        <f ca="1">37039.5386737068*((RANDBETWEEN(1620,2416)))</f>
        <v>75745856.587730408</v>
      </c>
      <c r="B1624">
        <v>192593141.71282649</v>
      </c>
    </row>
    <row r="1625" spans="1:2" x14ac:dyDescent="0.25">
      <c r="A1625">
        <f ca="1">28365.9229729253*((RANDBETWEEN(1620,2416)))</f>
        <v>65383452.45259276</v>
      </c>
      <c r="B1625">
        <v>152257761.0442993</v>
      </c>
    </row>
    <row r="1626" spans="1:2" x14ac:dyDescent="0.25">
      <c r="A1626">
        <f ca="1">41317.1048424629*((RANDBETWEEN(1620,2416)))</f>
        <v>73255226.885686785</v>
      </c>
      <c r="B1626">
        <v>178682094.92028213</v>
      </c>
    </row>
    <row r="1627" spans="1:2" x14ac:dyDescent="0.25">
      <c r="A1627">
        <f ca="1">35812.9143250873*((RANDBETWEEN(1620,2416)))</f>
        <v>70658879.96339725</v>
      </c>
      <c r="B1627">
        <v>150681415.59530926</v>
      </c>
    </row>
    <row r="1628" spans="1:2" x14ac:dyDescent="0.25">
      <c r="A1628">
        <f ca="1">34755.6734505072*((RANDBETWEEN(1620,2416)))</f>
        <v>75767368.122105703</v>
      </c>
      <c r="B1628">
        <v>177319730.14080483</v>
      </c>
    </row>
    <row r="1629" spans="1:2" x14ac:dyDescent="0.25">
      <c r="A1629">
        <f ca="1">30807.0454380518*((RANDBETWEEN(1620,2416)))</f>
        <v>58009666.559851572</v>
      </c>
      <c r="B1629">
        <v>201690198.22429371</v>
      </c>
    </row>
    <row r="1630" spans="1:2" x14ac:dyDescent="0.25">
      <c r="A1630">
        <f ca="1">30018.4746077415*((RANDBETWEEN(1620,2416)))</f>
        <v>70453359.904369295</v>
      </c>
      <c r="B1630">
        <v>194998825.72892442</v>
      </c>
    </row>
    <row r="1631" spans="1:2" x14ac:dyDescent="0.25">
      <c r="A1631">
        <f ca="1">38443.3801587098*((RANDBETWEEN(1620,2416)))</f>
        <v>63739124.303140894</v>
      </c>
      <c r="B1631">
        <v>164192584.49984846</v>
      </c>
    </row>
    <row r="1632" spans="1:2" x14ac:dyDescent="0.25">
      <c r="A1632">
        <f ca="1">32571.3143048375*((RANDBETWEEN(1620,2416)))</f>
        <v>73090029.300055251</v>
      </c>
      <c r="B1632">
        <v>164925783.64844403</v>
      </c>
    </row>
    <row r="1633" spans="1:2" x14ac:dyDescent="0.25">
      <c r="A1633">
        <f ca="1">40459.1200578273*((RANDBETWEEN(1620,2416)))</f>
        <v>82415227.557794169</v>
      </c>
      <c r="B1633">
        <v>146916914.70171088</v>
      </c>
    </row>
    <row r="1634" spans="1:2" x14ac:dyDescent="0.25">
      <c r="A1634">
        <f ca="1">29064.5314347676*((RANDBETWEEN(1620,2416)))</f>
        <v>63186291.339184701</v>
      </c>
      <c r="B1634">
        <v>169041111.1330142</v>
      </c>
    </row>
    <row r="1635" spans="1:2" x14ac:dyDescent="0.25">
      <c r="A1635">
        <f ca="1">36370.0607856439*((RANDBETWEEN(1620,2416)))</f>
        <v>78341110.93227686</v>
      </c>
      <c r="B1635">
        <v>153059398.44749066</v>
      </c>
    </row>
    <row r="1636" spans="1:2" x14ac:dyDescent="0.25">
      <c r="A1636">
        <f ca="1">31566.898437164*((RANDBETWEEN(1620,2416)))</f>
        <v>60071807.725923024</v>
      </c>
      <c r="B1636">
        <v>167565534.85771504</v>
      </c>
    </row>
    <row r="1637" spans="1:2" x14ac:dyDescent="0.25">
      <c r="A1637">
        <f ca="1">31379.1365669114*((RANDBETWEEN(1620,2416)))</f>
        <v>52057987.564505994</v>
      </c>
      <c r="B1637">
        <v>187002608.33424059</v>
      </c>
    </row>
    <row r="1638" spans="1:2" x14ac:dyDescent="0.25">
      <c r="A1638">
        <f ca="1">39329.9011724219*((RANDBETWEEN(1620,2416)))</f>
        <v>89396865.364914864</v>
      </c>
      <c r="B1638">
        <v>147199085.75301933</v>
      </c>
    </row>
    <row r="1639" spans="1:2" x14ac:dyDescent="0.25">
      <c r="A1639">
        <f ca="1">32075.9704793507*((RANDBETWEEN(1620,2416)))</f>
        <v>71657718.050869569</v>
      </c>
      <c r="B1639">
        <v>158815062.8999702</v>
      </c>
    </row>
    <row r="1640" spans="1:2" x14ac:dyDescent="0.25">
      <c r="A1640">
        <f ca="1">31831.7984464638*((RANDBETWEEN(1620,2416)))</f>
        <v>66560290.551555872</v>
      </c>
      <c r="B1640">
        <v>186166380.38733834</v>
      </c>
    </row>
    <row r="1641" spans="1:2" x14ac:dyDescent="0.25">
      <c r="A1641">
        <f ca="1">36127.9930951633*((RANDBETWEEN(1620,2416)))</f>
        <v>79987376.712691635</v>
      </c>
      <c r="B1641">
        <v>144424954.72925952</v>
      </c>
    </row>
    <row r="1642" spans="1:2" x14ac:dyDescent="0.25">
      <c r="A1642">
        <f ca="1">34348.2903071163*((RANDBETWEEN(1620,2416)))</f>
        <v>66910469.518262587</v>
      </c>
      <c r="B1642">
        <v>152947922.16565335</v>
      </c>
    </row>
    <row r="1643" spans="1:2" x14ac:dyDescent="0.25">
      <c r="A1643">
        <f ca="1">31419.19400876*((RANDBETWEEN(1620,2416)))</f>
        <v>53789660.142997175</v>
      </c>
      <c r="B1643">
        <v>159337797.63768432</v>
      </c>
    </row>
    <row r="1644" spans="1:2" x14ac:dyDescent="0.25">
      <c r="A1644">
        <f ca="1">31834.2478336197*((RANDBETWEEN(1620,2416)))</f>
        <v>63891335.402074724</v>
      </c>
      <c r="B1644">
        <v>167215895.94586408</v>
      </c>
    </row>
    <row r="1645" spans="1:2" x14ac:dyDescent="0.25">
      <c r="A1645">
        <f ca="1">35776.6743612292*((RANDBETWEEN(1620,2416)))</f>
        <v>61965199.993648969</v>
      </c>
      <c r="B1645">
        <v>164428195.75265902</v>
      </c>
    </row>
    <row r="1646" spans="1:2" x14ac:dyDescent="0.25">
      <c r="A1646">
        <f ca="1">33188.9540815788*((RANDBETWEEN(1620,2416)))</f>
        <v>78292742.678444386</v>
      </c>
      <c r="B1646">
        <v>181908521.36818534</v>
      </c>
    </row>
    <row r="1647" spans="1:2" x14ac:dyDescent="0.25">
      <c r="A1647">
        <f ca="1">36855.9299596629*((RANDBETWEEN(1620,2416)))</f>
        <v>71979631.21122162</v>
      </c>
      <c r="B1647">
        <v>193251655.54994494</v>
      </c>
    </row>
    <row r="1648" spans="1:2" x14ac:dyDescent="0.25">
      <c r="A1648">
        <f ca="1">30863.8725976758*((RANDBETWEEN(1620,2416)))</f>
        <v>72159734.133365944</v>
      </c>
      <c r="B1648">
        <v>178893468.04055947</v>
      </c>
    </row>
    <row r="1649" spans="1:2" x14ac:dyDescent="0.25">
      <c r="A1649">
        <f ca="1">33782.0623024122*((RANDBETWEEN(1620,2416)))</f>
        <v>79083807.849947006</v>
      </c>
      <c r="B1649">
        <v>161876242.31426817</v>
      </c>
    </row>
    <row r="1650" spans="1:2" x14ac:dyDescent="0.25">
      <c r="A1650">
        <f ca="1">36085.7713525824*((RANDBETWEEN(1620,2416)))</f>
        <v>65531760.776289679</v>
      </c>
      <c r="B1650">
        <v>197425769.15585065</v>
      </c>
    </row>
    <row r="1651" spans="1:2" x14ac:dyDescent="0.25">
      <c r="A1651">
        <f ca="1">36732.5452281459*((RANDBETWEEN(1620,2416)))</f>
        <v>68653127.031404674</v>
      </c>
      <c r="B1651">
        <v>197037709.39630973</v>
      </c>
    </row>
    <row r="1652" spans="1:2" x14ac:dyDescent="0.25">
      <c r="A1652">
        <f ca="1">41943.8065264108*((RANDBETWEEN(1620,2416)))</f>
        <v>72059459.612373754</v>
      </c>
      <c r="B1652">
        <v>202293890.17729631</v>
      </c>
    </row>
    <row r="1653" spans="1:2" x14ac:dyDescent="0.25">
      <c r="A1653">
        <f ca="1">29040.2266878048*((RANDBETWEEN(1620,2416)))</f>
        <v>58225654.509048708</v>
      </c>
      <c r="B1653">
        <v>146658895.15380928</v>
      </c>
    </row>
    <row r="1654" spans="1:2" x14ac:dyDescent="0.25">
      <c r="A1654">
        <f ca="1">32098.0676686378*((RANDBETWEEN(1620,2416)))</f>
        <v>65319567.705677941</v>
      </c>
      <c r="B1654">
        <v>146434913.92218223</v>
      </c>
    </row>
    <row r="1655" spans="1:2" x14ac:dyDescent="0.25">
      <c r="A1655">
        <f ca="1">35623.9857695055*((RANDBETWEEN(1620,2416)))</f>
        <v>77268425.134057403</v>
      </c>
      <c r="B1655">
        <v>203552445.54384139</v>
      </c>
    </row>
    <row r="1656" spans="1:2" x14ac:dyDescent="0.25">
      <c r="A1656">
        <f ca="1">32712.2678243778*((RANDBETWEEN(1620,2416)))</f>
        <v>53157435.214613877</v>
      </c>
      <c r="B1656">
        <v>150184486.8655318</v>
      </c>
    </row>
    <row r="1657" spans="1:2" x14ac:dyDescent="0.25">
      <c r="A1657">
        <f ca="1">30363.4904802602*((RANDBETWEEN(1620,2416)))</f>
        <v>62214791.994053073</v>
      </c>
      <c r="B1657">
        <v>182593438.35548681</v>
      </c>
    </row>
    <row r="1658" spans="1:2" x14ac:dyDescent="0.25">
      <c r="A1658">
        <f ca="1">29307.7382021349*((RANDBETWEEN(1620,2416)))</f>
        <v>68902492.513219088</v>
      </c>
      <c r="B1658">
        <v>166749933.98165178</v>
      </c>
    </row>
    <row r="1659" spans="1:2" x14ac:dyDescent="0.25">
      <c r="A1659">
        <f ca="1">31478.5200176367*((RANDBETWEEN(1620,2416)))</f>
        <v>65569757.19673726</v>
      </c>
      <c r="B1659">
        <v>156646653.11225569</v>
      </c>
    </row>
    <row r="1660" spans="1:2" x14ac:dyDescent="0.25">
      <c r="A1660">
        <f ca="1">35263.2652505539*((RANDBETWEEN(1620,2416)))</f>
        <v>67247046.832806379</v>
      </c>
      <c r="B1660">
        <v>150958882.59193856</v>
      </c>
    </row>
    <row r="1661" spans="1:2" x14ac:dyDescent="0.25">
      <c r="A1661">
        <f ca="1">32213.4994249012*((RANDBETWEEN(1620,2416)))</f>
        <v>55278365.013130426</v>
      </c>
      <c r="B1661">
        <v>157468472.7667295</v>
      </c>
    </row>
    <row r="1662" spans="1:2" x14ac:dyDescent="0.25">
      <c r="A1662">
        <f ca="1">30580.810207849*((RANDBETWEEN(1620,2416)))</f>
        <v>55595912.957869478</v>
      </c>
      <c r="B1662">
        <v>200788165.94389459</v>
      </c>
    </row>
    <row r="1663" spans="1:2" x14ac:dyDescent="0.25">
      <c r="A1663">
        <f ca="1">30925.6086653752*((RANDBETWEEN(1620,2416)))</f>
        <v>63088241.677365497</v>
      </c>
      <c r="B1663">
        <v>182514709.6519652</v>
      </c>
    </row>
    <row r="1664" spans="1:2" x14ac:dyDescent="0.25">
      <c r="A1664">
        <f ca="1">29267.2739161618*((RANDBETWEEN(1620,2416)))</f>
        <v>61344206.128275208</v>
      </c>
      <c r="B1664">
        <v>161807722.04115424</v>
      </c>
    </row>
    <row r="1665" spans="1:2" x14ac:dyDescent="0.25">
      <c r="A1665">
        <f ca="1">32350.4876341647*((RANDBETWEEN(1620,2416)))</f>
        <v>55092880.440982558</v>
      </c>
      <c r="B1665">
        <v>159541911.97229192</v>
      </c>
    </row>
    <row r="1666" spans="1:2" x14ac:dyDescent="0.25">
      <c r="A1666">
        <f ca="1">32268.2131323389*((RANDBETWEEN(1620,2416)))</f>
        <v>73732867.007394359</v>
      </c>
      <c r="B1666">
        <v>160983448.82882518</v>
      </c>
    </row>
    <row r="1667" spans="1:2" x14ac:dyDescent="0.25">
      <c r="A1667">
        <f ca="1">30383.047769338*((RANDBETWEEN(1620,2416)))</f>
        <v>67419983.000161126</v>
      </c>
      <c r="B1667">
        <v>150025160.69132936</v>
      </c>
    </row>
    <row r="1668" spans="1:2" x14ac:dyDescent="0.25">
      <c r="A1668">
        <f ca="1">32087.6274427966*((RANDBETWEEN(1620,2416)))</f>
        <v>53586337.829470262</v>
      </c>
      <c r="B1668">
        <v>190682041.42284864</v>
      </c>
    </row>
    <row r="1669" spans="1:2" x14ac:dyDescent="0.25">
      <c r="A1669">
        <f ca="1">30933.6744903441*((RANDBETWEEN(1620,2416)))</f>
        <v>59918527.487796605</v>
      </c>
      <c r="B1669">
        <v>162070483.60287672</v>
      </c>
    </row>
    <row r="1670" spans="1:2" x14ac:dyDescent="0.25">
      <c r="A1670">
        <f ca="1">35680.8428530716*((RANDBETWEEN(1620,2416)))</f>
        <v>62869645.107112087</v>
      </c>
      <c r="B1670">
        <v>179963328.14067349</v>
      </c>
    </row>
    <row r="1671" spans="1:2" x14ac:dyDescent="0.25">
      <c r="A1671">
        <f ca="1">35378.6455168252*((RANDBETWEEN(1620,2416)))</f>
        <v>62407930.691679664</v>
      </c>
      <c r="B1671">
        <v>192480719.30276999</v>
      </c>
    </row>
    <row r="1672" spans="1:2" x14ac:dyDescent="0.25">
      <c r="A1672">
        <f ca="1">38360.791298933*((RANDBETWEEN(1620,2416)))</f>
        <v>73269111.380961969</v>
      </c>
      <c r="B1672">
        <v>181788229.14227995</v>
      </c>
    </row>
    <row r="1673" spans="1:2" x14ac:dyDescent="0.25">
      <c r="A1673">
        <f ca="1">31383.1816744076*((RANDBETWEEN(1620,2416)))</f>
        <v>55767913.835422397</v>
      </c>
      <c r="B1673">
        <v>179581210.65196878</v>
      </c>
    </row>
    <row r="1674" spans="1:2" x14ac:dyDescent="0.25">
      <c r="A1674">
        <f ca="1">37398.5754133249*((RANDBETWEEN(1620,2416)))</f>
        <v>87587463.618006915</v>
      </c>
      <c r="B1674">
        <v>156466462.24014395</v>
      </c>
    </row>
    <row r="1675" spans="1:2" x14ac:dyDescent="0.25">
      <c r="A1675">
        <f ca="1">37604.2009217953*((RANDBETWEEN(1620,2416)))</f>
        <v>83782159.653760001</v>
      </c>
      <c r="B1675">
        <v>163417752.69579077</v>
      </c>
    </row>
    <row r="1676" spans="1:2" x14ac:dyDescent="0.25">
      <c r="A1676">
        <f ca="1">37112.970515157*((RANDBETWEEN(1620,2416)))</f>
        <v>69586819.715919465</v>
      </c>
      <c r="B1676">
        <v>173298516.0547328</v>
      </c>
    </row>
    <row r="1677" spans="1:2" x14ac:dyDescent="0.25">
      <c r="A1677">
        <f ca="1">33217.2682281806*((RANDBETWEEN(1620,2416)))</f>
        <v>61352294.417449579</v>
      </c>
      <c r="B1677">
        <v>201003764.50890589</v>
      </c>
    </row>
    <row r="1678" spans="1:2" x14ac:dyDescent="0.25">
      <c r="A1678">
        <f ca="1">30412.5813648009*((RANDBETWEEN(1620,2416)))</f>
        <v>55381310.665302381</v>
      </c>
      <c r="B1678">
        <v>153266066.05851018</v>
      </c>
    </row>
    <row r="1679" spans="1:2" x14ac:dyDescent="0.25">
      <c r="A1679">
        <f ca="1">35839.7476672247*((RANDBETWEEN(1620,2416)))</f>
        <v>67450405.109716833</v>
      </c>
      <c r="B1679">
        <v>202095940.79092118</v>
      </c>
    </row>
    <row r="1680" spans="1:2" x14ac:dyDescent="0.25">
      <c r="A1680">
        <f ca="1">29640.1737017077*((RANDBETWEEN(1620,2416)))</f>
        <v>55516045.343298562</v>
      </c>
      <c r="B1680">
        <v>182896104.1325945</v>
      </c>
    </row>
    <row r="1681" spans="1:2" x14ac:dyDescent="0.25">
      <c r="A1681">
        <f ca="1">27371.0491470543*((RANDBETWEEN(1620,2416)))</f>
        <v>46558154.599139296</v>
      </c>
      <c r="B1681">
        <v>144065797.9660238</v>
      </c>
    </row>
    <row r="1682" spans="1:2" x14ac:dyDescent="0.25">
      <c r="A1682">
        <f ca="1">34284.6161240768*((RANDBETWEEN(1620,2416)))</f>
        <v>64009378.303651355</v>
      </c>
      <c r="B1682">
        <v>191624027.0927614</v>
      </c>
    </row>
    <row r="1683" spans="1:2" x14ac:dyDescent="0.25">
      <c r="A1683">
        <f ca="1">33990.5030116273*((RANDBETWEEN(1620,2416)))</f>
        <v>80557492.137556702</v>
      </c>
      <c r="B1683">
        <v>192225797.89134976</v>
      </c>
    </row>
    <row r="1684" spans="1:2" x14ac:dyDescent="0.25">
      <c r="A1684">
        <f ca="1">37402.959637903*((RANDBETWEEN(1620,2416)))</f>
        <v>83408599.99252373</v>
      </c>
      <c r="B1684">
        <v>155321803.50173968</v>
      </c>
    </row>
    <row r="1685" spans="1:2" x14ac:dyDescent="0.25">
      <c r="A1685">
        <f ca="1">34573.9223567098*((RANDBETWEEN(1620,2416)))</f>
        <v>65344713.254181594</v>
      </c>
      <c r="B1685">
        <v>145135610.63221508</v>
      </c>
    </row>
    <row r="1686" spans="1:2" x14ac:dyDescent="0.25">
      <c r="A1686">
        <f ca="1">36129.7381189843*((RANDBETWEEN(1620,2416)))</f>
        <v>71211713.832518071</v>
      </c>
      <c r="B1686">
        <v>150753718.11007774</v>
      </c>
    </row>
    <row r="1687" spans="1:2" x14ac:dyDescent="0.25">
      <c r="A1687">
        <f ca="1">32212.2133174124*((RANDBETWEEN(1620,2416)))</f>
        <v>53987669.519983262</v>
      </c>
      <c r="B1687">
        <v>195293969.08796</v>
      </c>
    </row>
    <row r="1688" spans="1:2" x14ac:dyDescent="0.25">
      <c r="A1688">
        <f ca="1">30086.8742971891*((RANDBETWEEN(1620,2416)))</f>
        <v>62580698.538153417</v>
      </c>
      <c r="B1688">
        <v>166701407.97941875</v>
      </c>
    </row>
    <row r="1689" spans="1:2" x14ac:dyDescent="0.25">
      <c r="A1689">
        <f ca="1">37178.8201522395*((RANDBETWEEN(1620,2416)))</f>
        <v>62348881.395305656</v>
      </c>
      <c r="B1689">
        <v>159203844.90833461</v>
      </c>
    </row>
    <row r="1690" spans="1:2" x14ac:dyDescent="0.25">
      <c r="A1690">
        <f ca="1">30888.7564315359*((RANDBETWEEN(1620,2416)))</f>
        <v>51800444.535685733</v>
      </c>
      <c r="B1690">
        <v>155912817.73778421</v>
      </c>
    </row>
    <row r="1691" spans="1:2" x14ac:dyDescent="0.25">
      <c r="A1691">
        <f ca="1">32190.3061337554*((RANDBETWEEN(1620,2416)))</f>
        <v>56333035.734072007</v>
      </c>
      <c r="B1691">
        <v>190360438.95440221</v>
      </c>
    </row>
    <row r="1692" spans="1:2" x14ac:dyDescent="0.25">
      <c r="A1692">
        <f ca="1">29304.0886773277*((RANDBETWEEN(1620,2416)))</f>
        <v>67721748.93330425</v>
      </c>
      <c r="B1692">
        <v>165688482.39195156</v>
      </c>
    </row>
    <row r="1693" spans="1:2" x14ac:dyDescent="0.25">
      <c r="A1693">
        <f ca="1">36423.8258357113*((RANDBETWEEN(1620,2416)))</f>
        <v>79294668.844343498</v>
      </c>
      <c r="B1693">
        <v>150571041.81248754</v>
      </c>
    </row>
    <row r="1694" spans="1:2" x14ac:dyDescent="0.25">
      <c r="A1694">
        <f ca="1">33281.5433747267*((RANDBETWEEN(1620,2416)))</f>
        <v>75715511.177503347</v>
      </c>
      <c r="B1694">
        <v>149058081.15137452</v>
      </c>
    </row>
    <row r="1695" spans="1:2" x14ac:dyDescent="0.25">
      <c r="A1695">
        <f ca="1">30286.0205458745*((RANDBETWEEN(1620,2416)))</f>
        <v>65417804.379088931</v>
      </c>
      <c r="B1695">
        <v>143082083.72348833</v>
      </c>
    </row>
    <row r="1696" spans="1:2" x14ac:dyDescent="0.25">
      <c r="A1696">
        <f ca="1">38301.5961391694*((RANDBETWEEN(1620,2416)))</f>
        <v>91617417.964893147</v>
      </c>
      <c r="B1696">
        <v>165913122.76046214</v>
      </c>
    </row>
    <row r="1697" spans="1:2" x14ac:dyDescent="0.25">
      <c r="A1697">
        <f ca="1">29799.5953581896*((RANDBETWEEN(1620,2416)))</f>
        <v>56917227.134142175</v>
      </c>
      <c r="B1697">
        <v>153019884.60240158</v>
      </c>
    </row>
    <row r="1698" spans="1:2" x14ac:dyDescent="0.25">
      <c r="A1698">
        <f ca="1">28469.2670120013*((RANDBETWEEN(1620,2416)))</f>
        <v>60639538.735562712</v>
      </c>
      <c r="B1698">
        <v>143782536.39696449</v>
      </c>
    </row>
    <row r="1699" spans="1:2" x14ac:dyDescent="0.25">
      <c r="A1699">
        <f ca="1">31546.7418816702*((RANDBETWEEN(1620,2416)))</f>
        <v>51578922.976530828</v>
      </c>
      <c r="B1699">
        <v>184731589.03209421</v>
      </c>
    </row>
    <row r="1700" spans="1:2" x14ac:dyDescent="0.25">
      <c r="A1700">
        <f ca="1">35976.2789369283*((RANDBETWEEN(1620,2416)))</f>
        <v>69398242.069334731</v>
      </c>
      <c r="B1700">
        <v>169455535.22358021</v>
      </c>
    </row>
    <row r="1701" spans="1:2" x14ac:dyDescent="0.25">
      <c r="A1701">
        <f ca="1">38130.0930981402*((RANDBETWEEN(1620,2416)))</f>
        <v>89376938.222040623</v>
      </c>
      <c r="B1701">
        <v>196011633.81746715</v>
      </c>
    </row>
    <row r="1702" spans="1:2" x14ac:dyDescent="0.25">
      <c r="A1702">
        <f ca="1">32615.260333078*((RANDBETWEEN(1620,2416)))</f>
        <v>76972014.386064008</v>
      </c>
      <c r="B1702">
        <v>147146385.99508584</v>
      </c>
    </row>
    <row r="1703" spans="1:2" x14ac:dyDescent="0.25">
      <c r="A1703">
        <f ca="1">30194.4927512979*((RANDBETWEEN(1620,2416)))</f>
        <v>50122857.967154428</v>
      </c>
      <c r="B1703">
        <v>160188587.7805652</v>
      </c>
    </row>
    <row r="1704" spans="1:2" x14ac:dyDescent="0.25">
      <c r="A1704">
        <f ca="1">30409.5726896737*((RANDBETWEEN(1620,2416)))</f>
        <v>67448432.225696176</v>
      </c>
      <c r="B1704">
        <v>149466389.67081901</v>
      </c>
    </row>
    <row r="1705" spans="1:2" x14ac:dyDescent="0.25">
      <c r="A1705">
        <f ca="1">40816.805416209*((RANDBETWEEN(1620,2416)))</f>
        <v>83021382.216569036</v>
      </c>
      <c r="B1705">
        <v>171860936.72242656</v>
      </c>
    </row>
    <row r="1706" spans="1:2" x14ac:dyDescent="0.25">
      <c r="A1706">
        <f ca="1">30517.9488022403*((RANDBETWEEN(1620,2416)))</f>
        <v>56854938.618573613</v>
      </c>
      <c r="B1706">
        <v>152245463.13667384</v>
      </c>
    </row>
    <row r="1707" spans="1:2" x14ac:dyDescent="0.25">
      <c r="A1707">
        <f ca="1">33262.4510473415*((RANDBETWEEN(1620,2416)))</f>
        <v>57144890.899332725</v>
      </c>
      <c r="B1707">
        <v>190202019.15050533</v>
      </c>
    </row>
    <row r="1708" spans="1:2" x14ac:dyDescent="0.25">
      <c r="A1708">
        <f ca="1">36327.3885070551*((RANDBETWEEN(1620,2416)))</f>
        <v>59395280.209035024</v>
      </c>
      <c r="B1708">
        <v>149841402.03566414</v>
      </c>
    </row>
    <row r="1709" spans="1:2" x14ac:dyDescent="0.25">
      <c r="A1709">
        <f ca="1">31058.7776192261*((RANDBETWEEN(1620,2416)))</f>
        <v>62956142.234171301</v>
      </c>
      <c r="B1709">
        <v>200799740.68525881</v>
      </c>
    </row>
    <row r="1710" spans="1:2" x14ac:dyDescent="0.25">
      <c r="A1710">
        <f ca="1">32828.6118891241*((RANDBETWEEN(1620,2416)))</f>
        <v>63260735.110342205</v>
      </c>
      <c r="B1710">
        <v>203557368.56207892</v>
      </c>
    </row>
    <row r="1711" spans="1:2" x14ac:dyDescent="0.25">
      <c r="A1711">
        <f ca="1">32275.0160566807*((RANDBETWEEN(1620,2416)))</f>
        <v>64808232.241814852</v>
      </c>
      <c r="B1711">
        <v>144850404.4779138</v>
      </c>
    </row>
    <row r="1712" spans="1:2" x14ac:dyDescent="0.25">
      <c r="A1712">
        <f ca="1">30087.5801017373*((RANDBETWEEN(1620,2416)))</f>
        <v>70374849.857963532</v>
      </c>
      <c r="B1712">
        <v>194438043.25956112</v>
      </c>
    </row>
    <row r="1713" spans="1:2" x14ac:dyDescent="0.25">
      <c r="A1713">
        <f ca="1">36688.5492637644*((RANDBETWEEN(1620,2416)))</f>
        <v>78586872.522983342</v>
      </c>
      <c r="B1713">
        <v>178235789.25937995</v>
      </c>
    </row>
    <row r="1714" spans="1:2" x14ac:dyDescent="0.25">
      <c r="A1714">
        <f ca="1">38404.5475756087*((RANDBETWEEN(1620,2416)))</f>
        <v>76041004.199705258</v>
      </c>
      <c r="B1714">
        <v>169235779.10924852</v>
      </c>
    </row>
    <row r="1715" spans="1:2" x14ac:dyDescent="0.25">
      <c r="A1715">
        <f ca="1">30414.2200533849*((RANDBETWEEN(1620,2416)))</f>
        <v>72112115.746575564</v>
      </c>
      <c r="B1715">
        <v>162583294.21076053</v>
      </c>
    </row>
    <row r="1716" spans="1:2" x14ac:dyDescent="0.25">
      <c r="A1716">
        <f ca="1">33454.8743673726*((RANDBETWEEN(1620,2416)))</f>
        <v>69987597.176543385</v>
      </c>
      <c r="B1716">
        <v>168886163.94721216</v>
      </c>
    </row>
    <row r="1717" spans="1:2" x14ac:dyDescent="0.25">
      <c r="A1717">
        <f ca="1">30919.0011017997*((RANDBETWEEN(1620,2416)))</f>
        <v>66754123.378785618</v>
      </c>
      <c r="B1717">
        <v>143296073.4499312</v>
      </c>
    </row>
    <row r="1718" spans="1:2" x14ac:dyDescent="0.25">
      <c r="A1718">
        <f ca="1">30640.3738107346*((RANDBETWEEN(1620,2416)))</f>
        <v>65999365.188322224</v>
      </c>
      <c r="B1718">
        <v>143733071.85759956</v>
      </c>
    </row>
    <row r="1719" spans="1:2" x14ac:dyDescent="0.25">
      <c r="A1719">
        <f ca="1">31664.5947712758*((RANDBETWEEN(1620,2416)))</f>
        <v>70168742.01314722</v>
      </c>
      <c r="B1719">
        <v>164122768.20728523</v>
      </c>
    </row>
    <row r="1720" spans="1:2" x14ac:dyDescent="0.25">
      <c r="A1720">
        <f ca="1">31515.3192598414*((RANDBETWEEN(1620,2416)))</f>
        <v>67474298.535320461</v>
      </c>
      <c r="B1720">
        <v>150701989.629031</v>
      </c>
    </row>
    <row r="1721" spans="1:2" x14ac:dyDescent="0.25">
      <c r="A1721">
        <f ca="1">30050.8065470336*((RANDBETWEEN(1620,2416)))</f>
        <v>70048430.061135232</v>
      </c>
      <c r="B1721">
        <v>160902385.00297061</v>
      </c>
    </row>
    <row r="1722" spans="1:2" x14ac:dyDescent="0.25">
      <c r="A1722">
        <f ca="1">32702.7094335211*((RANDBETWEEN(1620,2416)))</f>
        <v>53534335.342674077</v>
      </c>
      <c r="B1722">
        <v>172941827.58070236</v>
      </c>
    </row>
    <row r="1723" spans="1:2" x14ac:dyDescent="0.25">
      <c r="A1723">
        <f ca="1">33481.3199995352*((RANDBETWEEN(1620,2416)))</f>
        <v>65422499.279091805</v>
      </c>
      <c r="B1723">
        <v>200005748.53039587</v>
      </c>
    </row>
    <row r="1724" spans="1:2" x14ac:dyDescent="0.25">
      <c r="A1724">
        <f ca="1">40253.7218633916*((RANDBETWEEN(1620,2416)))</f>
        <v>97051723.412637055</v>
      </c>
      <c r="B1724">
        <v>153126675.82887089</v>
      </c>
    </row>
    <row r="1725" spans="1:2" x14ac:dyDescent="0.25">
      <c r="A1725">
        <f ca="1">35579.9378490134*((RANDBETWEEN(1620,2416)))</f>
        <v>73650471.347457722</v>
      </c>
      <c r="B1725">
        <v>145883954.44281453</v>
      </c>
    </row>
    <row r="1726" spans="1:2" x14ac:dyDescent="0.25">
      <c r="A1726">
        <f ca="1">41731.5470524428*((RANDBETWEEN(1620,2416)))</f>
        <v>100030518.28470543</v>
      </c>
      <c r="B1726">
        <v>177168942.50979817</v>
      </c>
    </row>
    <row r="1727" spans="1:2" x14ac:dyDescent="0.25">
      <c r="A1727">
        <f ca="1">29062.0800377582*((RANDBETWEEN(1620,2416)))</f>
        <v>63006589.521859802</v>
      </c>
      <c r="B1727">
        <v>155237594.8495498</v>
      </c>
    </row>
    <row r="1728" spans="1:2" x14ac:dyDescent="0.25">
      <c r="A1728">
        <f ca="1">30743.2170828163*((RANDBETWEEN(1620,2416)))</f>
        <v>59272922.535669766</v>
      </c>
      <c r="B1728">
        <v>167809854.49235344</v>
      </c>
    </row>
    <row r="1729" spans="1:2" x14ac:dyDescent="0.25">
      <c r="A1729">
        <f ca="1">30973.0836020949*((RANDBETWEEN(1620,2416)))</f>
        <v>60707243.860106021</v>
      </c>
      <c r="B1729">
        <v>146800409.92370388</v>
      </c>
    </row>
    <row r="1730" spans="1:2" x14ac:dyDescent="0.25">
      <c r="A1730">
        <f ca="1">31973.8930994159*((RANDBETWEEN(1620,2416)))</f>
        <v>53396401.476024598</v>
      </c>
      <c r="B1730">
        <v>180617233.83797815</v>
      </c>
    </row>
    <row r="1731" spans="1:2" x14ac:dyDescent="0.25">
      <c r="A1731">
        <f ca="1">31534.535712565*((RANDBETWEEN(1620,2416)))</f>
        <v>60136359.603861541</v>
      </c>
      <c r="B1731">
        <v>174053832.64041525</v>
      </c>
    </row>
    <row r="1732" spans="1:2" x14ac:dyDescent="0.25">
      <c r="A1732">
        <f ca="1">32588.0770094636*((RANDBETWEEN(1620,2416)))</f>
        <v>60157590.159469806</v>
      </c>
      <c r="B1732">
        <v>167560990.13938412</v>
      </c>
    </row>
    <row r="1733" spans="1:2" x14ac:dyDescent="0.25">
      <c r="A1733">
        <f ca="1">38002.2097821845*((RANDBETWEEN(1620,2416)))</f>
        <v>86949055.981638059</v>
      </c>
      <c r="B1733">
        <v>197544327.0139631</v>
      </c>
    </row>
    <row r="1734" spans="1:2" x14ac:dyDescent="0.25">
      <c r="A1734">
        <f ca="1">35830.6576011979*((RANDBETWEEN(1620,2416)))</f>
        <v>83843738.786803126</v>
      </c>
      <c r="B1734">
        <v>144946864.30198014</v>
      </c>
    </row>
    <row r="1735" spans="1:2" x14ac:dyDescent="0.25">
      <c r="A1735">
        <f ca="1">37244.0862073962*((RANDBETWEEN(1620,2416)))</f>
        <v>66778646.569861449</v>
      </c>
      <c r="B1735">
        <v>189468045.85310447</v>
      </c>
    </row>
    <row r="1736" spans="1:2" x14ac:dyDescent="0.25">
      <c r="A1736">
        <f ca="1">32305.3377836687*((RANDBETWEEN(1620,2416)))</f>
        <v>74916078.320327759</v>
      </c>
      <c r="B1736">
        <v>145964300.11039847</v>
      </c>
    </row>
    <row r="1737" spans="1:2" x14ac:dyDescent="0.25">
      <c r="A1737">
        <f ca="1">29890.0830551289*((RANDBETWEEN(1620,2416)))</f>
        <v>57628080.130288482</v>
      </c>
      <c r="B1737">
        <v>158819270.85677922</v>
      </c>
    </row>
    <row r="1738" spans="1:2" x14ac:dyDescent="0.25">
      <c r="A1738">
        <f ca="1">29984.1504019275*((RANDBETWEEN(1620,2416)))</f>
        <v>61407540.023147516</v>
      </c>
      <c r="B1738">
        <v>177765311.34779355</v>
      </c>
    </row>
    <row r="1739" spans="1:2" x14ac:dyDescent="0.25">
      <c r="A1739">
        <f ca="1">31829.1776345216*((RANDBETWEEN(1620,2416)))</f>
        <v>61366654.479357697</v>
      </c>
      <c r="B1739">
        <v>150093693.48589692</v>
      </c>
    </row>
    <row r="1740" spans="1:2" x14ac:dyDescent="0.25">
      <c r="A1740">
        <f ca="1">40189.6072430286*((RANDBETWEEN(1620,2416)))</f>
        <v>74471342.221331939</v>
      </c>
      <c r="B1740">
        <v>164245934.58447486</v>
      </c>
    </row>
    <row r="1741" spans="1:2" x14ac:dyDescent="0.25">
      <c r="A1741">
        <f ca="1">29970.2928171568*((RANDBETWEEN(1620,2416)))</f>
        <v>59521001.534873351</v>
      </c>
      <c r="B1741">
        <v>172697030.55541837</v>
      </c>
    </row>
    <row r="1742" spans="1:2" x14ac:dyDescent="0.25">
      <c r="A1742">
        <f ca="1">30674.0697589296*((RANDBETWEEN(1620,2416)))</f>
        <v>72666871.258904219</v>
      </c>
      <c r="B1742">
        <v>164649247.1899583</v>
      </c>
    </row>
    <row r="1743" spans="1:2" x14ac:dyDescent="0.25">
      <c r="A1743">
        <f ca="1">38367.935070077*((RANDBETWEEN(1620,2416)))</f>
        <v>67565933.658405557</v>
      </c>
      <c r="B1743">
        <v>157163754.8901979</v>
      </c>
    </row>
    <row r="1744" spans="1:2" x14ac:dyDescent="0.25">
      <c r="A1744">
        <f ca="1">35583.5716908249*((RANDBETWEEN(1620,2416)))</f>
        <v>75543922.699621171</v>
      </c>
      <c r="B1744">
        <v>145341397.29767281</v>
      </c>
    </row>
    <row r="1745" spans="1:2" x14ac:dyDescent="0.25">
      <c r="A1745">
        <f ca="1">30421.6498470971*((RANDBETWEEN(1620,2416)))</f>
        <v>51077950.093276016</v>
      </c>
      <c r="B1745">
        <v>150698665.1568853</v>
      </c>
    </row>
    <row r="1746" spans="1:2" x14ac:dyDescent="0.25">
      <c r="A1746">
        <f ca="1">33415.8023384443*((RANDBETWEEN(1620,2416)))</f>
        <v>66430615.048827253</v>
      </c>
      <c r="B1746">
        <v>155586393.11235568</v>
      </c>
    </row>
    <row r="1747" spans="1:2" x14ac:dyDescent="0.25">
      <c r="A1747">
        <f ca="1">29760.8108719558*((RANDBETWEEN(1620,2416)))</f>
        <v>53063525.78469719</v>
      </c>
      <c r="B1747">
        <v>172630398.89178097</v>
      </c>
    </row>
    <row r="1748" spans="1:2" x14ac:dyDescent="0.25">
      <c r="A1748">
        <f ca="1">33958.6214510959*((RANDBETWEEN(1620,2416)))</f>
        <v>77527532.772851869</v>
      </c>
      <c r="B1748">
        <v>151695796.52276853</v>
      </c>
    </row>
    <row r="1749" spans="1:2" x14ac:dyDescent="0.25">
      <c r="A1749">
        <f ca="1">32459.2513690832*((RANDBETWEEN(1620,2416)))</f>
        <v>54336786.791845247</v>
      </c>
      <c r="B1749">
        <v>171738680.96667221</v>
      </c>
    </row>
    <row r="1750" spans="1:2" x14ac:dyDescent="0.25">
      <c r="A1750">
        <f ca="1">32080.9690417935*((RANDBETWEEN(1620,2416)))</f>
        <v>72631313.910620421</v>
      </c>
      <c r="B1750">
        <v>169239013.94738853</v>
      </c>
    </row>
    <row r="1751" spans="1:2" x14ac:dyDescent="0.25">
      <c r="A1751">
        <f ca="1">31798.2511912099*((RANDBETWEEN(1620,2416)))</f>
        <v>55996720.347720616</v>
      </c>
      <c r="B1751">
        <v>147992205.21457806</v>
      </c>
    </row>
    <row r="1752" spans="1:2" x14ac:dyDescent="0.25">
      <c r="A1752">
        <f ca="1">39930.9410070241*((RANDBETWEEN(1620,2416)))</f>
        <v>89844617.265804321</v>
      </c>
      <c r="B1752">
        <v>146622578.68143079</v>
      </c>
    </row>
    <row r="1753" spans="1:2" x14ac:dyDescent="0.25">
      <c r="A1753">
        <f ca="1">39902.9966483909*((RANDBETWEEN(1620,2416)))</f>
        <v>93373012.157234743</v>
      </c>
      <c r="B1753">
        <v>150842736.88991436</v>
      </c>
    </row>
    <row r="1754" spans="1:2" x14ac:dyDescent="0.25">
      <c r="A1754">
        <f ca="1">32460.5403919903*((RANDBETWEEN(1620,2416)))</f>
        <v>56254116.499319263</v>
      </c>
      <c r="B1754">
        <v>175641106.65995967</v>
      </c>
    </row>
    <row r="1755" spans="1:2" x14ac:dyDescent="0.25">
      <c r="A1755">
        <f ca="1">31995.0707845605*((RANDBETWEEN(1620,2416)))</f>
        <v>59958762.650266401</v>
      </c>
      <c r="B1755">
        <v>153182359.49723458</v>
      </c>
    </row>
    <row r="1756" spans="1:2" x14ac:dyDescent="0.25">
      <c r="A1756">
        <f ca="1">31684.2999043658*((RANDBETWEEN(1620,2416)))</f>
        <v>56334685.229962416</v>
      </c>
      <c r="B1756">
        <v>160591766.05025157</v>
      </c>
    </row>
    <row r="1757" spans="1:2" x14ac:dyDescent="0.25">
      <c r="A1757">
        <f ca="1">37521.3715533686*((RANDBETWEEN(1620,2416)))</f>
        <v>62022827.177718379</v>
      </c>
      <c r="B1757">
        <v>190262634.01502508</v>
      </c>
    </row>
    <row r="1758" spans="1:2" x14ac:dyDescent="0.25">
      <c r="A1758">
        <f ca="1">40570.3300781137*((RANDBETWEEN(1620,2416)))</f>
        <v>95502557.003879741</v>
      </c>
      <c r="B1758">
        <v>200022326.49181205</v>
      </c>
    </row>
    <row r="1759" spans="1:2" x14ac:dyDescent="0.25">
      <c r="A1759">
        <f ca="1">39371.4287468553*((RANDBETWEEN(1620,2416)))</f>
        <v>69884286.025668219</v>
      </c>
      <c r="B1759">
        <v>170629465.26627773</v>
      </c>
    </row>
    <row r="1760" spans="1:2" x14ac:dyDescent="0.25">
      <c r="A1760">
        <f ca="1">33307.5997308477*((RANDBETWEEN(1620,2416)))</f>
        <v>70212420.232627019</v>
      </c>
      <c r="B1760">
        <v>153639220.12094137</v>
      </c>
    </row>
    <row r="1761" spans="1:2" x14ac:dyDescent="0.25">
      <c r="A1761">
        <f ca="1">39849.5245723758*((RANDBETWEEN(1620,2416)))</f>
        <v>78702811.030442268</v>
      </c>
      <c r="B1761">
        <v>190079783.67037836</v>
      </c>
    </row>
    <row r="1762" spans="1:2" x14ac:dyDescent="0.25">
      <c r="A1762">
        <f ca="1">29894.5467555679*((RANDBETWEEN(1620,2416)))</f>
        <v>48907478.492109127</v>
      </c>
      <c r="B1762">
        <v>188687823.43759787</v>
      </c>
    </row>
    <row r="1763" spans="1:2" x14ac:dyDescent="0.25">
      <c r="A1763">
        <f ca="1">32561.695641909*((RANDBETWEEN(1620,2416)))</f>
        <v>65253638.066385664</v>
      </c>
      <c r="B1763">
        <v>157832696.69506916</v>
      </c>
    </row>
    <row r="1764" spans="1:2" x14ac:dyDescent="0.25">
      <c r="A1764">
        <f ca="1">34452.9924430878*((RANDBETWEEN(1620,2416)))</f>
        <v>81825857.052333415</v>
      </c>
      <c r="B1764">
        <v>147378318.05779192</v>
      </c>
    </row>
    <row r="1765" spans="1:2" x14ac:dyDescent="0.25">
      <c r="A1765">
        <f ca="1">42387.2205175476*((RANDBETWEEN(1620,2416)))</f>
        <v>76678481.916243583</v>
      </c>
      <c r="B1765">
        <v>178390692.14162558</v>
      </c>
    </row>
    <row r="1766" spans="1:2" x14ac:dyDescent="0.25">
      <c r="A1766">
        <f ca="1">34383.6647107144*((RANDBETWEEN(1620,2416)))</f>
        <v>63437861.391268127</v>
      </c>
      <c r="B1766">
        <v>171838034.94147137</v>
      </c>
    </row>
    <row r="1767" spans="1:2" x14ac:dyDescent="0.25">
      <c r="A1767">
        <f ca="1">31592.2919170562*((RANDBETWEEN(1620,2416)))</f>
        <v>65332859.684472136</v>
      </c>
      <c r="B1767">
        <v>185254535.03749973</v>
      </c>
    </row>
    <row r="1768" spans="1:2" x14ac:dyDescent="0.25">
      <c r="A1768">
        <f ca="1">41601.1819814513*((RANDBETWEEN(1620,2416)))</f>
        <v>89442541.260120362</v>
      </c>
      <c r="B1768">
        <v>147570225.10097182</v>
      </c>
    </row>
    <row r="1769" spans="1:2" x14ac:dyDescent="0.25">
      <c r="A1769">
        <f ca="1">30507.6273950724*((RANDBETWEEN(1620,2416)))</f>
        <v>52229058.100363962</v>
      </c>
      <c r="B1769">
        <v>192478958.14511415</v>
      </c>
    </row>
    <row r="1770" spans="1:2" x14ac:dyDescent="0.25">
      <c r="A1770">
        <f ca="1">37602.0540827194*((RANDBETWEEN(1620,2416)))</f>
        <v>61103337.884419024</v>
      </c>
      <c r="B1770">
        <v>168627440.35497618</v>
      </c>
    </row>
    <row r="1771" spans="1:2" x14ac:dyDescent="0.25">
      <c r="A1771">
        <f ca="1">40502.7893372941*((RANDBETWEEN(1620,2416)))</f>
        <v>94574013.102581605</v>
      </c>
      <c r="B1771">
        <v>170038179.01468861</v>
      </c>
    </row>
    <row r="1772" spans="1:2" x14ac:dyDescent="0.25">
      <c r="A1772">
        <f ca="1">29368.0638621379*((RANDBETWEEN(1620,2416)))</f>
        <v>64433532.113530532</v>
      </c>
      <c r="B1772">
        <v>146629664.079557</v>
      </c>
    </row>
    <row r="1773" spans="1:2" x14ac:dyDescent="0.25">
      <c r="A1773">
        <f ca="1">36242.7517305555*((RANDBETWEEN(1620,2416)))</f>
        <v>84409368.7804638</v>
      </c>
      <c r="B1773">
        <v>163010092.38942397</v>
      </c>
    </row>
    <row r="1774" spans="1:2" x14ac:dyDescent="0.25">
      <c r="A1774">
        <f ca="1">29481.830396852*((RANDBETWEEN(1620,2416)))</f>
        <v>49912738.86187049</v>
      </c>
      <c r="B1774">
        <v>154800500.99086019</v>
      </c>
    </row>
    <row r="1775" spans="1:2" x14ac:dyDescent="0.25">
      <c r="A1775">
        <f ca="1">30018.8232616295*((RANDBETWEEN(1620,2416)))</f>
        <v>67602389.985189587</v>
      </c>
      <c r="B1775">
        <v>180400788.01742458</v>
      </c>
    </row>
    <row r="1776" spans="1:2" x14ac:dyDescent="0.25">
      <c r="A1776">
        <f ca="1">38648.9409470804*((RANDBETWEEN(1620,2416)))</f>
        <v>92950702.977728248</v>
      </c>
      <c r="B1776">
        <v>182895668.36545444</v>
      </c>
    </row>
    <row r="1777" spans="1:2" x14ac:dyDescent="0.25">
      <c r="A1777">
        <f ca="1">31697.5209506643*((RANDBETWEEN(1620,2416)))</f>
        <v>56738562.501689017</v>
      </c>
      <c r="B1777">
        <v>165328701.60244077</v>
      </c>
    </row>
    <row r="1778" spans="1:2" x14ac:dyDescent="0.25">
      <c r="A1778">
        <f ca="1">40222.1148995745*((RANDBETWEEN(1620,2416)))</f>
        <v>91143312.362435803</v>
      </c>
      <c r="B1778">
        <v>171768076.75665277</v>
      </c>
    </row>
    <row r="1779" spans="1:2" x14ac:dyDescent="0.25">
      <c r="A1779">
        <f ca="1">32254.1516807904*((RANDBETWEEN(1620,2416)))</f>
        <v>56283494.68297933</v>
      </c>
      <c r="B1779">
        <v>167395164.17837673</v>
      </c>
    </row>
    <row r="1780" spans="1:2" x14ac:dyDescent="0.25">
      <c r="A1780">
        <f ca="1">30841.6012463413*((RANDBETWEEN(1620,2416)))</f>
        <v>74143209.396204472</v>
      </c>
      <c r="B1780">
        <v>171205607.17541754</v>
      </c>
    </row>
    <row r="1781" spans="1:2" x14ac:dyDescent="0.25">
      <c r="A1781">
        <f ca="1">33991.7787805957*((RANDBETWEEN(1620,2416)))</f>
        <v>76957387.159268782</v>
      </c>
      <c r="B1781">
        <v>167656353.87272888</v>
      </c>
    </row>
    <row r="1782" spans="1:2" x14ac:dyDescent="0.25">
      <c r="A1782">
        <f ca="1">28477.0014812301*((RANDBETWEEN(1620,2416)))</f>
        <v>57153341.97282888</v>
      </c>
      <c r="B1782">
        <v>167713863.39648378</v>
      </c>
    </row>
    <row r="1783" spans="1:2" x14ac:dyDescent="0.25">
      <c r="A1783">
        <f ca="1">40114.880791474*((RANDBETWEEN(1620,2416)))</f>
        <v>69519088.411624476</v>
      </c>
      <c r="B1783">
        <v>160057804.59094411</v>
      </c>
    </row>
    <row r="1784" spans="1:2" x14ac:dyDescent="0.25">
      <c r="A1784">
        <f ca="1">33081.7006803055*((RANDBETWEEN(1620,2416)))</f>
        <v>76815708.979669377</v>
      </c>
      <c r="B1784">
        <v>201655988.69835901</v>
      </c>
    </row>
    <row r="1785" spans="1:2" x14ac:dyDescent="0.25">
      <c r="A1785">
        <f ca="1">31989.0838185072*((RANDBETWEEN(1620,2416)))</f>
        <v>63306396.876825787</v>
      </c>
      <c r="B1785">
        <v>157351881.90124205</v>
      </c>
    </row>
    <row r="1786" spans="1:2" x14ac:dyDescent="0.25">
      <c r="A1786">
        <f ca="1">31304.8839249569*((RANDBETWEEN(1620,2416)))</f>
        <v>68463781.143880665</v>
      </c>
      <c r="B1786">
        <v>183953323.33666342</v>
      </c>
    </row>
    <row r="1787" spans="1:2" x14ac:dyDescent="0.25">
      <c r="A1787">
        <f ca="1">30089.444240234*((RANDBETWEEN(1620,2416)))</f>
        <v>56658423.504360668</v>
      </c>
      <c r="B1787">
        <v>185456106.16319352</v>
      </c>
    </row>
    <row r="1788" spans="1:2" x14ac:dyDescent="0.25">
      <c r="A1788">
        <f ca="1">37456.745770059*((RANDBETWEEN(1620,2416)))</f>
        <v>78883906.591744155</v>
      </c>
      <c r="B1788">
        <v>159801701.18204284</v>
      </c>
    </row>
    <row r="1789" spans="1:2" x14ac:dyDescent="0.25">
      <c r="A1789">
        <f ca="1">30951.5314527197*((RANDBETWEEN(1620,2416)))</f>
        <v>72705147.3824386</v>
      </c>
      <c r="B1789">
        <v>169067352.32086244</v>
      </c>
    </row>
    <row r="1790" spans="1:2" x14ac:dyDescent="0.25">
      <c r="A1790">
        <f ca="1">30834.8231968455*((RANDBETWEEN(1620,2416)))</f>
        <v>60066235.587455012</v>
      </c>
      <c r="B1790">
        <v>145476162.98444927</v>
      </c>
    </row>
    <row r="1791" spans="1:2" x14ac:dyDescent="0.25">
      <c r="A1791">
        <f ca="1">32043.5989040663*((RANDBETWEEN(1620,2416)))</f>
        <v>56044254.483211912</v>
      </c>
      <c r="B1791">
        <v>152431469.39726591</v>
      </c>
    </row>
    <row r="1792" spans="1:2" x14ac:dyDescent="0.25">
      <c r="A1792">
        <f ca="1">27921.1761964596*((RANDBETWEEN(1620,2416)))</f>
        <v>52854786.539898045</v>
      </c>
      <c r="B1792">
        <v>148741997.3532961</v>
      </c>
    </row>
    <row r="1793" spans="1:2" x14ac:dyDescent="0.25">
      <c r="A1793">
        <f ca="1">29470.995885434*((RANDBETWEEN(1620,2416)))</f>
        <v>60798664.51165054</v>
      </c>
      <c r="B1793">
        <v>171080354.69932893</v>
      </c>
    </row>
    <row r="1794" spans="1:2" x14ac:dyDescent="0.25">
      <c r="A1794">
        <f ca="1">30524.1838770646*((RANDBETWEEN(1620,2416)))</f>
        <v>55981353.230536476</v>
      </c>
      <c r="B1794">
        <v>152785898.55873463</v>
      </c>
    </row>
    <row r="1795" spans="1:2" x14ac:dyDescent="0.25">
      <c r="A1795">
        <f ca="1">30604.5331604041*((RANDBETWEEN(1620,2416)))</f>
        <v>55975691.150379077</v>
      </c>
      <c r="B1795">
        <v>165685427.43397436</v>
      </c>
    </row>
    <row r="1796" spans="1:2" x14ac:dyDescent="0.25">
      <c r="A1796">
        <f ca="1">34582.1635977865*((RANDBETWEEN(1620,2416)))</f>
        <v>78190271.894595429</v>
      </c>
      <c r="B1796">
        <v>154156263.0989961</v>
      </c>
    </row>
    <row r="1797" spans="1:2" x14ac:dyDescent="0.25">
      <c r="A1797">
        <f ca="1">37123.9913216498*((RANDBETWEEN(1620,2416)))</f>
        <v>72020543.164000675</v>
      </c>
      <c r="B1797">
        <v>165557039.29139709</v>
      </c>
    </row>
    <row r="1798" spans="1:2" x14ac:dyDescent="0.25">
      <c r="A1798">
        <f ca="1">31945.377522345*((RANDBETWEEN(1620,2416)))</f>
        <v>58491986.24341362</v>
      </c>
      <c r="B1798">
        <v>173384964.93978089</v>
      </c>
    </row>
    <row r="1799" spans="1:2" x14ac:dyDescent="0.25">
      <c r="A1799">
        <f ca="1">31058.4369702086*((RANDBETWEEN(1620,2416)))</f>
        <v>51712297.555397362</v>
      </c>
      <c r="B1799">
        <v>174505848.82066244</v>
      </c>
    </row>
    <row r="1800" spans="1:2" x14ac:dyDescent="0.25">
      <c r="A1800">
        <f ca="1">29667.4711092572*((RANDBETWEEN(1620,2416)))</f>
        <v>65713448.507004604</v>
      </c>
      <c r="B1800">
        <v>151236256.81770682</v>
      </c>
    </row>
    <row r="1801" spans="1:2" x14ac:dyDescent="0.25">
      <c r="A1801">
        <f ca="1">34804.5411539563*((RANDBETWEEN(1620,2416)))</f>
        <v>58680456.38557031</v>
      </c>
      <c r="B1801">
        <v>193722519.25017053</v>
      </c>
    </row>
    <row r="1802" spans="1:2" x14ac:dyDescent="0.25">
      <c r="A1802">
        <f ca="1">32508.5919555202*((RANDBETWEEN(1620,2416)))</f>
        <v>56337389.858916514</v>
      </c>
      <c r="B1802">
        <v>160455148.00215635</v>
      </c>
    </row>
    <row r="1803" spans="1:2" x14ac:dyDescent="0.25">
      <c r="A1803">
        <f ca="1">38253.2373661243*((RANDBETWEEN(1620,2416)))</f>
        <v>66369366.830225602</v>
      </c>
      <c r="B1803">
        <v>168592952.86018655</v>
      </c>
    </row>
    <row r="1804" spans="1:2" x14ac:dyDescent="0.25">
      <c r="A1804">
        <f ca="1">32901.0768083425*((RANDBETWEEN(1620,2416)))</f>
        <v>55438314.422057174</v>
      </c>
      <c r="B1804">
        <v>142906234.85931605</v>
      </c>
    </row>
    <row r="1805" spans="1:2" x14ac:dyDescent="0.25">
      <c r="A1805">
        <f ca="1">39827.5906251851*((RANDBETWEEN(1620,2416)))</f>
        <v>81407595.237878338</v>
      </c>
      <c r="B1805">
        <v>152248171.87225562</v>
      </c>
    </row>
    <row r="1806" spans="1:2" x14ac:dyDescent="0.25">
      <c r="A1806">
        <f ca="1">36673.851736561*((RANDBETWEEN(1620,2416)))</f>
        <v>86220225.432654962</v>
      </c>
      <c r="B1806">
        <v>193659776.28401718</v>
      </c>
    </row>
    <row r="1807" spans="1:2" x14ac:dyDescent="0.25">
      <c r="A1807">
        <f ca="1">40748.5169508369*((RANDBETWEEN(1620,2416)))</f>
        <v>71269156.147013769</v>
      </c>
      <c r="B1807">
        <v>201888788.83441186</v>
      </c>
    </row>
    <row r="1808" spans="1:2" x14ac:dyDescent="0.25">
      <c r="A1808">
        <f ca="1">32220.0089954739*((RANDBETWEEN(1620,2416)))</f>
        <v>61185797.082404904</v>
      </c>
      <c r="B1808">
        <v>176817257.37151304</v>
      </c>
    </row>
    <row r="1809" spans="1:2" x14ac:dyDescent="0.25">
      <c r="A1809">
        <f ca="1">39836.5840657663*((RANDBETWEEN(1620,2416)))</f>
        <v>89393294.643579602</v>
      </c>
      <c r="B1809">
        <v>153111438.16022199</v>
      </c>
    </row>
    <row r="1810" spans="1:2" x14ac:dyDescent="0.25">
      <c r="A1810">
        <f ca="1">32085.9939099452*((RANDBETWEEN(1620,2416)))</f>
        <v>52845631.969679721</v>
      </c>
      <c r="B1810">
        <v>188183898.52399766</v>
      </c>
    </row>
    <row r="1811" spans="1:2" x14ac:dyDescent="0.25">
      <c r="A1811">
        <f ca="1">30084.2755736297*((RANDBETWEEN(1620,2416)))</f>
        <v>68201052.725418583</v>
      </c>
      <c r="B1811">
        <v>154838994.91494289</v>
      </c>
    </row>
    <row r="1812" spans="1:2" x14ac:dyDescent="0.25">
      <c r="A1812">
        <f ca="1">39605.2439390626*((RANDBETWEEN(1620,2416)))</f>
        <v>91448508.255295545</v>
      </c>
      <c r="B1812">
        <v>164830426.22324458</v>
      </c>
    </row>
    <row r="1813" spans="1:2" x14ac:dyDescent="0.25">
      <c r="A1813">
        <f ca="1">40162.303504131*((RANDBETWEEN(1620,2416)))</f>
        <v>71810198.66538626</v>
      </c>
      <c r="B1813">
        <v>144826384.42655978</v>
      </c>
    </row>
    <row r="1814" spans="1:2" x14ac:dyDescent="0.25">
      <c r="A1814">
        <f ca="1">38361.2009436833*((RANDBETWEEN(1620,2416)))</f>
        <v>91453103.049740896</v>
      </c>
      <c r="B1814">
        <v>144447467.57924068</v>
      </c>
    </row>
    <row r="1815" spans="1:2" x14ac:dyDescent="0.25">
      <c r="A1815">
        <f ca="1">31484.9841609191*((RANDBETWEEN(1620,2416)))</f>
        <v>58058310.792734824</v>
      </c>
      <c r="B1815">
        <v>155288381.25723061</v>
      </c>
    </row>
    <row r="1816" spans="1:2" x14ac:dyDescent="0.25">
      <c r="A1816">
        <f ca="1">31477.4653981501*((RANDBETWEEN(1620,2416)))</f>
        <v>54361582.742605187</v>
      </c>
      <c r="B1816">
        <v>155077378.19389403</v>
      </c>
    </row>
    <row r="1817" spans="1:2" x14ac:dyDescent="0.25">
      <c r="A1817">
        <f ca="1">31041.5927757378*((RANDBETWEEN(1620,2416)))</f>
        <v>63604223.597486757</v>
      </c>
      <c r="B1817">
        <v>148691219.56203684</v>
      </c>
    </row>
    <row r="1818" spans="1:2" x14ac:dyDescent="0.25">
      <c r="A1818">
        <f ca="1">33535.1605052428*((RANDBETWEEN(1620,2416)))</f>
        <v>76124814.346901104</v>
      </c>
      <c r="B1818">
        <v>176810090.76240158</v>
      </c>
    </row>
    <row r="1819" spans="1:2" x14ac:dyDescent="0.25">
      <c r="A1819">
        <f ca="1">41287.1800529246*((RANDBETWEEN(1620,2416)))</f>
        <v>79106236.9814035</v>
      </c>
      <c r="B1819">
        <v>176287209.91260931</v>
      </c>
    </row>
    <row r="1820" spans="1:2" x14ac:dyDescent="0.25">
      <c r="A1820">
        <f ca="1">39133.6830468462*((RANDBETWEEN(1620,2416)))</f>
        <v>75410607.231272563</v>
      </c>
      <c r="B1820">
        <v>167453294.5503723</v>
      </c>
    </row>
    <row r="1821" spans="1:2" x14ac:dyDescent="0.25">
      <c r="A1821">
        <f ca="1">31842.6260672329*((RANDBETWEEN(1620,2416)))</f>
        <v>63685252.134465739</v>
      </c>
      <c r="B1821">
        <v>159578701.5987325</v>
      </c>
    </row>
    <row r="1822" spans="1:2" x14ac:dyDescent="0.25">
      <c r="A1822">
        <f ca="1">31148.5277755472*((RANDBETWEEN(1620,2416)))</f>
        <v>58216598.412497781</v>
      </c>
      <c r="B1822">
        <v>147321896.30019042</v>
      </c>
    </row>
    <row r="1823" spans="1:2" x14ac:dyDescent="0.25">
      <c r="A1823">
        <f ca="1">29481.6534283053*((RANDBETWEEN(1620,2416)))</f>
        <v>55101210.25750266</v>
      </c>
      <c r="B1823">
        <v>146460747.96183518</v>
      </c>
    </row>
    <row r="1824" spans="1:2" x14ac:dyDescent="0.25">
      <c r="A1824">
        <f ca="1">31045.8630693378*((RANDBETWEEN(1620,2416)))</f>
        <v>56844975.279957436</v>
      </c>
      <c r="B1824">
        <v>196339187.84366408</v>
      </c>
    </row>
    <row r="1825" spans="1:2" x14ac:dyDescent="0.25">
      <c r="A1825">
        <f ca="1">39036.2307839686*((RANDBETWEEN(1620,2416)))</f>
        <v>64565925.716684118</v>
      </c>
      <c r="B1825">
        <v>159273191.47185349</v>
      </c>
    </row>
    <row r="1826" spans="1:2" x14ac:dyDescent="0.25">
      <c r="A1826">
        <f ca="1">40853.4899008364*((RANDBETWEEN(1620,2416)))</f>
        <v>84893552.013938114</v>
      </c>
      <c r="B1826">
        <v>182640472.53413329</v>
      </c>
    </row>
    <row r="1827" spans="1:2" x14ac:dyDescent="0.25">
      <c r="A1827">
        <f ca="1">31403.4550538232*((RANDBETWEEN(1620,2416)))</f>
        <v>60922702.804417029</v>
      </c>
      <c r="B1827">
        <v>170740800.0863235</v>
      </c>
    </row>
    <row r="1828" spans="1:2" x14ac:dyDescent="0.25">
      <c r="A1828">
        <f ca="1">32110.5331973127*((RANDBETWEEN(1620,2416)))</f>
        <v>52404390.178014264</v>
      </c>
      <c r="B1828">
        <v>192944603.37109384</v>
      </c>
    </row>
    <row r="1829" spans="1:2" x14ac:dyDescent="0.25">
      <c r="A1829">
        <f ca="1">35199.0412036462*((RANDBETWEEN(1620,2416)))</f>
        <v>57726427.57397978</v>
      </c>
      <c r="B1829">
        <v>187518457.04664391</v>
      </c>
    </row>
    <row r="1830" spans="1:2" x14ac:dyDescent="0.25">
      <c r="A1830">
        <f ca="1">34828.135151214*((RANDBETWEEN(1620,2416)))</f>
        <v>72860458.736339688</v>
      </c>
      <c r="B1830">
        <v>184469877.18267414</v>
      </c>
    </row>
    <row r="1831" spans="1:2" x14ac:dyDescent="0.25">
      <c r="A1831">
        <f ca="1">30960.9385158151*((RANDBETWEEN(1620,2416)))</f>
        <v>52850322.046496443</v>
      </c>
      <c r="B1831">
        <v>176620908.35781184</v>
      </c>
    </row>
    <row r="1832" spans="1:2" x14ac:dyDescent="0.25">
      <c r="A1832">
        <f ca="1">31343.6547312999*((RANDBETWEEN(1620,2416)))</f>
        <v>65194801.841103718</v>
      </c>
      <c r="B1832">
        <v>150678911.91700071</v>
      </c>
    </row>
    <row r="1833" spans="1:2" x14ac:dyDescent="0.25">
      <c r="A1833">
        <f ca="1">38966.4579281002*((RANDBETWEEN(1620,2416)))</f>
        <v>85960006.18938899</v>
      </c>
      <c r="B1833">
        <v>182610897.91155639</v>
      </c>
    </row>
    <row r="1834" spans="1:2" x14ac:dyDescent="0.25">
      <c r="A1834">
        <f ca="1">31692.0306569719*((RANDBETWEEN(1620,2416)))</f>
        <v>72701518.327093527</v>
      </c>
      <c r="B1834">
        <v>187522628.47435534</v>
      </c>
    </row>
    <row r="1835" spans="1:2" x14ac:dyDescent="0.25">
      <c r="A1835">
        <f ca="1">37671.4221275749*((RANDBETWEEN(1620,2416)))</f>
        <v>82538085.881516561</v>
      </c>
      <c r="B1835">
        <v>178478325.93966234</v>
      </c>
    </row>
    <row r="1836" spans="1:2" x14ac:dyDescent="0.25">
      <c r="A1836">
        <f ca="1">36215.8031289561*((RANDBETWEEN(1620,2416)))</f>
        <v>72141879.832880512</v>
      </c>
      <c r="B1836">
        <v>145279366.89776829</v>
      </c>
    </row>
    <row r="1837" spans="1:2" x14ac:dyDescent="0.25">
      <c r="A1837">
        <f ca="1">38363.7761232904*((RANDBETWEEN(1620,2416)))</f>
        <v>73121357.29099144</v>
      </c>
      <c r="B1837">
        <v>180810662.8603996</v>
      </c>
    </row>
    <row r="1838" spans="1:2" x14ac:dyDescent="0.25">
      <c r="A1838">
        <f ca="1">30422.7447249915*((RANDBETWEEN(1620,2416)))</f>
        <v>66139047.032131456</v>
      </c>
      <c r="B1838">
        <v>187914158.00108999</v>
      </c>
    </row>
    <row r="1839" spans="1:2" x14ac:dyDescent="0.25">
      <c r="A1839">
        <f ca="1">27948.6261113927*((RANDBETWEEN(1620,2416)))</f>
        <v>61878258.210623443</v>
      </c>
      <c r="B1839">
        <v>158706316.57194793</v>
      </c>
    </row>
    <row r="1840" spans="1:2" x14ac:dyDescent="0.25">
      <c r="A1840">
        <f ca="1">30522.4255127398*((RANDBETWEEN(1620,2416)))</f>
        <v>53475289.498320125</v>
      </c>
      <c r="B1840">
        <v>177164413.72832888</v>
      </c>
    </row>
    <row r="1841" spans="1:2" x14ac:dyDescent="0.25">
      <c r="A1841">
        <f ca="1">32186.3307567778*((RANDBETWEEN(1620,2416)))</f>
        <v>62377109.006635383</v>
      </c>
      <c r="B1841">
        <v>185330267.40711766</v>
      </c>
    </row>
    <row r="1842" spans="1:2" x14ac:dyDescent="0.25">
      <c r="A1842">
        <f ca="1">31179.4877621251*((RANDBETWEEN(1620,2416)))</f>
        <v>57463795.945596471</v>
      </c>
      <c r="B1842">
        <v>155686662.32472503</v>
      </c>
    </row>
    <row r="1843" spans="1:2" x14ac:dyDescent="0.25">
      <c r="A1843">
        <f ca="1">33365.5931596556*((RANDBETWEEN(1620,2416)))</f>
        <v>77841928.841476411</v>
      </c>
      <c r="B1843">
        <v>198442604.05142987</v>
      </c>
    </row>
    <row r="1844" spans="1:2" x14ac:dyDescent="0.25">
      <c r="A1844">
        <f ca="1">34501.6582499087*((RANDBETWEEN(1620,2416)))</f>
        <v>58721822.341344535</v>
      </c>
      <c r="B1844">
        <v>177738154.94697928</v>
      </c>
    </row>
    <row r="1845" spans="1:2" x14ac:dyDescent="0.25">
      <c r="A1845">
        <f ca="1">28682.6744915711*((RANDBETWEEN(1620,2416)))</f>
        <v>60520443.177215099</v>
      </c>
      <c r="B1845">
        <v>167961495.28171268</v>
      </c>
    </row>
    <row r="1846" spans="1:2" x14ac:dyDescent="0.25">
      <c r="A1846">
        <f ca="1">31965.5223779022*((RANDBETWEEN(1620,2416)))</f>
        <v>70292183.70900692</v>
      </c>
      <c r="B1846">
        <v>153663150.97306296</v>
      </c>
    </row>
    <row r="1847" spans="1:2" x14ac:dyDescent="0.25">
      <c r="A1847">
        <f ca="1">32101.118929486*((RANDBETWEEN(1620,2416)))</f>
        <v>60606912.538869493</v>
      </c>
      <c r="B1847">
        <v>183382077.69564468</v>
      </c>
    </row>
    <row r="1848" spans="1:2" x14ac:dyDescent="0.25">
      <c r="A1848">
        <f ca="1">28377.299123437*((RANDBETWEEN(1620,2416)))</f>
        <v>54910073.803850673</v>
      </c>
      <c r="B1848">
        <v>180671789.59597161</v>
      </c>
    </row>
    <row r="1849" spans="1:2" x14ac:dyDescent="0.25">
      <c r="A1849">
        <f ca="1">31033.1648970735*((RANDBETWEEN(1620,2416)))</f>
        <v>63617988.039000772</v>
      </c>
      <c r="B1849">
        <v>144262849.97369394</v>
      </c>
    </row>
    <row r="1850" spans="1:2" x14ac:dyDescent="0.25">
      <c r="A1850">
        <f ca="1">31689.5810799121*((RANDBETWEEN(1620,2416)))</f>
        <v>64012953.781422511</v>
      </c>
      <c r="B1850">
        <v>195019622.60022995</v>
      </c>
    </row>
    <row r="1851" spans="1:2" x14ac:dyDescent="0.25">
      <c r="A1851">
        <f ca="1">33960.2148820956*((RANDBETWEEN(1620,2416)))</f>
        <v>76206722.19542259</v>
      </c>
      <c r="B1851">
        <v>148277711.08077192</v>
      </c>
    </row>
    <row r="1852" spans="1:2" x14ac:dyDescent="0.25">
      <c r="A1852">
        <f ca="1">35071.5477149159*((RANDBETWEEN(1620,2416)))</f>
        <v>80839917.482881099</v>
      </c>
      <c r="B1852">
        <v>189127045.31827265</v>
      </c>
    </row>
    <row r="1853" spans="1:2" x14ac:dyDescent="0.25">
      <c r="A1853">
        <f ca="1">39089.5336845005*((RANDBETWEEN(1620,2416)))</f>
        <v>91782225.091207266</v>
      </c>
      <c r="B1853">
        <v>149943305.83178368</v>
      </c>
    </row>
    <row r="1854" spans="1:2" x14ac:dyDescent="0.25">
      <c r="A1854">
        <f ca="1">31696.4881921258*((RANDBETWEEN(1620,2416)))</f>
        <v>59304129.407467403</v>
      </c>
      <c r="B1854">
        <v>154461191.69852954</v>
      </c>
    </row>
    <row r="1855" spans="1:2" x14ac:dyDescent="0.25">
      <c r="A1855">
        <f ca="1">31516.7482890673*((RANDBETWEEN(1620,2416)))</f>
        <v>54271840.553773895</v>
      </c>
      <c r="B1855">
        <v>170110377.76505089</v>
      </c>
    </row>
    <row r="1856" spans="1:2" x14ac:dyDescent="0.25">
      <c r="A1856">
        <f ca="1">33050.1347784666*((RANDBETWEEN(1620,2416)))</f>
        <v>60580897.048929289</v>
      </c>
      <c r="B1856">
        <v>154227113.05734503</v>
      </c>
    </row>
    <row r="1857" spans="1:2" x14ac:dyDescent="0.25">
      <c r="A1857">
        <f ca="1">38333.3794082755*((RANDBETWEEN(1620,2416)))</f>
        <v>75171757.019628167</v>
      </c>
      <c r="B1857">
        <v>150340678.73435476</v>
      </c>
    </row>
    <row r="1858" spans="1:2" x14ac:dyDescent="0.25">
      <c r="A1858">
        <f ca="1">37199.4902356073*((RANDBETWEEN(1620,2416)))</f>
        <v>77226141.729120657</v>
      </c>
      <c r="B1858">
        <v>181576985.95465299</v>
      </c>
    </row>
    <row r="1859" spans="1:2" x14ac:dyDescent="0.25">
      <c r="A1859">
        <f ca="1">31197.3953159005*((RANDBETWEEN(1620,2416)))</f>
        <v>53160361.618294418</v>
      </c>
      <c r="B1859">
        <v>152275081.1064375</v>
      </c>
    </row>
    <row r="1860" spans="1:2" x14ac:dyDescent="0.25">
      <c r="A1860">
        <f ca="1">31534.2335807927*((RANDBETWEEN(1620,2416)))</f>
        <v>70132135.48368293</v>
      </c>
      <c r="B1860">
        <v>167769091.58403552</v>
      </c>
    </row>
    <row r="1861" spans="1:2" x14ac:dyDescent="0.25">
      <c r="A1861">
        <f ca="1">33319.857205027*((RANDBETWEEN(1620,2416)))</f>
        <v>61775015.258120142</v>
      </c>
      <c r="B1861">
        <v>189850728.75810325</v>
      </c>
    </row>
    <row r="1862" spans="1:2" x14ac:dyDescent="0.25">
      <c r="A1862">
        <f ca="1">30364.3208942501*((RANDBETWEEN(1620,2416)))</f>
        <v>72631455.579046354</v>
      </c>
      <c r="B1862">
        <v>198210059.34193456</v>
      </c>
    </row>
    <row r="1863" spans="1:2" x14ac:dyDescent="0.25">
      <c r="A1863">
        <f ca="1">41513.9343666307*((RANDBETWEEN(1620,2416)))</f>
        <v>86971692.498091385</v>
      </c>
      <c r="B1863">
        <v>176508216.04784572</v>
      </c>
    </row>
    <row r="1864" spans="1:2" x14ac:dyDescent="0.25">
      <c r="A1864">
        <f ca="1">29619.3126816589*((RANDBETWEEN(1620,2416)))</f>
        <v>71204827.686707988</v>
      </c>
      <c r="B1864">
        <v>176192631.38615513</v>
      </c>
    </row>
    <row r="1865" spans="1:2" x14ac:dyDescent="0.25">
      <c r="A1865">
        <f ca="1">32585.0913019304*((RANDBETWEEN(1620,2416)))</f>
        <v>75336731.09006308</v>
      </c>
      <c r="B1865">
        <v>170265667.82166392</v>
      </c>
    </row>
    <row r="1866" spans="1:2" x14ac:dyDescent="0.25">
      <c r="A1866">
        <f ca="1">39526.2490974384*((RANDBETWEEN(1620,2416)))</f>
        <v>88420219.230969802</v>
      </c>
      <c r="B1866">
        <v>155428823.00369233</v>
      </c>
    </row>
    <row r="1867" spans="1:2" x14ac:dyDescent="0.25">
      <c r="A1867">
        <f ca="1">29373.9367282892*((RANDBETWEEN(1620,2416)))</f>
        <v>69351864.615490884</v>
      </c>
      <c r="B1867">
        <v>146682291.7164081</v>
      </c>
    </row>
    <row r="1868" spans="1:2" x14ac:dyDescent="0.25">
      <c r="A1868">
        <f ca="1">39302.6925160218*((RANDBETWEEN(1620,2416)))</f>
        <v>75657683.093341947</v>
      </c>
      <c r="B1868">
        <v>172023494.59921551</v>
      </c>
    </row>
    <row r="1869" spans="1:2" x14ac:dyDescent="0.25">
      <c r="A1869">
        <f ca="1">37516.3686796383*((RANDBETWEEN(1620,2416)))</f>
        <v>77508817.692132652</v>
      </c>
      <c r="B1869">
        <v>170011580.63600987</v>
      </c>
    </row>
    <row r="1870" spans="1:2" x14ac:dyDescent="0.25">
      <c r="A1870">
        <f ca="1">39146.0138997065*((RANDBETWEEN(1620,2416)))</f>
        <v>65412989.226409599</v>
      </c>
      <c r="B1870">
        <v>179693914.24560577</v>
      </c>
    </row>
    <row r="1871" spans="1:2" x14ac:dyDescent="0.25">
      <c r="A1871">
        <f ca="1">33713.3013191009*((RANDBETWEEN(1620,2416)))</f>
        <v>73697276.68355459</v>
      </c>
      <c r="B1871">
        <v>168775647.67151394</v>
      </c>
    </row>
    <row r="1872" spans="1:2" x14ac:dyDescent="0.25">
      <c r="A1872">
        <f ca="1">31960.0769968369*((RANDBETWEEN(1620,2416)))</f>
        <v>69161606.621155113</v>
      </c>
      <c r="B1872">
        <v>171389269.1303845</v>
      </c>
    </row>
    <row r="1873" spans="1:2" x14ac:dyDescent="0.25">
      <c r="A1873">
        <f ca="1">36760.3534784772*((RANDBETWEEN(1620,2416)))</f>
        <v>74807319.328701034</v>
      </c>
      <c r="B1873">
        <v>156923524.94778824</v>
      </c>
    </row>
    <row r="1874" spans="1:2" x14ac:dyDescent="0.25">
      <c r="A1874">
        <f ca="1">34233.1913959545*((RANDBETWEEN(1620,2416)))</f>
        <v>56005501.123781629</v>
      </c>
      <c r="B1874">
        <v>169758564.2249172</v>
      </c>
    </row>
    <row r="1875" spans="1:2" x14ac:dyDescent="0.25">
      <c r="A1875">
        <f ca="1">29918.0889940624*((RANDBETWEEN(1620,2416)))</f>
        <v>58130846.915463328</v>
      </c>
      <c r="B1875">
        <v>180909935.88702199</v>
      </c>
    </row>
    <row r="1876" spans="1:2" x14ac:dyDescent="0.25">
      <c r="A1876">
        <f ca="1">36231.0140731361*((RANDBETWEEN(1620,2416)))</f>
        <v>80795161.383093446</v>
      </c>
      <c r="B1876">
        <v>181269885.97442585</v>
      </c>
    </row>
    <row r="1877" spans="1:2" x14ac:dyDescent="0.25">
      <c r="A1877">
        <f ca="1">34859.8844156613*((RANDBETWEEN(1620,2416)))</f>
        <v>64909104.781961389</v>
      </c>
      <c r="B1877">
        <v>146171259.39931679</v>
      </c>
    </row>
    <row r="1878" spans="1:2" x14ac:dyDescent="0.25">
      <c r="A1878">
        <f ca="1">31457.7080422924*((RANDBETWEEN(1620,2416)))</f>
        <v>69899027.269973665</v>
      </c>
      <c r="B1878">
        <v>200536914.71912462</v>
      </c>
    </row>
    <row r="1879" spans="1:2" x14ac:dyDescent="0.25">
      <c r="A1879">
        <f ca="1">29301.7243500543*((RANDBETWEEN(1620,2416)))</f>
        <v>49695724.497692093</v>
      </c>
      <c r="B1879">
        <v>162266084.72040424</v>
      </c>
    </row>
    <row r="1880" spans="1:2" x14ac:dyDescent="0.25">
      <c r="A1880">
        <f ca="1">31552.1346903112*((RANDBETWEEN(1620,2416)))</f>
        <v>64492563.306996144</v>
      </c>
      <c r="B1880">
        <v>148131876.23731041</v>
      </c>
    </row>
    <row r="1881" spans="1:2" x14ac:dyDescent="0.25">
      <c r="A1881">
        <f ca="1">31920.542210423*((RANDBETWEEN(1620,2416)))</f>
        <v>63681481.709793881</v>
      </c>
      <c r="B1881">
        <v>151401280.87955099</v>
      </c>
    </row>
    <row r="1882" spans="1:2" x14ac:dyDescent="0.25">
      <c r="A1882">
        <f ca="1">29624.6719011416*((RANDBETWEEN(1620,2416)))</f>
        <v>51932049.842701159</v>
      </c>
      <c r="B1882">
        <v>153325920.47931549</v>
      </c>
    </row>
    <row r="1883" spans="1:2" x14ac:dyDescent="0.25">
      <c r="A1883">
        <f ca="1">29884.5678340063*((RANDBETWEEN(1620,2416)))</f>
        <v>51640533.217162937</v>
      </c>
      <c r="B1883">
        <v>158581985.56001437</v>
      </c>
    </row>
    <row r="1884" spans="1:2" x14ac:dyDescent="0.25">
      <c r="A1884">
        <f ca="1">31674.2519379384*((RANDBETWEEN(1620,2416)))</f>
        <v>75986530.399114251</v>
      </c>
      <c r="B1884">
        <v>175056082.6533069</v>
      </c>
    </row>
    <row r="1885" spans="1:2" x14ac:dyDescent="0.25">
      <c r="A1885">
        <f ca="1">39390.4419827751*((RANDBETWEEN(1620,2416)))</f>
        <v>83113832.583655566</v>
      </c>
      <c r="B1885">
        <v>154765401.05727679</v>
      </c>
    </row>
    <row r="1886" spans="1:2" x14ac:dyDescent="0.25">
      <c r="A1886">
        <f ca="1">29585.1322876326*((RANDBETWEEN(1620,2416)))</f>
        <v>48105425.099690571</v>
      </c>
      <c r="B1886">
        <v>162232393.11818281</v>
      </c>
    </row>
    <row r="1887" spans="1:2" x14ac:dyDescent="0.25">
      <c r="A1887">
        <f ca="1">36230.0026002234*((RANDBETWEEN(1620,2416)))</f>
        <v>65938604.732406549</v>
      </c>
      <c r="B1887">
        <v>151250266.35487539</v>
      </c>
    </row>
    <row r="1888" spans="1:2" x14ac:dyDescent="0.25">
      <c r="A1888">
        <f ca="1">31640.3791444737*((RANDBETWEEN(1620,2416)))</f>
        <v>51257414.21404732</v>
      </c>
      <c r="B1888">
        <v>172454636.41161901</v>
      </c>
    </row>
    <row r="1889" spans="1:2" x14ac:dyDescent="0.25">
      <c r="A1889">
        <f ca="1">32423.4032329541*((RANDBETWEEN(1620,2416)))</f>
        <v>69580623.337919503</v>
      </c>
      <c r="B1889">
        <v>169313724.29811999</v>
      </c>
    </row>
    <row r="1890" spans="1:2" x14ac:dyDescent="0.25">
      <c r="A1890">
        <f ca="1">35916.4894594118*((RANDBETWEEN(1620,2416)))</f>
        <v>73664719.881253511</v>
      </c>
      <c r="B1890">
        <v>191644642.27897263</v>
      </c>
    </row>
    <row r="1891" spans="1:2" x14ac:dyDescent="0.25">
      <c r="A1891">
        <f ca="1">31469.8179536978*((RANDBETWEEN(1620,2416)))</f>
        <v>57369478.129591033</v>
      </c>
      <c r="B1891">
        <v>156760448.26067883</v>
      </c>
    </row>
    <row r="1892" spans="1:2" x14ac:dyDescent="0.25">
      <c r="A1892">
        <f ca="1">41181.8643513202*((RANDBETWEEN(1620,2416)))</f>
        <v>98465837.664006516</v>
      </c>
      <c r="B1892">
        <v>191628886.37450349</v>
      </c>
    </row>
    <row r="1893" spans="1:2" x14ac:dyDescent="0.25">
      <c r="A1893">
        <f ca="1">30994.6463288624*((RANDBETWEEN(1620,2416)))</f>
        <v>69706959.593611524</v>
      </c>
      <c r="B1893">
        <v>183947921.02392614</v>
      </c>
    </row>
    <row r="1894" spans="1:2" x14ac:dyDescent="0.25">
      <c r="A1894">
        <f ca="1">38089.8881346262*((RANDBETWEEN(1620,2416)))</f>
        <v>65628877.255961001</v>
      </c>
      <c r="B1894">
        <v>159011587.86323956</v>
      </c>
    </row>
    <row r="1895" spans="1:2" x14ac:dyDescent="0.25">
      <c r="A1895">
        <f ca="1">30746.4865069746*((RANDBETWEEN(1620,2416)))</f>
        <v>52637984.899940595</v>
      </c>
      <c r="B1895">
        <v>145498078.5220477</v>
      </c>
    </row>
    <row r="1896" spans="1:2" x14ac:dyDescent="0.25">
      <c r="A1896">
        <f ca="1">32151.1672828401*((RANDBETWEEN(1620,2416)))</f>
        <v>72179370.549976036</v>
      </c>
      <c r="B1896">
        <v>178148171.9460409</v>
      </c>
    </row>
    <row r="1897" spans="1:2" x14ac:dyDescent="0.25">
      <c r="A1897">
        <f ca="1">27713.6986360888*((RANDBETWEEN(1620,2416)))</f>
        <v>53792289.05264844</v>
      </c>
      <c r="B1897">
        <v>174685333.27820516</v>
      </c>
    </row>
    <row r="1898" spans="1:2" x14ac:dyDescent="0.25">
      <c r="A1898">
        <f ca="1">32344.2752731881*((RANDBETWEEN(1620,2416)))</f>
        <v>66402797.135855079</v>
      </c>
      <c r="B1898">
        <v>171345355.64294788</v>
      </c>
    </row>
    <row r="1899" spans="1:2" x14ac:dyDescent="0.25">
      <c r="A1899">
        <f ca="1">34033.7222590452*((RANDBETWEEN(1620,2416)))</f>
        <v>74976290.136676624</v>
      </c>
      <c r="B1899">
        <v>154707105.37662733</v>
      </c>
    </row>
    <row r="1900" spans="1:2" x14ac:dyDescent="0.25">
      <c r="A1900">
        <f ca="1">35555.8927491803*((RANDBETWEEN(1620,2416)))</f>
        <v>77334066.729467258</v>
      </c>
      <c r="B1900">
        <v>177927536.25436357</v>
      </c>
    </row>
    <row r="1901" spans="1:2" x14ac:dyDescent="0.25">
      <c r="A1901">
        <f ca="1">30852.0952162073*((RANDBETWEEN(1620,2416)))</f>
        <v>65900075.381818786</v>
      </c>
      <c r="B1901">
        <v>184807889.12900221</v>
      </c>
    </row>
    <row r="1902" spans="1:2" x14ac:dyDescent="0.25">
      <c r="A1902">
        <f ca="1">33231.1604644484*((RANDBETWEEN(1620,2416)))</f>
        <v>75600890.05662021</v>
      </c>
      <c r="B1902">
        <v>143444861.79888323</v>
      </c>
    </row>
    <row r="1903" spans="1:2" x14ac:dyDescent="0.25">
      <c r="A1903">
        <f ca="1">32288.5308298907*((RANDBETWEEN(1620,2416)))</f>
        <v>60314975.590235852</v>
      </c>
      <c r="B1903">
        <v>159592950.95186543</v>
      </c>
    </row>
    <row r="1904" spans="1:2" x14ac:dyDescent="0.25">
      <c r="A1904">
        <f ca="1">31987.4587691043*((RANDBETWEEN(1620,2416)))</f>
        <v>64038892.45574671</v>
      </c>
      <c r="B1904">
        <v>161496094.59435505</v>
      </c>
    </row>
    <row r="1905" spans="1:2" x14ac:dyDescent="0.25">
      <c r="A1905">
        <f ca="1">35146.6353881759*((RANDBETWEEN(1620,2416)))</f>
        <v>75987025.709236294</v>
      </c>
      <c r="B1905">
        <v>166116952.17946631</v>
      </c>
    </row>
    <row r="1906" spans="1:2" x14ac:dyDescent="0.25">
      <c r="A1906">
        <f ca="1">32183.6145148244*((RANDBETWEEN(1620,2416)))</f>
        <v>77047573.148489714</v>
      </c>
      <c r="B1906">
        <v>166474044.98850852</v>
      </c>
    </row>
    <row r="1907" spans="1:2" x14ac:dyDescent="0.25">
      <c r="A1907">
        <f ca="1">29219.808646575*((RANDBETWEEN(1620,2416)))</f>
        <v>57884440.928865142</v>
      </c>
      <c r="B1907">
        <v>186712805.5835982</v>
      </c>
    </row>
    <row r="1908" spans="1:2" x14ac:dyDescent="0.25">
      <c r="A1908">
        <f ca="1">33374.1488787908*((RANDBETWEEN(1620,2416)))</f>
        <v>77294528.803279519</v>
      </c>
      <c r="B1908">
        <v>163279750.44349441</v>
      </c>
    </row>
    <row r="1909" spans="1:2" x14ac:dyDescent="0.25">
      <c r="A1909">
        <f ca="1">31157.4732123328*((RANDBETWEEN(1620,2416)))</f>
        <v>65368378.799474157</v>
      </c>
      <c r="B1909">
        <v>189410473.54846525</v>
      </c>
    </row>
    <row r="1910" spans="1:2" x14ac:dyDescent="0.25">
      <c r="A1910">
        <f ca="1">31912.2695090271*((RANDBETWEEN(1620,2416)))</f>
        <v>70302729.72838667</v>
      </c>
      <c r="B1910">
        <v>170834155.06576598</v>
      </c>
    </row>
    <row r="1911" spans="1:2" x14ac:dyDescent="0.25">
      <c r="A1911">
        <f ca="1">31860.9007158336*((RANDBETWEEN(1620,2416)))</f>
        <v>72164940.121363133</v>
      </c>
      <c r="B1911">
        <v>172095288.49440637</v>
      </c>
    </row>
    <row r="1912" spans="1:2" x14ac:dyDescent="0.25">
      <c r="A1912">
        <f ca="1">34280.0552153579*((RANDBETWEEN(1620,2416)))</f>
        <v>68080189.657700852</v>
      </c>
      <c r="B1912">
        <v>150234979.66065675</v>
      </c>
    </row>
    <row r="1913" spans="1:2" x14ac:dyDescent="0.25">
      <c r="A1913">
        <f ca="1">35031.7729813389*((RANDBETWEEN(1620,2416)))</f>
        <v>78611298.570124462</v>
      </c>
      <c r="B1913">
        <v>148530443.49078444</v>
      </c>
    </row>
    <row r="1914" spans="1:2" x14ac:dyDescent="0.25">
      <c r="A1914">
        <f ca="1">30839.4496028628*((RANDBETWEEN(1620,2416)))</f>
        <v>57238018.462913379</v>
      </c>
      <c r="B1914">
        <v>152797476.07425153</v>
      </c>
    </row>
    <row r="1915" spans="1:2" x14ac:dyDescent="0.25">
      <c r="A1915">
        <f ca="1">38319.446708166*((RANDBETWEEN(1620,2416)))</f>
        <v>91813394.312765732</v>
      </c>
      <c r="B1915">
        <v>168364455.34727275</v>
      </c>
    </row>
    <row r="1916" spans="1:2" x14ac:dyDescent="0.25">
      <c r="A1916">
        <f ca="1">33791.0453544679*((RANDBETWEEN(1620,2416)))</f>
        <v>73022449.011005059</v>
      </c>
      <c r="B1916">
        <v>166249642.44676417</v>
      </c>
    </row>
    <row r="1917" spans="1:2" x14ac:dyDescent="0.25">
      <c r="A1917">
        <f ca="1">40610.6455668749*((RANDBETWEEN(1620,2416)))</f>
        <v>81789840.171685979</v>
      </c>
      <c r="B1917">
        <v>158767470.95478633</v>
      </c>
    </row>
    <row r="1918" spans="1:2" x14ac:dyDescent="0.25">
      <c r="A1918">
        <f ca="1">27903.5267936139*((RANDBETWEEN(1620,2416)))</f>
        <v>51593621.041392185</v>
      </c>
      <c r="B1918">
        <v>173359172.04332751</v>
      </c>
    </row>
    <row r="1919" spans="1:2" x14ac:dyDescent="0.25">
      <c r="A1919">
        <f ca="1">31063.9400803667*((RANDBETWEEN(1620,2416)))</f>
        <v>73341962.529745758</v>
      </c>
      <c r="B1919">
        <v>161316973.74181205</v>
      </c>
    </row>
    <row r="1920" spans="1:2" x14ac:dyDescent="0.25">
      <c r="A1920">
        <f ca="1">32252.4786810895*((RANDBETWEEN(1620,2416)))</f>
        <v>62892333.428124428</v>
      </c>
      <c r="B1920">
        <v>150494173.38799754</v>
      </c>
    </row>
    <row r="1921" spans="1:2" x14ac:dyDescent="0.25">
      <c r="A1921">
        <f ca="1">38499.4630359583*((RANDBETWEEN(1620,2416)))</f>
        <v>70685014.134019524</v>
      </c>
      <c r="B1921">
        <v>164809380.15350488</v>
      </c>
    </row>
    <row r="1922" spans="1:2" x14ac:dyDescent="0.25">
      <c r="A1922">
        <f ca="1">30501.2505969038*((RANDBETWEEN(1620,2416)))</f>
        <v>67346761.317963585</v>
      </c>
      <c r="B1922">
        <v>194742145.11213157</v>
      </c>
    </row>
    <row r="1923" spans="1:2" x14ac:dyDescent="0.25">
      <c r="A1923">
        <f ca="1">30930.6922098829*((RANDBETWEEN(1620,2416)))</f>
        <v>69717780.241076022</v>
      </c>
      <c r="B1923">
        <v>151064422.76858607</v>
      </c>
    </row>
    <row r="1924" spans="1:2" x14ac:dyDescent="0.25">
      <c r="A1924">
        <f ca="1">35437.1406321941*((RANDBETWEEN(1620,2416)))</f>
        <v>82214166.266690373</v>
      </c>
      <c r="B1924">
        <v>160484167.5049684</v>
      </c>
    </row>
    <row r="1925" spans="1:2" x14ac:dyDescent="0.25">
      <c r="A1925">
        <f ca="1">38423.6782516695*((RANDBETWEEN(1620,2416)))</f>
        <v>84147855.371156141</v>
      </c>
      <c r="B1925">
        <v>159372742.29299241</v>
      </c>
    </row>
    <row r="1926" spans="1:2" x14ac:dyDescent="0.25">
      <c r="A1926">
        <f ca="1">29861.1831112132*((RANDBETWEEN(1620,2416)))</f>
        <v>58438335.348644204</v>
      </c>
      <c r="B1926">
        <v>143010035.08665252</v>
      </c>
    </row>
    <row r="1927" spans="1:2" x14ac:dyDescent="0.25">
      <c r="A1927">
        <f ca="1">31677.5763754427*((RANDBETWEEN(1620,2416)))</f>
        <v>65129097.027910277</v>
      </c>
      <c r="B1927">
        <v>166426298.34151</v>
      </c>
    </row>
    <row r="1928" spans="1:2" x14ac:dyDescent="0.25">
      <c r="A1928">
        <f ca="1">32172.538711075*((RANDBETWEEN(1620,2416)))</f>
        <v>63379901.260817781</v>
      </c>
      <c r="B1928">
        <v>157464578.77779394</v>
      </c>
    </row>
    <row r="1929" spans="1:2" x14ac:dyDescent="0.25">
      <c r="A1929">
        <f ca="1">30310.940862871*((RANDBETWEEN(1620,2416)))</f>
        <v>54923424.84352228</v>
      </c>
      <c r="B1929">
        <v>191264793.04592729</v>
      </c>
    </row>
    <row r="1930" spans="1:2" x14ac:dyDescent="0.25">
      <c r="A1930">
        <f ca="1">35293.1173604749*((RANDBETWEEN(1620,2416)))</f>
        <v>74009667.104915902</v>
      </c>
      <c r="B1930">
        <v>146820765.18732557</v>
      </c>
    </row>
    <row r="1931" spans="1:2" x14ac:dyDescent="0.25">
      <c r="A1931">
        <f ca="1">28628.2778489661*((RANDBETWEEN(1620,2416)))</f>
        <v>56254565.973218292</v>
      </c>
      <c r="B1931">
        <v>162207005.88682157</v>
      </c>
    </row>
    <row r="1932" spans="1:2" x14ac:dyDescent="0.25">
      <c r="A1932">
        <f ca="1">31150.3157971132*((RANDBETWEEN(1620,2416)))</f>
        <v>70275112.438287482</v>
      </c>
      <c r="B1932">
        <v>148715707.6314612</v>
      </c>
    </row>
    <row r="1933" spans="1:2" x14ac:dyDescent="0.25">
      <c r="A1933">
        <f ca="1">31228.9309040642*((RANDBETWEEN(1620,2416)))</f>
        <v>54494484.427591994</v>
      </c>
      <c r="B1933">
        <v>182327328.20431015</v>
      </c>
    </row>
    <row r="1934" spans="1:2" x14ac:dyDescent="0.25">
      <c r="A1934">
        <f ca="1">32065.1617680001*((RANDBETWEEN(1620,2416)))</f>
        <v>59512940.241408139</v>
      </c>
      <c r="B1934">
        <v>152046927.8330242</v>
      </c>
    </row>
    <row r="1935" spans="1:2" x14ac:dyDescent="0.25">
      <c r="A1935">
        <f ca="1">29537.7390229196*((RANDBETWEEN(1620,2416)))</f>
        <v>66341761.845477536</v>
      </c>
      <c r="B1935">
        <v>186945823.02251911</v>
      </c>
    </row>
    <row r="1936" spans="1:2" x14ac:dyDescent="0.25">
      <c r="A1936">
        <f ca="1">32124.5019989063*((RANDBETWEEN(1620,2416)))</f>
        <v>54547404.394142896</v>
      </c>
      <c r="B1936">
        <v>200967649.48802561</v>
      </c>
    </row>
    <row r="1937" spans="1:2" x14ac:dyDescent="0.25">
      <c r="A1937">
        <f ca="1">31687.3761680509*((RANDBETWEEN(1620,2416)))</f>
        <v>73356275.82903786</v>
      </c>
      <c r="B1937">
        <v>159978174.88780546</v>
      </c>
    </row>
    <row r="1938" spans="1:2" x14ac:dyDescent="0.25">
      <c r="A1938">
        <f ca="1">29370.0429735712*((RANDBETWEEN(1620,2416)))</f>
        <v>52014346.106194593</v>
      </c>
      <c r="B1938">
        <v>157446353.78488615</v>
      </c>
    </row>
    <row r="1939" spans="1:2" x14ac:dyDescent="0.25">
      <c r="A1939">
        <f ca="1">30875.2834227895*((RANDBETWEEN(1620,2416)))</f>
        <v>63016453.46591343</v>
      </c>
      <c r="B1939">
        <v>169089696.94537467</v>
      </c>
    </row>
    <row r="1940" spans="1:2" x14ac:dyDescent="0.25">
      <c r="A1940">
        <f ca="1">35545.990773674*((RANDBETWEEN(1620,2416)))</f>
        <v>63236317.586366042</v>
      </c>
      <c r="B1940">
        <v>198863518.56655592</v>
      </c>
    </row>
    <row r="1941" spans="1:2" x14ac:dyDescent="0.25">
      <c r="A1941">
        <f ca="1">32712.7537466809*((RANDBETWEEN(1620,2416)))</f>
        <v>78052630.439580604</v>
      </c>
      <c r="B1941">
        <v>157172222.70558804</v>
      </c>
    </row>
    <row r="1942" spans="1:2" x14ac:dyDescent="0.25">
      <c r="A1942">
        <f ca="1">30202.1720892852*((RANDBETWEEN(1620,2416)))</f>
        <v>56810285.699945442</v>
      </c>
      <c r="B1942">
        <v>162268573.37026426</v>
      </c>
    </row>
    <row r="1943" spans="1:2" x14ac:dyDescent="0.25">
      <c r="A1943">
        <f ca="1">30579.8013960501*((RANDBETWEEN(1620,2416)))</f>
        <v>63605986.903784111</v>
      </c>
      <c r="B1943">
        <v>157917334.12566996</v>
      </c>
    </row>
    <row r="1944" spans="1:2" x14ac:dyDescent="0.25">
      <c r="A1944">
        <f ca="1">32511.5849288429*((RANDBETWEEN(1620,2416)))</f>
        <v>59236107.740351766</v>
      </c>
      <c r="B1944">
        <v>196274209.92799532</v>
      </c>
    </row>
    <row r="1945" spans="1:2" x14ac:dyDescent="0.25">
      <c r="A1945">
        <f ca="1">32462.9197085777*((RANDBETWEEN(1620,2416)))</f>
        <v>66808688.760252856</v>
      </c>
      <c r="B1945">
        <v>193218201.1226033</v>
      </c>
    </row>
    <row r="1946" spans="1:2" x14ac:dyDescent="0.25">
      <c r="A1946">
        <f ca="1">31659.8284923919*((RANDBETWEEN(1620,2416)))</f>
        <v>69936561.139693633</v>
      </c>
      <c r="B1946">
        <v>151800933.92221338</v>
      </c>
    </row>
    <row r="1947" spans="1:2" x14ac:dyDescent="0.25">
      <c r="A1947">
        <f ca="1">32686.2036201304*((RANDBETWEEN(1620,2416)))</f>
        <v>56056839.208523571</v>
      </c>
      <c r="B1947">
        <v>185189775.03311586</v>
      </c>
    </row>
    <row r="1948" spans="1:2" x14ac:dyDescent="0.25">
      <c r="A1948">
        <f ca="1">31024.6347785039*((RANDBETWEEN(1620,2416)))</f>
        <v>54634381.844945304</v>
      </c>
      <c r="B1948">
        <v>195552950.5370903</v>
      </c>
    </row>
    <row r="1949" spans="1:2" x14ac:dyDescent="0.25">
      <c r="A1949">
        <f ca="1">32365.048827225*((RANDBETWEEN(1620,2416)))</f>
        <v>58289452.937832288</v>
      </c>
      <c r="B1949">
        <v>162265584.88725737</v>
      </c>
    </row>
    <row r="1950" spans="1:2" x14ac:dyDescent="0.25">
      <c r="A1950">
        <f ca="1">31565.2178386868*((RANDBETWEEN(1620,2416)))</f>
        <v>61110261.735697575</v>
      </c>
      <c r="B1950">
        <v>169707074.79579055</v>
      </c>
    </row>
    <row r="1951" spans="1:2" x14ac:dyDescent="0.25">
      <c r="A1951">
        <f ca="1">27923.3788698402*((RANDBETWEEN(1620,2416)))</f>
        <v>65759557.238473594</v>
      </c>
      <c r="B1951">
        <v>194471057.51876745</v>
      </c>
    </row>
    <row r="1952" spans="1:2" x14ac:dyDescent="0.25">
      <c r="A1952">
        <f ca="1">36942.310696637*((RANDBETWEEN(1620,2416)))</f>
        <v>65683428.418620631</v>
      </c>
      <c r="B1952">
        <v>153201535.48212501</v>
      </c>
    </row>
    <row r="1953" spans="1:2" x14ac:dyDescent="0.25">
      <c r="A1953">
        <f ca="1">40000.0537904441*((RANDBETWEEN(1620,2416)))</f>
        <v>88760119.360995531</v>
      </c>
      <c r="B1953">
        <v>152136816.98282564</v>
      </c>
    </row>
    <row r="1954" spans="1:2" x14ac:dyDescent="0.25">
      <c r="A1954">
        <f ca="1">30978.0488875414*((RANDBETWEEN(1620,2416)))</f>
        <v>68771268.530341804</v>
      </c>
      <c r="B1954">
        <v>157022711.45397907</v>
      </c>
    </row>
    <row r="1955" spans="1:2" x14ac:dyDescent="0.25">
      <c r="A1955">
        <f ca="1">32511.2574834699*((RANDBETWEEN(1620,2416)))</f>
        <v>65542695.086675234</v>
      </c>
      <c r="B1955">
        <v>197046210.70334834</v>
      </c>
    </row>
    <row r="1956" spans="1:2" x14ac:dyDescent="0.25">
      <c r="A1956">
        <f ca="1">33674.6812022792*((RANDBETWEEN(1620,2416)))</f>
        <v>60345028.714484289</v>
      </c>
      <c r="B1956">
        <v>152740275.72972691</v>
      </c>
    </row>
    <row r="1957" spans="1:2" x14ac:dyDescent="0.25">
      <c r="A1957">
        <f ca="1">36510.7382859911*((RANDBETWEEN(1620,2416)))</f>
        <v>66413032.942217775</v>
      </c>
      <c r="B1957">
        <v>178527698.7901383</v>
      </c>
    </row>
    <row r="1958" spans="1:2" x14ac:dyDescent="0.25">
      <c r="A1958">
        <f ca="1">40825.9756367227*((RANDBETWEEN(1620,2416)))</f>
        <v>77732657.612320095</v>
      </c>
      <c r="B1958">
        <v>195990881.7473014</v>
      </c>
    </row>
    <row r="1959" spans="1:2" x14ac:dyDescent="0.25">
      <c r="A1959">
        <f ca="1">29596.5137133869*((RANDBETWEEN(1620,2416)))</f>
        <v>58186745.960518681</v>
      </c>
      <c r="B1959">
        <v>177314695.79562396</v>
      </c>
    </row>
    <row r="1960" spans="1:2" x14ac:dyDescent="0.25">
      <c r="A1960">
        <f ca="1">31145.8554397656*((RANDBETWEEN(1620,2416)))</f>
        <v>74469740.356479496</v>
      </c>
      <c r="B1960">
        <v>146211210.39654401</v>
      </c>
    </row>
    <row r="1961" spans="1:2" x14ac:dyDescent="0.25">
      <c r="A1961">
        <f ca="1">30060.4363683669*((RANDBETWEEN(1620,2416)))</f>
        <v>55251082.045058399</v>
      </c>
      <c r="B1961">
        <v>143543778.70516664</v>
      </c>
    </row>
    <row r="1962" spans="1:2" x14ac:dyDescent="0.25">
      <c r="A1962">
        <f ca="1">32129.2458682455*((RANDBETWEEN(1620,2416)))</f>
        <v>75278823.069299102</v>
      </c>
      <c r="B1962">
        <v>158778371.7175132</v>
      </c>
    </row>
    <row r="1963" spans="1:2" x14ac:dyDescent="0.25">
      <c r="A1963">
        <f ca="1">36369.1068373898*((RANDBETWEEN(1620,2416)))</f>
        <v>65282546.773114599</v>
      </c>
      <c r="B1963">
        <v>158486563.68322235</v>
      </c>
    </row>
    <row r="1964" spans="1:2" x14ac:dyDescent="0.25">
      <c r="A1964">
        <f ca="1">37628.5248119341*((RANDBETWEEN(1620,2416)))</f>
        <v>75520449.297551751</v>
      </c>
      <c r="B1964">
        <v>193131545.17971164</v>
      </c>
    </row>
    <row r="1965" spans="1:2" x14ac:dyDescent="0.25">
      <c r="A1965">
        <f ca="1">35519.2526864671*((RANDBETWEEN(1620,2416)))</f>
        <v>82013954.453052416</v>
      </c>
      <c r="B1965">
        <v>143711556.52015287</v>
      </c>
    </row>
    <row r="1966" spans="1:2" x14ac:dyDescent="0.25">
      <c r="A1966">
        <f ca="1">31750.0320323543*((RANDBETWEEN(1620,2416)))</f>
        <v>74358575.019773677</v>
      </c>
      <c r="B1966">
        <v>176360769.28099436</v>
      </c>
    </row>
    <row r="1967" spans="1:2" x14ac:dyDescent="0.25">
      <c r="A1967">
        <f ca="1">29968.8636516403*((RANDBETWEEN(1620,2416)))</f>
        <v>49388687.297903217</v>
      </c>
      <c r="B1967">
        <v>156763408.73961371</v>
      </c>
    </row>
    <row r="1968" spans="1:2" x14ac:dyDescent="0.25">
      <c r="A1968">
        <f ca="1">30314.640128889*((RANDBETWEEN(1620,2416)))</f>
        <v>62417844.025382467</v>
      </c>
      <c r="B1968">
        <v>167866936.53489956</v>
      </c>
    </row>
    <row r="1969" spans="1:2" x14ac:dyDescent="0.25">
      <c r="A1969">
        <f ca="1">39359.1598782142*((RANDBETWEEN(1620,2416)))</f>
        <v>69823149.623952076</v>
      </c>
      <c r="B1969">
        <v>172482206.97097611</v>
      </c>
    </row>
    <row r="1970" spans="1:2" x14ac:dyDescent="0.25">
      <c r="A1970">
        <f ca="1">30703.1206434447*((RANDBETWEEN(1620,2416)))</f>
        <v>59840382.134073652</v>
      </c>
      <c r="B1970">
        <v>154575204.41256467</v>
      </c>
    </row>
    <row r="1971" spans="1:2" x14ac:dyDescent="0.25">
      <c r="A1971">
        <f ca="1">33873.988864336*((RANDBETWEEN(1620,2416)))</f>
        <v>58263260.846657865</v>
      </c>
      <c r="B1971">
        <v>196802930.98225462</v>
      </c>
    </row>
    <row r="1972" spans="1:2" x14ac:dyDescent="0.25">
      <c r="A1972">
        <f ca="1">33178.6042218797*((RANDBETWEEN(1620,2416)))</f>
        <v>67186673.549306467</v>
      </c>
      <c r="B1972">
        <v>151773656.05153593</v>
      </c>
    </row>
    <row r="1973" spans="1:2" x14ac:dyDescent="0.25">
      <c r="A1973">
        <f ca="1">30671.7509357968*((RANDBETWEEN(1620,2416)))</f>
        <v>71649210.186021343</v>
      </c>
      <c r="B1973">
        <v>146161257.26067844</v>
      </c>
    </row>
    <row r="1974" spans="1:2" x14ac:dyDescent="0.25">
      <c r="A1974">
        <f ca="1">41050.6144752495*((RANDBETWEEN(1620,2416)))</f>
        <v>81321267.275469318</v>
      </c>
      <c r="B1974">
        <v>163075528.31149736</v>
      </c>
    </row>
    <row r="1975" spans="1:2" x14ac:dyDescent="0.25">
      <c r="A1975">
        <f ca="1">30068.7586432256*((RANDBETWEEN(1620,2416)))</f>
        <v>55176172.110319011</v>
      </c>
      <c r="B1975">
        <v>171399448.95491162</v>
      </c>
    </row>
    <row r="1976" spans="1:2" x14ac:dyDescent="0.25">
      <c r="A1976">
        <f ca="1">30031.4576619688*((RANDBETWEEN(1620,2416)))</f>
        <v>70153485.098359227</v>
      </c>
      <c r="B1976">
        <v>190966446.28669471</v>
      </c>
    </row>
    <row r="1977" spans="1:2" x14ac:dyDescent="0.25">
      <c r="A1977">
        <f ca="1">29274.5889938457*((RANDBETWEEN(1620,2416)))</f>
        <v>55211874.842393003</v>
      </c>
      <c r="B1977">
        <v>143894799.64532211</v>
      </c>
    </row>
    <row r="1978" spans="1:2" x14ac:dyDescent="0.25">
      <c r="A1978">
        <f ca="1">32712.1911353299*((RANDBETWEEN(1620,2416)))</f>
        <v>65915065.137689777</v>
      </c>
      <c r="B1978">
        <v>198760898.69403246</v>
      </c>
    </row>
    <row r="1979" spans="1:2" x14ac:dyDescent="0.25">
      <c r="A1979">
        <f ca="1">38038.903090735*((RANDBETWEEN(1620,2416)))</f>
        <v>66035535.765515938</v>
      </c>
      <c r="B1979">
        <v>146806171.45251068</v>
      </c>
    </row>
    <row r="1980" spans="1:2" x14ac:dyDescent="0.25">
      <c r="A1980">
        <f ca="1">30105.5717976571*((RANDBETWEEN(1620,2416)))</f>
        <v>59669243.302956395</v>
      </c>
      <c r="B1980">
        <v>168465777.55754113</v>
      </c>
    </row>
    <row r="1981" spans="1:2" x14ac:dyDescent="0.25">
      <c r="A1981">
        <f ca="1">41078.6703657039*((RANDBETWEEN(1620,2416)))</f>
        <v>87579725.219680816</v>
      </c>
      <c r="B1981">
        <v>181810835.39772528</v>
      </c>
    </row>
    <row r="1982" spans="1:2" x14ac:dyDescent="0.25">
      <c r="A1982">
        <f ca="1">34615.2797304771*((RANDBETWEEN(1620,2416)))</f>
        <v>65734416.208176054</v>
      </c>
      <c r="B1982">
        <v>148501888.03920612</v>
      </c>
    </row>
    <row r="1983" spans="1:2" x14ac:dyDescent="0.25">
      <c r="A1983">
        <f ca="1">30134.821954329*((RANDBETWEEN(1620,2416)))</f>
        <v>61716115.362465851</v>
      </c>
      <c r="B1983">
        <v>165520294.77178022</v>
      </c>
    </row>
    <row r="1984" spans="1:2" x14ac:dyDescent="0.25">
      <c r="A1984">
        <f ca="1">38166.6811346824*((RANDBETWEEN(1620,2416)))</f>
        <v>84043031.85857065</v>
      </c>
      <c r="B1984">
        <v>162790228.566019</v>
      </c>
    </row>
    <row r="1985" spans="1:2" x14ac:dyDescent="0.25">
      <c r="A1985">
        <f ca="1">32925.23055271*((RANDBETWEEN(1620,2416)))</f>
        <v>76781637.648919716</v>
      </c>
      <c r="B1985">
        <v>178330135.58306077</v>
      </c>
    </row>
    <row r="1986" spans="1:2" x14ac:dyDescent="0.25">
      <c r="A1986">
        <f ca="1">35171.4004883178*((RANDBETWEEN(1620,2416)))</f>
        <v>74211655.030350506</v>
      </c>
      <c r="B1986">
        <v>169231391.65195158</v>
      </c>
    </row>
    <row r="1987" spans="1:2" x14ac:dyDescent="0.25">
      <c r="A1987">
        <f ca="1">36210.9522073001*((RANDBETWEEN(1620,2416)))</f>
        <v>82126439.606156677</v>
      </c>
      <c r="B1987">
        <v>145831841.2847954</v>
      </c>
    </row>
    <row r="1988" spans="1:2" x14ac:dyDescent="0.25">
      <c r="A1988">
        <f ca="1">34573.1015154117*((RANDBETWEEN(1620,2416)))</f>
        <v>65619746.676251471</v>
      </c>
      <c r="B1988">
        <v>170870756.49216041</v>
      </c>
    </row>
    <row r="1989" spans="1:2" x14ac:dyDescent="0.25">
      <c r="A1989">
        <f ca="1">39361.7740164557*((RANDBETWEEN(1620,2416)))</f>
        <v>73016090.800525293</v>
      </c>
      <c r="B1989">
        <v>143336031.79468486</v>
      </c>
    </row>
    <row r="1990" spans="1:2" x14ac:dyDescent="0.25">
      <c r="A1990">
        <f ca="1">34772.0868703729*((RANDBETWEEN(1620,2416)))</f>
        <v>78828320.93513535</v>
      </c>
      <c r="B1990">
        <v>144221611.63068086</v>
      </c>
    </row>
    <row r="1991" spans="1:2" x14ac:dyDescent="0.25">
      <c r="A1991">
        <f ca="1">38562.1855785239*((RANDBETWEEN(1620,2416)))</f>
        <v>71995600.475104064</v>
      </c>
      <c r="B1991">
        <v>151234896.95463172</v>
      </c>
    </row>
    <row r="1992" spans="1:2" x14ac:dyDescent="0.25">
      <c r="A1992">
        <f ca="1">28308.0264983266*((RANDBETWEEN(1620,2416)))</f>
        <v>63126899.091268256</v>
      </c>
      <c r="B1992">
        <v>159585790.3852039</v>
      </c>
    </row>
    <row r="1993" spans="1:2" x14ac:dyDescent="0.25">
      <c r="A1993">
        <f ca="1">38521.0322982862*((RANDBETWEEN(1620,2416)))</f>
        <v>62558156.452416845</v>
      </c>
      <c r="B1993">
        <v>174917038.39282197</v>
      </c>
    </row>
    <row r="1994" spans="1:2" x14ac:dyDescent="0.25">
      <c r="A1994">
        <f ca="1">32782.3149609878*((RANDBETWEEN(1620,2416)))</f>
        <v>68711732.158230454</v>
      </c>
      <c r="B1994">
        <v>150489555.46837288</v>
      </c>
    </row>
    <row r="1995" spans="1:2" x14ac:dyDescent="0.25">
      <c r="A1995">
        <f ca="1">39309.1149480342*((RANDBETWEEN(1620,2416)))</f>
        <v>73783208.757460117</v>
      </c>
      <c r="B1995">
        <v>200310177.3969934</v>
      </c>
    </row>
    <row r="1996" spans="1:2" x14ac:dyDescent="0.25">
      <c r="A1996">
        <f ca="1">27798.9839049213*((RANDBETWEEN(1620,2416)))</f>
        <v>58655856.039383873</v>
      </c>
      <c r="B1996">
        <v>171149929.93544385</v>
      </c>
    </row>
    <row r="1997" spans="1:2" x14ac:dyDescent="0.25">
      <c r="A1997">
        <f ca="1">33818.5815333805*((RANDBETWEEN(1620,2416)))</f>
        <v>67738618.811361104</v>
      </c>
      <c r="B1997">
        <v>168285690.81805953</v>
      </c>
    </row>
    <row r="1998" spans="1:2" x14ac:dyDescent="0.25">
      <c r="A1998">
        <f ca="1">30691.7558659205*((RANDBETWEEN(1620,2416)))</f>
        <v>51500766.343014613</v>
      </c>
      <c r="B1998">
        <v>151560333.67304599</v>
      </c>
    </row>
    <row r="1999" spans="1:2" x14ac:dyDescent="0.25">
      <c r="A1999">
        <f ca="1">34734.1067773057*((RANDBETWEEN(1620,2416)))</f>
        <v>81312543.965672702</v>
      </c>
      <c r="B1999">
        <v>151394112.23525882</v>
      </c>
    </row>
    <row r="2000" spans="1:2" x14ac:dyDescent="0.25">
      <c r="A2000">
        <f ca="1">34160.6363558982*((RANDBETWEEN(1620,2416)))</f>
        <v>77476323.255177185</v>
      </c>
      <c r="B2000">
        <v>202243881.012907</v>
      </c>
    </row>
    <row r="2001" spans="1:2" x14ac:dyDescent="0.25">
      <c r="A2001">
        <f ca="1">32239.7423399031*((RANDBETWEEN(1620,2416)))</f>
        <v>69670083.196530581</v>
      </c>
      <c r="B2001">
        <v>152963136.56337988</v>
      </c>
    </row>
    <row r="2002" spans="1:2" x14ac:dyDescent="0.25">
      <c r="A2002">
        <f ca="1">29058.1062783481*((RANDBETWEEN(1620,2416)))</f>
        <v>53001985.851706877</v>
      </c>
      <c r="B2002">
        <v>170087900.3057802</v>
      </c>
    </row>
    <row r="2003" spans="1:2" x14ac:dyDescent="0.25">
      <c r="A2003">
        <f ca="1">35755.1892726887*((RANDBETWEEN(1620,2416)))</f>
        <v>66218610.533019543</v>
      </c>
      <c r="B2003">
        <v>178362170.76812351</v>
      </c>
    </row>
    <row r="2004" spans="1:2" x14ac:dyDescent="0.25">
      <c r="A2004">
        <f ca="1">36608.5218295152*((RANDBETWEEN(1620,2416)))</f>
        <v>87567584.216200307</v>
      </c>
      <c r="B2004">
        <v>167504806.50289023</v>
      </c>
    </row>
    <row r="2005" spans="1:2" x14ac:dyDescent="0.25">
      <c r="A2005">
        <f ca="1">36961.8884811465*((RANDBETWEEN(1620,2416)))</f>
        <v>76104528.382680669</v>
      </c>
      <c r="B2005">
        <v>174769765.69392195</v>
      </c>
    </row>
    <row r="2006" spans="1:2" x14ac:dyDescent="0.25">
      <c r="A2006">
        <f ca="1">35076.6368118975*((RANDBETWEEN(1620,2416)))</f>
        <v>83271935.791444764</v>
      </c>
      <c r="B2006">
        <v>181926485.26707119</v>
      </c>
    </row>
    <row r="2007" spans="1:2" x14ac:dyDescent="0.25">
      <c r="A2007">
        <f ca="1">30130.5171543406*((RANDBETWEEN(1620,2416)))</f>
        <v>51734097.95400279</v>
      </c>
      <c r="B2007">
        <v>153881586.9094916</v>
      </c>
    </row>
    <row r="2008" spans="1:2" x14ac:dyDescent="0.25">
      <c r="A2008">
        <f ca="1">37453.3169008565*((RANDBETWEEN(1620,2416)))</f>
        <v>74419740.682001859</v>
      </c>
      <c r="B2008">
        <v>164340607.65337008</v>
      </c>
    </row>
    <row r="2009" spans="1:2" x14ac:dyDescent="0.25">
      <c r="A2009">
        <f ca="1">31242.3075813217*((RANDBETWEEN(1620,2416)))</f>
        <v>55267642.111358009</v>
      </c>
      <c r="B2009">
        <v>157194668.87888977</v>
      </c>
    </row>
    <row r="2010" spans="1:2" x14ac:dyDescent="0.25">
      <c r="A2010">
        <f ca="1">28650.2248726461*((RANDBETWEEN(1620,2416)))</f>
        <v>58417808.515325509</v>
      </c>
      <c r="B2010">
        <v>180156939.85887462</v>
      </c>
    </row>
    <row r="2011" spans="1:2" x14ac:dyDescent="0.25">
      <c r="A2011">
        <f ca="1">40291.1441188166*((RANDBETWEEN(1620,2416)))</f>
        <v>73692502.593315497</v>
      </c>
      <c r="B2011">
        <v>177595329.69461218</v>
      </c>
    </row>
    <row r="2012" spans="1:2" x14ac:dyDescent="0.25">
      <c r="A2012">
        <f ca="1">39482.1527194063*((RANDBETWEEN(1620,2416)))</f>
        <v>82004431.198206902</v>
      </c>
      <c r="B2012">
        <v>168697525.54668787</v>
      </c>
    </row>
    <row r="2013" spans="1:2" x14ac:dyDescent="0.25">
      <c r="A2013">
        <f ca="1">30206.1376725056*((RANDBETWEEN(1620,2416)))</f>
        <v>61378871.750531293</v>
      </c>
      <c r="B2013">
        <v>156548325.43276772</v>
      </c>
    </row>
    <row r="2014" spans="1:2" x14ac:dyDescent="0.25">
      <c r="A2014">
        <f ca="1">30562.0010943902*((RANDBETWEEN(1620,2416)))</f>
        <v>70017544.507248014</v>
      </c>
      <c r="B2014">
        <v>165032941.81119704</v>
      </c>
    </row>
    <row r="2015" spans="1:2" x14ac:dyDescent="0.25">
      <c r="A2015">
        <f ca="1">32232.6829312589*((RANDBETWEEN(1620,2416)))</f>
        <v>59533765.37403518</v>
      </c>
      <c r="B2015">
        <v>144340200.65975589</v>
      </c>
    </row>
    <row r="2016" spans="1:2" x14ac:dyDescent="0.25">
      <c r="A2016">
        <f ca="1">31792.1889983298*((RANDBETWEEN(1620,2416)))</f>
        <v>70419698.631300524</v>
      </c>
      <c r="B2016">
        <v>174537858.04550299</v>
      </c>
    </row>
    <row r="2017" spans="1:2" x14ac:dyDescent="0.25">
      <c r="A2017">
        <f ca="1">39704.1443046928*((RANDBETWEEN(1620,2416)))</f>
        <v>93066514.250200018</v>
      </c>
      <c r="B2017">
        <v>165967328.45848632</v>
      </c>
    </row>
    <row r="2018" spans="1:2" x14ac:dyDescent="0.25">
      <c r="A2018">
        <f ca="1">30972.7207329697*((RANDBETWEEN(1620,2416)))</f>
        <v>53396970.543639787</v>
      </c>
      <c r="B2018">
        <v>153988140.52035657</v>
      </c>
    </row>
    <row r="2019" spans="1:2" x14ac:dyDescent="0.25">
      <c r="A2019">
        <f ca="1">31315.7025769224*((RANDBETWEEN(1620,2416)))</f>
        <v>70147173.772306293</v>
      </c>
      <c r="B2019">
        <v>152088899.96618718</v>
      </c>
    </row>
    <row r="2020" spans="1:2" x14ac:dyDescent="0.25">
      <c r="A2020">
        <f ca="1">36904.7239241823*((RANDBETWEEN(1620,2416)))</f>
        <v>66723740.854921646</v>
      </c>
      <c r="B2020">
        <v>143419370.7016266</v>
      </c>
    </row>
    <row r="2021" spans="1:2" x14ac:dyDescent="0.25">
      <c r="A2021">
        <f ca="1">38053.305282052*((RANDBETWEEN(1620,2416)))</f>
        <v>70512774.68764241</v>
      </c>
      <c r="B2021">
        <v>155579821.18150875</v>
      </c>
    </row>
    <row r="2022" spans="1:2" x14ac:dyDescent="0.25">
      <c r="A2022">
        <f ca="1">31354.3129998827*((RANDBETWEEN(1620,2416)))</f>
        <v>60043509.394775316</v>
      </c>
      <c r="B2022">
        <v>149519079.22647703</v>
      </c>
    </row>
    <row r="2023" spans="1:2" x14ac:dyDescent="0.25">
      <c r="A2023">
        <f ca="1">37237.241154416*((RANDBETWEEN(1620,2416)))</f>
        <v>75033040.926148146</v>
      </c>
      <c r="B2023">
        <v>144876092.34421435</v>
      </c>
    </row>
    <row r="2024" spans="1:2" x14ac:dyDescent="0.25">
      <c r="A2024">
        <f ca="1">31366.5255307801*((RANDBETWEEN(1620,2416)))</f>
        <v>68441758.708162203</v>
      </c>
      <c r="B2024">
        <v>192498493.91096658</v>
      </c>
    </row>
    <row r="2025" spans="1:2" x14ac:dyDescent="0.25">
      <c r="A2025">
        <f ca="1">39162.282219354*((RANDBETWEEN(1620,2416)))</f>
        <v>73076818.621314526</v>
      </c>
      <c r="B2025">
        <v>144224614.19819623</v>
      </c>
    </row>
    <row r="2026" spans="1:2" x14ac:dyDescent="0.25">
      <c r="A2026">
        <f ca="1">30880.4048116178*((RANDBETWEEN(1620,2416)))</f>
        <v>59537420.476799168</v>
      </c>
      <c r="B2026">
        <v>163212690.3008559</v>
      </c>
    </row>
    <row r="2027" spans="1:2" x14ac:dyDescent="0.25">
      <c r="A2027">
        <f ca="1">35264.8364838282*((RANDBETWEEN(1620,2416)))</f>
        <v>58116450.525348797</v>
      </c>
      <c r="B2027">
        <v>164830995.892932</v>
      </c>
    </row>
    <row r="2028" spans="1:2" x14ac:dyDescent="0.25">
      <c r="A2028">
        <f ca="1">37918.2095342832*((RANDBETWEEN(1620,2416)))</f>
        <v>61920436.169484459</v>
      </c>
      <c r="B2028">
        <v>162000466.99404719</v>
      </c>
    </row>
    <row r="2029" spans="1:2" x14ac:dyDescent="0.25">
      <c r="A2029">
        <f ca="1">28879.9780147837*((RANDBETWEEN(1620,2416)))</f>
        <v>60561313.897001512</v>
      </c>
      <c r="B2029">
        <v>146263712.5146727</v>
      </c>
    </row>
    <row r="2030" spans="1:2" x14ac:dyDescent="0.25">
      <c r="A2030">
        <f ca="1">40322.3422122165*((RANDBETWEEN(1620,2416)))</f>
        <v>74193109.670478359</v>
      </c>
      <c r="B2030">
        <v>189075765.95958704</v>
      </c>
    </row>
    <row r="2031" spans="1:2" x14ac:dyDescent="0.25">
      <c r="A2031">
        <f ca="1">28978.9726884255*((RANDBETWEEN(1620,2416)))</f>
        <v>68709144.244256809</v>
      </c>
      <c r="B2031">
        <v>162637019.20421815</v>
      </c>
    </row>
    <row r="2032" spans="1:2" x14ac:dyDescent="0.25">
      <c r="A2032">
        <f ca="1">33295.5488558291*((RANDBETWEEN(1620,2416)))</f>
        <v>64560069.231452614</v>
      </c>
      <c r="B2032">
        <v>150600630.71149728</v>
      </c>
    </row>
    <row r="2033" spans="1:2" x14ac:dyDescent="0.25">
      <c r="A2033">
        <f ca="1">32379.7336315894*((RANDBETWEEN(1620,2416)))</f>
        <v>66864149.949232213</v>
      </c>
      <c r="B2033">
        <v>202450161.98459059</v>
      </c>
    </row>
    <row r="2034" spans="1:2" x14ac:dyDescent="0.25">
      <c r="A2034">
        <f ca="1">34534.2131771698*((RANDBETWEEN(1620,2416)))</f>
        <v>71209547.571324095</v>
      </c>
      <c r="B2034">
        <v>196000007.78764132</v>
      </c>
    </row>
    <row r="2035" spans="1:2" x14ac:dyDescent="0.25">
      <c r="A2035">
        <f ca="1">37778.6470727467*((RANDBETWEEN(1620,2416)))</f>
        <v>66414861.553888738</v>
      </c>
      <c r="B2035">
        <v>172605654.83542079</v>
      </c>
    </row>
    <row r="2036" spans="1:2" x14ac:dyDescent="0.25">
      <c r="A2036">
        <f ca="1">30086.9461029673*((RANDBETWEEN(1620,2416)))</f>
        <v>62701195.678583831</v>
      </c>
      <c r="B2036">
        <v>148657279.17125809</v>
      </c>
    </row>
    <row r="2037" spans="1:2" x14ac:dyDescent="0.25">
      <c r="A2037">
        <f ca="1">32538.3761021581*((RANDBETWEEN(1620,2416)))</f>
        <v>69209125.969290361</v>
      </c>
      <c r="B2037">
        <v>157800353.08602431</v>
      </c>
    </row>
    <row r="2038" spans="1:2" x14ac:dyDescent="0.25">
      <c r="A2038">
        <f ca="1">40174.8526145566*((RANDBETWEEN(1620,2416)))</f>
        <v>88384675.752024472</v>
      </c>
      <c r="B2038">
        <v>156493524.42349312</v>
      </c>
    </row>
    <row r="2039" spans="1:2" x14ac:dyDescent="0.25">
      <c r="A2039">
        <f ca="1">36045.1880202604*((RANDBETWEEN(1620,2416)))</f>
        <v>62430265.65109098</v>
      </c>
      <c r="B2039">
        <v>188598814.26399326</v>
      </c>
    </row>
    <row r="2040" spans="1:2" x14ac:dyDescent="0.25">
      <c r="A2040">
        <f ca="1">30918.3508771059*((RANDBETWEEN(1620,2416)))</f>
        <v>64990373.543676585</v>
      </c>
      <c r="B2040">
        <v>180391652.04813069</v>
      </c>
    </row>
    <row r="2041" spans="1:2" x14ac:dyDescent="0.25">
      <c r="A2041">
        <f ca="1">28662.6210365044*((RANDBETWEEN(1620,2416)))</f>
        <v>49643659.635225594</v>
      </c>
      <c r="B2041">
        <v>158861020.42478237</v>
      </c>
    </row>
    <row r="2042" spans="1:2" x14ac:dyDescent="0.25">
      <c r="A2042">
        <f ca="1">32831.8562200717*((RANDBETWEEN(1620,2416)))</f>
        <v>55518668.868141301</v>
      </c>
      <c r="B2042">
        <v>195713008.30620897</v>
      </c>
    </row>
    <row r="2043" spans="1:2" x14ac:dyDescent="0.25">
      <c r="A2043">
        <f ca="1">32455.1406011245*((RANDBETWEEN(1620,2416)))</f>
        <v>73478438.320945799</v>
      </c>
      <c r="B2043">
        <v>178195300.84567231</v>
      </c>
    </row>
    <row r="2044" spans="1:2" x14ac:dyDescent="0.25">
      <c r="A2044">
        <f ca="1">31365.4337116117*((RANDBETWEEN(1620,2416)))</f>
        <v>61005768.569084756</v>
      </c>
      <c r="B2044">
        <v>160976802.51007971</v>
      </c>
    </row>
    <row r="2045" spans="1:2" x14ac:dyDescent="0.25">
      <c r="A2045">
        <f ca="1">33041.6224429871*((RANDBETWEEN(1620,2416)))</f>
        <v>54882134.877801612</v>
      </c>
      <c r="B2045">
        <v>168663483.40342185</v>
      </c>
    </row>
    <row r="2046" spans="1:2" x14ac:dyDescent="0.25">
      <c r="A2046">
        <f ca="1">31841.3991023267*((RANDBETWEEN(1620,2416)))</f>
        <v>75464115.872514248</v>
      </c>
      <c r="B2046">
        <v>192613735.66206026</v>
      </c>
    </row>
    <row r="2047" spans="1:2" x14ac:dyDescent="0.25">
      <c r="A2047">
        <f ca="1">34821.6105542495*((RANDBETWEEN(1620,2416)))</f>
        <v>76154862.282143578</v>
      </c>
      <c r="B2047">
        <v>172320875.67981371</v>
      </c>
    </row>
    <row r="2048" spans="1:2" x14ac:dyDescent="0.25">
      <c r="A2048">
        <f ca="1">31457.5283985385*((RANDBETWEEN(1620,2416)))</f>
        <v>71880452.39066042</v>
      </c>
      <c r="B2048">
        <v>163862770.28448284</v>
      </c>
    </row>
    <row r="2049" spans="1:2" x14ac:dyDescent="0.25">
      <c r="A2049">
        <f ca="1">37465.4920792606*((RANDBETWEEN(1620,2416)))</f>
        <v>63878663.995139293</v>
      </c>
      <c r="B2049">
        <v>196047709.96827364</v>
      </c>
    </row>
    <row r="2050" spans="1:2" x14ac:dyDescent="0.25">
      <c r="A2050">
        <f ca="1">31673.9193237182*((RANDBETWEEN(1620,2416)))</f>
        <v>60402164.150330573</v>
      </c>
      <c r="B2050">
        <v>144552647.44706103</v>
      </c>
    </row>
    <row r="2051" spans="1:2" x14ac:dyDescent="0.25">
      <c r="A2051">
        <f ca="1">29747.1921649391*((RANDBETWEEN(1620,2416)))</f>
        <v>48785395.150500096</v>
      </c>
      <c r="B2051">
        <v>155409138.92912632</v>
      </c>
    </row>
    <row r="2052" spans="1:2" x14ac:dyDescent="0.25">
      <c r="A2052">
        <f ca="1">39324.4399349633*((RANDBETWEEN(1620,2416)))</f>
        <v>71727778.44137311</v>
      </c>
      <c r="B2052">
        <v>168366357.93443662</v>
      </c>
    </row>
    <row r="2053" spans="1:2" x14ac:dyDescent="0.25">
      <c r="A2053">
        <f ca="1">28982.6533339074*((RANDBETWEEN(1620,2416)))</f>
        <v>61182381.187878527</v>
      </c>
      <c r="B2053">
        <v>176336324.83056986</v>
      </c>
    </row>
    <row r="2054" spans="1:2" x14ac:dyDescent="0.25">
      <c r="A2054">
        <f ca="1">31830.6183526488*((RANDBETWEEN(1620,2416)))</f>
        <v>58409184.677110553</v>
      </c>
      <c r="B2054">
        <v>157123505.01006612</v>
      </c>
    </row>
    <row r="2055" spans="1:2" x14ac:dyDescent="0.25">
      <c r="A2055">
        <f ca="1">33031.3938229274*((RANDBETWEEN(1620,2416)))</f>
        <v>57375531.070424877</v>
      </c>
      <c r="B2055">
        <v>146975966.05579889</v>
      </c>
    </row>
    <row r="2056" spans="1:2" x14ac:dyDescent="0.25">
      <c r="A2056">
        <f ca="1">30012.7958701721*((RANDBETWEEN(1620,2416)))</f>
        <v>57384465.703768998</v>
      </c>
      <c r="B2056">
        <v>156016847.44456023</v>
      </c>
    </row>
    <row r="2057" spans="1:2" x14ac:dyDescent="0.25">
      <c r="A2057">
        <f ca="1">31654.8094205594*((RANDBETWEEN(1620,2416)))</f>
        <v>57770027.192520961</v>
      </c>
      <c r="B2057">
        <v>181945672.12820148</v>
      </c>
    </row>
    <row r="2058" spans="1:2" x14ac:dyDescent="0.25">
      <c r="A2058">
        <f ca="1">28662.6829016264*((RANDBETWEEN(1620,2416)))</f>
        <v>56780774.828121923</v>
      </c>
      <c r="B2058">
        <v>151422124.50063053</v>
      </c>
    </row>
    <row r="2059" spans="1:2" x14ac:dyDescent="0.25">
      <c r="A2059">
        <f ca="1">35087.6898877098*((RANDBETWEEN(1620,2416)))</f>
        <v>72350816.548457652</v>
      </c>
      <c r="B2059">
        <v>158127193.19743568</v>
      </c>
    </row>
    <row r="2060" spans="1:2" x14ac:dyDescent="0.25">
      <c r="A2060">
        <f ca="1">38040.5856212746*((RANDBETWEEN(1620,2416)))</f>
        <v>71896706.824208915</v>
      </c>
      <c r="B2060">
        <v>155671097.04937658</v>
      </c>
    </row>
    <row r="2061" spans="1:2" x14ac:dyDescent="0.25">
      <c r="A2061">
        <f ca="1">37828.9926869265*((RANDBETWEEN(1620,2416)))</f>
        <v>67146462.01929459</v>
      </c>
      <c r="B2061">
        <v>185456106.99759364</v>
      </c>
    </row>
    <row r="2062" spans="1:2" x14ac:dyDescent="0.25">
      <c r="A2062">
        <f ca="1">38122.7281967974*((RANDBETWEEN(1620,2416)))</f>
        <v>62597519.699141279</v>
      </c>
      <c r="B2062">
        <v>172433934.94903493</v>
      </c>
    </row>
    <row r="2063" spans="1:2" x14ac:dyDescent="0.25">
      <c r="A2063">
        <f ca="1">33720.759975661*((RANDBETWEEN(1620,2416)))</f>
        <v>74657762.586113453</v>
      </c>
      <c r="B2063">
        <v>171722865.07309562</v>
      </c>
    </row>
    <row r="2064" spans="1:2" x14ac:dyDescent="0.25">
      <c r="A2064">
        <f ca="1">31207.866177332*((RANDBETWEEN(1620,2416)))</f>
        <v>58233878.286901467</v>
      </c>
      <c r="B2064">
        <v>189364103.74391255</v>
      </c>
    </row>
    <row r="2065" spans="1:2" x14ac:dyDescent="0.25">
      <c r="A2065">
        <f ca="1">35222.3274573974*((RANDBETWEEN(1620,2416)))</f>
        <v>77770899.025933504</v>
      </c>
      <c r="B2065">
        <v>189406394.41134107</v>
      </c>
    </row>
    <row r="2066" spans="1:2" x14ac:dyDescent="0.25">
      <c r="A2066">
        <f ca="1">28425.6563871589*((RANDBETWEEN(1620,2416)))</f>
        <v>53752916.228117421</v>
      </c>
      <c r="B2066">
        <v>188698623.62993199</v>
      </c>
    </row>
    <row r="2067" spans="1:2" x14ac:dyDescent="0.25">
      <c r="A2067">
        <f ca="1">37923.4284290749*((RANDBETWEEN(1620,2416)))</f>
        <v>61663494.625675738</v>
      </c>
      <c r="B2067">
        <v>175698918.58992693</v>
      </c>
    </row>
    <row r="2068" spans="1:2" x14ac:dyDescent="0.25">
      <c r="A2068">
        <f ca="1">34326.3286359124*((RANDBETWEEN(1620,2416)))</f>
        <v>81353398.867112502</v>
      </c>
      <c r="B2068">
        <v>183851900.08727804</v>
      </c>
    </row>
    <row r="2069" spans="1:2" x14ac:dyDescent="0.25">
      <c r="A2069">
        <f ca="1">31397.0478602288*((RANDBETWEEN(1620,2416)))</f>
        <v>69104902.340363547</v>
      </c>
      <c r="B2069">
        <v>162722734.28543025</v>
      </c>
    </row>
    <row r="2070" spans="1:2" x14ac:dyDescent="0.25">
      <c r="A2070">
        <f ca="1">30793.9097771611*((RANDBETWEEN(1620,2416)))</f>
        <v>62388461.208528593</v>
      </c>
      <c r="B2070">
        <v>154052560.56951928</v>
      </c>
    </row>
    <row r="2071" spans="1:2" x14ac:dyDescent="0.25">
      <c r="A2071">
        <f ca="1">29673.5904325859*((RANDBETWEEN(1620,2416)))</f>
        <v>65430266.903852016</v>
      </c>
      <c r="B2071">
        <v>145246360.55651879</v>
      </c>
    </row>
    <row r="2072" spans="1:2" x14ac:dyDescent="0.25">
      <c r="A2072">
        <f ca="1">35667.7620813915*((RANDBETWEEN(1620,2416)))</f>
        <v>84033247.463758439</v>
      </c>
      <c r="B2072">
        <v>176612346.94482508</v>
      </c>
    </row>
    <row r="2073" spans="1:2" x14ac:dyDescent="0.25">
      <c r="A2073">
        <f ca="1">32594.4026928186*((RANDBETWEEN(1620,2416)))</f>
        <v>73989294.112698317</v>
      </c>
      <c r="B2073">
        <v>178505166.04000127</v>
      </c>
    </row>
    <row r="2074" spans="1:2" x14ac:dyDescent="0.25">
      <c r="A2074">
        <f ca="1">33999.0381609948*((RANDBETWEEN(1620,2416)))</f>
        <v>71737970.519699082</v>
      </c>
      <c r="B2074">
        <v>152026277.80352527</v>
      </c>
    </row>
    <row r="2075" spans="1:2" x14ac:dyDescent="0.25">
      <c r="A2075">
        <f ca="1">39563.9401151535*((RANDBETWEEN(1620,2416)))</f>
        <v>92144416.528192565</v>
      </c>
      <c r="B2075">
        <v>162093450.8485651</v>
      </c>
    </row>
    <row r="2076" spans="1:2" x14ac:dyDescent="0.25">
      <c r="A2076">
        <f ca="1">33722.7994134842*((RANDBETWEEN(1620,2416)))</f>
        <v>62117396.519637883</v>
      </c>
      <c r="B2076">
        <v>151632238.54915601</v>
      </c>
    </row>
    <row r="2077" spans="1:2" x14ac:dyDescent="0.25">
      <c r="A2077">
        <f ca="1">35863.9177240143*((RANDBETWEEN(1620,2416)))</f>
        <v>83813975.721021414</v>
      </c>
      <c r="B2077">
        <v>147366112.05118954</v>
      </c>
    </row>
    <row r="2078" spans="1:2" x14ac:dyDescent="0.25">
      <c r="A2078">
        <f ca="1">30162.7455300648*((RANDBETWEEN(1620,2416)))</f>
        <v>59933375.368238851</v>
      </c>
      <c r="B2078">
        <v>168955651.54671007</v>
      </c>
    </row>
    <row r="2079" spans="1:2" x14ac:dyDescent="0.25">
      <c r="A2079">
        <f ca="1">30769.8298479117*((RANDBETWEEN(1620,2416)))</f>
        <v>68739799.880234823</v>
      </c>
      <c r="B2079">
        <v>171341739.48656076</v>
      </c>
    </row>
    <row r="2080" spans="1:2" x14ac:dyDescent="0.25">
      <c r="A2080">
        <f ca="1">29987.7983646134*((RANDBETWEEN(1620,2416)))</f>
        <v>63094327.759146631</v>
      </c>
      <c r="B2080">
        <v>153889021.62130141</v>
      </c>
    </row>
    <row r="2081" spans="1:2" x14ac:dyDescent="0.25">
      <c r="A2081">
        <f ca="1">28962.2458587454*((RANDBETWEEN(1620,2416)))</f>
        <v>53927701.788983986</v>
      </c>
      <c r="B2081">
        <v>172471044.86737484</v>
      </c>
    </row>
    <row r="2082" spans="1:2" x14ac:dyDescent="0.25">
      <c r="A2082">
        <f ca="1">28986.4963073638*((RANDBETWEEN(1620,2416)))</f>
        <v>50581436.056349903</v>
      </c>
      <c r="B2082">
        <v>165795620.43254805</v>
      </c>
    </row>
    <row r="2083" spans="1:2" x14ac:dyDescent="0.25">
      <c r="A2083">
        <f ca="1">40676.697827742*((RANDBETWEEN(1620,2416)))</f>
        <v>91278509.925453082</v>
      </c>
      <c r="B2083">
        <v>160958073.79227421</v>
      </c>
    </row>
    <row r="2084" spans="1:2" x14ac:dyDescent="0.25">
      <c r="A2084">
        <f ca="1">36566.7966741548*((RANDBETWEEN(1620,2416)))</f>
        <v>80776053.853207991</v>
      </c>
      <c r="B2084">
        <v>191689406.52454245</v>
      </c>
    </row>
    <row r="2085" spans="1:2" x14ac:dyDescent="0.25">
      <c r="A2085">
        <f ca="1">29703.8539375238*((RANDBETWEEN(1620,2416)))</f>
        <v>70665468.517369226</v>
      </c>
      <c r="B2085">
        <v>164976353.90982124</v>
      </c>
    </row>
    <row r="2086" spans="1:2" x14ac:dyDescent="0.25">
      <c r="A2086">
        <f ca="1">31948.1645269321*((RANDBETWEEN(1620,2416)))</f>
        <v>71404147.717693239</v>
      </c>
      <c r="B2086">
        <v>174112103.71465045</v>
      </c>
    </row>
    <row r="2087" spans="1:2" x14ac:dyDescent="0.25">
      <c r="A2087">
        <f ca="1">34726.9938641741*((RANDBETWEEN(1620,2416)))</f>
        <v>63967122.697808616</v>
      </c>
      <c r="B2087">
        <v>203031044.01367694</v>
      </c>
    </row>
    <row r="2088" spans="1:2" x14ac:dyDescent="0.25">
      <c r="A2088">
        <f ca="1">40543.1402953949*((RANDBETWEEN(1620,2416)))</f>
        <v>70220718.991624027</v>
      </c>
      <c r="B2088">
        <v>199368677.66201472</v>
      </c>
    </row>
    <row r="2089" spans="1:2" x14ac:dyDescent="0.25">
      <c r="A2089">
        <f ca="1">32822.5534873242*((RANDBETWEEN(1620,2416)))</f>
        <v>62592609.500327319</v>
      </c>
      <c r="B2089">
        <v>153649846.39365876</v>
      </c>
    </row>
    <row r="2090" spans="1:2" x14ac:dyDescent="0.25">
      <c r="A2090">
        <f ca="1">34607.0987792526*((RANDBETWEEN(1620,2416)))</f>
        <v>69387233.052401423</v>
      </c>
      <c r="B2090">
        <v>147535579.92563546</v>
      </c>
    </row>
    <row r="2091" spans="1:2" x14ac:dyDescent="0.25">
      <c r="A2091">
        <f ca="1">30712.7128367303*((RANDBETWEEN(1620,2416)))</f>
        <v>57832038.271563061</v>
      </c>
      <c r="B2091">
        <v>166968621.38250548</v>
      </c>
    </row>
    <row r="2092" spans="1:2" x14ac:dyDescent="0.25">
      <c r="A2092">
        <f ca="1">32287.92593065*((RANDBETWEEN(1620,2416)))</f>
        <v>67998372.009948924</v>
      </c>
      <c r="B2092">
        <v>190835775.95701095</v>
      </c>
    </row>
    <row r="2093" spans="1:2" x14ac:dyDescent="0.25">
      <c r="A2093">
        <f ca="1">31893.2847097207*((RANDBETWEEN(1620,2416)))</f>
        <v>65732059.786734268</v>
      </c>
      <c r="B2093">
        <v>169002436.42559457</v>
      </c>
    </row>
    <row r="2094" spans="1:2" x14ac:dyDescent="0.25">
      <c r="A2094">
        <f ca="1">31939.548606179*((RANDBETWEEN(1620,2416)))</f>
        <v>64070734.503994994</v>
      </c>
      <c r="B2094">
        <v>151843732.21571958</v>
      </c>
    </row>
    <row r="2095" spans="1:2" x14ac:dyDescent="0.25">
      <c r="A2095">
        <f ca="1">27634.6978451734*((RANDBETWEEN(1620,2416)))</f>
        <v>60050198.417561792</v>
      </c>
      <c r="B2095">
        <v>188140229.11653006</v>
      </c>
    </row>
    <row r="2096" spans="1:2" x14ac:dyDescent="0.25">
      <c r="A2096">
        <f ca="1">31351.0441547521*((RANDBETWEEN(1620,2416)))</f>
        <v>62200471.603028193</v>
      </c>
      <c r="B2096">
        <v>169179302.38763088</v>
      </c>
    </row>
    <row r="2097" spans="1:2" x14ac:dyDescent="0.25">
      <c r="A2097">
        <f ca="1">41512.1912331017*((RANDBETWEEN(1620,2416)))</f>
        <v>82650772.745105579</v>
      </c>
      <c r="B2097">
        <v>149195315.83873147</v>
      </c>
    </row>
    <row r="2098" spans="1:2" x14ac:dyDescent="0.25">
      <c r="A2098">
        <f ca="1">27466.9150993629*((RANDBETWEEN(1620,2416)))</f>
        <v>61031485.35078425</v>
      </c>
      <c r="B2098">
        <v>143573382.06380534</v>
      </c>
    </row>
    <row r="2099" spans="1:2" x14ac:dyDescent="0.25">
      <c r="A2099">
        <f ca="1">36997.7961318921*((RANDBETWEEN(1620,2416)))</f>
        <v>63451220.366194881</v>
      </c>
      <c r="B2099">
        <v>153746005.93414989</v>
      </c>
    </row>
    <row r="2100" spans="1:2" x14ac:dyDescent="0.25">
      <c r="A2100">
        <f ca="1">34939.8247219204*((RANDBETWEEN(1620,2416)))</f>
        <v>83645940.384277493</v>
      </c>
      <c r="B2100">
        <v>163394789.04092252</v>
      </c>
    </row>
    <row r="2101" spans="1:2" x14ac:dyDescent="0.25">
      <c r="A2101">
        <f ca="1">31175.1842407631*((RANDBETWEEN(1620,2416)))</f>
        <v>65530237.274084046</v>
      </c>
      <c r="B2101">
        <v>178426503.01885113</v>
      </c>
    </row>
    <row r="2102" spans="1:2" x14ac:dyDescent="0.25">
      <c r="A2102">
        <f ca="1">37748.5269560433*((RANDBETWEEN(1620,2416)))</f>
        <v>90709710.275372088</v>
      </c>
      <c r="B2102">
        <v>143475425.4191815</v>
      </c>
    </row>
    <row r="2103" spans="1:2" x14ac:dyDescent="0.25">
      <c r="A2103">
        <f ca="1">30636.0036900016*((RANDBETWEEN(1620,2416)))</f>
        <v>64396879.756383322</v>
      </c>
      <c r="B2103">
        <v>166910057.83482111</v>
      </c>
    </row>
    <row r="2104" spans="1:2" x14ac:dyDescent="0.25">
      <c r="A2104">
        <f ca="1">29581.4205061337*((RANDBETWEEN(1620,2416)))</f>
        <v>55968047.59760502</v>
      </c>
      <c r="B2104">
        <v>172776449.63940236</v>
      </c>
    </row>
    <row r="2105" spans="1:2" x14ac:dyDescent="0.25">
      <c r="A2105">
        <f ca="1">35567.9996909543*((RANDBETWEEN(1620,2416)))</f>
        <v>82197647.285795465</v>
      </c>
      <c r="B2105">
        <v>201838764.50232652</v>
      </c>
    </row>
    <row r="2106" spans="1:2" x14ac:dyDescent="0.25">
      <c r="A2106">
        <f ca="1">40029.8175166802*((RANDBETWEEN(1620,2416)))</f>
        <v>79379128.13557674</v>
      </c>
      <c r="B2106">
        <v>162798480.85757786</v>
      </c>
    </row>
    <row r="2107" spans="1:2" x14ac:dyDescent="0.25">
      <c r="A2107">
        <f ca="1">31974.1950466953*((RANDBETWEEN(1620,2416)))</f>
        <v>66186583.746659234</v>
      </c>
      <c r="B2107">
        <v>196737274.50101963</v>
      </c>
    </row>
    <row r="2108" spans="1:2" x14ac:dyDescent="0.25">
      <c r="A2108">
        <f ca="1">32089.3859132389*((RANDBETWEEN(1620,2416)))</f>
        <v>69280984.18668285</v>
      </c>
      <c r="B2108">
        <v>152135176.96292895</v>
      </c>
    </row>
    <row r="2109" spans="1:2" x14ac:dyDescent="0.25">
      <c r="A2109">
        <f ca="1">31422.1062190383*((RANDBETWEEN(1620,2416)))</f>
        <v>64478161.961466521</v>
      </c>
      <c r="B2109">
        <v>198742952.40654576</v>
      </c>
    </row>
    <row r="2110" spans="1:2" x14ac:dyDescent="0.25">
      <c r="A2110">
        <f ca="1">37038.0979478764*((RANDBETWEEN(1620,2416)))</f>
        <v>71298338.549662083</v>
      </c>
      <c r="B2110">
        <v>143824168.54814395</v>
      </c>
    </row>
    <row r="2111" spans="1:2" x14ac:dyDescent="0.25">
      <c r="A2111">
        <f ca="1">28602.6821403511*((RANDBETWEEN(1620,2416)))</f>
        <v>53944658.516702086</v>
      </c>
      <c r="B2111">
        <v>156626352.0852806</v>
      </c>
    </row>
    <row r="2112" spans="1:2" x14ac:dyDescent="0.25">
      <c r="A2112">
        <f ca="1">38188.1173105913*((RANDBETWEEN(1620,2416)))</f>
        <v>72328294.186259836</v>
      </c>
      <c r="B2112">
        <v>147941655.17136878</v>
      </c>
    </row>
    <row r="2113" spans="1:2" x14ac:dyDescent="0.25">
      <c r="A2113">
        <f ca="1">31447.9676297441*((RANDBETWEEN(1620,2416)))</f>
        <v>55442766.931238838</v>
      </c>
      <c r="B2113">
        <v>173220297.86906821</v>
      </c>
    </row>
    <row r="2114" spans="1:2" x14ac:dyDescent="0.25">
      <c r="A2114">
        <f ca="1">31659.0484541961*((RANDBETWEEN(1620,2416)))</f>
        <v>62051734.970224351</v>
      </c>
      <c r="B2114">
        <v>173123164.17729449</v>
      </c>
    </row>
    <row r="2115" spans="1:2" x14ac:dyDescent="0.25">
      <c r="A2115">
        <f ca="1">32368.7792275456*((RANDBETWEEN(1620,2416)))</f>
        <v>57810639.700396463</v>
      </c>
      <c r="B2115">
        <v>174540154.14175713</v>
      </c>
    </row>
    <row r="2116" spans="1:2" x14ac:dyDescent="0.25">
      <c r="A2116">
        <f ca="1">36434.9428402884*((RANDBETWEEN(1620,2416)))</f>
        <v>69445001.053589746</v>
      </c>
      <c r="B2116">
        <v>151619631.07268283</v>
      </c>
    </row>
    <row r="2117" spans="1:2" x14ac:dyDescent="0.25">
      <c r="A2117">
        <f ca="1">35921.156349777*((RANDBETWEEN(1620,2416)))</f>
        <v>63472683.270055912</v>
      </c>
      <c r="B2117">
        <v>166432041.49027678</v>
      </c>
    </row>
    <row r="2118" spans="1:2" x14ac:dyDescent="0.25">
      <c r="A2118">
        <f ca="1">36294.3679181851*((RANDBETWEEN(1620,2416)))</f>
        <v>80392024.938779905</v>
      </c>
      <c r="B2118">
        <v>163795820.49544507</v>
      </c>
    </row>
    <row r="2119" spans="1:2" x14ac:dyDescent="0.25">
      <c r="A2119">
        <f ca="1">40074.9398702488*((RANDBETWEEN(1620,2416)))</f>
        <v>95859256.169635117</v>
      </c>
      <c r="B2119">
        <v>152347653.79151124</v>
      </c>
    </row>
    <row r="2120" spans="1:2" x14ac:dyDescent="0.25">
      <c r="A2120">
        <f ca="1">32411.7509741105*((RANDBETWEEN(1620,2416)))</f>
        <v>62133326.617369734</v>
      </c>
      <c r="B2120">
        <v>155017537.54270887</v>
      </c>
    </row>
    <row r="2121" spans="1:2" x14ac:dyDescent="0.25">
      <c r="A2121">
        <f ca="1">40431.5173947013*((RANDBETWEEN(1620,2416)))</f>
        <v>93113784.559997022</v>
      </c>
      <c r="B2121">
        <v>179439024.07848138</v>
      </c>
    </row>
    <row r="2122" spans="1:2" x14ac:dyDescent="0.25">
      <c r="A2122">
        <f ca="1">35513.6645661988*((RANDBETWEEN(1620,2416)))</f>
        <v>76425406.146459863</v>
      </c>
      <c r="B2122">
        <v>169703613.43878409</v>
      </c>
    </row>
    <row r="2123" spans="1:2" x14ac:dyDescent="0.25">
      <c r="A2123">
        <f ca="1">39832.4712861919*((RANDBETWEEN(1620,2416)))</f>
        <v>89543395.451359317</v>
      </c>
      <c r="B2123">
        <v>188322826.85691592</v>
      </c>
    </row>
    <row r="2124" spans="1:2" x14ac:dyDescent="0.25">
      <c r="A2124">
        <f ca="1">32279.4624310733*((RANDBETWEEN(1620,2416)))</f>
        <v>72822467.244501293</v>
      </c>
      <c r="B2124">
        <v>156313831.78970799</v>
      </c>
    </row>
    <row r="2125" spans="1:2" x14ac:dyDescent="0.25">
      <c r="A2125">
        <f ca="1">31505.5272655239*((RANDBETWEEN(1620,2416)))</f>
        <v>56804465.659739561</v>
      </c>
      <c r="B2125">
        <v>156358083.42167404</v>
      </c>
    </row>
    <row r="2126" spans="1:2" x14ac:dyDescent="0.25">
      <c r="A2126">
        <f ca="1">32380.2623679481*((RANDBETWEEN(1620,2416)))</f>
        <v>77388827.059395954</v>
      </c>
      <c r="B2126">
        <v>158196123.57039201</v>
      </c>
    </row>
    <row r="2127" spans="1:2" x14ac:dyDescent="0.25">
      <c r="A2127">
        <f ca="1">29743.2859170988*((RANDBETWEEN(1620,2416)))</f>
        <v>61747061.563897021</v>
      </c>
      <c r="B2127">
        <v>188999846.43901578</v>
      </c>
    </row>
    <row r="2128" spans="1:2" x14ac:dyDescent="0.25">
      <c r="A2128">
        <f ca="1">32780.6411645359*((RANDBETWEEN(1620,2416)))</f>
        <v>64184495.400161214</v>
      </c>
      <c r="B2128">
        <v>198348364.11390939</v>
      </c>
    </row>
    <row r="2129" spans="1:2" x14ac:dyDescent="0.25">
      <c r="A2129">
        <f ca="1">36660.740294053*((RANDBETWEEN(1620,2416)))</f>
        <v>78124037.566626981</v>
      </c>
      <c r="B2129">
        <v>190197317.66969961</v>
      </c>
    </row>
    <row r="2130" spans="1:2" x14ac:dyDescent="0.25">
      <c r="A2130">
        <f ca="1">39295.2423023849*((RANDBETWEEN(1620,2416)))</f>
        <v>78158236.939443648</v>
      </c>
      <c r="B2130">
        <v>169937512.60587859</v>
      </c>
    </row>
    <row r="2131" spans="1:2" x14ac:dyDescent="0.25">
      <c r="A2131">
        <f ca="1">33554.865493194*((RANDBETWEEN(1620,2416)))</f>
        <v>71572528.096982703</v>
      </c>
      <c r="B2131">
        <v>156450966.87763551</v>
      </c>
    </row>
    <row r="2132" spans="1:2" x14ac:dyDescent="0.25">
      <c r="A2132">
        <f ca="1">37340.3664803487*((RANDBETWEEN(1620,2416)))</f>
        <v>85658800.705919847</v>
      </c>
      <c r="B2132">
        <v>155472335.96536452</v>
      </c>
    </row>
    <row r="2133" spans="1:2" x14ac:dyDescent="0.25">
      <c r="A2133">
        <f ca="1">30830.0107511979*((RANDBETWEEN(1620,2416)))</f>
        <v>56264769.620936245</v>
      </c>
      <c r="B2133">
        <v>164920503.8578296</v>
      </c>
    </row>
    <row r="2134" spans="1:2" x14ac:dyDescent="0.25">
      <c r="A2134">
        <f ca="1">37329.3064768513*((RANDBETWEEN(1620,2416)))</f>
        <v>78279555.68195717</v>
      </c>
      <c r="B2134">
        <v>143969999.93821657</v>
      </c>
    </row>
    <row r="2135" spans="1:2" x14ac:dyDescent="0.25">
      <c r="A2135">
        <f ca="1">37138.5546837431*((RANDBETWEEN(1620,2416)))</f>
        <v>73237229.836341441</v>
      </c>
      <c r="B2135">
        <v>150897964.35470429</v>
      </c>
    </row>
    <row r="2136" spans="1:2" x14ac:dyDescent="0.25">
      <c r="A2136">
        <f ca="1">31233.1774344366*((RANDBETWEEN(1620,2416)))</f>
        <v>58593440.867003046</v>
      </c>
      <c r="B2136">
        <v>166492051.61595142</v>
      </c>
    </row>
    <row r="2137" spans="1:2" x14ac:dyDescent="0.25">
      <c r="A2137">
        <f ca="1">31454.7437635749*((RANDBETWEEN(1620,2416)))</f>
        <v>71748270.524714336</v>
      </c>
      <c r="B2137">
        <v>167194821.43367505</v>
      </c>
    </row>
    <row r="2138" spans="1:2" x14ac:dyDescent="0.25">
      <c r="A2138">
        <f ca="1">33695.6950467168*((RANDBETWEEN(1620,2416)))</f>
        <v>72546831.435581237</v>
      </c>
      <c r="B2138">
        <v>160261605.88127643</v>
      </c>
    </row>
    <row r="2139" spans="1:2" x14ac:dyDescent="0.25">
      <c r="A2139">
        <f ca="1">33945.3173988131*((RANDBETWEEN(1620,2416)))</f>
        <v>57129969.182202511</v>
      </c>
      <c r="B2139">
        <v>177687005.41473666</v>
      </c>
    </row>
    <row r="2140" spans="1:2" x14ac:dyDescent="0.25">
      <c r="A2140">
        <f ca="1">32554.5081209893*((RANDBETWEEN(1620,2416)))</f>
        <v>56091417.492464572</v>
      </c>
      <c r="B2140">
        <v>157011220.62533945</v>
      </c>
    </row>
    <row r="2141" spans="1:2" x14ac:dyDescent="0.25">
      <c r="A2141">
        <f ca="1">30717.0538918485*((RANDBETWEEN(1620,2416)))</f>
        <v>59713952.765753441</v>
      </c>
      <c r="B2141">
        <v>149638877.67942727</v>
      </c>
    </row>
    <row r="2142" spans="1:2" x14ac:dyDescent="0.25">
      <c r="A2142">
        <f ca="1">35639.5938622907*((RANDBETWEEN(1620,2416)))</f>
        <v>63616675.044188827</v>
      </c>
      <c r="B2142">
        <v>161840076.70466995</v>
      </c>
    </row>
    <row r="2143" spans="1:2" x14ac:dyDescent="0.25">
      <c r="A2143">
        <f ca="1">31397.1343154301*((RANDBETWEEN(1620,2416)))</f>
        <v>67315455.972282171</v>
      </c>
      <c r="B2143">
        <v>148305697.15035155</v>
      </c>
    </row>
    <row r="2144" spans="1:2" x14ac:dyDescent="0.25">
      <c r="A2144">
        <f ca="1">31208.4092935042*((RANDBETWEEN(1620,2416)))</f>
        <v>52617378.068848141</v>
      </c>
      <c r="B2144">
        <v>158695058.87824458</v>
      </c>
    </row>
    <row r="2145" spans="1:2" x14ac:dyDescent="0.25">
      <c r="A2145">
        <f ca="1">35368.4776612583*((RANDBETWEEN(1620,2416)))</f>
        <v>74061592.222674981</v>
      </c>
      <c r="B2145">
        <v>162866896.56062019</v>
      </c>
    </row>
    <row r="2146" spans="1:2" x14ac:dyDescent="0.25">
      <c r="A2146">
        <f ca="1">30573.1950106525*((RANDBETWEEN(1620,2416)))</f>
        <v>50812650.107704394</v>
      </c>
      <c r="B2146">
        <v>152924069.9549464</v>
      </c>
    </row>
    <row r="2147" spans="1:2" x14ac:dyDescent="0.25">
      <c r="A2147">
        <f ca="1">37343.9831862337*((RANDBETWEEN(1620,2416)))</f>
        <v>74090462.641487643</v>
      </c>
      <c r="B2147">
        <v>143520373.84265429</v>
      </c>
    </row>
    <row r="2148" spans="1:2" x14ac:dyDescent="0.25">
      <c r="A2148">
        <f ca="1">30803.2196069454*((RANDBETWEEN(1620,2416)))</f>
        <v>66596560.790215902</v>
      </c>
      <c r="B2148">
        <v>158130457.33208317</v>
      </c>
    </row>
    <row r="2149" spans="1:2" x14ac:dyDescent="0.25">
      <c r="A2149">
        <f ca="1">41016.23084668*((RANDBETWEEN(1620,2416)))</f>
        <v>92983795.329423487</v>
      </c>
      <c r="B2149">
        <v>179957218.45813867</v>
      </c>
    </row>
    <row r="2150" spans="1:2" x14ac:dyDescent="0.25">
      <c r="A2150">
        <f ca="1">37214.4370887337*((RANDBETWEEN(1620,2416)))</f>
        <v>69665426.230109498</v>
      </c>
      <c r="B2150">
        <v>203118791.13474268</v>
      </c>
    </row>
    <row r="2151" spans="1:2" x14ac:dyDescent="0.25">
      <c r="A2151">
        <f ca="1">31576.3216736569*((RANDBETWEEN(1620,2416)))</f>
        <v>58321466.131244302</v>
      </c>
      <c r="B2151">
        <v>169514216.04603955</v>
      </c>
    </row>
    <row r="2152" spans="1:2" x14ac:dyDescent="0.25">
      <c r="A2152">
        <f ca="1">33485.1643649196*((RANDBETWEEN(1620,2416)))</f>
        <v>74705401.69813557</v>
      </c>
      <c r="B2152">
        <v>163908824.80739284</v>
      </c>
    </row>
    <row r="2153" spans="1:2" x14ac:dyDescent="0.25">
      <c r="A2153">
        <f ca="1">33905.1856894852*((RANDBETWEEN(1620,2416)))</f>
        <v>63436602.425026871</v>
      </c>
      <c r="B2153">
        <v>175492628.03330672</v>
      </c>
    </row>
    <row r="2154" spans="1:2" x14ac:dyDescent="0.25">
      <c r="A2154">
        <f ca="1">29422.0363398552*((RANDBETWEEN(1620,2416)))</f>
        <v>70965951.651730776</v>
      </c>
      <c r="B2154">
        <v>173980338.50884944</v>
      </c>
    </row>
    <row r="2155" spans="1:2" x14ac:dyDescent="0.25">
      <c r="A2155">
        <f ca="1">33550.745044406*((RANDBETWEEN(1620,2416)))</f>
        <v>66027866.247391038</v>
      </c>
      <c r="B2155">
        <v>145260483.66687897</v>
      </c>
    </row>
    <row r="2156" spans="1:2" x14ac:dyDescent="0.25">
      <c r="A2156">
        <f ca="1">35413.8045653755*((RANDBETWEEN(1620,2416)))</f>
        <v>61655433.748318762</v>
      </c>
      <c r="B2156">
        <v>160682501.38906962</v>
      </c>
    </row>
    <row r="2157" spans="1:2" x14ac:dyDescent="0.25">
      <c r="A2157">
        <f ca="1">33552.2834600575*((RANDBETWEEN(1620,2416)))</f>
        <v>67809164.872776285</v>
      </c>
      <c r="B2157">
        <v>155422069.60671341</v>
      </c>
    </row>
    <row r="2158" spans="1:2" x14ac:dyDescent="0.25">
      <c r="A2158">
        <f ca="1">37348.0698144907*((RANDBETWEEN(1620,2416)))</f>
        <v>83211499.546685323</v>
      </c>
      <c r="B2158">
        <v>187257474.55585936</v>
      </c>
    </row>
    <row r="2159" spans="1:2" x14ac:dyDescent="0.25">
      <c r="A2159">
        <f ca="1">31363.0236936193*((RANDBETWEEN(1620,2416)))</f>
        <v>62914225.529400371</v>
      </c>
      <c r="B2159">
        <v>163660409.25373852</v>
      </c>
    </row>
    <row r="2160" spans="1:2" x14ac:dyDescent="0.25">
      <c r="A2160">
        <f ca="1">36783.408701411*((RANDBETWEEN(1620,2416)))</f>
        <v>78422227.351408333</v>
      </c>
      <c r="B2160">
        <v>157668819.48424888</v>
      </c>
    </row>
    <row r="2161" spans="1:2" x14ac:dyDescent="0.25">
      <c r="A2161">
        <f ca="1">30186.445589891*((RANDBETWEEN(1620,2416)))</f>
        <v>57414619.511972606</v>
      </c>
      <c r="B2161">
        <v>174244758.92456904</v>
      </c>
    </row>
    <row r="2162" spans="1:2" x14ac:dyDescent="0.25">
      <c r="A2162">
        <f ca="1">32372.3831794951*((RANDBETWEEN(1620,2416)))</f>
        <v>54158997.05929523</v>
      </c>
      <c r="B2162">
        <v>154644763.06727526</v>
      </c>
    </row>
    <row r="2163" spans="1:2" x14ac:dyDescent="0.25">
      <c r="A2163">
        <f ca="1">31707.4295421208*((RANDBETWEEN(1620,2416)))</f>
        <v>75336852.592079028</v>
      </c>
      <c r="B2163">
        <v>164750304.11514407</v>
      </c>
    </row>
    <row r="2164" spans="1:2" x14ac:dyDescent="0.25">
      <c r="A2164">
        <f ca="1">31691.9733299116*((RANDBETWEEN(1620,2416)))</f>
        <v>76409347.698416799</v>
      </c>
      <c r="B2164">
        <v>174466885.36873925</v>
      </c>
    </row>
    <row r="2165" spans="1:2" x14ac:dyDescent="0.25">
      <c r="A2165">
        <f ca="1">32763.5910976542*((RANDBETWEEN(1620,2416)))</f>
        <v>58777882.429191716</v>
      </c>
      <c r="B2165">
        <v>148739112.04972941</v>
      </c>
    </row>
    <row r="2166" spans="1:2" x14ac:dyDescent="0.25">
      <c r="A2166">
        <f ca="1">39816.2020234213*((RANDBETWEEN(1620,2416)))</f>
        <v>95797782.068351626</v>
      </c>
      <c r="B2166">
        <v>182014606.11077967</v>
      </c>
    </row>
    <row r="2167" spans="1:2" x14ac:dyDescent="0.25">
      <c r="A2167">
        <f ca="1">33890.5421200642*((RANDBETWEEN(1620,2416)))</f>
        <v>67950536.95072864</v>
      </c>
      <c r="B2167">
        <v>158009080.0897378</v>
      </c>
    </row>
    <row r="2168" spans="1:2" x14ac:dyDescent="0.25">
      <c r="A2168">
        <f ca="1">30715.5857925433*((RANDBETWEEN(1620,2416)))</f>
        <v>53137963.421099968</v>
      </c>
      <c r="B2168">
        <v>196129600.44908372</v>
      </c>
    </row>
    <row r="2169" spans="1:2" x14ac:dyDescent="0.25">
      <c r="A2169">
        <f ca="1">31411.3719832625*((RANDBETWEEN(1620,2416)))</f>
        <v>53305098.255596511</v>
      </c>
      <c r="B2169">
        <v>194240559.58819914</v>
      </c>
    </row>
    <row r="2170" spans="1:2" x14ac:dyDescent="0.25">
      <c r="A2170">
        <f ca="1">38632.9418020616*((RANDBETWEEN(1620,2416)))</f>
        <v>81515507.202349961</v>
      </c>
      <c r="B2170">
        <v>143867644.09627607</v>
      </c>
    </row>
    <row r="2171" spans="1:2" x14ac:dyDescent="0.25">
      <c r="A2171">
        <f ca="1">32072.4039911176*((RANDBETWEEN(1620,2416)))</f>
        <v>52694959.757406138</v>
      </c>
      <c r="B2171">
        <v>155307127.77359492</v>
      </c>
    </row>
    <row r="2172" spans="1:2" x14ac:dyDescent="0.25">
      <c r="A2172">
        <f ca="1">34241.4112938743*((RANDBETWEEN(1620,2416)))</f>
        <v>79714005.492139488</v>
      </c>
      <c r="B2172">
        <v>163101832.82185653</v>
      </c>
    </row>
    <row r="2173" spans="1:2" x14ac:dyDescent="0.25">
      <c r="A2173">
        <f ca="1">34563.3291996792*((RANDBETWEEN(1620,2416)))</f>
        <v>62317682.547021523</v>
      </c>
      <c r="B2173">
        <v>147500295.72060823</v>
      </c>
    </row>
    <row r="2174" spans="1:2" x14ac:dyDescent="0.25">
      <c r="A2174">
        <f ca="1">37650.2211299343*((RANDBETWEEN(1620,2416)))</f>
        <v>85353051.301560998</v>
      </c>
      <c r="B2174">
        <v>160159058.75407672</v>
      </c>
    </row>
    <row r="2175" spans="1:2" x14ac:dyDescent="0.25">
      <c r="A2175">
        <f ca="1">31080.4682871469*((RANDBETWEEN(1620,2416)))</f>
        <v>60171786.603916332</v>
      </c>
      <c r="B2175">
        <v>144925292.41179848</v>
      </c>
    </row>
    <row r="2176" spans="1:2" x14ac:dyDescent="0.25">
      <c r="A2176">
        <f ca="1">29613.6267342975*((RANDBETWEEN(1620,2416)))</f>
        <v>58250003.78636317</v>
      </c>
      <c r="B2176">
        <v>154838901.78622976</v>
      </c>
    </row>
    <row r="2177" spans="1:2" x14ac:dyDescent="0.25">
      <c r="A2177">
        <f ca="1">40849.5438598892*((RANDBETWEEN(1620,2416)))</f>
        <v>82597777.684695899</v>
      </c>
      <c r="B2177">
        <v>144011251.96975318</v>
      </c>
    </row>
    <row r="2178" spans="1:2" x14ac:dyDescent="0.25">
      <c r="A2178">
        <f ca="1">38631.0899034944*((RANDBETWEEN(1620,2416)))</f>
        <v>71119836.512333155</v>
      </c>
      <c r="B2178">
        <v>162108340.15096328</v>
      </c>
    </row>
    <row r="2179" spans="1:2" x14ac:dyDescent="0.25">
      <c r="A2179">
        <f ca="1">29200.3656857519*((RANDBETWEEN(1620,2416)))</f>
        <v>48209803.747176461</v>
      </c>
      <c r="B2179">
        <v>148843137.29656601</v>
      </c>
    </row>
    <row r="2180" spans="1:2" x14ac:dyDescent="0.25">
      <c r="A2180">
        <f ca="1">28754.4482972978*((RANDBETWEEN(1620,2416)))</f>
        <v>56013665.283136062</v>
      </c>
      <c r="B2180">
        <v>157264077.58020344</v>
      </c>
    </row>
    <row r="2181" spans="1:2" x14ac:dyDescent="0.25">
      <c r="A2181">
        <f ca="1">37893.1521340274*((RANDBETWEEN(1620,2416)))</f>
        <v>72792745.249466658</v>
      </c>
      <c r="B2181">
        <v>198719933.38568908</v>
      </c>
    </row>
    <row r="2182" spans="1:2" x14ac:dyDescent="0.25">
      <c r="A2182">
        <f ca="1">32765.6197294517*((RANDBETWEEN(1620,2416)))</f>
        <v>53899444.454948053</v>
      </c>
      <c r="B2182">
        <v>169236116.25380829</v>
      </c>
    </row>
    <row r="2183" spans="1:2" x14ac:dyDescent="0.25">
      <c r="A2183">
        <f ca="1">31946.2796989183*((RANDBETWEEN(1620,2416)))</f>
        <v>64243968.474524677</v>
      </c>
      <c r="B2183">
        <v>153805310.51537448</v>
      </c>
    </row>
    <row r="2184" spans="1:2" x14ac:dyDescent="0.25">
      <c r="A2184">
        <f ca="1">31955.8187225694*((RANDBETWEEN(1620,2416)))</f>
        <v>69439994.084143341</v>
      </c>
      <c r="B2184">
        <v>156289670.47492918</v>
      </c>
    </row>
    <row r="2185" spans="1:2" x14ac:dyDescent="0.25">
      <c r="A2185">
        <f ca="1">40481.9577313355*((RANDBETWEEN(1620,2416)))</f>
        <v>97602000.090249985</v>
      </c>
      <c r="B2185">
        <v>145906818.78034747</v>
      </c>
    </row>
    <row r="2186" spans="1:2" x14ac:dyDescent="0.25">
      <c r="A2186">
        <f ca="1">31675.2245929498*((RANDBETWEEN(1620,2416)))</f>
        <v>52137419.679995336</v>
      </c>
      <c r="B2186">
        <v>190144830.35217598</v>
      </c>
    </row>
    <row r="2187" spans="1:2" x14ac:dyDescent="0.25">
      <c r="A2187">
        <f ca="1">31116.3605457265*((RANDBETWEEN(1620,2416)))</f>
        <v>53893536.465198323</v>
      </c>
      <c r="B2187">
        <v>183465327.41128555</v>
      </c>
    </row>
    <row r="2188" spans="1:2" x14ac:dyDescent="0.25">
      <c r="A2188">
        <f ca="1">33507.9400881241*((RANDBETWEEN(1620,2416)))</f>
        <v>56293339.348048501</v>
      </c>
      <c r="B2188">
        <v>144981100.70627186</v>
      </c>
    </row>
    <row r="2189" spans="1:2" x14ac:dyDescent="0.25">
      <c r="A2189">
        <f ca="1">30877.7916307703*((RANDBETWEEN(1620,2416)))</f>
        <v>53387701.729601905</v>
      </c>
      <c r="B2189">
        <v>157430612.21341127</v>
      </c>
    </row>
    <row r="2190" spans="1:2" x14ac:dyDescent="0.25">
      <c r="A2190">
        <f ca="1">32557.1532960401*((RANDBETWEEN(1620,2416)))</f>
        <v>78267396.523680434</v>
      </c>
      <c r="B2190">
        <v>154774346.36289519</v>
      </c>
    </row>
    <row r="2191" spans="1:2" x14ac:dyDescent="0.25">
      <c r="A2191">
        <f ca="1">38227.0074634855*((RANDBETWEEN(1620,2416)))</f>
        <v>88036798.188407153</v>
      </c>
      <c r="B2191">
        <v>157300991.6560092</v>
      </c>
    </row>
    <row r="2192" spans="1:2" x14ac:dyDescent="0.25">
      <c r="A2192">
        <f ca="1">33247.3468561392*((RANDBETWEEN(1620,2416)))</f>
        <v>69752933.704179987</v>
      </c>
      <c r="B2192">
        <v>164497498.8796016</v>
      </c>
    </row>
    <row r="2193" spans="1:2" x14ac:dyDescent="0.25">
      <c r="A2193">
        <f ca="1">32927.4730314427*((RANDBETWEEN(1620,2416)))</f>
        <v>79453992.424871311</v>
      </c>
      <c r="B2193">
        <v>146333530.45349929</v>
      </c>
    </row>
    <row r="2194" spans="1:2" x14ac:dyDescent="0.25">
      <c r="A2194">
        <f ca="1">33688.7341948113*((RANDBETWEEN(1620,2416)))</f>
        <v>75496453.330572128</v>
      </c>
      <c r="B2194">
        <v>173640811.4751395</v>
      </c>
    </row>
    <row r="2195" spans="1:2" x14ac:dyDescent="0.25">
      <c r="A2195">
        <f ca="1">31648.6095609908*((RANDBETWEEN(1620,2416)))</f>
        <v>76019960.165499896</v>
      </c>
      <c r="B2195">
        <v>164679944.86997011</v>
      </c>
    </row>
    <row r="2196" spans="1:2" x14ac:dyDescent="0.25">
      <c r="A2196">
        <f ca="1">29604.3222441844*((RANDBETWEEN(1620,2416)))</f>
        <v>69422135.662612304</v>
      </c>
      <c r="B2196">
        <v>143955280.10317647</v>
      </c>
    </row>
    <row r="2197" spans="1:2" x14ac:dyDescent="0.25">
      <c r="A2197">
        <f ca="1">36241.1481493428*((RANDBETWEEN(1620,2416)))</f>
        <v>81578824.484170541</v>
      </c>
      <c r="B2197">
        <v>147246921.51657367</v>
      </c>
    </row>
    <row r="2198" spans="1:2" x14ac:dyDescent="0.25">
      <c r="A2198">
        <f ca="1">32391.7840447823*((RANDBETWEEN(1620,2416)))</f>
        <v>73756092.269969255</v>
      </c>
      <c r="B2198">
        <v>155201825.14146173</v>
      </c>
    </row>
    <row r="2199" spans="1:2" x14ac:dyDescent="0.25">
      <c r="A2199">
        <f ca="1">42447.963942944*((RANDBETWEEN(1620,2416)))</f>
        <v>71057891.640488297</v>
      </c>
      <c r="B2199">
        <v>188755156.08109087</v>
      </c>
    </row>
    <row r="2200" spans="1:2" x14ac:dyDescent="0.25">
      <c r="A2200">
        <f ca="1">32437.640311643*((RANDBETWEEN(1620,2416)))</f>
        <v>69773364.310344145</v>
      </c>
      <c r="B2200">
        <v>189866767.23410678</v>
      </c>
    </row>
    <row r="2201" spans="1:2" x14ac:dyDescent="0.25">
      <c r="A2201">
        <f ca="1">39537.2838103799*((RANDBETWEEN(1620,2416)))</f>
        <v>74409168.131134987</v>
      </c>
      <c r="B2201">
        <v>177072321.98760986</v>
      </c>
    </row>
    <row r="2202" spans="1:2" x14ac:dyDescent="0.25">
      <c r="A2202">
        <f ca="1">28046.2958228675*((RANDBETWEEN(1620,2416)))</f>
        <v>52558758.372053653</v>
      </c>
      <c r="B2202">
        <v>168170903.10973024</v>
      </c>
    </row>
    <row r="2203" spans="1:2" x14ac:dyDescent="0.25">
      <c r="A2203">
        <f ca="1">32722.6349993638*((RANDBETWEEN(1620,2416)))</f>
        <v>78730659.808469385</v>
      </c>
      <c r="B2203">
        <v>181434326.90926281</v>
      </c>
    </row>
    <row r="2204" spans="1:2" x14ac:dyDescent="0.25">
      <c r="A2204">
        <f ca="1">35195.1845916029*((RANDBETWEEN(1620,2416)))</f>
        <v>69017756.984133288</v>
      </c>
      <c r="B2204">
        <v>178290758.13022259</v>
      </c>
    </row>
    <row r="2205" spans="1:2" x14ac:dyDescent="0.25">
      <c r="A2205">
        <f ca="1">31155.1925224543*((RANDBETWEEN(1620,2416)))</f>
        <v>70099183.175522149</v>
      </c>
      <c r="B2205">
        <v>147465663.5009335</v>
      </c>
    </row>
    <row r="2206" spans="1:2" x14ac:dyDescent="0.25">
      <c r="A2206">
        <f ca="1">35175.9010233965*((RANDBETWEEN(1620,2416)))</f>
        <v>72638235.613313779</v>
      </c>
      <c r="B2206">
        <v>168665115.23390436</v>
      </c>
    </row>
    <row r="2207" spans="1:2" x14ac:dyDescent="0.25">
      <c r="A2207">
        <f ca="1">29928.5471869034*((RANDBETWEEN(1620,2416)))</f>
        <v>50609173.293053605</v>
      </c>
      <c r="B2207">
        <v>160104926.45047489</v>
      </c>
    </row>
    <row r="2208" spans="1:2" x14ac:dyDescent="0.25">
      <c r="A2208">
        <f ca="1">28930.1050075032*((RANDBETWEEN(1620,2416)))</f>
        <v>62575817.131229475</v>
      </c>
      <c r="B2208">
        <v>198348584.16364935</v>
      </c>
    </row>
    <row r="2209" spans="1:2" x14ac:dyDescent="0.25">
      <c r="A2209">
        <f ca="1">39677.1721002863*((RANDBETWEEN(1620,2416)))</f>
        <v>87408810.136930779</v>
      </c>
      <c r="B2209">
        <v>201475486.12610137</v>
      </c>
    </row>
    <row r="2210" spans="1:2" x14ac:dyDescent="0.25">
      <c r="A2210">
        <f ca="1">32045.8564891031*((RANDBETWEEN(1620,2416)))</f>
        <v>56753211.842201591</v>
      </c>
      <c r="B2210">
        <v>199639593.71813816</v>
      </c>
    </row>
    <row r="2211" spans="1:2" x14ac:dyDescent="0.25">
      <c r="A2211">
        <f ca="1">38094.257397937*((RANDBETWEEN(1620,2416)))</f>
        <v>89864353.201733395</v>
      </c>
      <c r="B2211">
        <v>168751899.66366807</v>
      </c>
    </row>
    <row r="2212" spans="1:2" x14ac:dyDescent="0.25">
      <c r="A2212">
        <f ca="1">28496.614745602*((RANDBETWEEN(1620,2416)))</f>
        <v>50296525.025987566</v>
      </c>
      <c r="B2212">
        <v>144342154.27050638</v>
      </c>
    </row>
    <row r="2213" spans="1:2" x14ac:dyDescent="0.25">
      <c r="A2213">
        <f ca="1">30139.2646152519*((RANDBETWEEN(1620,2416)))</f>
        <v>60097693.642812274</v>
      </c>
      <c r="B2213">
        <v>143018288.57597971</v>
      </c>
    </row>
    <row r="2214" spans="1:2" x14ac:dyDescent="0.25">
      <c r="A2214">
        <f ca="1">32615.5568304514*((RANDBETWEEN(1620,2416)))</f>
        <v>61284631.284418173</v>
      </c>
      <c r="B2214">
        <v>184637623.23251593</v>
      </c>
    </row>
    <row r="2215" spans="1:2" x14ac:dyDescent="0.25">
      <c r="A2215">
        <f ca="1">33032.1172280498*((RANDBETWEEN(1620,2416)))</f>
        <v>75610516.335005969</v>
      </c>
      <c r="B2215">
        <v>178612610.8134836</v>
      </c>
    </row>
    <row r="2216" spans="1:2" x14ac:dyDescent="0.25">
      <c r="A2216">
        <f ca="1">36341.7903374119*((RANDBETWEEN(1620,2416)))</f>
        <v>79225102.935558006</v>
      </c>
      <c r="B2216">
        <v>173669987.25722897</v>
      </c>
    </row>
    <row r="2217" spans="1:2" x14ac:dyDescent="0.25">
      <c r="A2217">
        <f ca="1">36403.3738825669*((RANDBETWEEN(1620,2416)))</f>
        <v>74044462.477141127</v>
      </c>
      <c r="B2217">
        <v>161818194.90925828</v>
      </c>
    </row>
    <row r="2218" spans="1:2" x14ac:dyDescent="0.25">
      <c r="A2218">
        <f ca="1">28129.9573774493*((RANDBETWEEN(1620,2416)))</f>
        <v>67736937.364897892</v>
      </c>
      <c r="B2218">
        <v>143860156.79999319</v>
      </c>
    </row>
    <row r="2219" spans="1:2" x14ac:dyDescent="0.25">
      <c r="A2219">
        <f ca="1">31110.3201209998*((RANDBETWEEN(1620,2416)))</f>
        <v>70713757.635032624</v>
      </c>
      <c r="B2219">
        <v>167606275.78216571</v>
      </c>
    </row>
    <row r="2220" spans="1:2" x14ac:dyDescent="0.25">
      <c r="A2220">
        <f ca="1">39188.1496759643*((RANDBETWEEN(1620,2416)))</f>
        <v>85626107.04198201</v>
      </c>
      <c r="B2220">
        <v>161268328.31956184</v>
      </c>
    </row>
    <row r="2221" spans="1:2" x14ac:dyDescent="0.25">
      <c r="A2221">
        <f ca="1">38003.0022997062*((RANDBETWEEN(1620,2416)))</f>
        <v>63693031.85430754</v>
      </c>
      <c r="B2221">
        <v>179987852.68579245</v>
      </c>
    </row>
    <row r="2222" spans="1:2" x14ac:dyDescent="0.25">
      <c r="A2222">
        <f ca="1">34971.0210483748*((RANDBETWEEN(1620,2416)))</f>
        <v>61653910.108284727</v>
      </c>
      <c r="B2222">
        <v>178452943.18030179</v>
      </c>
    </row>
    <row r="2223" spans="1:2" x14ac:dyDescent="0.25">
      <c r="A2223">
        <f ca="1">30792.5134339535*((RANDBETWEEN(1620,2416)))</f>
        <v>71253876.086168423</v>
      </c>
      <c r="B2223">
        <v>143224279.58340949</v>
      </c>
    </row>
    <row r="2224" spans="1:2" x14ac:dyDescent="0.25">
      <c r="A2224">
        <f ca="1">30523.3059507005*((RANDBETWEEN(1620,2416)))</f>
        <v>55399800.300521478</v>
      </c>
      <c r="B2224">
        <v>184820861.34620339</v>
      </c>
    </row>
    <row r="2225" spans="1:2" x14ac:dyDescent="0.25">
      <c r="A2225">
        <f ca="1">33899.0030072594*((RANDBETWEEN(1620,2416)))</f>
        <v>74815099.637021482</v>
      </c>
      <c r="B2225">
        <v>167445930.60916075</v>
      </c>
    </row>
    <row r="2226" spans="1:2" x14ac:dyDescent="0.25">
      <c r="A2226">
        <f ca="1">29044.2033380433*((RANDBETWEEN(1620,2416)))</f>
        <v>47690581.881067127</v>
      </c>
      <c r="B2226">
        <v>163003240.57289663</v>
      </c>
    </row>
    <row r="2227" spans="1:2" x14ac:dyDescent="0.25">
      <c r="A2227">
        <f ca="1">30887.7948186405*((RANDBETWEEN(1620,2416)))</f>
        <v>73173185.925359383</v>
      </c>
      <c r="B2227">
        <v>187962002.46717137</v>
      </c>
    </row>
    <row r="2228" spans="1:2" x14ac:dyDescent="0.25">
      <c r="A2228">
        <f ca="1">30291.8564127636*((RANDBETWEEN(1620,2416)))</f>
        <v>64158151.88223327</v>
      </c>
      <c r="B2228">
        <v>184988400.07359731</v>
      </c>
    </row>
    <row r="2229" spans="1:2" x14ac:dyDescent="0.25">
      <c r="A2229">
        <f ca="1">31599.3305949028*((RANDBETWEEN(1620,2416)))</f>
        <v>68854941.366293117</v>
      </c>
      <c r="B2229">
        <v>189477028.34168363</v>
      </c>
    </row>
    <row r="2230" spans="1:2" x14ac:dyDescent="0.25">
      <c r="A2230">
        <f ca="1">33325.7469741736*((RANDBETWEEN(1620,2416)))</f>
        <v>55254088.48317989</v>
      </c>
      <c r="B2230">
        <v>145947252.7246784</v>
      </c>
    </row>
    <row r="2231" spans="1:2" x14ac:dyDescent="0.25">
      <c r="A2231">
        <f ca="1">32588.6422325463*((RANDBETWEEN(1620,2416)))</f>
        <v>75801181.832902774</v>
      </c>
      <c r="B2231">
        <v>179519825.08347458</v>
      </c>
    </row>
    <row r="2232" spans="1:2" x14ac:dyDescent="0.25">
      <c r="A2232">
        <f ca="1">32597.843835362*((RANDBETWEEN(1620,2416)))</f>
        <v>63337610.572108284</v>
      </c>
      <c r="B2232">
        <v>147769484.87387288</v>
      </c>
    </row>
    <row r="2233" spans="1:2" x14ac:dyDescent="0.25">
      <c r="A2233">
        <f ca="1">35282.2653018522*((RANDBETWEEN(1620,2416)))</f>
        <v>64848803.62480443</v>
      </c>
      <c r="B2233">
        <v>160007851.924546</v>
      </c>
    </row>
    <row r="2234" spans="1:2" x14ac:dyDescent="0.25">
      <c r="A2234">
        <f ca="1">30428.4072593673*((RANDBETWEEN(1620,2416)))</f>
        <v>52336860.486111842</v>
      </c>
      <c r="B2234">
        <v>167744396.00989214</v>
      </c>
    </row>
    <row r="2235" spans="1:2" x14ac:dyDescent="0.25">
      <c r="A2235">
        <f ca="1">42734.2583645329*((RANDBETWEEN(1620,2416)))</f>
        <v>70297855.009656653</v>
      </c>
      <c r="B2235">
        <v>192807179.27079722</v>
      </c>
    </row>
    <row r="2236" spans="1:2" x14ac:dyDescent="0.25">
      <c r="A2236">
        <f ca="1">33280.3085834773*((RANDBETWEEN(1620,2416)))</f>
        <v>69622405.556634575</v>
      </c>
      <c r="B2236">
        <v>196762305.93030164</v>
      </c>
    </row>
    <row r="2237" spans="1:2" x14ac:dyDescent="0.25">
      <c r="A2237">
        <f ca="1">35530.0245327637*((RANDBETWEEN(1620,2416)))</f>
        <v>58091590.111068644</v>
      </c>
      <c r="B2237">
        <v>182868342.88373291</v>
      </c>
    </row>
    <row r="2238" spans="1:2" x14ac:dyDescent="0.25">
      <c r="A2238">
        <f ca="1">30220.0265710549*((RANDBETWEEN(1620,2416)))</f>
        <v>62797215.214652143</v>
      </c>
      <c r="B2238">
        <v>146524097.47979873</v>
      </c>
    </row>
    <row r="2239" spans="1:2" x14ac:dyDescent="0.25">
      <c r="A2239">
        <f ca="1">42030.4878968442*((RANDBETWEEN(1620,2416)))</f>
        <v>79227469.685551405</v>
      </c>
      <c r="B2239">
        <v>153058400.19918758</v>
      </c>
    </row>
    <row r="2240" spans="1:2" x14ac:dyDescent="0.25">
      <c r="A2240">
        <f ca="1">33693.0073573155*((RANDBETWEEN(1620,2416)))</f>
        <v>60681106.250525288</v>
      </c>
      <c r="B2240">
        <v>201322975.36937419</v>
      </c>
    </row>
    <row r="2241" spans="1:2" x14ac:dyDescent="0.25">
      <c r="A2241">
        <f ca="1">34897.7537183832*((RANDBETWEEN(1620,2416)))</f>
        <v>71121622.078064904</v>
      </c>
      <c r="B2241">
        <v>183325678.68686104</v>
      </c>
    </row>
    <row r="2242" spans="1:2" x14ac:dyDescent="0.25">
      <c r="A2242">
        <f ca="1">27703.7651059467*((RANDBETWEEN(1620,2416)))</f>
        <v>45877435.015447795</v>
      </c>
      <c r="B2242">
        <v>163511640.6147325</v>
      </c>
    </row>
    <row r="2243" spans="1:2" x14ac:dyDescent="0.25">
      <c r="A2243">
        <f ca="1">31720.0442571298*((RANDBETWEEN(1620,2416)))</f>
        <v>72194820.729227498</v>
      </c>
      <c r="B2243">
        <v>168414381.30721763</v>
      </c>
    </row>
    <row r="2244" spans="1:2" x14ac:dyDescent="0.25">
      <c r="A2244">
        <f ca="1">34701.9631556076*((RANDBETWEEN(1620,2416)))</f>
        <v>81653719.305144712</v>
      </c>
      <c r="B2244">
        <v>174659286.90004241</v>
      </c>
    </row>
    <row r="2245" spans="1:2" x14ac:dyDescent="0.25">
      <c r="A2245">
        <f ca="1">31978.0100316775*((RANDBETWEEN(1620,2416)))</f>
        <v>68528875.497884884</v>
      </c>
      <c r="B2245">
        <v>169819150.9285205</v>
      </c>
    </row>
    <row r="2246" spans="1:2" x14ac:dyDescent="0.25">
      <c r="A2246">
        <f ca="1">32103.6722714506*((RANDBETWEEN(1620,2416)))</f>
        <v>70949115.719905823</v>
      </c>
      <c r="B2246">
        <v>152076331.16038135</v>
      </c>
    </row>
    <row r="2247" spans="1:2" x14ac:dyDescent="0.25">
      <c r="A2247">
        <f ca="1">40523.2363048459*((RANDBETWEEN(1620,2416)))</f>
        <v>76669963.088768348</v>
      </c>
      <c r="B2247">
        <v>158959585.17613682</v>
      </c>
    </row>
    <row r="2248" spans="1:2" x14ac:dyDescent="0.25">
      <c r="A2248">
        <f ca="1">30003.0452926037*((RANDBETWEEN(1620,2416)))</f>
        <v>55205603.338390864</v>
      </c>
      <c r="B2248">
        <v>148191444.48010927</v>
      </c>
    </row>
    <row r="2249" spans="1:2" x14ac:dyDescent="0.25">
      <c r="A2249">
        <f ca="1">29692.7894665013*((RANDBETWEEN(1620,2416)))</f>
        <v>62236086.721786723</v>
      </c>
      <c r="B2249">
        <v>192939061.70784205</v>
      </c>
    </row>
    <row r="2250" spans="1:2" x14ac:dyDescent="0.25">
      <c r="A2250">
        <f ca="1">30532.4686245087*((RANDBETWEEN(1620,2416)))</f>
        <v>50042716.075569697</v>
      </c>
      <c r="B2250">
        <v>160923552.23304182</v>
      </c>
    </row>
    <row r="2251" spans="1:2" x14ac:dyDescent="0.25">
      <c r="A2251">
        <f ca="1">30623.5831092263*((RANDBETWEEN(1620,2416)))</f>
        <v>64340148.112484545</v>
      </c>
      <c r="B2251">
        <v>192572463.72634345</v>
      </c>
    </row>
    <row r="2252" spans="1:2" x14ac:dyDescent="0.25">
      <c r="A2252">
        <f ca="1">32148.6399344563*((RANDBETWEEN(1620,2416)))</f>
        <v>63718604.350092463</v>
      </c>
      <c r="B2252">
        <v>160951927.14712536</v>
      </c>
    </row>
    <row r="2253" spans="1:2" x14ac:dyDescent="0.25">
      <c r="A2253">
        <f ca="1">30475.1679608186*((RANDBETWEEN(1620,2416)))</f>
        <v>68112000.392429665</v>
      </c>
      <c r="B2253">
        <v>181081968.75562119</v>
      </c>
    </row>
    <row r="2254" spans="1:2" x14ac:dyDescent="0.25">
      <c r="A2254">
        <f ca="1">34420.5755893157*((RANDBETWEEN(1620,2416)))</f>
        <v>70080291.899846748</v>
      </c>
      <c r="B2254">
        <v>196743505.72018754</v>
      </c>
    </row>
    <row r="2255" spans="1:2" x14ac:dyDescent="0.25">
      <c r="A2255">
        <f ca="1">31622.1030749972*((RANDBETWEEN(1620,2416)))</f>
        <v>66754259.591318987</v>
      </c>
      <c r="B2255">
        <v>191800850.70996353</v>
      </c>
    </row>
    <row r="2256" spans="1:2" x14ac:dyDescent="0.25">
      <c r="A2256">
        <f ca="1">29777.7333151935*((RANDBETWEEN(1620,2416)))</f>
        <v>48299483.437243827</v>
      </c>
      <c r="B2256">
        <v>145602452.45213372</v>
      </c>
    </row>
    <row r="2257" spans="1:2" x14ac:dyDescent="0.25">
      <c r="A2257">
        <f ca="1">29846.413353548*((RANDBETWEEN(1620,2416)))</f>
        <v>58618355.82636828</v>
      </c>
      <c r="B2257">
        <v>164333918.00270033</v>
      </c>
    </row>
    <row r="2258" spans="1:2" x14ac:dyDescent="0.25">
      <c r="A2258">
        <f ca="1">31676.7475280684*((RANDBETWEEN(1620,2416)))</f>
        <v>57208206.035691462</v>
      </c>
      <c r="B2258">
        <v>201188010.22396618</v>
      </c>
    </row>
    <row r="2259" spans="1:2" x14ac:dyDescent="0.25">
      <c r="A2259">
        <f ca="1">30866.0786277586*((RANDBETWEEN(1620,2416)))</f>
        <v>53614378.576416649</v>
      </c>
      <c r="B2259">
        <v>201521462.96778554</v>
      </c>
    </row>
    <row r="2260" spans="1:2" x14ac:dyDescent="0.25">
      <c r="A2260">
        <f ca="1">29597.0066775481*((RANDBETWEEN(1620,2416)))</f>
        <v>58868446.281643309</v>
      </c>
      <c r="B2260">
        <v>181087078.63897723</v>
      </c>
    </row>
    <row r="2261" spans="1:2" x14ac:dyDescent="0.25">
      <c r="A2261">
        <f ca="1">34665.8312995415*((RANDBETWEEN(1620,2416)))</f>
        <v>56955960.825146616</v>
      </c>
      <c r="B2261">
        <v>198450558.97101495</v>
      </c>
    </row>
    <row r="2262" spans="1:2" x14ac:dyDescent="0.25">
      <c r="A2262">
        <f ca="1">31385.9106956187*((RANDBETWEEN(1620,2416)))</f>
        <v>68735144.423404962</v>
      </c>
      <c r="B2262">
        <v>198491225.19393057</v>
      </c>
    </row>
    <row r="2263" spans="1:2" x14ac:dyDescent="0.25">
      <c r="A2263">
        <f ca="1">35913.3548206819*((RANDBETWEEN(1620,2416)))</f>
        <v>82852109.571313053</v>
      </c>
      <c r="B2263">
        <v>180593872.43890387</v>
      </c>
    </row>
    <row r="2264" spans="1:2" x14ac:dyDescent="0.25">
      <c r="A2264">
        <f ca="1">36182.3550654802*((RANDBETWEEN(1620,2416)))</f>
        <v>79854457.629514694</v>
      </c>
      <c r="B2264">
        <v>192131250.97812745</v>
      </c>
    </row>
    <row r="2265" spans="1:2" x14ac:dyDescent="0.25">
      <c r="A2265">
        <f ca="1">34570.9783593085*((RANDBETWEEN(1620,2416)))</f>
        <v>73670754.883686423</v>
      </c>
      <c r="B2265">
        <v>143071085.44526312</v>
      </c>
    </row>
    <row r="2266" spans="1:2" x14ac:dyDescent="0.25">
      <c r="A2266">
        <f ca="1">37564.5000731251*((RANDBETWEEN(1620,2416)))</f>
        <v>80350465.656414688</v>
      </c>
      <c r="B2266">
        <v>151302654.20761067</v>
      </c>
    </row>
    <row r="2267" spans="1:2" x14ac:dyDescent="0.25">
      <c r="A2267">
        <f ca="1">30031.7547218398*((RANDBETWEEN(1620,2416)))</f>
        <v>67000844.784424506</v>
      </c>
      <c r="B2267">
        <v>157930948.40721026</v>
      </c>
    </row>
    <row r="2268" spans="1:2" x14ac:dyDescent="0.25">
      <c r="A2268">
        <f ca="1">31184.3073837138*((RANDBETWEEN(1620,2416)))</f>
        <v>60248081.86533504</v>
      </c>
      <c r="B2268">
        <v>166216761.24955699</v>
      </c>
    </row>
    <row r="2269" spans="1:2" x14ac:dyDescent="0.25">
      <c r="A2269">
        <f ca="1">29403.377641575*((RANDBETWEEN(1620,2416)))</f>
        <v>52896676.377193503</v>
      </c>
      <c r="B2269">
        <v>171165915.72290722</v>
      </c>
    </row>
    <row r="2270" spans="1:2" x14ac:dyDescent="0.25">
      <c r="A2270">
        <f ca="1">30271.4401167658*((RANDBETWEEN(1620,2416)))</f>
        <v>66627439.697001435</v>
      </c>
      <c r="B2270">
        <v>186029706.57924634</v>
      </c>
    </row>
    <row r="2271" spans="1:2" x14ac:dyDescent="0.25">
      <c r="A2271">
        <f ca="1">33666.6901808794*((RANDBETWEEN(1620,2416)))</f>
        <v>56795706.335143521</v>
      </c>
      <c r="B2271">
        <v>156549638.60410738</v>
      </c>
    </row>
    <row r="2272" spans="1:2" x14ac:dyDescent="0.25">
      <c r="A2272">
        <f ca="1">35808.2531040445*((RANDBETWEEN(1620,2416)))</f>
        <v>59441700.152713872</v>
      </c>
      <c r="B2272">
        <v>200546129.58536208</v>
      </c>
    </row>
    <row r="2273" spans="1:2" x14ac:dyDescent="0.25">
      <c r="A2273">
        <f ca="1">35150.7192020753*((RANDBETWEEN(1620,2416)))</f>
        <v>80319393.376742005</v>
      </c>
      <c r="B2273">
        <v>185279528.06569579</v>
      </c>
    </row>
    <row r="2274" spans="1:2" x14ac:dyDescent="0.25">
      <c r="A2274">
        <f ca="1">30311.5579843149*((RANDBETWEEN(1620,2416)))</f>
        <v>69231598.436175317</v>
      </c>
      <c r="B2274">
        <v>171164419.14260203</v>
      </c>
    </row>
    <row r="2275" spans="1:2" x14ac:dyDescent="0.25">
      <c r="A2275">
        <f ca="1">31668.4393065723*((RANDBETWEEN(1620,2416)))</f>
        <v>70557282.775043055</v>
      </c>
      <c r="B2275">
        <v>148648529.56483346</v>
      </c>
    </row>
    <row r="2276" spans="1:2" x14ac:dyDescent="0.25">
      <c r="A2276">
        <f ca="1">36151.1293385389*((RANDBETWEEN(1620,2416)))</f>
        <v>64095952.317229509</v>
      </c>
      <c r="B2276">
        <v>170746899.57743791</v>
      </c>
    </row>
    <row r="2277" spans="1:2" x14ac:dyDescent="0.25">
      <c r="A2277">
        <f ca="1">37470.6060674885*((RANDBETWEEN(1620,2416)))</f>
        <v>79625037.893413067</v>
      </c>
      <c r="B2277">
        <v>146505074.61460364</v>
      </c>
    </row>
    <row r="2278" spans="1:2" x14ac:dyDescent="0.25">
      <c r="A2278">
        <f ca="1">29623.886912005*((RANDBETWEEN(1620,2416)))</f>
        <v>60047618.770634063</v>
      </c>
      <c r="B2278">
        <v>173300725.98154449</v>
      </c>
    </row>
    <row r="2279" spans="1:2" x14ac:dyDescent="0.25">
      <c r="A2279">
        <f ca="1">36080.4152263386*((RANDBETWEEN(1620,2416)))</f>
        <v>66099320.694652326</v>
      </c>
      <c r="B2279">
        <v>151356114.80931279</v>
      </c>
    </row>
    <row r="2280" spans="1:2" x14ac:dyDescent="0.25">
      <c r="A2280">
        <f ca="1">35059.4279690792*((RANDBETWEEN(1620,2416)))</f>
        <v>69733202.230498493</v>
      </c>
      <c r="B2280">
        <v>154716035.31687343</v>
      </c>
    </row>
    <row r="2281" spans="1:2" x14ac:dyDescent="0.25">
      <c r="A2281">
        <f ca="1">34952.3358655553*((RANDBETWEEN(1620,2416)))</f>
        <v>58230591.552015059</v>
      </c>
      <c r="B2281">
        <v>177605664.55928108</v>
      </c>
    </row>
    <row r="2282" spans="1:2" x14ac:dyDescent="0.25">
      <c r="A2282">
        <f ca="1">36690.7935272283*((RANDBETWEEN(1620,2416)))</f>
        <v>86920489.866003931</v>
      </c>
      <c r="B2282">
        <v>156603839.09999394</v>
      </c>
    </row>
    <row r="2283" spans="1:2" x14ac:dyDescent="0.25">
      <c r="A2283">
        <f ca="1">34318.3120023642*((RANDBETWEEN(1620,2416)))</f>
        <v>70901632.596884519</v>
      </c>
      <c r="B2283">
        <v>178294795.67912969</v>
      </c>
    </row>
    <row r="2284" spans="1:2" x14ac:dyDescent="0.25">
      <c r="A2284">
        <f ca="1">31125.4915443519*((RANDBETWEEN(1620,2416)))</f>
        <v>61099339.901562817</v>
      </c>
      <c r="B2284">
        <v>168967372.45398259</v>
      </c>
    </row>
    <row r="2285" spans="1:2" x14ac:dyDescent="0.25">
      <c r="A2285">
        <f ca="1">38959.9998830421*((RANDBETWEEN(1620,2416)))</f>
        <v>69699439.79076232</v>
      </c>
      <c r="B2285">
        <v>144828103.25306064</v>
      </c>
    </row>
    <row r="2286" spans="1:2" x14ac:dyDescent="0.25">
      <c r="A2286">
        <f ca="1">32329.6613405923*((RANDBETWEEN(1620,2416)))</f>
        <v>64820970.987887472</v>
      </c>
      <c r="B2286">
        <v>198267524.58508676</v>
      </c>
    </row>
    <row r="2287" spans="1:2" x14ac:dyDescent="0.25">
      <c r="A2287">
        <f ca="1">37108.276860006*((RANDBETWEEN(1620,2416)))</f>
        <v>77741840.021712601</v>
      </c>
      <c r="B2287">
        <v>162672912.75100777</v>
      </c>
    </row>
    <row r="2288" spans="1:2" x14ac:dyDescent="0.25">
      <c r="A2288">
        <f ca="1">32856.2072589232*((RANDBETWEEN(1620,2416)))</f>
        <v>73302198.394657657</v>
      </c>
      <c r="B2288">
        <v>155426100.13755524</v>
      </c>
    </row>
    <row r="2289" spans="1:2" x14ac:dyDescent="0.25">
      <c r="A2289">
        <f ca="1">36591.4730431117*((RANDBETWEEN(1620,2416)))</f>
        <v>76915276.336620793</v>
      </c>
      <c r="B2289">
        <v>149545966.78742611</v>
      </c>
    </row>
    <row r="2290" spans="1:2" x14ac:dyDescent="0.25">
      <c r="A2290">
        <f ca="1">34888.8204296557*((RANDBETWEEN(1620,2416)))</f>
        <v>62764987.952950649</v>
      </c>
      <c r="B2290">
        <v>169170043.99876115</v>
      </c>
    </row>
    <row r="2291" spans="1:2" x14ac:dyDescent="0.25">
      <c r="A2291">
        <f ca="1">30438.8249179879*((RANDBETWEEN(1620,2416)))</f>
        <v>53876720.104838528</v>
      </c>
      <c r="B2291">
        <v>165646193.58000848</v>
      </c>
    </row>
    <row r="2292" spans="1:2" x14ac:dyDescent="0.25">
      <c r="A2292">
        <f ca="1">40280.1286554754*((RANDBETWEEN(1620,2416)))</f>
        <v>88978804.199945211</v>
      </c>
      <c r="B2292">
        <v>153385029.67305714</v>
      </c>
    </row>
    <row r="2293" spans="1:2" x14ac:dyDescent="0.25">
      <c r="A2293">
        <f ca="1">31824.8756397073*((RANDBETWEEN(1620,2416)))</f>
        <v>54293237.841340609</v>
      </c>
      <c r="B2293">
        <v>182887996.79254961</v>
      </c>
    </row>
    <row r="2294" spans="1:2" x14ac:dyDescent="0.25">
      <c r="A2294">
        <f ca="1">31842.1457874637*((RANDBETWEEN(1620,2416)))</f>
        <v>60372708.41303128</v>
      </c>
      <c r="B2294">
        <v>202879466.30615467</v>
      </c>
    </row>
    <row r="2295" spans="1:2" x14ac:dyDescent="0.25">
      <c r="A2295">
        <f ca="1">31125.7321293464*((RANDBETWEEN(1620,2416)))</f>
        <v>64181259.6507122</v>
      </c>
      <c r="B2295">
        <v>169772683.47979254</v>
      </c>
    </row>
    <row r="2296" spans="1:2" x14ac:dyDescent="0.25">
      <c r="A2296">
        <f ca="1">42340.1663136155*((RANDBETWEEN(1620,2416)))</f>
        <v>77440164.187602788</v>
      </c>
      <c r="B2296">
        <v>171843077.22256458</v>
      </c>
    </row>
    <row r="2297" spans="1:2" x14ac:dyDescent="0.25">
      <c r="A2297">
        <f ca="1">31058.6372035889*((RANDBETWEEN(1620,2416)))</f>
        <v>61092339.379459329</v>
      </c>
      <c r="B2297">
        <v>169109556.63598064</v>
      </c>
    </row>
    <row r="2298" spans="1:2" x14ac:dyDescent="0.25">
      <c r="A2298">
        <f ca="1">28622.1113336295*((RANDBETWEEN(1620,2416)))</f>
        <v>49916962.165849797</v>
      </c>
      <c r="B2298">
        <v>182225618.41071665</v>
      </c>
    </row>
    <row r="2299" spans="1:2" x14ac:dyDescent="0.25">
      <c r="A2299">
        <f ca="1">33759.5314811465*((RANDBETWEEN(1620,2416)))</f>
        <v>68903203.753020033</v>
      </c>
      <c r="B2299">
        <v>188603693.58386448</v>
      </c>
    </row>
    <row r="2300" spans="1:2" x14ac:dyDescent="0.25">
      <c r="A2300">
        <f ca="1">33191.3858256356*((RANDBETWEEN(1620,2416)))</f>
        <v>71228713.981813967</v>
      </c>
      <c r="B2300">
        <v>163825385.84126151</v>
      </c>
    </row>
    <row r="2301" spans="1:2" x14ac:dyDescent="0.25">
      <c r="A2301">
        <f ca="1">31462.726926177*((RANDBETWEEN(1620,2416)))</f>
        <v>53329322.139869936</v>
      </c>
      <c r="B2301">
        <v>159177896.74135885</v>
      </c>
    </row>
    <row r="2302" spans="1:2" x14ac:dyDescent="0.25">
      <c r="A2302">
        <f ca="1">30406.945254201*((RANDBETWEEN(1620,2416)))</f>
        <v>63459294.745517418</v>
      </c>
      <c r="B2302">
        <v>200306402.10039675</v>
      </c>
    </row>
    <row r="2303" spans="1:2" x14ac:dyDescent="0.25">
      <c r="A2303">
        <f ca="1">32943.8958407184*((RANDBETWEEN(1620,2416)))</f>
        <v>77780538.079936251</v>
      </c>
      <c r="B2303">
        <v>160420153.63471621</v>
      </c>
    </row>
    <row r="2304" spans="1:2" x14ac:dyDescent="0.25">
      <c r="A2304">
        <f ca="1">31710.7328553274*((RANDBETWEEN(1620,2416)))</f>
        <v>60662631.952241234</v>
      </c>
      <c r="B2304">
        <v>178510603.2474215</v>
      </c>
    </row>
    <row r="2305" spans="1:2" x14ac:dyDescent="0.25">
      <c r="A2305">
        <f ca="1">31728.0676603512*((RANDBETWEEN(1620,2416)))</f>
        <v>68088433.199113697</v>
      </c>
      <c r="B2305">
        <v>149782030.92373416</v>
      </c>
    </row>
    <row r="2306" spans="1:2" x14ac:dyDescent="0.25">
      <c r="A2306">
        <f ca="1">29796.5598521725*((RANDBETWEEN(1620,2416)))</f>
        <v>67787173.663692355</v>
      </c>
      <c r="B2306">
        <v>182610350.47653878</v>
      </c>
    </row>
    <row r="2307" spans="1:2" x14ac:dyDescent="0.25">
      <c r="A2307">
        <f ca="1">35956.2299474889*((RANDBETWEEN(1620,2416)))</f>
        <v>73890052.542089716</v>
      </c>
      <c r="B2307">
        <v>145517444.55960551</v>
      </c>
    </row>
    <row r="2308" spans="1:2" x14ac:dyDescent="0.25">
      <c r="A2308">
        <f ca="1">40351.2255148548*((RANDBETWEEN(1620,2416)))</f>
        <v>95834160.597780108</v>
      </c>
      <c r="B2308">
        <v>186297214.98198825</v>
      </c>
    </row>
    <row r="2309" spans="1:2" x14ac:dyDescent="0.25">
      <c r="A2309">
        <f ca="1">29495.4143983432*((RANDBETWEEN(1620,2416)))</f>
        <v>63887067.586811289</v>
      </c>
      <c r="B2309">
        <v>190498800.13973731</v>
      </c>
    </row>
    <row r="2310" spans="1:2" x14ac:dyDescent="0.25">
      <c r="A2310">
        <f ca="1">40723.4293810155*((RANDBETWEEN(1620,2416)))</f>
        <v>84175328.530558974</v>
      </c>
      <c r="B2310">
        <v>185535526.71858716</v>
      </c>
    </row>
    <row r="2311" spans="1:2" x14ac:dyDescent="0.25">
      <c r="A2311">
        <f ca="1">28857.5802076878*((RANDBETWEEN(1620,2416)))</f>
        <v>61582076.163205691</v>
      </c>
      <c r="B2311">
        <v>152825679.62621284</v>
      </c>
    </row>
    <row r="2312" spans="1:2" x14ac:dyDescent="0.25">
      <c r="A2312">
        <f ca="1">31009.3226704848*((RANDBETWEEN(1620,2416)))</f>
        <v>50390149.339537881</v>
      </c>
      <c r="B2312">
        <v>178618656.31825137</v>
      </c>
    </row>
    <row r="2313" spans="1:2" x14ac:dyDescent="0.25">
      <c r="A2313">
        <f ca="1">32408.28767226*((RANDBETWEEN(1620,2416)))</f>
        <v>65983273.700721376</v>
      </c>
      <c r="B2313">
        <v>161426508.63966396</v>
      </c>
    </row>
    <row r="2314" spans="1:2" x14ac:dyDescent="0.25">
      <c r="A2314">
        <f ca="1">34399.7247865738*((RANDBETWEEN(1620,2416)))</f>
        <v>59683522.504705586</v>
      </c>
      <c r="B2314">
        <v>146982386.15394083</v>
      </c>
    </row>
    <row r="2315" spans="1:2" x14ac:dyDescent="0.25">
      <c r="A2315">
        <f ca="1">35237.6820945754*((RANDBETWEEN(1620,2416)))</f>
        <v>83936158.749278545</v>
      </c>
      <c r="B2315">
        <v>199612534.85974377</v>
      </c>
    </row>
    <row r="2316" spans="1:2" x14ac:dyDescent="0.25">
      <c r="A2316">
        <f ca="1">39415.4834030921*((RANDBETWEEN(1620,2416)))</f>
        <v>73588707.513572901</v>
      </c>
      <c r="B2316">
        <v>154727374.92510009</v>
      </c>
    </row>
    <row r="2317" spans="1:2" x14ac:dyDescent="0.25">
      <c r="A2317">
        <f ca="1">32147.269153028*((RANDBETWEEN(1620,2416)))</f>
        <v>76349764.238441408</v>
      </c>
      <c r="B2317">
        <v>176404698.80111024</v>
      </c>
    </row>
    <row r="2318" spans="1:2" x14ac:dyDescent="0.25">
      <c r="A2318">
        <f ca="1">32637.3644501043*((RANDBETWEEN(1620,2416)))</f>
        <v>62533190.286399849</v>
      </c>
      <c r="B2318">
        <v>159100565.54249305</v>
      </c>
    </row>
    <row r="2319" spans="1:2" x14ac:dyDescent="0.25">
      <c r="A2319">
        <f ca="1">30066.0613485147*((RANDBETWEEN(1620,2416)))</f>
        <v>64972758.574140355</v>
      </c>
      <c r="B2319">
        <v>170179755.03167698</v>
      </c>
    </row>
    <row r="2320" spans="1:2" x14ac:dyDescent="0.25">
      <c r="A2320">
        <f ca="1">30625.1614758408*((RANDBETWEEN(1620,2416)))</f>
        <v>56197171.30816783</v>
      </c>
      <c r="B2320">
        <v>187734418.581808</v>
      </c>
    </row>
    <row r="2321" spans="1:2" x14ac:dyDescent="0.25">
      <c r="A2321">
        <f ca="1">36230.6278647158*((RANDBETWEEN(1620,2416)))</f>
        <v>65541205.807270885</v>
      </c>
      <c r="B2321">
        <v>146395017.13755178</v>
      </c>
    </row>
    <row r="2322" spans="1:2" x14ac:dyDescent="0.25">
      <c r="A2322">
        <f ca="1">33546.6649499497*((RANDBETWEEN(1620,2416)))</f>
        <v>69106129.796896309</v>
      </c>
      <c r="B2322">
        <v>144950721.80094233</v>
      </c>
    </row>
    <row r="2323" spans="1:2" x14ac:dyDescent="0.25">
      <c r="A2323">
        <f ca="1">36324.9061277597*((RANDBETWEEN(1620,2416)))</f>
        <v>59463871.331142679</v>
      </c>
      <c r="B2323">
        <v>201297287.42927417</v>
      </c>
    </row>
    <row r="2324" spans="1:2" x14ac:dyDescent="0.25">
      <c r="A2324">
        <f ca="1">32160.6564430012*((RANDBETWEEN(1620,2416)))</f>
        <v>68630840.849364534</v>
      </c>
      <c r="B2324">
        <v>172491916.23750344</v>
      </c>
    </row>
    <row r="2325" spans="1:2" x14ac:dyDescent="0.25">
      <c r="A2325">
        <f ca="1">35789.2686456*((RANDBETWEEN(1620,2416)))</f>
        <v>85321616.451110512</v>
      </c>
      <c r="B2325">
        <v>178873754.09260935</v>
      </c>
    </row>
    <row r="2326" spans="1:2" x14ac:dyDescent="0.25">
      <c r="A2326">
        <f ca="1">31709.6495562908*((RANDBETWEEN(1620,2416)))</f>
        <v>69127036.032714039</v>
      </c>
      <c r="B2326">
        <v>145613213.63461405</v>
      </c>
    </row>
    <row r="2327" spans="1:2" x14ac:dyDescent="0.25">
      <c r="A2327">
        <f ca="1">31181.0498162155*((RANDBETWEEN(1620,2416)))</f>
        <v>73618458.616084695</v>
      </c>
      <c r="B2327">
        <v>164503181.12665272</v>
      </c>
    </row>
    <row r="2328" spans="1:2" x14ac:dyDescent="0.25">
      <c r="A2328">
        <f ca="1">32190.3466521529*((RANDBETWEEN(1620,2416)))</f>
        <v>66988111.383130193</v>
      </c>
      <c r="B2328">
        <v>150901896.01580319</v>
      </c>
    </row>
    <row r="2329" spans="1:2" x14ac:dyDescent="0.25">
      <c r="A2329">
        <f ca="1">34499.0496396947*((RANDBETWEEN(1620,2416)))</f>
        <v>80727776.156885669</v>
      </c>
      <c r="B2329">
        <v>149120502.43277085</v>
      </c>
    </row>
    <row r="2330" spans="1:2" x14ac:dyDescent="0.25">
      <c r="A2330">
        <f ca="1">37231.8589944491*((RANDBETWEEN(1620,2416)))</f>
        <v>70479909.076492161</v>
      </c>
      <c r="B2330">
        <v>151253761.84410384</v>
      </c>
    </row>
    <row r="2331" spans="1:2" x14ac:dyDescent="0.25">
      <c r="A2331">
        <f ca="1">33668.4392355983*((RANDBETWEEN(1620,2416)))</f>
        <v>70872064.590934396</v>
      </c>
      <c r="B2331">
        <v>168278592.27931106</v>
      </c>
    </row>
    <row r="2332" spans="1:2" x14ac:dyDescent="0.25">
      <c r="A2332">
        <f ca="1">36007.6850311748*((RANDBETWEEN(1620,2416)))</f>
        <v>62437325.844057187</v>
      </c>
      <c r="B2332">
        <v>146353571.41487521</v>
      </c>
    </row>
    <row r="2333" spans="1:2" x14ac:dyDescent="0.25">
      <c r="A2333">
        <f ca="1">36830.9819829641*((RANDBETWEEN(1620,2416)))</f>
        <v>76019146.812837914</v>
      </c>
      <c r="B2333">
        <v>192803672.09621617</v>
      </c>
    </row>
    <row r="2334" spans="1:2" x14ac:dyDescent="0.25">
      <c r="A2334">
        <f ca="1">40031.0471821989*((RANDBETWEEN(1620,2416)))</f>
        <v>71415388.173042804</v>
      </c>
      <c r="B2334">
        <v>194214238.47974449</v>
      </c>
    </row>
    <row r="2335" spans="1:2" x14ac:dyDescent="0.25">
      <c r="A2335">
        <f ca="1">32072.9461403839*((RANDBETWEEN(1620,2416)))</f>
        <v>62510172.027608283</v>
      </c>
      <c r="B2335">
        <v>159899811.36010998</v>
      </c>
    </row>
    <row r="2336" spans="1:2" x14ac:dyDescent="0.25">
      <c r="A2336">
        <f ca="1">39745.2405181591*((RANDBETWEEN(1620,2416)))</f>
        <v>87638255.342540741</v>
      </c>
      <c r="B2336">
        <v>184049608.1707567</v>
      </c>
    </row>
    <row r="2337" spans="1:2" x14ac:dyDescent="0.25">
      <c r="A2337">
        <f ca="1">34144.2782841213*((RANDBETWEEN(1620,2416)))</f>
        <v>79897611.184843779</v>
      </c>
      <c r="B2337">
        <v>185646760.39296308</v>
      </c>
    </row>
    <row r="2338" spans="1:2" x14ac:dyDescent="0.25">
      <c r="A2338">
        <f ca="1">30788.4725462505*((RANDBETWEEN(1620,2416)))</f>
        <v>56312116.287092112</v>
      </c>
      <c r="B2338">
        <v>175501005.13916382</v>
      </c>
    </row>
    <row r="2339" spans="1:2" x14ac:dyDescent="0.25">
      <c r="A2339">
        <f ca="1">31720.7471284176*((RANDBETWEEN(1620,2416)))</f>
        <v>71942654.487251207</v>
      </c>
      <c r="B2339">
        <v>198291143.03440788</v>
      </c>
    </row>
    <row r="2340" spans="1:2" x14ac:dyDescent="0.25">
      <c r="A2340">
        <f ca="1">33558.1404603447*((RANDBETWEEN(1620,2416)))</f>
        <v>66948490.218387753</v>
      </c>
      <c r="B2340">
        <v>167079303.58274388</v>
      </c>
    </row>
    <row r="2341" spans="1:2" x14ac:dyDescent="0.25">
      <c r="A2341">
        <f ca="1">28825.1628073314*((RANDBETWEEN(1620,2416)))</f>
        <v>62204701.338221125</v>
      </c>
      <c r="B2341">
        <v>153654263.98292944</v>
      </c>
    </row>
    <row r="2342" spans="1:2" x14ac:dyDescent="0.25">
      <c r="A2342">
        <f ca="1">30206.1206988781*((RANDBETWEEN(1620,2416)))</f>
        <v>53072154.067928813</v>
      </c>
      <c r="B2342">
        <v>194054022.7353</v>
      </c>
    </row>
    <row r="2343" spans="1:2" x14ac:dyDescent="0.25">
      <c r="A2343">
        <f ca="1">30697.9255337271*((RANDBETWEEN(1620,2416)))</f>
        <v>54857192.928770244</v>
      </c>
      <c r="B2343">
        <v>153407230.66354969</v>
      </c>
    </row>
    <row r="2344" spans="1:2" x14ac:dyDescent="0.25">
      <c r="A2344">
        <f ca="1">33402.9962448529*((RANDBETWEEN(1620,2416)))</f>
        <v>69645247.170518219</v>
      </c>
      <c r="B2344">
        <v>147114909.99936968</v>
      </c>
    </row>
    <row r="2345" spans="1:2" x14ac:dyDescent="0.25">
      <c r="A2345">
        <f ca="1">34092.1209132614*((RANDBETWEEN(1620,2416)))</f>
        <v>68388794.55200246</v>
      </c>
      <c r="B2345">
        <v>144866811.15447789</v>
      </c>
    </row>
    <row r="2346" spans="1:2" x14ac:dyDescent="0.25">
      <c r="A2346">
        <f ca="1">41416.6876085322*((RANDBETWEEN(1620,2416)))</f>
        <v>99027300.072000489</v>
      </c>
      <c r="B2346">
        <v>144554439.47770211</v>
      </c>
    </row>
    <row r="2347" spans="1:2" x14ac:dyDescent="0.25">
      <c r="A2347">
        <f ca="1">35018.1073758602*((RANDBETWEEN(1620,2416)))</f>
        <v>61701905.19626572</v>
      </c>
      <c r="B2347">
        <v>146468434.53075379</v>
      </c>
    </row>
    <row r="2348" spans="1:2" x14ac:dyDescent="0.25">
      <c r="A2348">
        <f ca="1">31485.1495634789*((RANDBETWEEN(1620,2416)))</f>
        <v>54091486.95005668</v>
      </c>
      <c r="B2348">
        <v>150250967.319996</v>
      </c>
    </row>
    <row r="2349" spans="1:2" x14ac:dyDescent="0.25">
      <c r="A2349">
        <f ca="1">28762.3533061888*((RANDBETWEEN(1620,2416)))</f>
        <v>46911398.242394008</v>
      </c>
      <c r="B2349">
        <v>164801980.15127823</v>
      </c>
    </row>
    <row r="2350" spans="1:2" x14ac:dyDescent="0.25">
      <c r="A2350">
        <f ca="1">37384.7658933596*((RANDBETWEEN(1620,2416)))</f>
        <v>85237266.236859828</v>
      </c>
      <c r="B2350">
        <v>185201928.13529891</v>
      </c>
    </row>
    <row r="2351" spans="1:2" x14ac:dyDescent="0.25">
      <c r="A2351">
        <f ca="1">34458.8133870628*((RANDBETWEEN(1620,2416)))</f>
        <v>77808000.627987772</v>
      </c>
      <c r="B2351">
        <v>150266794.66171545</v>
      </c>
    </row>
    <row r="2352" spans="1:2" x14ac:dyDescent="0.25">
      <c r="A2352">
        <f ca="1">39301.6463523382*((RANDBETWEEN(1620,2416)))</f>
        <v>72550839.166416317</v>
      </c>
      <c r="B2352">
        <v>179532305.97328091</v>
      </c>
    </row>
    <row r="2353" spans="1:2" x14ac:dyDescent="0.25">
      <c r="A2353">
        <f ca="1">36091.942711453*((RANDBETWEEN(1620,2416)))</f>
        <v>58468947.192553811</v>
      </c>
      <c r="B2353">
        <v>154362621.42342126</v>
      </c>
    </row>
    <row r="2354" spans="1:2" x14ac:dyDescent="0.25">
      <c r="A2354">
        <f ca="1">31285.2404164789*((RANDBETWEEN(1620,2416)))</f>
        <v>71236492.428322405</v>
      </c>
      <c r="B2354">
        <v>185836765.76495314</v>
      </c>
    </row>
    <row r="2355" spans="1:2" x14ac:dyDescent="0.25">
      <c r="A2355">
        <f ca="1">37041.8682888544*((RANDBETWEEN(1620,2416)))</f>
        <v>73268815.475354001</v>
      </c>
      <c r="B2355">
        <v>183827320.46946186</v>
      </c>
    </row>
    <row r="2356" spans="1:2" x14ac:dyDescent="0.25">
      <c r="A2356">
        <f ca="1">32805.7793625798*((RANDBETWEEN(1620,2416)))</f>
        <v>73878615.124529794</v>
      </c>
      <c r="B2356">
        <v>153942435.19649684</v>
      </c>
    </row>
    <row r="2357" spans="1:2" x14ac:dyDescent="0.25">
      <c r="A2357">
        <f ca="1">31924.1899984701*((RANDBETWEEN(1620,2416)))</f>
        <v>67391965.0867704</v>
      </c>
      <c r="B2357">
        <v>146810359.97227499</v>
      </c>
    </row>
    <row r="2358" spans="1:2" x14ac:dyDescent="0.25">
      <c r="A2358">
        <f ca="1">40588.3678633396*((RANDBETWEEN(1620,2416)))</f>
        <v>80162026.530095741</v>
      </c>
      <c r="B2358">
        <v>202655493.61686456</v>
      </c>
    </row>
    <row r="2359" spans="1:2" x14ac:dyDescent="0.25">
      <c r="A2359">
        <f ca="1">33425.3777386275*((RANDBETWEEN(1620,2416)))</f>
        <v>67920367.56489104</v>
      </c>
      <c r="B2359">
        <v>169370978.56367382</v>
      </c>
    </row>
    <row r="2360" spans="1:2" x14ac:dyDescent="0.25">
      <c r="A2360">
        <f ca="1">37089.6134423343*((RANDBETWEEN(1620,2416)))</f>
        <v>74216316.498110875</v>
      </c>
      <c r="B2360">
        <v>181956396.34024656</v>
      </c>
    </row>
    <row r="2361" spans="1:2" x14ac:dyDescent="0.25">
      <c r="A2361">
        <f ca="1">26878.8855294706*((RANDBETWEEN(1620,2416)))</f>
        <v>44081372.268331796</v>
      </c>
      <c r="B2361">
        <v>143753714.87353182</v>
      </c>
    </row>
    <row r="2362" spans="1:2" x14ac:dyDescent="0.25">
      <c r="A2362">
        <f ca="1">30949.7242421092*((RANDBETWEEN(1620,2416)))</f>
        <v>52738330.108554155</v>
      </c>
      <c r="B2362">
        <v>151267287.51211721</v>
      </c>
    </row>
    <row r="2363" spans="1:2" x14ac:dyDescent="0.25">
      <c r="A2363">
        <f ca="1">36581.5260090884*((RANDBETWEEN(1620,2416)))</f>
        <v>76748041.567067549</v>
      </c>
      <c r="B2363">
        <v>198444235.9601503</v>
      </c>
    </row>
    <row r="2364" spans="1:2" x14ac:dyDescent="0.25">
      <c r="A2364">
        <f ca="1">31829.9429353589*((RANDBETWEEN(1620,2416)))</f>
        <v>73495338.23774381</v>
      </c>
      <c r="B2364">
        <v>149630968.65964845</v>
      </c>
    </row>
    <row r="2365" spans="1:2" x14ac:dyDescent="0.25">
      <c r="A2365">
        <f ca="1">31243.1470452938*((RANDBETWEEN(1620,2416)))</f>
        <v>71265618.410315201</v>
      </c>
      <c r="B2365">
        <v>148397210.1436207</v>
      </c>
    </row>
    <row r="2366" spans="1:2" x14ac:dyDescent="0.25">
      <c r="A2366">
        <f ca="1">33596.938963675*((RANDBETWEEN(1620,2416)))</f>
        <v>55098979.900426924</v>
      </c>
      <c r="B2366">
        <v>171792221.18328065</v>
      </c>
    </row>
    <row r="2367" spans="1:2" x14ac:dyDescent="0.25">
      <c r="A2367">
        <f ca="1">35914.9442424648*((RANDBETWEEN(1620,2416)))</f>
        <v>80018495.772211671</v>
      </c>
      <c r="B2367">
        <v>160271983.12463921</v>
      </c>
    </row>
    <row r="2368" spans="1:2" x14ac:dyDescent="0.25">
      <c r="A2368">
        <f ca="1">32668.5325633691*((RANDBETWEEN(1620,2416)))</f>
        <v>75823664.079579666</v>
      </c>
      <c r="B2368">
        <v>168168431.14163375</v>
      </c>
    </row>
    <row r="2369" spans="1:2" x14ac:dyDescent="0.25">
      <c r="A2369">
        <f ca="1">38712.4940520286*((RANDBETWEEN(1620,2416)))</f>
        <v>77734688.056473508</v>
      </c>
      <c r="B2369">
        <v>164876331.51143098</v>
      </c>
    </row>
    <row r="2370" spans="1:2" x14ac:dyDescent="0.25">
      <c r="A2370">
        <f ca="1">34549.8431454183*((RANDBETWEEN(1620,2416)))</f>
        <v>65299203.544840656</v>
      </c>
      <c r="B2370">
        <v>166061519.49692154</v>
      </c>
    </row>
    <row r="2371" spans="1:2" x14ac:dyDescent="0.25">
      <c r="A2371">
        <f ca="1">32498.7861842706*((RANDBETWEEN(1620,2416)))</f>
        <v>78094583.200802296</v>
      </c>
      <c r="B2371">
        <v>162395435.11587805</v>
      </c>
    </row>
    <row r="2372" spans="1:2" x14ac:dyDescent="0.25">
      <c r="A2372">
        <f ca="1">37005.2070507335*((RANDBETWEEN(1620,2416)))</f>
        <v>75268591.141191915</v>
      </c>
      <c r="B2372">
        <v>189136367.66762358</v>
      </c>
    </row>
    <row r="2373" spans="1:2" x14ac:dyDescent="0.25">
      <c r="A2373">
        <f ca="1">27827.579594493*((RANDBETWEEN(1620,2416)))</f>
        <v>45832023.592129901</v>
      </c>
      <c r="B2373">
        <v>150145188.81277096</v>
      </c>
    </row>
    <row r="2374" spans="1:2" x14ac:dyDescent="0.25">
      <c r="A2374">
        <f ca="1">38947.0975471442*((RANDBETWEEN(1620,2416)))</f>
        <v>87163604.310508624</v>
      </c>
      <c r="B2374">
        <v>165688805.69493628</v>
      </c>
    </row>
    <row r="2375" spans="1:2" x14ac:dyDescent="0.25">
      <c r="A2375">
        <f ca="1">41172.4932828528*((RANDBETWEEN(1620,2416)))</f>
        <v>68881581.262212664</v>
      </c>
      <c r="B2375">
        <v>162497667.26457119</v>
      </c>
    </row>
    <row r="2376" spans="1:2" x14ac:dyDescent="0.25">
      <c r="A2376">
        <f ca="1">33242.2249746776*((RANDBETWEEN(1620,2416)))</f>
        <v>66185269.924583174</v>
      </c>
      <c r="B2376">
        <v>167336002.91635597</v>
      </c>
    </row>
    <row r="2377" spans="1:2" x14ac:dyDescent="0.25">
      <c r="A2377">
        <f ca="1">40838.1522526764*((RANDBETWEEN(1620,2416)))</f>
        <v>93151825.288354859</v>
      </c>
      <c r="B2377">
        <v>151328742.94983798</v>
      </c>
    </row>
    <row r="2378" spans="1:2" x14ac:dyDescent="0.25">
      <c r="A2378">
        <f ca="1">36486.979621042*((RANDBETWEEN(1620,2416)))</f>
        <v>84138975.006122738</v>
      </c>
      <c r="B2378">
        <v>147082842.51466581</v>
      </c>
    </row>
    <row r="2379" spans="1:2" x14ac:dyDescent="0.25">
      <c r="A2379">
        <f ca="1">31509.5243898678*((RANDBETWEEN(1620,2416)))</f>
        <v>74047382.316189334</v>
      </c>
      <c r="B2379">
        <v>143628073.72032377</v>
      </c>
    </row>
    <row r="2380" spans="1:2" x14ac:dyDescent="0.25">
      <c r="A2380">
        <f ca="1">33009.9152739507*((RANDBETWEEN(1620,2416)))</f>
        <v>55093548.592223674</v>
      </c>
      <c r="B2380">
        <v>150255509.02040151</v>
      </c>
    </row>
    <row r="2381" spans="1:2" x14ac:dyDescent="0.25">
      <c r="A2381">
        <f ca="1">37402.20566193*((RANDBETWEEN(1620,2416)))</f>
        <v>76150890.727689549</v>
      </c>
      <c r="B2381">
        <v>144970999.62361905</v>
      </c>
    </row>
    <row r="2382" spans="1:2" x14ac:dyDescent="0.25">
      <c r="A2382">
        <f ca="1">33254.2751640764*((RANDBETWEEN(1620,2416)))</f>
        <v>71064386.025631279</v>
      </c>
      <c r="B2382">
        <v>146793191.22077176</v>
      </c>
    </row>
    <row r="2383" spans="1:2" x14ac:dyDescent="0.25">
      <c r="A2383">
        <f ca="1">30649.8070034199*((RANDBETWEEN(1620,2416)))</f>
        <v>53024166.115916483</v>
      </c>
      <c r="B2383">
        <v>197284495.19315097</v>
      </c>
    </row>
    <row r="2384" spans="1:2" x14ac:dyDescent="0.25">
      <c r="A2384">
        <f ca="1">29825.7178223817*((RANDBETWEEN(1620,2416)))</f>
        <v>59144398.441782862</v>
      </c>
      <c r="B2384">
        <v>162689550.90868047</v>
      </c>
    </row>
    <row r="2385" spans="1:2" x14ac:dyDescent="0.25">
      <c r="A2385">
        <f ca="1">31018.7899200784*((RANDBETWEEN(1620,2416)))</f>
        <v>54624089.049258135</v>
      </c>
      <c r="B2385">
        <v>155267258.33719447</v>
      </c>
    </row>
    <row r="2386" spans="1:2" x14ac:dyDescent="0.25">
      <c r="A2386">
        <f ca="1">29110.8964015394*((RANDBETWEEN(1620,2416)))</f>
        <v>63869306.70497755</v>
      </c>
      <c r="B2386">
        <v>154659590.98414084</v>
      </c>
    </row>
    <row r="2387" spans="1:2" x14ac:dyDescent="0.25">
      <c r="A2387">
        <f ca="1">31200.2009544774*((RANDBETWEEN(1620,2416)))</f>
        <v>62962005.526135422</v>
      </c>
      <c r="B2387">
        <v>201709165.54358023</v>
      </c>
    </row>
    <row r="2388" spans="1:2" x14ac:dyDescent="0.25">
      <c r="A2388">
        <f ca="1">36177.2132594771*((RANDBETWEEN(1620,2416)))</f>
        <v>82411691.805088922</v>
      </c>
      <c r="B2388">
        <v>187130144.94811946</v>
      </c>
    </row>
    <row r="2389" spans="1:2" x14ac:dyDescent="0.25">
      <c r="A2389">
        <f ca="1">34591.3129947586*((RANDBETWEEN(1620,2416)))</f>
        <v>63440468.032387346</v>
      </c>
      <c r="B2389">
        <v>198643916.69828102</v>
      </c>
    </row>
    <row r="2390" spans="1:2" x14ac:dyDescent="0.25">
      <c r="A2390">
        <f ca="1">34387.8215353081*((RANDBETWEEN(1620,2416)))</f>
        <v>81430361.395609573</v>
      </c>
      <c r="B2390">
        <v>175071339.8984535</v>
      </c>
    </row>
    <row r="2391" spans="1:2" x14ac:dyDescent="0.25">
      <c r="A2391">
        <f ca="1">29599.5037325431*((RANDBETWEEN(1620,2416)))</f>
        <v>66806079.924349762</v>
      </c>
      <c r="B2391">
        <v>190973919.07550856</v>
      </c>
    </row>
    <row r="2392" spans="1:2" x14ac:dyDescent="0.25">
      <c r="A2392">
        <f ca="1">30323.0685198172*((RANDBETWEEN(1620,2416)))</f>
        <v>57037691.885776184</v>
      </c>
      <c r="B2392">
        <v>145284578.22987196</v>
      </c>
    </row>
    <row r="2393" spans="1:2" x14ac:dyDescent="0.25">
      <c r="A2393">
        <f ca="1">35640.4110323937*((RANDBETWEEN(1620,2416)))</f>
        <v>62620202.183915712</v>
      </c>
      <c r="B2393">
        <v>165557917.95892656</v>
      </c>
    </row>
    <row r="2394" spans="1:2" x14ac:dyDescent="0.25">
      <c r="A2394">
        <f ca="1">31000.5191572269*((RANDBETWEEN(1620,2416)))</f>
        <v>65969104.766578786</v>
      </c>
      <c r="B2394">
        <v>157726755.5103797</v>
      </c>
    </row>
    <row r="2395" spans="1:2" x14ac:dyDescent="0.25">
      <c r="A2395">
        <f ca="1">28808.8580997174*((RANDBETWEEN(1620,2416)))</f>
        <v>50559545.965004049</v>
      </c>
      <c r="B2395">
        <v>180157073.0325886</v>
      </c>
    </row>
    <row r="2396" spans="1:2" x14ac:dyDescent="0.25">
      <c r="A2396">
        <f ca="1">37017.2328207326*((RANDBETWEEN(1620,2416)))</f>
        <v>61374572.016774721</v>
      </c>
      <c r="B2396">
        <v>169534858.83750167</v>
      </c>
    </row>
    <row r="2397" spans="1:2" x14ac:dyDescent="0.25">
      <c r="A2397">
        <f ca="1">28952.4203442494*((RANDBETWEEN(1620,2416)))</f>
        <v>54141026.04374633</v>
      </c>
      <c r="B2397">
        <v>151867602.35191539</v>
      </c>
    </row>
    <row r="2398" spans="1:2" x14ac:dyDescent="0.25">
      <c r="A2398">
        <f ca="1">37122.4464902331*((RANDBETWEEN(1620,2416)))</f>
        <v>64593056.893005632</v>
      </c>
      <c r="B2398">
        <v>195344556.47137594</v>
      </c>
    </row>
    <row r="2399" spans="1:2" x14ac:dyDescent="0.25">
      <c r="A2399">
        <f ca="1">35501.6806330649*((RANDBETWEEN(1620,2416)))</f>
        <v>73062458.742847636</v>
      </c>
      <c r="B2399">
        <v>143741512.4422431</v>
      </c>
    </row>
    <row r="2400" spans="1:2" x14ac:dyDescent="0.25">
      <c r="A2400">
        <f ca="1">32626.1973765684*((RANDBETWEEN(1620,2416)))</f>
        <v>58237762.317174666</v>
      </c>
      <c r="B2400">
        <v>156936997.18494499</v>
      </c>
    </row>
    <row r="2401" spans="1:2" x14ac:dyDescent="0.25">
      <c r="A2401">
        <f ca="1">39596.1693986435*((RANDBETWEEN(1620,2416)))</f>
        <v>68303392.21266003</v>
      </c>
      <c r="B2401">
        <v>193958325.03535873</v>
      </c>
    </row>
    <row r="2402" spans="1:2" x14ac:dyDescent="0.25">
      <c r="A2402">
        <f ca="1">32666.2393557281*((RANDBETWEEN(1620,2416)))</f>
        <v>53311302.62854822</v>
      </c>
      <c r="B2402">
        <v>178601585.26832014</v>
      </c>
    </row>
    <row r="2403" spans="1:2" x14ac:dyDescent="0.25">
      <c r="A2403">
        <f ca="1">32656.1967837518*((RANDBETWEEN(1620,2416)))</f>
        <v>65377705.961071074</v>
      </c>
      <c r="B2403">
        <v>145454100.34260923</v>
      </c>
    </row>
    <row r="2404" spans="1:2" x14ac:dyDescent="0.25">
      <c r="A2404">
        <f ca="1">30649.2168040661*((RANDBETWEEN(1620,2416)))</f>
        <v>63535826.434828974</v>
      </c>
      <c r="B2404">
        <v>170556242.40328902</v>
      </c>
    </row>
    <row r="2405" spans="1:2" x14ac:dyDescent="0.25">
      <c r="A2405">
        <f ca="1">38463.9522098547*((RANDBETWEEN(1620,2416)))</f>
        <v>83505240.247594446</v>
      </c>
      <c r="B2405">
        <v>165287389.97142202</v>
      </c>
    </row>
    <row r="2406" spans="1:2" x14ac:dyDescent="0.25">
      <c r="A2406">
        <f ca="1">38631.6299582243*((RANDBETWEEN(1620,2416)))</f>
        <v>90204855.952453688</v>
      </c>
      <c r="B2406">
        <v>177321374.02657306</v>
      </c>
    </row>
    <row r="2407" spans="1:2" x14ac:dyDescent="0.25">
      <c r="A2407">
        <f ca="1">31131.2047160641*((RANDBETWEEN(1620,2416)))</f>
        <v>61577522.928374819</v>
      </c>
      <c r="B2407">
        <v>175652718.19440538</v>
      </c>
    </row>
    <row r="2408" spans="1:2" x14ac:dyDescent="0.25">
      <c r="A2408">
        <f ca="1">33126.6466305032*((RANDBETWEEN(1620,2416)))</f>
        <v>69897224.390361786</v>
      </c>
      <c r="B2408">
        <v>180155997.07237595</v>
      </c>
    </row>
    <row r="2409" spans="1:2" x14ac:dyDescent="0.25">
      <c r="A2409">
        <f ca="1">32153.3591035467*((RANDBETWEEN(1620,2416)))</f>
        <v>53535342.907405272</v>
      </c>
      <c r="B2409">
        <v>156813826.07538277</v>
      </c>
    </row>
    <row r="2410" spans="1:2" x14ac:dyDescent="0.25">
      <c r="A2410">
        <f ca="1">30734.8564428575*((RANDBETWEEN(1620,2416)))</f>
        <v>74163208.596615076</v>
      </c>
      <c r="B2410">
        <v>179960199.30194017</v>
      </c>
    </row>
    <row r="2411" spans="1:2" x14ac:dyDescent="0.25">
      <c r="A2411">
        <f ca="1">30170.7292691983*((RANDBETWEEN(1620,2416)))</f>
        <v>62302555.940894395</v>
      </c>
      <c r="B2411">
        <v>145624290.76173797</v>
      </c>
    </row>
    <row r="2412" spans="1:2" x14ac:dyDescent="0.25">
      <c r="A2412">
        <f ca="1">31110.7653807469*((RANDBETWEEN(1620,2416)))</f>
        <v>71088098.895006642</v>
      </c>
      <c r="B2412">
        <v>150472881.97668073</v>
      </c>
    </row>
    <row r="2413" spans="1:2" x14ac:dyDescent="0.25">
      <c r="A2413">
        <f ca="1">30325.3927173677*((RANDBETWEEN(1620,2416)))</f>
        <v>56283928.883434542</v>
      </c>
      <c r="B2413">
        <v>160067416.10440773</v>
      </c>
    </row>
    <row r="2414" spans="1:2" x14ac:dyDescent="0.25">
      <c r="A2414">
        <f ca="1">31453.6966165466*((RANDBETWEEN(1620,2416)))</f>
        <v>52150228.990234308</v>
      </c>
      <c r="B2414">
        <v>177475472.58900163</v>
      </c>
    </row>
    <row r="2415" spans="1:2" x14ac:dyDescent="0.25">
      <c r="A2415">
        <f ca="1">32651.0888418617*((RANDBETWEEN(1620,2416)))</f>
        <v>72060953.073988676</v>
      </c>
      <c r="B2415">
        <v>154321233.42203566</v>
      </c>
    </row>
    <row r="2416" spans="1:2" x14ac:dyDescent="0.25">
      <c r="A2416">
        <f ca="1">38066.0398611243*((RANDBETWEEN(1620,2416)))</f>
        <v>80547740.346138924</v>
      </c>
      <c r="B2416">
        <v>167915378.69475064</v>
      </c>
    </row>
    <row r="2417" spans="1:2" x14ac:dyDescent="0.25">
      <c r="A2417">
        <f ca="1">31366.3330137404*((RANDBETWEEN(1620,2416)))</f>
        <v>52946370.127193764</v>
      </c>
      <c r="B2417">
        <v>174748095.37450156</v>
      </c>
    </row>
    <row r="2418" spans="1:2" x14ac:dyDescent="0.25">
      <c r="A2418">
        <f ca="1">30335.8540314424*((RANDBETWEEN(1620,2416)))</f>
        <v>72957728.945618898</v>
      </c>
      <c r="B2418">
        <v>162703527.35780478</v>
      </c>
    </row>
    <row r="2419" spans="1:2" x14ac:dyDescent="0.25">
      <c r="A2419">
        <f ca="1">30550.2788680507*((RANDBETWEEN(1620,2416)))</f>
        <v>51293918.219457097</v>
      </c>
      <c r="B2419">
        <v>201142759.02110875</v>
      </c>
    </row>
    <row r="2420" spans="1:2" x14ac:dyDescent="0.25">
      <c r="A2420">
        <f ca="1">32601.2321674761*((RANDBETWEEN(1620,2416)))</f>
        <v>67680157.9796803</v>
      </c>
      <c r="B2420">
        <v>170287870.32572615</v>
      </c>
    </row>
    <row r="2421" spans="1:2" x14ac:dyDescent="0.25">
      <c r="A2421">
        <f ca="1">38938.7546001523*((RANDBETWEEN(1620,2416)))</f>
        <v>91311379.537357122</v>
      </c>
      <c r="B2421">
        <v>186720523.08829418</v>
      </c>
    </row>
    <row r="2422" spans="1:2" x14ac:dyDescent="0.25">
      <c r="A2422">
        <f ca="1">32956.7275697252*((RANDBETWEEN(1620,2416)))</f>
        <v>55268432.134429105</v>
      </c>
      <c r="B2422">
        <v>150183580.87128726</v>
      </c>
    </row>
    <row r="2423" spans="1:2" x14ac:dyDescent="0.25">
      <c r="A2423">
        <f ca="1">36319.4013476794*((RANDBETWEEN(1620,2416)))</f>
        <v>86621772.214215457</v>
      </c>
      <c r="B2423">
        <v>158072449.18513238</v>
      </c>
    </row>
    <row r="2424" spans="1:2" x14ac:dyDescent="0.25">
      <c r="A2424">
        <f ca="1">37716.3670480984*((RANDBETWEEN(1620,2416)))</f>
        <v>79015788.965766132</v>
      </c>
      <c r="B2424">
        <v>171896118.45627689</v>
      </c>
    </row>
    <row r="2425" spans="1:2" x14ac:dyDescent="0.25">
      <c r="A2425">
        <f ca="1">40012.7443447124*((RANDBETWEEN(1620,2416)))</f>
        <v>82466266.094452307</v>
      </c>
      <c r="B2425">
        <v>160702941.78682369</v>
      </c>
    </row>
    <row r="2426" spans="1:2" x14ac:dyDescent="0.25">
      <c r="A2426">
        <f ca="1">36461.6153734398*((RANDBETWEEN(1620,2416)))</f>
        <v>65448599.595324501</v>
      </c>
      <c r="B2426">
        <v>147218663.78951922</v>
      </c>
    </row>
    <row r="2427" spans="1:2" x14ac:dyDescent="0.25">
      <c r="A2427">
        <f ca="1">36277.9955643055*((RANDBETWEEN(1620,2416)))</f>
        <v>75313118.791498169</v>
      </c>
      <c r="B2427">
        <v>151186568.07734561</v>
      </c>
    </row>
    <row r="2428" spans="1:2" x14ac:dyDescent="0.25">
      <c r="A2428">
        <f ca="1">31190.2291992736*((RANDBETWEEN(1620,2416)))</f>
        <v>63721638.254115969</v>
      </c>
      <c r="B2428">
        <v>149954594.26348066</v>
      </c>
    </row>
    <row r="2429" spans="1:2" x14ac:dyDescent="0.25">
      <c r="A2429">
        <f ca="1">33391.8773352422*((RANDBETWEEN(1620,2416)))</f>
        <v>58502569.091344304</v>
      </c>
      <c r="B2429">
        <v>144355534.51976317</v>
      </c>
    </row>
    <row r="2430" spans="1:2" x14ac:dyDescent="0.25">
      <c r="A2430">
        <f ca="1">33662.3886399204*((RANDBETWEEN(1620,2416)))</f>
        <v>63823888.861289114</v>
      </c>
      <c r="B2430">
        <v>149871257.33364946</v>
      </c>
    </row>
    <row r="2431" spans="1:2" x14ac:dyDescent="0.25">
      <c r="A2431">
        <f ca="1">39218.8501889952*((RANDBETWEEN(1620,2416)))</f>
        <v>94086021.603399396</v>
      </c>
      <c r="B2431">
        <v>151981545.31450719</v>
      </c>
    </row>
    <row r="2432" spans="1:2" x14ac:dyDescent="0.25">
      <c r="A2432">
        <f ca="1">31072.7009559256*((RANDBETWEEN(1620,2416)))</f>
        <v>70379667.665171564</v>
      </c>
      <c r="B2432">
        <v>164432385.88650671</v>
      </c>
    </row>
    <row r="2433" spans="1:2" x14ac:dyDescent="0.25">
      <c r="A2433">
        <f ca="1">29175.4445638583*((RANDBETWEEN(1620,2416)))</f>
        <v>63952574.483977363</v>
      </c>
      <c r="B2433">
        <v>168725434.91073141</v>
      </c>
    </row>
    <row r="2434" spans="1:2" x14ac:dyDescent="0.25">
      <c r="A2434">
        <f ca="1">31111.6531115807*((RANDBETWEEN(1620,2416)))</f>
        <v>52640917.064794578</v>
      </c>
      <c r="B2434">
        <v>156802831.24569356</v>
      </c>
    </row>
    <row r="2435" spans="1:2" x14ac:dyDescent="0.25">
      <c r="A2435">
        <f ca="1">33261.7833381099*((RANDBETWEEN(1620,2416)))</f>
        <v>63097602.992394447</v>
      </c>
      <c r="B2435">
        <v>183851654.57674488</v>
      </c>
    </row>
    <row r="2436" spans="1:2" x14ac:dyDescent="0.25">
      <c r="A2436">
        <f ca="1">32904.5060058521*((RANDBETWEEN(1620,2416)))</f>
        <v>78510151.329963163</v>
      </c>
      <c r="B2436">
        <v>183652912.71750766</v>
      </c>
    </row>
    <row r="2437" spans="1:2" x14ac:dyDescent="0.25">
      <c r="A2437">
        <f ca="1">31014.0244161258*((RANDBETWEEN(1620,2416)))</f>
        <v>65408577.493609317</v>
      </c>
      <c r="B2437">
        <v>156040041.30815279</v>
      </c>
    </row>
    <row r="2438" spans="1:2" x14ac:dyDescent="0.25">
      <c r="A2438">
        <f ca="1">36080.0374769132*((RANDBETWEEN(1620,2416)))</f>
        <v>69526232.218011722</v>
      </c>
      <c r="B2438">
        <v>195775227.81556752</v>
      </c>
    </row>
    <row r="2439" spans="1:2" x14ac:dyDescent="0.25">
      <c r="A2439">
        <f ca="1">34600.3392925709*((RANDBETWEEN(1620,2416)))</f>
        <v>59201180.529588766</v>
      </c>
      <c r="B2439">
        <v>147452416.63268071</v>
      </c>
    </row>
    <row r="2440" spans="1:2" x14ac:dyDescent="0.25">
      <c r="A2440">
        <f ca="1">33558.0952832047*((RANDBETWEEN(1620,2416)))</f>
        <v>73324438.193802163</v>
      </c>
      <c r="B2440">
        <v>156600168.2000384</v>
      </c>
    </row>
    <row r="2441" spans="1:2" x14ac:dyDescent="0.25">
      <c r="A2441">
        <f ca="1">28570.2358085732*((RANDBETWEEN(1620,2416)))</f>
        <v>54340588.507906199</v>
      </c>
      <c r="B2441">
        <v>142986929.05805981</v>
      </c>
    </row>
    <row r="2442" spans="1:2" x14ac:dyDescent="0.25">
      <c r="A2442">
        <f ca="1">33452.5739317124*((RANDBETWEEN(1620,2416)))</f>
        <v>59746297.042038321</v>
      </c>
      <c r="B2442">
        <v>175183576.15959013</v>
      </c>
    </row>
    <row r="2443" spans="1:2" x14ac:dyDescent="0.25">
      <c r="A2443">
        <f ca="1">33204.6128842779*((RANDBETWEEN(1620,2416)))</f>
        <v>71423122.314081773</v>
      </c>
      <c r="B2443">
        <v>171952525.75921717</v>
      </c>
    </row>
    <row r="2444" spans="1:2" x14ac:dyDescent="0.25">
      <c r="A2444">
        <f ca="1">30886.0972840222*((RANDBETWEEN(1620,2416)))</f>
        <v>74373722.259925425</v>
      </c>
      <c r="B2444">
        <v>164612206.62372965</v>
      </c>
    </row>
    <row r="2445" spans="1:2" x14ac:dyDescent="0.25">
      <c r="A2445">
        <f ca="1">36664.0308879995*((RANDBETWEEN(1620,2416)))</f>
        <v>78387698.038542926</v>
      </c>
      <c r="B2445">
        <v>146388425.79381219</v>
      </c>
    </row>
    <row r="2446" spans="1:2" x14ac:dyDescent="0.25">
      <c r="A2446">
        <f ca="1">32238.8470875858*((RANDBETWEEN(1620,2416)))</f>
        <v>63832917.233419836</v>
      </c>
      <c r="B2446">
        <v>159315686.18136388</v>
      </c>
    </row>
    <row r="2447" spans="1:2" x14ac:dyDescent="0.25">
      <c r="A2447">
        <f ca="1">33081.6606001072*((RANDBETWEEN(1620,2416)))</f>
        <v>55279454.862779096</v>
      </c>
      <c r="B2447">
        <v>147059493.85151121</v>
      </c>
    </row>
    <row r="2448" spans="1:2" x14ac:dyDescent="0.25">
      <c r="A2448">
        <f ca="1">31897.9514495903*((RANDBETWEEN(1620,2416)))</f>
        <v>76331797.818869561</v>
      </c>
      <c r="B2448">
        <v>152402946.10202816</v>
      </c>
    </row>
    <row r="2449" spans="1:2" x14ac:dyDescent="0.25">
      <c r="A2449">
        <f ca="1">31767.123991791*((RANDBETWEEN(1620,2416)))</f>
        <v>67632206.978523001</v>
      </c>
      <c r="B2449">
        <v>160465229.17065638</v>
      </c>
    </row>
    <row r="2450" spans="1:2" x14ac:dyDescent="0.25">
      <c r="A2450">
        <f ca="1">30930.94024908*((RANDBETWEEN(1620,2416)))</f>
        <v>51036051.410982013</v>
      </c>
      <c r="B2450">
        <v>146837940.56159484</v>
      </c>
    </row>
    <row r="2451" spans="1:2" x14ac:dyDescent="0.25">
      <c r="A2451">
        <f ca="1">30939.687312436*((RANDBETWEEN(1620,2416)))</f>
        <v>52009614.372204855</v>
      </c>
      <c r="B2451">
        <v>158942551.8587662</v>
      </c>
    </row>
    <row r="2452" spans="1:2" x14ac:dyDescent="0.25">
      <c r="A2452">
        <f ca="1">33766.4348271825*((RANDBETWEEN(1620,2416)))</f>
        <v>74184857.315319926</v>
      </c>
      <c r="B2452">
        <v>150630037.26092163</v>
      </c>
    </row>
    <row r="2453" spans="1:2" x14ac:dyDescent="0.25">
      <c r="A2453">
        <f ca="1">41075.0314834759*((RANDBETWEEN(1620,2416)))</f>
        <v>88968518.193208903</v>
      </c>
      <c r="B2453">
        <v>160176039.37499163</v>
      </c>
    </row>
    <row r="2454" spans="1:2" x14ac:dyDescent="0.25">
      <c r="A2454">
        <f ca="1">36897.4957622177*((RANDBETWEEN(1620,2416)))</f>
        <v>86930500.015784934</v>
      </c>
      <c r="B2454">
        <v>175422475.17564842</v>
      </c>
    </row>
    <row r="2455" spans="1:2" x14ac:dyDescent="0.25">
      <c r="A2455">
        <f ca="1">40405.3911869324*((RANDBETWEEN(1620,2416)))</f>
        <v>91801048.776710376</v>
      </c>
      <c r="B2455">
        <v>160790350.75888926</v>
      </c>
    </row>
    <row r="2456" spans="1:2" x14ac:dyDescent="0.25">
      <c r="A2456">
        <f ca="1">37561.8980412105*((RANDBETWEEN(1620,2416)))</f>
        <v>87969965.212514877</v>
      </c>
      <c r="B2456">
        <v>163653563.21987498</v>
      </c>
    </row>
    <row r="2457" spans="1:2" x14ac:dyDescent="0.25">
      <c r="A2457">
        <f ca="1">36270.0475013983*((RANDBETWEEN(1620,2416)))</f>
        <v>74281057.282863632</v>
      </c>
      <c r="B2457">
        <v>148341720.31201217</v>
      </c>
    </row>
    <row r="2458" spans="1:2" x14ac:dyDescent="0.25">
      <c r="A2458">
        <f ca="1">34916.255936869*((RANDBETWEEN(1620,2416)))</f>
        <v>70007093.153422371</v>
      </c>
      <c r="B2458">
        <v>151292554.97857112</v>
      </c>
    </row>
    <row r="2459" spans="1:2" x14ac:dyDescent="0.25">
      <c r="A2459">
        <f ca="1">33730.301466599*((RANDBETWEEN(1620,2416)))</f>
        <v>78996366.034774974</v>
      </c>
      <c r="B2459">
        <v>170362372.73340696</v>
      </c>
    </row>
    <row r="2460" spans="1:2" x14ac:dyDescent="0.25">
      <c r="A2460">
        <f ca="1">34029.1359547653*((RANDBETWEEN(1620,2416)))</f>
        <v>67479776.598299637</v>
      </c>
      <c r="B2460">
        <v>158088896.58048028</v>
      </c>
    </row>
    <row r="2461" spans="1:2" x14ac:dyDescent="0.25">
      <c r="A2461">
        <f ca="1">37749.6270580493*((RANDBETWEEN(1620,2416)))</f>
        <v>66854589.519805297</v>
      </c>
      <c r="B2461">
        <v>170015222.18532497</v>
      </c>
    </row>
    <row r="2462" spans="1:2" x14ac:dyDescent="0.25">
      <c r="A2462">
        <f ca="1">36048.5721603652*((RANDBETWEEN(1620,2416)))</f>
        <v>59083609.770838633</v>
      </c>
      <c r="B2462">
        <v>151098940.90621251</v>
      </c>
    </row>
    <row r="2463" spans="1:2" x14ac:dyDescent="0.25">
      <c r="A2463">
        <f ca="1">32432.6295347616*((RANDBETWEEN(1620,2416)))</f>
        <v>75795055.222737938</v>
      </c>
      <c r="B2463">
        <v>192999872.79312769</v>
      </c>
    </row>
    <row r="2464" spans="1:2" x14ac:dyDescent="0.25">
      <c r="A2464">
        <f ca="1">31495.9297631462*((RANDBETWEEN(1620,2416)))</f>
        <v>74802833.18747215</v>
      </c>
      <c r="B2464">
        <v>153080152.6455442</v>
      </c>
    </row>
    <row r="2465" spans="1:2" x14ac:dyDescent="0.25">
      <c r="A2465">
        <f ca="1">30499.5208389579*((RANDBETWEEN(1620,2416)))</f>
        <v>62951011.011609055</v>
      </c>
      <c r="B2465">
        <v>165240210.20544863</v>
      </c>
    </row>
    <row r="2466" spans="1:2" x14ac:dyDescent="0.25">
      <c r="A2466">
        <f ca="1">37144.5658905224*((RANDBETWEEN(1620,2416)))</f>
        <v>80232262.323528469</v>
      </c>
      <c r="B2466">
        <v>149791124.99601704</v>
      </c>
    </row>
    <row r="2467" spans="1:2" x14ac:dyDescent="0.25">
      <c r="A2467">
        <f ca="1">30342.0421273156*((RANDBETWEEN(1620,2416)))</f>
        <v>71182430.830682501</v>
      </c>
      <c r="B2467">
        <v>172903977.98844427</v>
      </c>
    </row>
    <row r="2468" spans="1:2" x14ac:dyDescent="0.25">
      <c r="A2468">
        <f ca="1">31752.0306895636*((RANDBETWEEN(1620,2416)))</f>
        <v>52390850.637779869</v>
      </c>
      <c r="B2468">
        <v>158528107.84607503</v>
      </c>
    </row>
    <row r="2469" spans="1:2" x14ac:dyDescent="0.25">
      <c r="A2469">
        <f ca="1">31532.2860833219*((RANDBETWEEN(1620,2416)))</f>
        <v>65114170.762059815</v>
      </c>
      <c r="B2469">
        <v>148139664.65949652</v>
      </c>
    </row>
    <row r="2470" spans="1:2" x14ac:dyDescent="0.25">
      <c r="A2470">
        <f ca="1">41464.8332499132*((RANDBETWEEN(1620,2416)))</f>
        <v>96695991.138797656</v>
      </c>
      <c r="B2470">
        <v>171636944.93179977</v>
      </c>
    </row>
    <row r="2471" spans="1:2" x14ac:dyDescent="0.25">
      <c r="A2471">
        <f ca="1">33586.0660120588*((RANDBETWEEN(1620,2416)))</f>
        <v>73990103.424565434</v>
      </c>
      <c r="B2471">
        <v>169423226.17457655</v>
      </c>
    </row>
    <row r="2472" spans="1:2" x14ac:dyDescent="0.25">
      <c r="A2472">
        <f ca="1">38652.3393224095*((RANDBETWEEN(1620,2416)))</f>
        <v>74869581.267507225</v>
      </c>
      <c r="B2472">
        <v>171331615.72824544</v>
      </c>
    </row>
    <row r="2473" spans="1:2" x14ac:dyDescent="0.25">
      <c r="A2473">
        <f ca="1">33038.0669980082*((RANDBETWEEN(1620,2416)))</f>
        <v>75888439.894424751</v>
      </c>
      <c r="B2473">
        <v>190091771.86655024</v>
      </c>
    </row>
    <row r="2474" spans="1:2" x14ac:dyDescent="0.25">
      <c r="A2474">
        <f ca="1">39446.6280044474*((RANDBETWEEN(1620,2416)))</f>
        <v>74080767.392352164</v>
      </c>
      <c r="B2474">
        <v>155661706.54630664</v>
      </c>
    </row>
    <row r="2475" spans="1:2" x14ac:dyDescent="0.25">
      <c r="A2475">
        <f ca="1">31070.9005214736*((RANDBETWEEN(1620,2416)))</f>
        <v>63384637.063806042</v>
      </c>
      <c r="B2475">
        <v>145458678.93968099</v>
      </c>
    </row>
    <row r="2476" spans="1:2" x14ac:dyDescent="0.25">
      <c r="A2476">
        <f ca="1">32243.2803903389*((RANDBETWEEN(1620,2416)))</f>
        <v>74320761.29973124</v>
      </c>
      <c r="B2476">
        <v>200805243.76577222</v>
      </c>
    </row>
    <row r="2477" spans="1:2" x14ac:dyDescent="0.25">
      <c r="A2477">
        <f ca="1">33824.0080532135*((RANDBETWEEN(1620,2416)))</f>
        <v>74717233.789548576</v>
      </c>
      <c r="B2477">
        <v>148774185.87649223</v>
      </c>
    </row>
    <row r="2478" spans="1:2" x14ac:dyDescent="0.25">
      <c r="A2478">
        <f ca="1">36450.9879333421*((RANDBETWEEN(1620,2416)))</f>
        <v>77312545.40661858</v>
      </c>
      <c r="B2478">
        <v>166703284.05359316</v>
      </c>
    </row>
    <row r="2479" spans="1:2" x14ac:dyDescent="0.25">
      <c r="A2479">
        <f ca="1">31054.4400352261*((RANDBETWEEN(1620,2416)))</f>
        <v>63102622.151579499</v>
      </c>
      <c r="B2479">
        <v>163434605.49447829</v>
      </c>
    </row>
    <row r="2480" spans="1:2" x14ac:dyDescent="0.25">
      <c r="A2480">
        <f ca="1">30695.3635013392*((RANDBETWEEN(1620,2416)))</f>
        <v>62587846.179230541</v>
      </c>
      <c r="B2480">
        <v>160171167.28258628</v>
      </c>
    </row>
    <row r="2481" spans="1:2" x14ac:dyDescent="0.25">
      <c r="A2481">
        <f ca="1">36332.1762738803*((RANDBETWEEN(1620,2416)))</f>
        <v>75461930.120849475</v>
      </c>
      <c r="B2481">
        <v>194889796.31677023</v>
      </c>
    </row>
    <row r="2482" spans="1:2" x14ac:dyDescent="0.25">
      <c r="A2482">
        <f ca="1">38371.8603428112*((RANDBETWEEN(1620,2416)))</f>
        <v>74748383.947796255</v>
      </c>
      <c r="B2482">
        <v>199476337.67532259</v>
      </c>
    </row>
    <row r="2483" spans="1:2" x14ac:dyDescent="0.25">
      <c r="A2483">
        <f ca="1">29442.9785484234*((RANDBETWEEN(1620,2416)))</f>
        <v>57619909.019264497</v>
      </c>
      <c r="B2483">
        <v>145370573.68754807</v>
      </c>
    </row>
    <row r="2484" spans="1:2" x14ac:dyDescent="0.25">
      <c r="A2484">
        <f ca="1">29598.6326971856*((RANDBETWEEN(1620,2416)))</f>
        <v>68698426.490167767</v>
      </c>
      <c r="B2484">
        <v>157244530.12014556</v>
      </c>
    </row>
    <row r="2485" spans="1:2" x14ac:dyDescent="0.25">
      <c r="A2485">
        <f ca="1">32257.2905907218*((RANDBETWEEN(1620,2416)))</f>
        <v>60869507.344692193</v>
      </c>
      <c r="B2485">
        <v>165779457.91964129</v>
      </c>
    </row>
    <row r="2486" spans="1:2" x14ac:dyDescent="0.25">
      <c r="A2486">
        <f ca="1">29348.4950833909*((RANDBETWEEN(1620,2416)))</f>
        <v>57405656.383112557</v>
      </c>
      <c r="B2486">
        <v>162425777.86199132</v>
      </c>
    </row>
    <row r="2487" spans="1:2" x14ac:dyDescent="0.25">
      <c r="A2487">
        <f ca="1">31227.7932217384*((RANDBETWEEN(1620,2416)))</f>
        <v>67920450.257281065</v>
      </c>
      <c r="B2487">
        <v>146629105.49452305</v>
      </c>
    </row>
    <row r="2488" spans="1:2" x14ac:dyDescent="0.25">
      <c r="A2488">
        <f ca="1">33622.7387933964*((RANDBETWEEN(1620,2416)))</f>
        <v>60050211.485006034</v>
      </c>
      <c r="B2488">
        <v>143477099.18308771</v>
      </c>
    </row>
    <row r="2489" spans="1:2" x14ac:dyDescent="0.25">
      <c r="A2489">
        <f ca="1">29435.2189931881*((RANDBETWEEN(1620,2416)))</f>
        <v>69319940.728957936</v>
      </c>
      <c r="B2489">
        <v>163579379.52235472</v>
      </c>
    </row>
    <row r="2490" spans="1:2" x14ac:dyDescent="0.25">
      <c r="A2490">
        <f ca="1">35929.6510926944*((RANDBETWEEN(1620,2416)))</f>
        <v>62266085.343639314</v>
      </c>
      <c r="B2490">
        <v>147407385.15435353</v>
      </c>
    </row>
    <row r="2491" spans="1:2" x14ac:dyDescent="0.25">
      <c r="A2491">
        <f ca="1">28871.5937417952*((RANDBETWEEN(1620,2416)))</f>
        <v>53037117.703677781</v>
      </c>
      <c r="B2491">
        <v>183567689.54648536</v>
      </c>
    </row>
    <row r="2492" spans="1:2" x14ac:dyDescent="0.25">
      <c r="A2492">
        <f ca="1">29535.3700505417*((RANDBETWEEN(1620,2416)))</f>
        <v>51243867.03768988</v>
      </c>
      <c r="B2492">
        <v>149035306.94822687</v>
      </c>
    </row>
    <row r="2493" spans="1:2" x14ac:dyDescent="0.25">
      <c r="A2493">
        <f ca="1">32350.5807617397*((RANDBETWEEN(1620,2416)))</f>
        <v>60172080.216835752</v>
      </c>
      <c r="B2493">
        <v>194575910.96259472</v>
      </c>
    </row>
    <row r="2494" spans="1:2" x14ac:dyDescent="0.25">
      <c r="A2494">
        <f ca="1">32273.067136002*((RANDBETWEEN(1620,2416)))</f>
        <v>67257071.911428228</v>
      </c>
      <c r="B2494">
        <v>150430994.69423541</v>
      </c>
    </row>
    <row r="2495" spans="1:2" x14ac:dyDescent="0.25">
      <c r="A2495">
        <f ca="1">30656.1576491408*((RANDBETWEEN(1620,2416)))</f>
        <v>64255306.432599179</v>
      </c>
      <c r="B2495">
        <v>151970967.95797983</v>
      </c>
    </row>
    <row r="2496" spans="1:2" x14ac:dyDescent="0.25">
      <c r="A2496">
        <f ca="1">38589.3276038581*((RANDBETWEEN(1620,2416)))</f>
        <v>88060845.592004076</v>
      </c>
      <c r="B2496">
        <v>158552985.43155107</v>
      </c>
    </row>
    <row r="2497" spans="1:2" x14ac:dyDescent="0.25">
      <c r="A2497">
        <f ca="1">33694.6448057187*((RANDBETWEEN(1620,2416)))</f>
        <v>58561292.672339037</v>
      </c>
      <c r="B2497">
        <v>197347521.95580977</v>
      </c>
    </row>
    <row r="2498" spans="1:2" x14ac:dyDescent="0.25">
      <c r="A2498">
        <f ca="1">30622.7083370354*((RANDBETWEEN(1620,2416)))</f>
        <v>62378456.882541105</v>
      </c>
      <c r="B2498">
        <v>186589819.54826272</v>
      </c>
    </row>
    <row r="2499" spans="1:2" x14ac:dyDescent="0.25">
      <c r="A2499">
        <f ca="1">40468.1119889731*((RANDBETWEEN(1620,2416)))</f>
        <v>67905491.9174968</v>
      </c>
      <c r="B2499">
        <v>190828948.10513246</v>
      </c>
    </row>
    <row r="2500" spans="1:2" x14ac:dyDescent="0.25">
      <c r="A2500">
        <f ca="1">34513.4878869803*((RANDBETWEEN(1620,2416)))</f>
        <v>67888030.67369023</v>
      </c>
      <c r="B2500">
        <v>182947041.46470919</v>
      </c>
    </row>
    <row r="2501" spans="1:2" x14ac:dyDescent="0.25">
      <c r="A2501">
        <f ca="1">29706.9417455859*((RANDBETWEEN(1620,2416)))</f>
        <v>52878356.307142854</v>
      </c>
      <c r="B2501">
        <v>173973485.44109973</v>
      </c>
    </row>
    <row r="2502" spans="1:2" x14ac:dyDescent="0.25">
      <c r="A2502">
        <f ca="1">29946.1607501657*((RANDBETWEEN(1620,2416)))</f>
        <v>54741581.851302847</v>
      </c>
      <c r="B2502">
        <v>178639165.81557199</v>
      </c>
    </row>
    <row r="2503" spans="1:2" x14ac:dyDescent="0.25">
      <c r="A2503">
        <f ca="1">28494.2722886064*((RANDBETWEEN(1620,2416)))</f>
        <v>55250393.967607901</v>
      </c>
      <c r="B2503">
        <v>153510362.68023923</v>
      </c>
    </row>
    <row r="2504" spans="1:2" x14ac:dyDescent="0.25">
      <c r="A2504">
        <f ca="1">32905.6679143687*((RANDBETWEEN(1620,2416)))</f>
        <v>76242432.557592347</v>
      </c>
      <c r="B2504">
        <v>151939306.7106719</v>
      </c>
    </row>
    <row r="2505" spans="1:2" x14ac:dyDescent="0.25">
      <c r="A2505">
        <f ca="1">28365.7804359794*((RANDBETWEEN(1620,2416)))</f>
        <v>60135454.524276271</v>
      </c>
      <c r="B2505">
        <v>160451545.71533284</v>
      </c>
    </row>
    <row r="2506" spans="1:2" x14ac:dyDescent="0.25">
      <c r="A2506">
        <f ca="1">30618.1681379941*((RANDBETWEEN(1620,2416)))</f>
        <v>66870079.213379219</v>
      </c>
      <c r="B2506">
        <v>175332490.75858161</v>
      </c>
    </row>
    <row r="2507" spans="1:2" x14ac:dyDescent="0.25">
      <c r="A2507">
        <f ca="1">30773.4993494077*((RANDBETWEEN(1620,2416)))</f>
        <v>61977827.689707063</v>
      </c>
      <c r="B2507">
        <v>155265588.73782477</v>
      </c>
    </row>
    <row r="2508" spans="1:2" x14ac:dyDescent="0.25">
      <c r="A2508">
        <f ca="1">32827.1729286819*((RANDBETWEEN(1620,2416)))</f>
        <v>58990429.752841443</v>
      </c>
      <c r="B2508">
        <v>153723990.12915722</v>
      </c>
    </row>
    <row r="2509" spans="1:2" x14ac:dyDescent="0.25">
      <c r="A2509">
        <f ca="1">30789.0582573329*((RANDBETWEEN(1620,2416)))</f>
        <v>67089357.942728393</v>
      </c>
      <c r="B2509">
        <v>168451190.43633854</v>
      </c>
    </row>
    <row r="2510" spans="1:2" x14ac:dyDescent="0.25">
      <c r="A2510">
        <f ca="1">30107.9277388109*((RANDBETWEEN(1620,2416)))</f>
        <v>52056607.060404122</v>
      </c>
      <c r="B2510">
        <v>162785185.58627349</v>
      </c>
    </row>
    <row r="2511" spans="1:2" x14ac:dyDescent="0.25">
      <c r="A2511">
        <f ca="1">33852.2235875285*((RANDBETWEEN(1620,2416)))</f>
        <v>79315759.865579292</v>
      </c>
      <c r="B2511">
        <v>157173043.01002237</v>
      </c>
    </row>
    <row r="2512" spans="1:2" x14ac:dyDescent="0.25">
      <c r="A2512">
        <f ca="1">31369.3060273084*((RANDBETWEEN(1620,2416)))</f>
        <v>53453297.47053355</v>
      </c>
      <c r="B2512">
        <v>156888188.58068624</v>
      </c>
    </row>
    <row r="2513" spans="1:2" x14ac:dyDescent="0.25">
      <c r="A2513">
        <f ca="1">29680.4675582524*((RANDBETWEEN(1620,2416)))</f>
        <v>53395161.137296058</v>
      </c>
      <c r="B2513">
        <v>184967406.14456117</v>
      </c>
    </row>
    <row r="2514" spans="1:2" x14ac:dyDescent="0.25">
      <c r="A2514">
        <f ca="1">31849.8607437003*((RANDBETWEEN(1620,2416)))</f>
        <v>57361599.199404262</v>
      </c>
      <c r="B2514">
        <v>145402052.53268462</v>
      </c>
    </row>
    <row r="2515" spans="1:2" x14ac:dyDescent="0.25">
      <c r="A2515">
        <f ca="1">34592.4676225469*((RANDBETWEEN(1620,2416)))</f>
        <v>80392894.754799008</v>
      </c>
      <c r="B2515">
        <v>143972971.10471821</v>
      </c>
    </row>
    <row r="2516" spans="1:2" x14ac:dyDescent="0.25">
      <c r="A2516">
        <f ca="1">32980.1777760688*((RANDBETWEEN(1620,2416)))</f>
        <v>68796650.8408795</v>
      </c>
      <c r="B2516">
        <v>182095316.10120946</v>
      </c>
    </row>
    <row r="2517" spans="1:2" x14ac:dyDescent="0.25">
      <c r="A2517">
        <f ca="1">29916.4640963278*((RANDBETWEEN(1620,2416)))</f>
        <v>68448869.852397978</v>
      </c>
      <c r="B2517">
        <v>173543170.31087503</v>
      </c>
    </row>
    <row r="2518" spans="1:2" x14ac:dyDescent="0.25">
      <c r="A2518">
        <f ca="1">31724.9080764473*((RANDBETWEEN(1620,2416)))</f>
        <v>70397571.021636471</v>
      </c>
      <c r="B2518">
        <v>159951039.19000566</v>
      </c>
    </row>
    <row r="2519" spans="1:2" x14ac:dyDescent="0.25">
      <c r="A2519">
        <f ca="1">37604.952185214*((RANDBETWEEN(1620,2416)))</f>
        <v>72427137.908722132</v>
      </c>
      <c r="B2519">
        <v>187592605.18567312</v>
      </c>
    </row>
    <row r="2520" spans="1:2" x14ac:dyDescent="0.25">
      <c r="A2520">
        <f ca="1">32170.533271247*((RANDBETWEEN(1620,2416)))</f>
        <v>65917422.672785111</v>
      </c>
      <c r="B2520">
        <v>149206460.73123437</v>
      </c>
    </row>
    <row r="2521" spans="1:2" x14ac:dyDescent="0.25">
      <c r="A2521">
        <f ca="1">31301.9033904387*((RANDBETWEEN(1620,2416)))</f>
        <v>74248114.842120692</v>
      </c>
      <c r="B2521">
        <v>165794615.03871438</v>
      </c>
    </row>
    <row r="2522" spans="1:2" x14ac:dyDescent="0.25">
      <c r="A2522">
        <f ca="1">29171.1942738142*((RANDBETWEEN(1620,2416)))</f>
        <v>61842931.860486023</v>
      </c>
      <c r="B2522">
        <v>144687652.18084854</v>
      </c>
    </row>
    <row r="2523" spans="1:2" x14ac:dyDescent="0.25">
      <c r="A2523">
        <f ca="1">35288.531287734*((RANDBETWEEN(1620,2416)))</f>
        <v>82681028.807160825</v>
      </c>
      <c r="B2523">
        <v>196872416.83323759</v>
      </c>
    </row>
    <row r="2524" spans="1:2" x14ac:dyDescent="0.25">
      <c r="A2524">
        <f ca="1">32508.7231859163*((RANDBETWEEN(1620,2416)))</f>
        <v>65342533.603691719</v>
      </c>
      <c r="B2524">
        <v>163853319.9610076</v>
      </c>
    </row>
    <row r="2525" spans="1:2" x14ac:dyDescent="0.25">
      <c r="A2525">
        <f ca="1">31083.2821843353*((RANDBETWEEN(1620,2416)))</f>
        <v>56944572.961702317</v>
      </c>
      <c r="B2525">
        <v>158086587.36898822</v>
      </c>
    </row>
    <row r="2526" spans="1:2" x14ac:dyDescent="0.25">
      <c r="A2526">
        <f ca="1">33366.9229491446*((RANDBETWEEN(1620,2416)))</f>
        <v>59860259.770765401</v>
      </c>
      <c r="B2526">
        <v>168664954.31551823</v>
      </c>
    </row>
    <row r="2527" spans="1:2" x14ac:dyDescent="0.25">
      <c r="A2527">
        <f ca="1">31294.3800553524*((RANDBETWEEN(1620,2416)))</f>
        <v>52574558.492992006</v>
      </c>
      <c r="B2527">
        <v>175214526.28982818</v>
      </c>
    </row>
    <row r="2528" spans="1:2" x14ac:dyDescent="0.25">
      <c r="A2528">
        <f ca="1">31830.1990912203*((RANDBETWEEN(1620,2416)))</f>
        <v>62164378.825153284</v>
      </c>
      <c r="B2528">
        <v>145795505.53367341</v>
      </c>
    </row>
    <row r="2529" spans="1:2" x14ac:dyDescent="0.25">
      <c r="A2529">
        <f ca="1">36927.5833321352*((RANDBETWEEN(1620,2416)))</f>
        <v>77769490.497476831</v>
      </c>
      <c r="B2529">
        <v>203600019.75773025</v>
      </c>
    </row>
    <row r="2530" spans="1:2" x14ac:dyDescent="0.25">
      <c r="A2530">
        <f ca="1">34840.5687931982*((RANDBETWEEN(1620,2416)))</f>
        <v>83303799.984536827</v>
      </c>
      <c r="B2530">
        <v>158183946.34094781</v>
      </c>
    </row>
    <row r="2531" spans="1:2" x14ac:dyDescent="0.25">
      <c r="A2531">
        <f ca="1">30165.2767881069*((RANDBETWEEN(1620,2416)))</f>
        <v>57012373.129522003</v>
      </c>
      <c r="B2531">
        <v>176861378.84531605</v>
      </c>
    </row>
    <row r="2532" spans="1:2" x14ac:dyDescent="0.25">
      <c r="A2532">
        <f ca="1">39727.34471746*((RANDBETWEEN(1620,2416)))</f>
        <v>71707857.215015262</v>
      </c>
      <c r="B2532">
        <v>194765332.96990588</v>
      </c>
    </row>
    <row r="2533" spans="1:2" x14ac:dyDescent="0.25">
      <c r="A2533">
        <f ca="1">32172.4789352605*((RANDBETWEEN(1620,2416)))</f>
        <v>70650763.741832152</v>
      </c>
      <c r="B2533">
        <v>160230638.58072233</v>
      </c>
    </row>
    <row r="2534" spans="1:2" x14ac:dyDescent="0.25">
      <c r="A2534">
        <f ca="1">40670.233554085*((RANDBETWEEN(1620,2416)))</f>
        <v>93988909.743490547</v>
      </c>
      <c r="B2534">
        <v>170783885.53342202</v>
      </c>
    </row>
    <row r="2535" spans="1:2" x14ac:dyDescent="0.25">
      <c r="A2535">
        <f ca="1">31244.1362945967*((RANDBETWEEN(1620,2416)))</f>
        <v>72455152.067169651</v>
      </c>
      <c r="B2535">
        <v>199787674.23662889</v>
      </c>
    </row>
    <row r="2536" spans="1:2" x14ac:dyDescent="0.25">
      <c r="A2536">
        <f ca="1">32268.9262775091*((RANDBETWEEN(1620,2416)))</f>
        <v>57890453.7418513</v>
      </c>
      <c r="B2536">
        <v>167293336.92155528</v>
      </c>
    </row>
    <row r="2537" spans="1:2" x14ac:dyDescent="0.25">
      <c r="A2537">
        <f ca="1">34561.6361786361*((RANDBETWEEN(1620,2416)))</f>
        <v>71196970.527990282</v>
      </c>
      <c r="B2537">
        <v>181239117.86344171</v>
      </c>
    </row>
    <row r="2538" spans="1:2" x14ac:dyDescent="0.25">
      <c r="A2538">
        <f ca="1">29441.2242581287*((RANDBETWEEN(1620,2416)))</f>
        <v>50786111.845272027</v>
      </c>
      <c r="B2538">
        <v>195359409.27561104</v>
      </c>
    </row>
    <row r="2539" spans="1:2" x14ac:dyDescent="0.25">
      <c r="A2539">
        <f ca="1">33060.9195570928*((RANDBETWEEN(1620,2416)))</f>
        <v>75808688.544413716</v>
      </c>
      <c r="B2539">
        <v>177818542.97706097</v>
      </c>
    </row>
    <row r="2540" spans="1:2" x14ac:dyDescent="0.25">
      <c r="A2540">
        <f ca="1">29009.3319038207*((RANDBETWEEN(1620,2416)))</f>
        <v>65590099.434538633</v>
      </c>
      <c r="B2540">
        <v>168920141.53927624</v>
      </c>
    </row>
    <row r="2541" spans="1:2" x14ac:dyDescent="0.25">
      <c r="A2541">
        <f ca="1">38277.1584411433*((RANDBETWEEN(1620,2416)))</f>
        <v>67023304.430441901</v>
      </c>
      <c r="B2541">
        <v>160742251.47986609</v>
      </c>
    </row>
    <row r="2542" spans="1:2" x14ac:dyDescent="0.25">
      <c r="A2542">
        <f ca="1">31480.96238411*((RANDBETWEEN(1620,2416)))</f>
        <v>63150810.542524651</v>
      </c>
      <c r="B2542">
        <v>202908154.97549358</v>
      </c>
    </row>
    <row r="2543" spans="1:2" x14ac:dyDescent="0.25">
      <c r="A2543">
        <f ca="1">33053.3276948381*((RANDBETWEEN(1620,2416)))</f>
        <v>70899387.905427709</v>
      </c>
      <c r="B2543">
        <v>192407999.76353005</v>
      </c>
    </row>
    <row r="2544" spans="1:2" x14ac:dyDescent="0.25">
      <c r="A2544">
        <f ca="1">40430.8665266344*((RANDBETWEEN(1620,2416)))</f>
        <v>67681270.565585971</v>
      </c>
      <c r="B2544">
        <v>180434998.16019988</v>
      </c>
    </row>
    <row r="2545" spans="1:2" x14ac:dyDescent="0.25">
      <c r="A2545">
        <f ca="1">31952.5994526486*((RANDBETWEEN(1620,2416)))</f>
        <v>75120561.313176826</v>
      </c>
      <c r="B2545">
        <v>145331515.0643782</v>
      </c>
    </row>
    <row r="2546" spans="1:2" x14ac:dyDescent="0.25">
      <c r="A2546">
        <f ca="1">41432.7665007362*((RANDBETWEEN(1620,2416)))</f>
        <v>82782667.468470931</v>
      </c>
      <c r="B2546">
        <v>177054626.56892067</v>
      </c>
    </row>
    <row r="2547" spans="1:2" x14ac:dyDescent="0.25">
      <c r="A2547">
        <f ca="1">34385.7953067572*((RANDBETWEEN(1620,2416)))</f>
        <v>77024181.487136081</v>
      </c>
      <c r="B2547">
        <v>175085007.61820617</v>
      </c>
    </row>
    <row r="2548" spans="1:2" x14ac:dyDescent="0.25">
      <c r="A2548">
        <f ca="1">31603.7326305401*((RANDBETWEEN(1620,2416)))</f>
        <v>72277736.526045308</v>
      </c>
      <c r="B2548">
        <v>146411055.85654005</v>
      </c>
    </row>
    <row r="2549" spans="1:2" x14ac:dyDescent="0.25">
      <c r="A2549">
        <f ca="1">29693.681799426*((RANDBETWEEN(1620,2416)))</f>
        <v>50687114.831620105</v>
      </c>
      <c r="B2549">
        <v>161608395.46637896</v>
      </c>
    </row>
    <row r="2550" spans="1:2" x14ac:dyDescent="0.25">
      <c r="A2550">
        <f ca="1">35775.3287606418*((RANDBETWEEN(1620,2416)))</f>
        <v>66148582.878426693</v>
      </c>
      <c r="B2550">
        <v>157275740.39073282</v>
      </c>
    </row>
    <row r="2551" spans="1:2" x14ac:dyDescent="0.25">
      <c r="A2551">
        <f ca="1">29065.2425974598*((RANDBETWEEN(1620,2416)))</f>
        <v>53799764.047898069</v>
      </c>
      <c r="B2551">
        <v>168540659.17211738</v>
      </c>
    </row>
    <row r="2552" spans="1:2" x14ac:dyDescent="0.25">
      <c r="A2552">
        <f ca="1">28805.2612739928*((RANDBETWEEN(1620,2416)))</f>
        <v>59857332.927356966</v>
      </c>
      <c r="B2552">
        <v>150816298.3066963</v>
      </c>
    </row>
    <row r="2553" spans="1:2" x14ac:dyDescent="0.25">
      <c r="A2553">
        <f ca="1">37170.1536349566*((RANDBETWEEN(1620,2416)))</f>
        <v>67575339.30835101</v>
      </c>
      <c r="B2553">
        <v>159031653.87318665</v>
      </c>
    </row>
    <row r="2554" spans="1:2" x14ac:dyDescent="0.25">
      <c r="A2554">
        <f ca="1">34060.364398852*((RANDBETWEEN(1620,2416)))</f>
        <v>58686007.859221958</v>
      </c>
      <c r="B2554">
        <v>150758323.88284749</v>
      </c>
    </row>
    <row r="2555" spans="1:2" x14ac:dyDescent="0.25">
      <c r="A2555">
        <f ca="1">37565.1412720351*((RANDBETWEEN(1620,2416)))</f>
        <v>78135493.845833018</v>
      </c>
      <c r="B2555">
        <v>187455508.91036871</v>
      </c>
    </row>
    <row r="2556" spans="1:2" x14ac:dyDescent="0.25">
      <c r="A2556">
        <f ca="1">32245.6154045965*((RANDBETWEEN(1620,2416)))</f>
        <v>56300844.496425405</v>
      </c>
      <c r="B2556">
        <v>144260264.26962888</v>
      </c>
    </row>
    <row r="2557" spans="1:2" x14ac:dyDescent="0.25">
      <c r="A2557">
        <f ca="1">33856.8762213834*((RANDBETWEEN(1620,2416)))</f>
        <v>66799616.784789503</v>
      </c>
      <c r="B2557">
        <v>152925176.46804059</v>
      </c>
    </row>
    <row r="2558" spans="1:2" x14ac:dyDescent="0.25">
      <c r="A2558">
        <f ca="1">32509.2850393337*((RANDBETWEEN(1620,2416)))</f>
        <v>64725986.513313353</v>
      </c>
      <c r="B2558">
        <v>158211482.9113411</v>
      </c>
    </row>
    <row r="2559" spans="1:2" x14ac:dyDescent="0.25">
      <c r="A2559">
        <f ca="1">30901.4171476746*((RANDBETWEEN(1620,2416)))</f>
        <v>56920410.386016577</v>
      </c>
      <c r="B2559">
        <v>144168970.37032992</v>
      </c>
    </row>
    <row r="2560" spans="1:2" x14ac:dyDescent="0.25">
      <c r="A2560">
        <f ca="1">30801.9199024602*((RANDBETWEEN(1620,2416)))</f>
        <v>55597465.423940659</v>
      </c>
      <c r="B2560">
        <v>188832733.59650216</v>
      </c>
    </row>
    <row r="2561" spans="1:2" x14ac:dyDescent="0.25">
      <c r="A2561">
        <f ca="1">32696.516648171*((RANDBETWEEN(1620,2416)))</f>
        <v>53687680.336296834</v>
      </c>
      <c r="B2561">
        <v>147755945.54666218</v>
      </c>
    </row>
    <row r="2562" spans="1:2" x14ac:dyDescent="0.25">
      <c r="A2562">
        <f ca="1">32836.3204657016*((RANDBETWEEN(1620,2416)))</f>
        <v>59499412.683851361</v>
      </c>
      <c r="B2562">
        <v>171755389.08018976</v>
      </c>
    </row>
    <row r="2563" spans="1:2" x14ac:dyDescent="0.25">
      <c r="A2563">
        <f ca="1">29786.5363443074*((RANDBETWEEN(1620,2416)))</f>
        <v>64636783.867147043</v>
      </c>
      <c r="B2563">
        <v>164488142.79495978</v>
      </c>
    </row>
    <row r="2564" spans="1:2" x14ac:dyDescent="0.25">
      <c r="A2564">
        <f ca="1">32371.7770582724*((RANDBETWEEN(1620,2416)))</f>
        <v>60243877.105444998</v>
      </c>
      <c r="B2564">
        <v>145340206.19430396</v>
      </c>
    </row>
    <row r="2565" spans="1:2" x14ac:dyDescent="0.25">
      <c r="A2565">
        <f ca="1">27623.7868876016*((RANDBETWEEN(1620,2416)))</f>
        <v>55109454.840765238</v>
      </c>
      <c r="B2565">
        <v>143461650.29012749</v>
      </c>
    </row>
    <row r="2566" spans="1:2" x14ac:dyDescent="0.25">
      <c r="A2566">
        <f ca="1">33132.1906397198*((RANDBETWEEN(1620,2416)))</f>
        <v>67523404.523749039</v>
      </c>
      <c r="B2566">
        <v>195520698.68221277</v>
      </c>
    </row>
    <row r="2567" spans="1:2" x14ac:dyDescent="0.25">
      <c r="A2567">
        <f ca="1">38177.3526954387*((RANDBETWEEN(1620,2416)))</f>
        <v>63756179.001382701</v>
      </c>
      <c r="B2567">
        <v>183883609.1344952</v>
      </c>
    </row>
    <row r="2568" spans="1:2" x14ac:dyDescent="0.25">
      <c r="A2568">
        <f ca="1">33462.4381897186*((RANDBETWEEN(1620,2416)))</f>
        <v>68966085.109010115</v>
      </c>
      <c r="B2568">
        <v>199842675.46212357</v>
      </c>
    </row>
    <row r="2569" spans="1:2" x14ac:dyDescent="0.25">
      <c r="A2569">
        <f ca="1">39057.7941545091*((RANDBETWEEN(1620,2416)))</f>
        <v>81708905.371233135</v>
      </c>
      <c r="B2569">
        <v>192281331.88399827</v>
      </c>
    </row>
    <row r="2570" spans="1:2" x14ac:dyDescent="0.25">
      <c r="A2570">
        <f ca="1">35211.8393176186*((RANDBETWEEN(1620,2416)))</f>
        <v>59648855.804045849</v>
      </c>
      <c r="B2570">
        <v>183460358.46598029</v>
      </c>
    </row>
    <row r="2571" spans="1:2" x14ac:dyDescent="0.25">
      <c r="A2571">
        <f ca="1">38801.8866290361*((RANDBETWEEN(1620,2416)))</f>
        <v>65613990.289700098</v>
      </c>
      <c r="B2571">
        <v>189540820.17690438</v>
      </c>
    </row>
    <row r="2572" spans="1:2" x14ac:dyDescent="0.25">
      <c r="A2572">
        <f ca="1">31660.8681293545*((RANDBETWEEN(1620,2416)))</f>
        <v>74782970.521535277</v>
      </c>
      <c r="B2572">
        <v>165807579.70839736</v>
      </c>
    </row>
    <row r="2573" spans="1:2" x14ac:dyDescent="0.25">
      <c r="A2573">
        <f ca="1">36006.0328741529*((RANDBETWEEN(1620,2416)))</f>
        <v>63406623.891383171</v>
      </c>
      <c r="B2573">
        <v>171659576.42500687</v>
      </c>
    </row>
    <row r="2574" spans="1:2" x14ac:dyDescent="0.25">
      <c r="A2574">
        <f ca="1">30237.2745947134*((RANDBETWEEN(1620,2416)))</f>
        <v>56120381.64778816</v>
      </c>
      <c r="B2574">
        <v>201548487.9169893</v>
      </c>
    </row>
    <row r="2575" spans="1:2" x14ac:dyDescent="0.25">
      <c r="A2575">
        <f ca="1">32791.5363411154*((RANDBETWEEN(1620,2416)))</f>
        <v>58828016.195961088</v>
      </c>
      <c r="B2575">
        <v>200994316.26203108</v>
      </c>
    </row>
    <row r="2576" spans="1:2" x14ac:dyDescent="0.25">
      <c r="A2576">
        <f ca="1">31570.148855272*((RANDBETWEEN(1620,2416)))</f>
        <v>65729049.91667632</v>
      </c>
      <c r="B2576">
        <v>180933867.81871238</v>
      </c>
    </row>
    <row r="2577" spans="1:2" x14ac:dyDescent="0.25">
      <c r="A2577">
        <f ca="1">39199.2715203006*((RANDBETWEEN(1620,2416)))</f>
        <v>86355995.159222201</v>
      </c>
      <c r="B2577">
        <v>146704423.95278168</v>
      </c>
    </row>
    <row r="2578" spans="1:2" x14ac:dyDescent="0.25">
      <c r="A2578">
        <f ca="1">35173.4742182698*((RANDBETWEEN(1620,2416)))</f>
        <v>76045051.259899288</v>
      </c>
      <c r="B2578">
        <v>189241762.44991156</v>
      </c>
    </row>
    <row r="2579" spans="1:2" x14ac:dyDescent="0.25">
      <c r="A2579">
        <f ca="1">30876.4652951641*((RANDBETWEEN(1620,2416)))</f>
        <v>57553731.310185835</v>
      </c>
      <c r="B2579">
        <v>168352404.4323872</v>
      </c>
    </row>
    <row r="2580" spans="1:2" x14ac:dyDescent="0.25">
      <c r="A2580">
        <f ca="1">31473.2898726895*((RANDBETWEEN(1620,2416)))</f>
        <v>53158386.594972514</v>
      </c>
      <c r="B2580">
        <v>184629869.09404263</v>
      </c>
    </row>
    <row r="2581" spans="1:2" x14ac:dyDescent="0.25">
      <c r="A2581">
        <f ca="1">38950.1074340554*((RANDBETWEEN(1620,2416)))</f>
        <v>91182201.503123581</v>
      </c>
      <c r="B2581">
        <v>149264762.79918075</v>
      </c>
    </row>
    <row r="2582" spans="1:2" x14ac:dyDescent="0.25">
      <c r="A2582">
        <f ca="1">31126.1320310202*((RANDBETWEEN(1620,2416)))</f>
        <v>66516544.150290065</v>
      </c>
      <c r="B2582">
        <v>171670797.80870599</v>
      </c>
    </row>
    <row r="2583" spans="1:2" x14ac:dyDescent="0.25">
      <c r="A2583">
        <f ca="1">30808.316979708*((RANDBETWEEN(1620,2416)))</f>
        <v>50125131.725984864</v>
      </c>
      <c r="B2583">
        <v>150771801.62909612</v>
      </c>
    </row>
    <row r="2584" spans="1:2" x14ac:dyDescent="0.25">
      <c r="A2584">
        <f ca="1">34346.6233645639*((RANDBETWEEN(1620,2416)))</f>
        <v>82603629.191776216</v>
      </c>
      <c r="B2584">
        <v>159266309.83875793</v>
      </c>
    </row>
    <row r="2585" spans="1:2" x14ac:dyDescent="0.25">
      <c r="A2585">
        <f ca="1">33958.79615597*((RANDBETWEEN(1620,2416)))</f>
        <v>80686099.666584671</v>
      </c>
      <c r="B2585">
        <v>162888892.01234162</v>
      </c>
    </row>
    <row r="2586" spans="1:2" x14ac:dyDescent="0.25">
      <c r="A2586">
        <f ca="1">31050.067078583*((RANDBETWEEN(1620,2416)))</f>
        <v>58312025.973578863</v>
      </c>
      <c r="B2586">
        <v>161830729.61221474</v>
      </c>
    </row>
    <row r="2587" spans="1:2" x14ac:dyDescent="0.25">
      <c r="A2587">
        <f ca="1">32052.2395799412*((RANDBETWEEN(1620,2416)))</f>
        <v>71604703.221588612</v>
      </c>
      <c r="B2587">
        <v>149060284.64871517</v>
      </c>
    </row>
    <row r="2588" spans="1:2" x14ac:dyDescent="0.25">
      <c r="A2588">
        <f ca="1">30227.0271273803*((RANDBETWEEN(1620,2416)))</f>
        <v>49904821.787304938</v>
      </c>
      <c r="B2588">
        <v>159956860.85367197</v>
      </c>
    </row>
    <row r="2589" spans="1:2" x14ac:dyDescent="0.25">
      <c r="A2589">
        <f ca="1">33805.978196393*((RANDBETWEEN(1620,2416)))</f>
        <v>80458228.107415289</v>
      </c>
      <c r="B2589">
        <v>173804592.34206626</v>
      </c>
    </row>
    <row r="2590" spans="1:2" x14ac:dyDescent="0.25">
      <c r="A2590">
        <f ca="1">30988.9132469012*((RANDBETWEEN(1620,2416)))</f>
        <v>50635884.245436616</v>
      </c>
      <c r="B2590">
        <v>160850476.37681764</v>
      </c>
    </row>
    <row r="2591" spans="1:2" x14ac:dyDescent="0.25">
      <c r="A2591">
        <f ca="1">40983.4102674235*((RANDBETWEEN(1620,2416)))</f>
        <v>70983266.583177552</v>
      </c>
      <c r="B2591">
        <v>178805907.59011298</v>
      </c>
    </row>
    <row r="2592" spans="1:2" x14ac:dyDescent="0.25">
      <c r="A2592">
        <f ca="1">40153.8896815299*((RANDBETWEEN(1620,2416)))</f>
        <v>66735764.650702611</v>
      </c>
      <c r="B2592">
        <v>187265943.02178439</v>
      </c>
    </row>
    <row r="2593" spans="1:2" x14ac:dyDescent="0.25">
      <c r="A2593">
        <f ca="1">30053.1447267561*((RANDBETWEEN(1620,2416)))</f>
        <v>48986625.904612467</v>
      </c>
      <c r="B2593">
        <v>168787679.1175268</v>
      </c>
    </row>
    <row r="2594" spans="1:2" x14ac:dyDescent="0.25">
      <c r="A2594">
        <f ca="1">36850.7224002026*((RANDBETWEEN(1620,2416)))</f>
        <v>84461855.741264269</v>
      </c>
      <c r="B2594">
        <v>161101943.41424474</v>
      </c>
    </row>
    <row r="2595" spans="1:2" x14ac:dyDescent="0.25">
      <c r="A2595">
        <f ca="1">30380.8926953117*((RANDBETWEEN(1620,2416)))</f>
        <v>69329197.130701229</v>
      </c>
      <c r="B2595">
        <v>184051883.85996979</v>
      </c>
    </row>
    <row r="2596" spans="1:2" x14ac:dyDescent="0.25">
      <c r="A2596">
        <f ca="1">30227.3002159708*((RANDBETWEEN(1620,2416)))</f>
        <v>71064382.807747334</v>
      </c>
      <c r="B2596">
        <v>145320135.08613208</v>
      </c>
    </row>
    <row r="2597" spans="1:2" x14ac:dyDescent="0.25">
      <c r="A2597">
        <f ca="1">31031.0736702172*((RANDBETWEEN(1620,2416)))</f>
        <v>69292387.505594969</v>
      </c>
      <c r="B2597">
        <v>194704067.83642712</v>
      </c>
    </row>
    <row r="2598" spans="1:2" x14ac:dyDescent="0.25">
      <c r="A2598">
        <f ca="1">42081.1478082038*((RANDBETWEEN(1620,2416)))</f>
        <v>70065111.100659281</v>
      </c>
      <c r="B2598">
        <v>188914471.82185054</v>
      </c>
    </row>
    <row r="2599" spans="1:2" x14ac:dyDescent="0.25">
      <c r="A2599">
        <f ca="1">31857.4336472784*((RANDBETWEEN(1620,2416)))</f>
        <v>69098773.580946907</v>
      </c>
      <c r="B2599">
        <v>161342404.4111186</v>
      </c>
    </row>
    <row r="2600" spans="1:2" x14ac:dyDescent="0.25">
      <c r="A2600">
        <f ca="1">32484.7097326189*((RANDBETWEEN(1620,2416)))</f>
        <v>63215245.13967637</v>
      </c>
      <c r="B2600">
        <v>155840822.11004904</v>
      </c>
    </row>
    <row r="2601" spans="1:2" x14ac:dyDescent="0.25">
      <c r="A2601">
        <f ca="1">27812.8962051566*((RANDBETWEEN(1620,2416)))</f>
        <v>65888751.1100161</v>
      </c>
      <c r="B2601">
        <v>160136724.96027577</v>
      </c>
    </row>
    <row r="2602" spans="1:2" x14ac:dyDescent="0.25">
      <c r="A2602">
        <f ca="1">31458.6906102835*((RANDBETWEEN(1620,2416)))</f>
        <v>65685745.994271852</v>
      </c>
      <c r="B2602">
        <v>190570981.70911422</v>
      </c>
    </row>
    <row r="2603" spans="1:2" x14ac:dyDescent="0.25">
      <c r="A2603">
        <f ca="1">31793.1104406921*((RANDBETWEEN(1620,2416)))</f>
        <v>57036840.130601592</v>
      </c>
      <c r="B2603">
        <v>148610579.43601695</v>
      </c>
    </row>
    <row r="2604" spans="1:2" x14ac:dyDescent="0.25">
      <c r="A2604">
        <f ca="1">30100.9158078177*((RANDBETWEEN(1620,2416)))</f>
        <v>71459574.127759188</v>
      </c>
      <c r="B2604">
        <v>154291463.8782976</v>
      </c>
    </row>
    <row r="2605" spans="1:2" x14ac:dyDescent="0.25">
      <c r="A2605">
        <f ca="1">33661.5470788719*((RANDBETWEEN(1620,2416)))</f>
        <v>73213864.896546468</v>
      </c>
      <c r="B2605">
        <v>155731420.97573429</v>
      </c>
    </row>
    <row r="2606" spans="1:2" x14ac:dyDescent="0.25">
      <c r="A2606">
        <f ca="1">28761.5843670006*((RANDBETWEEN(1620,2416)))</f>
        <v>57293076.059065282</v>
      </c>
      <c r="B2606">
        <v>147110352.33694273</v>
      </c>
    </row>
    <row r="2607" spans="1:2" x14ac:dyDescent="0.25">
      <c r="A2607">
        <f ca="1">29474.9251110076*((RANDBETWEEN(1620,2416)))</f>
        <v>59185649.622903243</v>
      </c>
      <c r="B2607">
        <v>145741574.49786061</v>
      </c>
    </row>
    <row r="2608" spans="1:2" x14ac:dyDescent="0.25">
      <c r="A2608">
        <f ca="1">29309.4598351477*((RANDBETWEEN(1620,2416)))</f>
        <v>59820607.523536474</v>
      </c>
      <c r="B2608">
        <v>148899349.14975578</v>
      </c>
    </row>
    <row r="2609" spans="1:2" x14ac:dyDescent="0.25">
      <c r="A2609">
        <f ca="1">31786.1700084762*((RANDBETWEEN(1620,2416)))</f>
        <v>51906815.623841658</v>
      </c>
      <c r="B2609">
        <v>162617515.2796019</v>
      </c>
    </row>
    <row r="2610" spans="1:2" x14ac:dyDescent="0.25">
      <c r="A2610">
        <f ca="1">31968.9931443508*((RANDBETWEEN(1620,2416)))</f>
        <v>60357459.056534402</v>
      </c>
      <c r="B2610">
        <v>193412469.28830445</v>
      </c>
    </row>
    <row r="2611" spans="1:2" x14ac:dyDescent="0.25">
      <c r="A2611">
        <f ca="1">30825.4737862107*((RANDBETWEEN(1620,2416)))</f>
        <v>52064225.224909924</v>
      </c>
      <c r="B2611">
        <v>167163037.06337661</v>
      </c>
    </row>
    <row r="2612" spans="1:2" x14ac:dyDescent="0.25">
      <c r="A2612">
        <f ca="1">36601.1097422183*((RANDBETWEEN(1620,2416)))</f>
        <v>72689803.948045626</v>
      </c>
      <c r="B2612">
        <v>163024522.61648089</v>
      </c>
    </row>
    <row r="2613" spans="1:2" x14ac:dyDescent="0.25">
      <c r="A2613">
        <f ca="1">35833.9292146039*((RANDBETWEEN(1620,2416)))</f>
        <v>79300485.351918533</v>
      </c>
      <c r="B2613">
        <v>186126417.01404351</v>
      </c>
    </row>
    <row r="2614" spans="1:2" x14ac:dyDescent="0.25">
      <c r="A2614">
        <f ca="1">39492.2620323149*((RANDBETWEEN(1620,2416)))</f>
        <v>90595249.102130473</v>
      </c>
      <c r="B2614">
        <v>156384360.99669951</v>
      </c>
    </row>
    <row r="2615" spans="1:2" x14ac:dyDescent="0.25">
      <c r="A2615">
        <f ca="1">30712.3818103258*((RANDBETWEEN(1620,2416)))</f>
        <v>51197540.477813028</v>
      </c>
      <c r="B2615">
        <v>156639249.77025548</v>
      </c>
    </row>
    <row r="2616" spans="1:2" x14ac:dyDescent="0.25">
      <c r="A2616">
        <f ca="1">34927.2735028734*((RANDBETWEEN(1620,2416)))</f>
        <v>67793837.86907725</v>
      </c>
      <c r="B2616">
        <v>180522060.72369388</v>
      </c>
    </row>
    <row r="2617" spans="1:2" x14ac:dyDescent="0.25">
      <c r="A2617">
        <f ca="1">41607.3522914409*((RANDBETWEEN(1620,2416)))</f>
        <v>70316425.372535184</v>
      </c>
      <c r="B2617">
        <v>167232741.14874247</v>
      </c>
    </row>
    <row r="2618" spans="1:2" x14ac:dyDescent="0.25">
      <c r="A2618">
        <f ca="1">29171.5288885*((RANDBETWEEN(1620,2416)))</f>
        <v>63448075.332487442</v>
      </c>
      <c r="B2618">
        <v>159020662.25934038</v>
      </c>
    </row>
    <row r="2619" spans="1:2" x14ac:dyDescent="0.25">
      <c r="A2619">
        <f ca="1">29942.0950759555*((RANDBETWEEN(1620,2416)))</f>
        <v>62608920.803822897</v>
      </c>
      <c r="B2619">
        <v>160452193.99265301</v>
      </c>
    </row>
    <row r="2620" spans="1:2" x14ac:dyDescent="0.25">
      <c r="A2620">
        <f ca="1">30170.3885723793*((RANDBETWEEN(1620,2416)))</f>
        <v>54065336.32170368</v>
      </c>
      <c r="B2620">
        <v>144112348.23208749</v>
      </c>
    </row>
    <row r="2621" spans="1:2" x14ac:dyDescent="0.25">
      <c r="A2621">
        <f ca="1">38881.826019857*((RANDBETWEEN(1620,2416)))</f>
        <v>73136714.743350998</v>
      </c>
      <c r="B2621">
        <v>189498839.73783869</v>
      </c>
    </row>
    <row r="2622" spans="1:2" x14ac:dyDescent="0.25">
      <c r="A2622">
        <f ca="1">28715.0966121213*((RANDBETWEEN(1620,2416)))</f>
        <v>68657795.999582067</v>
      </c>
      <c r="B2622">
        <v>146744620.867558</v>
      </c>
    </row>
    <row r="2623" spans="1:2" x14ac:dyDescent="0.25">
      <c r="A2623">
        <f ca="1">29790.838531454*((RANDBETWEEN(1620,2416)))</f>
        <v>61786199.114235513</v>
      </c>
      <c r="B2623">
        <v>160210137.80235183</v>
      </c>
    </row>
    <row r="2624" spans="1:2" x14ac:dyDescent="0.25">
      <c r="A2624">
        <f ca="1">30161.6199677143*((RANDBETWEEN(1620,2416)))</f>
        <v>63671179.751844898</v>
      </c>
      <c r="B2624">
        <v>152572113.45640367</v>
      </c>
    </row>
    <row r="2625" spans="1:2" x14ac:dyDescent="0.25">
      <c r="A2625">
        <f ca="1">32307.973486939*((RANDBETWEEN(1620,2416)))</f>
        <v>56215873.867273808</v>
      </c>
      <c r="B2625">
        <v>147701271.66720685</v>
      </c>
    </row>
    <row r="2626" spans="1:2" x14ac:dyDescent="0.25">
      <c r="A2626">
        <f ca="1">40048.0643402132*((RANDBETWEEN(1620,2416)))</f>
        <v>92190644.111170903</v>
      </c>
      <c r="B2626">
        <v>149885122.68000355</v>
      </c>
    </row>
    <row r="2627" spans="1:2" x14ac:dyDescent="0.25">
      <c r="A2627">
        <f ca="1">39180.8650798294*((RANDBETWEEN(1620,2416)))</f>
        <v>66803374.961109146</v>
      </c>
      <c r="B2627">
        <v>157960472.15077615</v>
      </c>
    </row>
    <row r="2628" spans="1:2" x14ac:dyDescent="0.25">
      <c r="A2628">
        <f ca="1">41607.0154961454*((RANDBETWEEN(1620,2416)))</f>
        <v>91826683.19999294</v>
      </c>
      <c r="B2628">
        <v>188274352.17415008</v>
      </c>
    </row>
    <row r="2629" spans="1:2" x14ac:dyDescent="0.25">
      <c r="A2629">
        <f ca="1">41782.6931312309*((RANDBETWEEN(1620,2416)))</f>
        <v>68356485.962693766</v>
      </c>
      <c r="B2629">
        <v>171129778.12899458</v>
      </c>
    </row>
    <row r="2630" spans="1:2" x14ac:dyDescent="0.25">
      <c r="A2630">
        <f ca="1">30389.7650929062*((RANDBETWEEN(1620,2416)))</f>
        <v>54944695.287974328</v>
      </c>
      <c r="B2630">
        <v>159202748.29886833</v>
      </c>
    </row>
    <row r="2631" spans="1:2" x14ac:dyDescent="0.25">
      <c r="A2631">
        <f ca="1">31768.5060102559*((RANDBETWEEN(1620,2416)))</f>
        <v>58326977.034829788</v>
      </c>
      <c r="B2631">
        <v>145828464.0392831</v>
      </c>
    </row>
    <row r="2632" spans="1:2" x14ac:dyDescent="0.25">
      <c r="A2632">
        <f ca="1">28434.1211341448*((RANDBETWEEN(1620,2416)))</f>
        <v>54849419.667765312</v>
      </c>
      <c r="B2632">
        <v>173573495.21024537</v>
      </c>
    </row>
    <row r="2633" spans="1:2" x14ac:dyDescent="0.25">
      <c r="A2633">
        <f ca="1">30780.8561074911*((RANDBETWEEN(1620,2416)))</f>
        <v>56144281.540063843</v>
      </c>
      <c r="B2633">
        <v>174066439.59045425</v>
      </c>
    </row>
    <row r="2634" spans="1:2" x14ac:dyDescent="0.25">
      <c r="A2634">
        <f ca="1">30893.0242571171*((RANDBETWEEN(1620,2416)))</f>
        <v>52023852.848985218</v>
      </c>
      <c r="B2634">
        <v>151088728.67452818</v>
      </c>
    </row>
    <row r="2635" spans="1:2" x14ac:dyDescent="0.25">
      <c r="A2635">
        <f ca="1">37998.0585618276*((RANDBETWEEN(1620,2416)))</f>
        <v>70828381.159246683</v>
      </c>
      <c r="B2635">
        <v>181671377.86467454</v>
      </c>
    </row>
    <row r="2636" spans="1:2" x14ac:dyDescent="0.25">
      <c r="A2636">
        <f ca="1">39069.5671985195*((RANDBETWEEN(1620,2416)))</f>
        <v>71262890.570099652</v>
      </c>
      <c r="B2636">
        <v>190165198.88654187</v>
      </c>
    </row>
    <row r="2637" spans="1:2" x14ac:dyDescent="0.25">
      <c r="A2637">
        <f ca="1">32834.3982888098*((RANDBETWEEN(1620,2416)))</f>
        <v>75026600.089930296</v>
      </c>
      <c r="B2637">
        <v>153695261.87523058</v>
      </c>
    </row>
    <row r="2638" spans="1:2" x14ac:dyDescent="0.25">
      <c r="A2638">
        <f ca="1">30974.314442476*((RANDBETWEEN(1620,2416)))</f>
        <v>61607911.426084749</v>
      </c>
      <c r="B2638">
        <v>152467177.62218413</v>
      </c>
    </row>
    <row r="2639" spans="1:2" x14ac:dyDescent="0.25">
      <c r="A2639">
        <f ca="1">39337.5632882065*((RANDBETWEEN(1620,2416)))</f>
        <v>74584019.994439557</v>
      </c>
      <c r="B2639">
        <v>171868319.18240878</v>
      </c>
    </row>
    <row r="2640" spans="1:2" x14ac:dyDescent="0.25">
      <c r="A2640">
        <f ca="1">29691.7047179961*((RANDBETWEEN(1620,2416)))</f>
        <v>57215914.991578445</v>
      </c>
      <c r="B2640">
        <v>197244501.81584281</v>
      </c>
    </row>
    <row r="2641" spans="1:2" x14ac:dyDescent="0.25">
      <c r="A2641">
        <f ca="1">29894.0333155677*((RANDBETWEEN(1620,2416)))</f>
        <v>71177693.324366689</v>
      </c>
      <c r="B2641">
        <v>191842662.13145614</v>
      </c>
    </row>
    <row r="2642" spans="1:2" x14ac:dyDescent="0.25">
      <c r="A2642">
        <f ca="1">33501.4105720128*((RANDBETWEEN(1620,2416)))</f>
        <v>76584224.567621246</v>
      </c>
      <c r="B2642">
        <v>153532488.58605078</v>
      </c>
    </row>
    <row r="2643" spans="1:2" x14ac:dyDescent="0.25">
      <c r="A2643">
        <f ca="1">29375.9958899181*((RANDBETWEEN(1620,2416)))</f>
        <v>48059129.275906026</v>
      </c>
      <c r="B2643">
        <v>159333869.75462466</v>
      </c>
    </row>
    <row r="2644" spans="1:2" x14ac:dyDescent="0.25">
      <c r="A2644">
        <f ca="1">31029.5216778643*((RANDBETWEEN(1620,2416)))</f>
        <v>74967324.373720258</v>
      </c>
      <c r="B2644">
        <v>162360585.19157997</v>
      </c>
    </row>
    <row r="2645" spans="1:2" x14ac:dyDescent="0.25">
      <c r="A2645">
        <f ca="1">28825.7740732717*((RANDBETWEEN(1620,2416)))</f>
        <v>55835524.379927345</v>
      </c>
      <c r="B2645">
        <v>146926784.75687081</v>
      </c>
    </row>
    <row r="2646" spans="1:2" x14ac:dyDescent="0.25">
      <c r="A2646">
        <f ca="1">31486.5866356123*((RANDBETWEEN(1620,2416)))</f>
        <v>75693754.272011951</v>
      </c>
      <c r="B2646">
        <v>148907649.31497341</v>
      </c>
    </row>
    <row r="2647" spans="1:2" x14ac:dyDescent="0.25">
      <c r="A2647">
        <f ca="1">30688.4265235549*((RANDBETWEEN(1620,2416)))</f>
        <v>73376027.81781967</v>
      </c>
      <c r="B2647">
        <v>194176233.4531838</v>
      </c>
    </row>
    <row r="2648" spans="1:2" x14ac:dyDescent="0.25">
      <c r="A2648">
        <f ca="1">33213.6018104706*((RANDBETWEEN(1620,2416)))</f>
        <v>58788075.204532899</v>
      </c>
      <c r="B2648">
        <v>173681145.11202213</v>
      </c>
    </row>
    <row r="2649" spans="1:2" x14ac:dyDescent="0.25">
      <c r="A2649">
        <f ca="1">32014.7325418938*((RANDBETWEEN(1620,2416)))</f>
        <v>75522754.066327557</v>
      </c>
      <c r="B2649">
        <v>197962867.99040368</v>
      </c>
    </row>
    <row r="2650" spans="1:2" x14ac:dyDescent="0.25">
      <c r="A2650">
        <f ca="1">33887.05556707*((RANDBETWEEN(1620,2416)))</f>
        <v>56659156.908141106</v>
      </c>
      <c r="B2650">
        <v>172600809.78495169</v>
      </c>
    </row>
    <row r="2651" spans="1:2" x14ac:dyDescent="0.25">
      <c r="A2651">
        <f ca="1">34348.3865441735*((RANDBETWEEN(1620,2416)))</f>
        <v>77696050.362920478</v>
      </c>
      <c r="B2651">
        <v>189626826.46693268</v>
      </c>
    </row>
    <row r="2652" spans="1:2" x14ac:dyDescent="0.25">
      <c r="A2652">
        <f ca="1">28631.358085158*((RANDBETWEEN(1620,2416)))</f>
        <v>56231987.279250309</v>
      </c>
      <c r="B2652">
        <v>198211242.9162752</v>
      </c>
    </row>
    <row r="2653" spans="1:2" x14ac:dyDescent="0.25">
      <c r="A2653">
        <f ca="1">29871.6002977218*((RANDBETWEEN(1620,2416)))</f>
        <v>53858495.336792395</v>
      </c>
      <c r="B2653">
        <v>202059513.81077659</v>
      </c>
    </row>
    <row r="2654" spans="1:2" x14ac:dyDescent="0.25">
      <c r="A2654">
        <f ca="1">30697.8304302941*((RANDBETWEEN(1620,2416)))</f>
        <v>52892361.831396744</v>
      </c>
      <c r="B2654">
        <v>150037422.3724986</v>
      </c>
    </row>
    <row r="2655" spans="1:2" x14ac:dyDescent="0.25">
      <c r="A2655">
        <f ca="1">36708.2763486753*((RANDBETWEEN(1620,2416)))</f>
        <v>72535554.06498231</v>
      </c>
      <c r="B2655">
        <v>160710205.36957276</v>
      </c>
    </row>
    <row r="2656" spans="1:2" x14ac:dyDescent="0.25">
      <c r="A2656">
        <f ca="1">33937.064989156*((RANDBETWEEN(1620,2416)))</f>
        <v>65803969.01397343</v>
      </c>
      <c r="B2656">
        <v>168443288.04697445</v>
      </c>
    </row>
    <row r="2657" spans="1:2" x14ac:dyDescent="0.25">
      <c r="A2657">
        <f ca="1">31615.5368546198*((RANDBETWEEN(1620,2416)))</f>
        <v>65254468.067935228</v>
      </c>
      <c r="B2657">
        <v>143842055.19779387</v>
      </c>
    </row>
    <row r="2658" spans="1:2" x14ac:dyDescent="0.25">
      <c r="A2658">
        <f ca="1">38182.2841144916*((RANDBETWEEN(1620,2416)))</f>
        <v>79342786.389913589</v>
      </c>
      <c r="B2658">
        <v>153221266.96974039</v>
      </c>
    </row>
    <row r="2659" spans="1:2" x14ac:dyDescent="0.25">
      <c r="A2659">
        <f ca="1">37204.1578267669*((RANDBETWEEN(1620,2416)))</f>
        <v>66000175.984684423</v>
      </c>
      <c r="B2659">
        <v>149173495.45164967</v>
      </c>
    </row>
    <row r="2660" spans="1:2" x14ac:dyDescent="0.25">
      <c r="A2660">
        <f ca="1">35738.8735602413*((RANDBETWEEN(1620,2416)))</f>
        <v>86166424.153741717</v>
      </c>
      <c r="B2660">
        <v>189179120.88124231</v>
      </c>
    </row>
    <row r="2661" spans="1:2" x14ac:dyDescent="0.25">
      <c r="A2661">
        <f ca="1">39175.1938515943*((RANDBETWEEN(1620,2416)))</f>
        <v>75921525.68438983</v>
      </c>
      <c r="B2661">
        <v>160047616.87043926</v>
      </c>
    </row>
    <row r="2662" spans="1:2" x14ac:dyDescent="0.25">
      <c r="A2662">
        <f ca="1">35281.0016814333*((RANDBETWEEN(1620,2416)))</f>
        <v>82875072.949686751</v>
      </c>
      <c r="B2662">
        <v>191708270.8298566</v>
      </c>
    </row>
    <row r="2663" spans="1:2" x14ac:dyDescent="0.25">
      <c r="A2663">
        <f ca="1">29888.6490757391*((RANDBETWEEN(1620,2416)))</f>
        <v>69132445.312184453</v>
      </c>
      <c r="B2663">
        <v>154122679.0217379</v>
      </c>
    </row>
    <row r="2664" spans="1:2" x14ac:dyDescent="0.25">
      <c r="A2664">
        <f ca="1">40130.5422811249*((RANDBETWEEN(1620,2416)))</f>
        <v>79097298.836097106</v>
      </c>
      <c r="B2664">
        <v>164027447.06379759</v>
      </c>
    </row>
    <row r="2665" spans="1:2" x14ac:dyDescent="0.25">
      <c r="A2665">
        <f ca="1">29508.1966533824*((RANDBETWEEN(1620,2416)))</f>
        <v>47862294.971786305</v>
      </c>
      <c r="B2665">
        <v>150047602.50566489</v>
      </c>
    </row>
    <row r="2666" spans="1:2" x14ac:dyDescent="0.25">
      <c r="A2666">
        <f ca="1">36062.5784362547*((RANDBETWEEN(1620,2416)))</f>
        <v>58673815.115786478</v>
      </c>
      <c r="B2666">
        <v>193370217.70111564</v>
      </c>
    </row>
    <row r="2667" spans="1:2" x14ac:dyDescent="0.25">
      <c r="A2667">
        <f ca="1">30281.5349659977*((RANDBETWEEN(1620,2416)))</f>
        <v>54264510.659067936</v>
      </c>
      <c r="B2667">
        <v>146987598.14338359</v>
      </c>
    </row>
    <row r="2668" spans="1:2" x14ac:dyDescent="0.25">
      <c r="A2668">
        <f ca="1">30767.8620922644*((RANDBETWEEN(1620,2416)))</f>
        <v>50520829.55549819</v>
      </c>
      <c r="B2668">
        <v>157079399.06947911</v>
      </c>
    </row>
    <row r="2669" spans="1:2" x14ac:dyDescent="0.25">
      <c r="A2669">
        <f ca="1">40610.1849627094*((RANDBETWEEN(1620,2416)))</f>
        <v>87311897.669825196</v>
      </c>
      <c r="B2669">
        <v>170035071.40113971</v>
      </c>
    </row>
    <row r="2670" spans="1:2" x14ac:dyDescent="0.25">
      <c r="A2670">
        <f ca="1">31619.3501168053*((RANDBETWEEN(1620,2416)))</f>
        <v>69436092.856504545</v>
      </c>
      <c r="B2670">
        <v>163727835.82781267</v>
      </c>
    </row>
    <row r="2671" spans="1:2" x14ac:dyDescent="0.25">
      <c r="A2671">
        <f ca="1">29046.782039978*((RANDBETWEEN(1620,2416)))</f>
        <v>49873324.762642175</v>
      </c>
      <c r="B2671">
        <v>150182465.24513704</v>
      </c>
    </row>
    <row r="2672" spans="1:2" x14ac:dyDescent="0.25">
      <c r="A2672">
        <f ca="1">35444.7494405194*((RANDBETWEEN(1620,2416)))</f>
        <v>78758233.256834015</v>
      </c>
      <c r="B2672">
        <v>177946020.66666678</v>
      </c>
    </row>
    <row r="2673" spans="1:2" x14ac:dyDescent="0.25">
      <c r="A2673">
        <f ca="1">34359.316111354*((RANDBETWEEN(1620,2416)))</f>
        <v>56040044.57761839</v>
      </c>
      <c r="B2673">
        <v>200621885.40110499</v>
      </c>
    </row>
    <row r="2674" spans="1:2" x14ac:dyDescent="0.25">
      <c r="A2674">
        <f ca="1">33708.5708415066*((RANDBETWEEN(1620,2416)))</f>
        <v>56630399.013731152</v>
      </c>
      <c r="B2674">
        <v>191833397.76105532</v>
      </c>
    </row>
    <row r="2675" spans="1:2" x14ac:dyDescent="0.25">
      <c r="A2675">
        <f ca="1">30374.1723579889*((RANDBETWEEN(1620,2416)))</f>
        <v>59624500.338732235</v>
      </c>
      <c r="B2675">
        <v>186232510.46170384</v>
      </c>
    </row>
    <row r="2676" spans="1:2" x14ac:dyDescent="0.25">
      <c r="A2676">
        <f ca="1">41993.7329322391*((RANDBETWEEN(1620,2416)))</f>
        <v>80879929.627492517</v>
      </c>
      <c r="B2676">
        <v>185320498.9458774</v>
      </c>
    </row>
    <row r="2677" spans="1:2" x14ac:dyDescent="0.25">
      <c r="A2677">
        <f ca="1">30627.060255108*((RANDBETWEEN(1620,2416)))</f>
        <v>63306133.547308244</v>
      </c>
      <c r="B2677">
        <v>200520010.07859868</v>
      </c>
    </row>
    <row r="2678" spans="1:2" x14ac:dyDescent="0.25">
      <c r="A2678">
        <f ca="1">31477.1152095536*((RANDBETWEEN(1620,2416)))</f>
        <v>68053523.083054781</v>
      </c>
      <c r="B2678">
        <v>163639257.89189911</v>
      </c>
    </row>
    <row r="2679" spans="1:2" x14ac:dyDescent="0.25">
      <c r="A2679">
        <f ca="1">38711.2227003294*((RANDBETWEEN(1620,2416)))</f>
        <v>80983877.889089003</v>
      </c>
      <c r="B2679">
        <v>142919565.21654904</v>
      </c>
    </row>
    <row r="2680" spans="1:2" x14ac:dyDescent="0.25">
      <c r="A2680">
        <f ca="1">33361.7196962266*((RANDBETWEEN(1620,2416)))</f>
        <v>66556630.793972157</v>
      </c>
      <c r="B2680">
        <v>195678560.01649657</v>
      </c>
    </row>
    <row r="2681" spans="1:2" x14ac:dyDescent="0.25">
      <c r="A2681">
        <f ca="1">32671.4109819103*((RANDBETWEEN(1620,2416)))</f>
        <v>70896961.830745265</v>
      </c>
      <c r="B2681">
        <v>167621721.50369141</v>
      </c>
    </row>
    <row r="2682" spans="1:2" x14ac:dyDescent="0.25">
      <c r="A2682">
        <f ca="1">29573.2398487951*((RANDBETWEEN(1620,2416)))</f>
        <v>71123641.836352289</v>
      </c>
      <c r="B2682">
        <v>150054269.23630801</v>
      </c>
    </row>
    <row r="2683" spans="1:2" x14ac:dyDescent="0.25">
      <c r="A2683">
        <f ca="1">31518.5870968943*((RANDBETWEEN(1620,2416)))</f>
        <v>71547192.709950149</v>
      </c>
      <c r="B2683">
        <v>166522897.71741048</v>
      </c>
    </row>
    <row r="2684" spans="1:2" x14ac:dyDescent="0.25">
      <c r="A2684">
        <f ca="1">29135.7296666081*((RANDBETWEEN(1620,2416)))</f>
        <v>66254649.261866711</v>
      </c>
      <c r="B2684">
        <v>191599091.14920193</v>
      </c>
    </row>
    <row r="2685" spans="1:2" x14ac:dyDescent="0.25">
      <c r="A2685">
        <f ca="1">27312.6179387258*((RANDBETWEEN(1620,2416)))</f>
        <v>64239277.391883194</v>
      </c>
      <c r="B2685">
        <v>148639151.6421836</v>
      </c>
    </row>
    <row r="2686" spans="1:2" x14ac:dyDescent="0.25">
      <c r="A2686">
        <f ca="1">33826.0393944832*((RANDBETWEEN(1620,2416)))</f>
        <v>61056001.107042171</v>
      </c>
      <c r="B2686">
        <v>201212122.12510887</v>
      </c>
    </row>
    <row r="2687" spans="1:2" x14ac:dyDescent="0.25">
      <c r="A2687">
        <f ca="1">33527.7131692501*((RANDBETWEEN(1620,2416)))</f>
        <v>61121021.107542984</v>
      </c>
      <c r="B2687">
        <v>164680927.14139077</v>
      </c>
    </row>
    <row r="2688" spans="1:2" x14ac:dyDescent="0.25">
      <c r="A2688">
        <f ca="1">34853.4275766661*((RANDBETWEEN(1620,2416)))</f>
        <v>72007181.373392239</v>
      </c>
      <c r="B2688">
        <v>192070764.9718017</v>
      </c>
    </row>
    <row r="2689" spans="1:2" x14ac:dyDescent="0.25">
      <c r="A2689">
        <f ca="1">32391.5255537187*((RANDBETWEEN(1620,2416)))</f>
        <v>62353686.690908462</v>
      </c>
      <c r="B2689">
        <v>169516511.24294052</v>
      </c>
    </row>
    <row r="2690" spans="1:2" x14ac:dyDescent="0.25">
      <c r="A2690">
        <f ca="1">32012.5502331696*((RANDBETWEEN(1620,2416)))</f>
        <v>73820940.837689146</v>
      </c>
      <c r="B2690">
        <v>146045430.91400683</v>
      </c>
    </row>
    <row r="2691" spans="1:2" x14ac:dyDescent="0.25">
      <c r="A2691">
        <f ca="1">33094.4380652789*((RANDBETWEEN(1620,2416)))</f>
        <v>63144187.828552067</v>
      </c>
      <c r="B2691">
        <v>159056301.97619241</v>
      </c>
    </row>
    <row r="2692" spans="1:2" x14ac:dyDescent="0.25">
      <c r="A2692">
        <f ca="1">32280.6196700081*((RANDBETWEEN(1620,2416)))</f>
        <v>62462999.061465725</v>
      </c>
      <c r="B2692">
        <v>177537686.1262328</v>
      </c>
    </row>
    <row r="2693" spans="1:2" x14ac:dyDescent="0.25">
      <c r="A2693">
        <f ca="1">40130.4923008166*((RANDBETWEEN(1620,2416)))</f>
        <v>96674355.952667192</v>
      </c>
      <c r="B2693">
        <v>188239548.38820583</v>
      </c>
    </row>
    <row r="2694" spans="1:2" x14ac:dyDescent="0.25">
      <c r="A2694">
        <f ca="1">34521.6934211547*((RANDBETWEEN(1620,2416)))</f>
        <v>57375054.465959184</v>
      </c>
      <c r="B2694">
        <v>143370522.1251435</v>
      </c>
    </row>
    <row r="2695" spans="1:2" x14ac:dyDescent="0.25">
      <c r="A2695">
        <f ca="1">34771.6105550547*((RANDBETWEEN(1620,2416)))</f>
        <v>70864542.311201528</v>
      </c>
      <c r="B2695">
        <v>192893969.86914867</v>
      </c>
    </row>
    <row r="2696" spans="1:2" x14ac:dyDescent="0.25">
      <c r="A2696">
        <f ca="1">29003.7487871287*((RANDBETWEEN(1620,2416)))</f>
        <v>62648097.380198032</v>
      </c>
      <c r="B2696">
        <v>198603832.77083391</v>
      </c>
    </row>
    <row r="2697" spans="1:2" x14ac:dyDescent="0.25">
      <c r="A2697">
        <f ca="1">28135.0611058942*((RANDBETWEEN(1620,2416)))</f>
        <v>55932501.478517637</v>
      </c>
      <c r="B2697">
        <v>157362174.40915033</v>
      </c>
    </row>
    <row r="2698" spans="1:2" x14ac:dyDescent="0.25">
      <c r="A2698">
        <f ca="1">31849.7932684785*((RANDBETWEEN(1620,2416)))</f>
        <v>64400281.988863431</v>
      </c>
      <c r="B2698">
        <v>182924565.20889944</v>
      </c>
    </row>
    <row r="2699" spans="1:2" x14ac:dyDescent="0.25">
      <c r="A2699">
        <f ca="1">31757.8327922746*((RANDBETWEEN(1620,2416)))</f>
        <v>76377587.865420401</v>
      </c>
      <c r="B2699">
        <v>174955145.38853776</v>
      </c>
    </row>
    <row r="2700" spans="1:2" x14ac:dyDescent="0.25">
      <c r="A2700">
        <f ca="1">33124.9547577401*((RANDBETWEEN(1620,2416)))</f>
        <v>66713658.882088609</v>
      </c>
      <c r="B2700">
        <v>143775246.87997538</v>
      </c>
    </row>
    <row r="2701" spans="1:2" x14ac:dyDescent="0.25">
      <c r="A2701">
        <f ca="1">29995.3116202098*((RANDBETWEEN(1620,2416)))</f>
        <v>70099043.256430253</v>
      </c>
      <c r="B2701">
        <v>146546681.90105665</v>
      </c>
    </row>
    <row r="2702" spans="1:2" x14ac:dyDescent="0.25">
      <c r="A2702">
        <f ca="1">40980.3266857557*((RANDBETWEEN(1620,2416)))</f>
        <v>90976325.242377594</v>
      </c>
      <c r="B2702">
        <v>199101075.02183107</v>
      </c>
    </row>
    <row r="2703" spans="1:2" x14ac:dyDescent="0.25">
      <c r="A2703">
        <f ca="1">36450.1969802791*((RANDBETWEEN(1620,2416)))</f>
        <v>65756155.352423482</v>
      </c>
      <c r="B2703">
        <v>152766701.80144006</v>
      </c>
    </row>
    <row r="2704" spans="1:2" x14ac:dyDescent="0.25">
      <c r="A2704">
        <f ca="1">30541.5860858591*((RANDBETWEEN(1620,2416)))</f>
        <v>50515783.386010945</v>
      </c>
      <c r="B2704">
        <v>146331492.5191628</v>
      </c>
    </row>
    <row r="2705" spans="1:2" x14ac:dyDescent="0.25">
      <c r="A2705">
        <f ca="1">31137.2338867408*((RANDBETWEEN(1620,2416)))</f>
        <v>55984746.528359994</v>
      </c>
      <c r="B2705">
        <v>158295148.09356582</v>
      </c>
    </row>
    <row r="2706" spans="1:2" x14ac:dyDescent="0.25">
      <c r="A2706">
        <f ca="1">30156.5224379702*((RANDBETWEEN(1620,2416)))</f>
        <v>68787027.681009978</v>
      </c>
      <c r="B2706">
        <v>145030626.78235671</v>
      </c>
    </row>
    <row r="2707" spans="1:2" x14ac:dyDescent="0.25">
      <c r="A2707">
        <f ca="1">37394.3448380629*((RANDBETWEEN(1620,2416)))</f>
        <v>79874320.574102446</v>
      </c>
      <c r="B2707">
        <v>148515816.10335344</v>
      </c>
    </row>
    <row r="2708" spans="1:2" x14ac:dyDescent="0.25">
      <c r="A2708">
        <f ca="1">31401.3671061934*((RANDBETWEEN(1620,2416)))</f>
        <v>70276259.58366093</v>
      </c>
      <c r="B2708">
        <v>161939783.06547344</v>
      </c>
    </row>
    <row r="2709" spans="1:2" x14ac:dyDescent="0.25">
      <c r="A2709">
        <f ca="1">30074.8319291209*((RANDBETWEEN(1620,2416)))</f>
        <v>59187269.23650986</v>
      </c>
      <c r="B2709">
        <v>196246241.54378766</v>
      </c>
    </row>
    <row r="2710" spans="1:2" x14ac:dyDescent="0.25">
      <c r="A2710">
        <f ca="1">30221.6755707348*((RANDBETWEEN(1620,2416)))</f>
        <v>49442661.233722128</v>
      </c>
      <c r="B2710">
        <v>194932068.58747578</v>
      </c>
    </row>
    <row r="2711" spans="1:2" x14ac:dyDescent="0.25">
      <c r="A2711">
        <f ca="1">32499.5384110383*((RANDBETWEEN(1620,2416)))</f>
        <v>56094203.2974521</v>
      </c>
      <c r="B2711">
        <v>151153893.75609142</v>
      </c>
    </row>
    <row r="2712" spans="1:2" x14ac:dyDescent="0.25">
      <c r="A2712">
        <f ca="1">31649.8315233823*((RANDBETWEEN(1620,2416)))</f>
        <v>57729292.69864928</v>
      </c>
      <c r="B2712">
        <v>194000676.61376613</v>
      </c>
    </row>
    <row r="2713" spans="1:2" x14ac:dyDescent="0.25">
      <c r="A2713">
        <f ca="1">31729.0846480202*((RANDBETWEEN(1620,2416)))</f>
        <v>56446041.588827983</v>
      </c>
      <c r="B2713">
        <v>151791130.29802904</v>
      </c>
    </row>
    <row r="2714" spans="1:2" x14ac:dyDescent="0.25">
      <c r="A2714">
        <f ca="1">35011.3905206558*((RANDBETWEEN(1620,2416)))</f>
        <v>73173806.188170537</v>
      </c>
      <c r="B2714">
        <v>148373162.16645986</v>
      </c>
    </row>
    <row r="2715" spans="1:2" x14ac:dyDescent="0.25">
      <c r="A2715">
        <f ca="1">32359.124210172*((RANDBETWEEN(1620,2416)))</f>
        <v>53780864.437305905</v>
      </c>
      <c r="B2715">
        <v>147937749.24225569</v>
      </c>
    </row>
    <row r="2716" spans="1:2" x14ac:dyDescent="0.25">
      <c r="A2716">
        <f ca="1">29482.2248501687*((RANDBETWEEN(1620,2416)))</f>
        <v>59170825.274288483</v>
      </c>
      <c r="B2716">
        <v>181771929.19274062</v>
      </c>
    </row>
    <row r="2717" spans="1:2" x14ac:dyDescent="0.25">
      <c r="A2717">
        <f ca="1">29472.1617640063*((RANDBETWEEN(1620,2416)))</f>
        <v>60624236.748561025</v>
      </c>
      <c r="B2717">
        <v>154931419.74204108</v>
      </c>
    </row>
    <row r="2718" spans="1:2" x14ac:dyDescent="0.25">
      <c r="A2718">
        <f ca="1">37742.6651222536*((RANDBETWEEN(1620,2416)))</f>
        <v>81448671.333823159</v>
      </c>
      <c r="B2718">
        <v>146095079.31307837</v>
      </c>
    </row>
    <row r="2719" spans="1:2" x14ac:dyDescent="0.25">
      <c r="A2719">
        <f ca="1">36067.8324390624*((RANDBETWEEN(1620,2416)))</f>
        <v>83965913.918137237</v>
      </c>
      <c r="B2719">
        <v>174255976.11634216</v>
      </c>
    </row>
    <row r="2720" spans="1:2" x14ac:dyDescent="0.25">
      <c r="A2720">
        <f ca="1">38657.4302706376*((RANDBETWEEN(1620,2416)))</f>
        <v>84118568.268907458</v>
      </c>
      <c r="B2720">
        <v>156235184.69688934</v>
      </c>
    </row>
    <row r="2721" spans="1:2" x14ac:dyDescent="0.25">
      <c r="A2721">
        <f ca="1">29772.8362081213*((RANDBETWEEN(1620,2416)))</f>
        <v>63416141.12329831</v>
      </c>
      <c r="B2721">
        <v>152488977.44228467</v>
      </c>
    </row>
    <row r="2722" spans="1:2" x14ac:dyDescent="0.25">
      <c r="A2722">
        <f ca="1">31236.6452552945*((RANDBETWEEN(1620,2416)))</f>
        <v>58599946.498932444</v>
      </c>
      <c r="B2722">
        <v>157050458.38743246</v>
      </c>
    </row>
    <row r="2723" spans="1:2" x14ac:dyDescent="0.25">
      <c r="A2723">
        <f ca="1">31291.8152189184*((RANDBETWEEN(1620,2416)))</f>
        <v>57576940.00280989</v>
      </c>
      <c r="B2723">
        <v>199136255.75638121</v>
      </c>
    </row>
    <row r="2724" spans="1:2" x14ac:dyDescent="0.25">
      <c r="A2724">
        <f ca="1">38515.7994680105*((RANDBETWEEN(1620,2416)))</f>
        <v>78071525.521657199</v>
      </c>
      <c r="B2724">
        <v>144458063.28536415</v>
      </c>
    </row>
    <row r="2725" spans="1:2" x14ac:dyDescent="0.25">
      <c r="A2725">
        <f ca="1">41805.6871939587*((RANDBETWEEN(1620,2416)))</f>
        <v>91136398.082830042</v>
      </c>
      <c r="B2725">
        <v>150036964.42595258</v>
      </c>
    </row>
    <row r="2726" spans="1:2" x14ac:dyDescent="0.25">
      <c r="A2726">
        <f ca="1">30989.3048291439*((RANDBETWEEN(1620,2416)))</f>
        <v>67246791.479242325</v>
      </c>
      <c r="B2726">
        <v>162995535.53558463</v>
      </c>
    </row>
    <row r="2727" spans="1:2" x14ac:dyDescent="0.25">
      <c r="A2727">
        <f ca="1">40823.6710758089*((RANDBETWEEN(1620,2416)))</f>
        <v>98466694.634851158</v>
      </c>
      <c r="B2727">
        <v>173189724.46771142</v>
      </c>
    </row>
    <row r="2728" spans="1:2" x14ac:dyDescent="0.25">
      <c r="A2728">
        <f ca="1">30652.4573798712*((RANDBETWEEN(1620,2416)))</f>
        <v>66301265.312661313</v>
      </c>
      <c r="B2728">
        <v>157110518.21188742</v>
      </c>
    </row>
    <row r="2729" spans="1:2" x14ac:dyDescent="0.25">
      <c r="A2729">
        <f ca="1">30391.1013300825*((RANDBETWEEN(1620,2416)))</f>
        <v>54673591.292818472</v>
      </c>
      <c r="B2729">
        <v>152983852.10135046</v>
      </c>
    </row>
    <row r="2730" spans="1:2" x14ac:dyDescent="0.25">
      <c r="A2730">
        <f ca="1">31011.5712153126*((RANDBETWEEN(1620,2416)))</f>
        <v>65155311.123371735</v>
      </c>
      <c r="B2730">
        <v>177506552.3336328</v>
      </c>
    </row>
    <row r="2731" spans="1:2" x14ac:dyDescent="0.25">
      <c r="A2731">
        <f ca="1">28406.2817146051*((RANDBETWEEN(1620,2416)))</f>
        <v>49966649.535990298</v>
      </c>
      <c r="B2731">
        <v>143034789.06685758</v>
      </c>
    </row>
    <row r="2732" spans="1:2" x14ac:dyDescent="0.25">
      <c r="A2732">
        <f ca="1">35674.5232881618*((RANDBETWEEN(1620,2416)))</f>
        <v>58898637.948755056</v>
      </c>
      <c r="B2732">
        <v>157405157.2176545</v>
      </c>
    </row>
    <row r="2733" spans="1:2" x14ac:dyDescent="0.25">
      <c r="A2733">
        <f ca="1">29738.2219756563*((RANDBETWEEN(1620,2416)))</f>
        <v>50733406.690469563</v>
      </c>
      <c r="B2733">
        <v>143232849.03025383</v>
      </c>
    </row>
    <row r="2734" spans="1:2" x14ac:dyDescent="0.25">
      <c r="A2734">
        <f ca="1">29408.5695693797*((RANDBETWEEN(1620,2416)))</f>
        <v>62552027.474070683</v>
      </c>
      <c r="B2734">
        <v>175855279.07084453</v>
      </c>
    </row>
    <row r="2735" spans="1:2" x14ac:dyDescent="0.25">
      <c r="A2735">
        <f ca="1">30769.7715407301*((RANDBETWEEN(1620,2416)))</f>
        <v>72893588.779989526</v>
      </c>
      <c r="B2735">
        <v>155981581.8656801</v>
      </c>
    </row>
    <row r="2736" spans="1:2" x14ac:dyDescent="0.25">
      <c r="A2736">
        <f ca="1">35249.6169417657*((RANDBETWEEN(1620,2416)))</f>
        <v>66833273.721587725</v>
      </c>
      <c r="B2736">
        <v>174207000.07895133</v>
      </c>
    </row>
    <row r="2737" spans="1:2" x14ac:dyDescent="0.25">
      <c r="A2737">
        <f ca="1">32209.8220493954*((RANDBETWEEN(1620,2416)))</f>
        <v>55175425.170614362</v>
      </c>
      <c r="B2737">
        <v>162609641.07634532</v>
      </c>
    </row>
    <row r="2738" spans="1:2" x14ac:dyDescent="0.25">
      <c r="A2738">
        <f ca="1">28591.3107145572*((RANDBETWEEN(1620,2416)))</f>
        <v>56096151.621961229</v>
      </c>
      <c r="B2738">
        <v>147820737.19593242</v>
      </c>
    </row>
    <row r="2739" spans="1:2" x14ac:dyDescent="0.25">
      <c r="A2739">
        <f ca="1">30560.3375651733*((RANDBETWEEN(1620,2416)))</f>
        <v>63015416.059387304</v>
      </c>
      <c r="B2739">
        <v>167134053.17743272</v>
      </c>
    </row>
    <row r="2740" spans="1:2" x14ac:dyDescent="0.25">
      <c r="A2740">
        <f ca="1">37489.0124794591*((RANDBETWEEN(1620,2416)))</f>
        <v>69204717.03708145</v>
      </c>
      <c r="B2740">
        <v>185348485.48985875</v>
      </c>
    </row>
    <row r="2741" spans="1:2" x14ac:dyDescent="0.25">
      <c r="A2741">
        <f ca="1">36556.7685105102*((RANDBETWEEN(1620,2416)))</f>
        <v>75124159.289098397</v>
      </c>
      <c r="B2741">
        <v>166482635.19480154</v>
      </c>
    </row>
    <row r="2742" spans="1:2" x14ac:dyDescent="0.25">
      <c r="A2742">
        <f ca="1">29738.6562249867*((RANDBETWEEN(1620,2416)))</f>
        <v>66168510.10059531</v>
      </c>
      <c r="B2742">
        <v>152121020.3121126</v>
      </c>
    </row>
    <row r="2743" spans="1:2" x14ac:dyDescent="0.25">
      <c r="A2743">
        <f ca="1">36045.1845169523*((RANDBETWEEN(1620,2416)))</f>
        <v>73171724.56941323</v>
      </c>
      <c r="B2743">
        <v>201475709.51072019</v>
      </c>
    </row>
    <row r="2744" spans="1:2" x14ac:dyDescent="0.25">
      <c r="A2744">
        <f ca="1">39647.6202597926*((RANDBETWEEN(1620,2416)))</f>
        <v>86114631.204269439</v>
      </c>
      <c r="B2744">
        <v>184973343.51280555</v>
      </c>
    </row>
    <row r="2745" spans="1:2" x14ac:dyDescent="0.25">
      <c r="A2745">
        <f ca="1">32154.7570643248*((RANDBETWEEN(1620,2416)))</f>
        <v>61769288.320567928</v>
      </c>
      <c r="B2745">
        <v>187185467.74982512</v>
      </c>
    </row>
    <row r="2746" spans="1:2" x14ac:dyDescent="0.25">
      <c r="A2746">
        <f ca="1">31501.3600971455*((RANDBETWEEN(1620,2416)))</f>
        <v>65522829.002062693</v>
      </c>
      <c r="B2746">
        <v>171388925.90014574</v>
      </c>
    </row>
    <row r="2747" spans="1:2" x14ac:dyDescent="0.25">
      <c r="A2747">
        <f ca="1">38489.7864870149*((RANDBETWEEN(1620,2416)))</f>
        <v>75478471.301036194</v>
      </c>
      <c r="B2747">
        <v>158998010.44814718</v>
      </c>
    </row>
    <row r="2748" spans="1:2" x14ac:dyDescent="0.25">
      <c r="A2748">
        <f ca="1">33000.3318343805*((RANDBETWEEN(1620,2416)))</f>
        <v>76956773.837775394</v>
      </c>
      <c r="B2748">
        <v>200056980.6485768</v>
      </c>
    </row>
    <row r="2749" spans="1:2" x14ac:dyDescent="0.25">
      <c r="A2749">
        <f ca="1">31565.3468883352*((RANDBETWEEN(1620,2416)))</f>
        <v>57512062.030546755</v>
      </c>
      <c r="B2749">
        <v>144830865.85054553</v>
      </c>
    </row>
    <row r="2750" spans="1:2" x14ac:dyDescent="0.25">
      <c r="A2750">
        <f ca="1">40793.4938962933*((RANDBETWEEN(1620,2416)))</f>
        <v>88277120.791578606</v>
      </c>
      <c r="B2750">
        <v>162835807.89895469</v>
      </c>
    </row>
    <row r="2751" spans="1:2" x14ac:dyDescent="0.25">
      <c r="A2751">
        <f ca="1">33316.9630597624*((RANDBETWEEN(1620,2416)))</f>
        <v>69565818.868783936</v>
      </c>
      <c r="B2751">
        <v>144540471.11067379</v>
      </c>
    </row>
    <row r="2752" spans="1:2" x14ac:dyDescent="0.25">
      <c r="A2752">
        <f ca="1">41068.6623953386*((RANDBETWEEN(1620,2416)))</f>
        <v>97086317.902580559</v>
      </c>
      <c r="B2752">
        <v>151890444.03494617</v>
      </c>
    </row>
    <row r="2753" spans="1:2" x14ac:dyDescent="0.25">
      <c r="A2753">
        <f ca="1">31623.6838299537*((RANDBETWEEN(1620,2416)))</f>
        <v>52052583.584103718</v>
      </c>
      <c r="B2753">
        <v>155103209.29320139</v>
      </c>
    </row>
    <row r="2754" spans="1:2" x14ac:dyDescent="0.25">
      <c r="A2754">
        <f ca="1">31897.5028573744*((RANDBETWEEN(1620,2416)))</f>
        <v>53874882.326105349</v>
      </c>
      <c r="B2754">
        <v>193442213.52343062</v>
      </c>
    </row>
    <row r="2755" spans="1:2" x14ac:dyDescent="0.25">
      <c r="A2755">
        <f ca="1">31848.6456374018*((RANDBETWEEN(1620,2416)))</f>
        <v>72646760.698913604</v>
      </c>
      <c r="B2755">
        <v>143341442.73515439</v>
      </c>
    </row>
    <row r="2756" spans="1:2" x14ac:dyDescent="0.25">
      <c r="A2756">
        <f ca="1">33128.1747354598*((RANDBETWEEN(1620,2416)))</f>
        <v>72252549.098037764</v>
      </c>
      <c r="B2756">
        <v>180579054.73899764</v>
      </c>
    </row>
    <row r="2757" spans="1:2" x14ac:dyDescent="0.25">
      <c r="A2757">
        <f ca="1">31473.6511896615*((RANDBETWEEN(1620,2416)))</f>
        <v>74781395.226635933</v>
      </c>
      <c r="B2757">
        <v>154425824.36031377</v>
      </c>
    </row>
    <row r="2758" spans="1:2" x14ac:dyDescent="0.25">
      <c r="A2758">
        <f ca="1">32168.1244273849*((RANDBETWEEN(1620,2416)))</f>
        <v>61473285.780732483</v>
      </c>
      <c r="B2758">
        <v>146530571.54271924</v>
      </c>
    </row>
    <row r="2759" spans="1:2" x14ac:dyDescent="0.25">
      <c r="A2759">
        <f ca="1">29665.7680897464*((RANDBETWEEN(1620,2416)))</f>
        <v>71257174.951570794</v>
      </c>
      <c r="B2759">
        <v>145283098.73425168</v>
      </c>
    </row>
    <row r="2760" spans="1:2" x14ac:dyDescent="0.25">
      <c r="A2760">
        <f ca="1">32728.7780986064*((RANDBETWEEN(1620,2416)))</f>
        <v>54100670.196996361</v>
      </c>
      <c r="B2760">
        <v>143928265.4995321</v>
      </c>
    </row>
    <row r="2761" spans="1:2" x14ac:dyDescent="0.25">
      <c r="A2761">
        <f ca="1">31564.7351269727*((RANDBETWEEN(1620,2416)))</f>
        <v>59120748.892819844</v>
      </c>
      <c r="B2761">
        <v>167474106.21446306</v>
      </c>
    </row>
    <row r="2762" spans="1:2" x14ac:dyDescent="0.25">
      <c r="A2762">
        <f ca="1">30951.5699617538*((RANDBETWEEN(1620,2416)))</f>
        <v>62305510.333010413</v>
      </c>
      <c r="B2762">
        <v>186054376.30484486</v>
      </c>
    </row>
    <row r="2763" spans="1:2" x14ac:dyDescent="0.25">
      <c r="A2763">
        <f ca="1">39678.5909368513*((RANDBETWEEN(1620,2416)))</f>
        <v>84356684.331745937</v>
      </c>
      <c r="B2763">
        <v>144789014.11116087</v>
      </c>
    </row>
    <row r="2764" spans="1:2" x14ac:dyDescent="0.25">
      <c r="A2764">
        <f ca="1">32245.4543420377*((RANDBETWEEN(1620,2416)))</f>
        <v>66457881.398939602</v>
      </c>
      <c r="B2764">
        <v>144714200.33184725</v>
      </c>
    </row>
    <row r="2765" spans="1:2" x14ac:dyDescent="0.25">
      <c r="A2765">
        <f ca="1">42585.3011645464*((RANDBETWEEN(1620,2416)))</f>
        <v>85681625.943067446</v>
      </c>
      <c r="B2765">
        <v>194119569.78411591</v>
      </c>
    </row>
    <row r="2766" spans="1:2" x14ac:dyDescent="0.25">
      <c r="A2766">
        <f ca="1">36279.0780824244*((RANDBETWEEN(1620,2416)))</f>
        <v>74807459.005959138</v>
      </c>
      <c r="B2766">
        <v>156627268.65132868</v>
      </c>
    </row>
    <row r="2767" spans="1:2" x14ac:dyDescent="0.25">
      <c r="A2767">
        <f ca="1">29827.2164783495*((RANDBETWEEN(1620,2416)))</f>
        <v>54971559.969598092</v>
      </c>
      <c r="B2767">
        <v>179785730.89192393</v>
      </c>
    </row>
    <row r="2768" spans="1:2" x14ac:dyDescent="0.25">
      <c r="A2768">
        <f ca="1">29387.3085236813*((RANDBETWEEN(1620,2416)))</f>
        <v>65798183.784522392</v>
      </c>
      <c r="B2768">
        <v>182620226.89248127</v>
      </c>
    </row>
    <row r="2769" spans="1:2" x14ac:dyDescent="0.25">
      <c r="A2769">
        <f ca="1">40019.2854664966*((RANDBETWEEN(1620,2416)))</f>
        <v>94085340.131733596</v>
      </c>
      <c r="B2769">
        <v>174945466.49637347</v>
      </c>
    </row>
    <row r="2770" spans="1:2" x14ac:dyDescent="0.25">
      <c r="A2770">
        <f ca="1">32862.6844145429*((RANDBETWEEN(1620,2416)))</f>
        <v>74565430.936597809</v>
      </c>
      <c r="B2770">
        <v>184630904.7799027</v>
      </c>
    </row>
    <row r="2771" spans="1:2" x14ac:dyDescent="0.25">
      <c r="A2771">
        <f ca="1">30542.6256518498*((RANDBETWEEN(1620,2416)))</f>
        <v>62093157.950210623</v>
      </c>
      <c r="B2771">
        <v>186382281.28604835</v>
      </c>
    </row>
    <row r="2772" spans="1:2" x14ac:dyDescent="0.25">
      <c r="A2772">
        <f ca="1">31696.1288955476*((RANDBETWEEN(1620,2416)))</f>
        <v>57750346.847687736</v>
      </c>
      <c r="B2772">
        <v>159398226.23477557</v>
      </c>
    </row>
    <row r="2773" spans="1:2" x14ac:dyDescent="0.25">
      <c r="A2773">
        <f ca="1">30484.9957493805*((RANDBETWEEN(1620,2416)))</f>
        <v>67158445.635885343</v>
      </c>
      <c r="B2773">
        <v>165792211.78278214</v>
      </c>
    </row>
    <row r="2774" spans="1:2" x14ac:dyDescent="0.25">
      <c r="A2774">
        <f ca="1">37362.3300473476*((RANDBETWEEN(1620,2416)))</f>
        <v>75808167.666068345</v>
      </c>
      <c r="B2774">
        <v>193588753.45660231</v>
      </c>
    </row>
    <row r="2775" spans="1:2" x14ac:dyDescent="0.25">
      <c r="A2775">
        <f ca="1">36590.6951613269*((RANDBETWEEN(1620,2416)))</f>
        <v>65350981.558129877</v>
      </c>
      <c r="B2775">
        <v>185558789.69985384</v>
      </c>
    </row>
    <row r="2776" spans="1:2" x14ac:dyDescent="0.25">
      <c r="A2776">
        <f ca="1">32129.4431902395*((RANDBETWEEN(1620,2416)))</f>
        <v>73512166.019267932</v>
      </c>
      <c r="B2776">
        <v>148664305.74737477</v>
      </c>
    </row>
    <row r="2777" spans="1:2" x14ac:dyDescent="0.25">
      <c r="A2777">
        <f ca="1">32353.3772034881*((RANDBETWEEN(1620,2416)))</f>
        <v>55971342.562034413</v>
      </c>
      <c r="B2777">
        <v>192289658.83162543</v>
      </c>
    </row>
    <row r="2778" spans="1:2" x14ac:dyDescent="0.25">
      <c r="A2778">
        <f ca="1">36268.5088995171*((RANDBETWEEN(1620,2416)))</f>
        <v>78775201.329751223</v>
      </c>
      <c r="B2778">
        <v>167024283.69648179</v>
      </c>
    </row>
    <row r="2779" spans="1:2" x14ac:dyDescent="0.25">
      <c r="A2779">
        <f ca="1">34798.5101153186*((RANDBETWEEN(1620,2416)))</f>
        <v>60271019.519731872</v>
      </c>
      <c r="B2779">
        <v>154646623.83891413</v>
      </c>
    </row>
    <row r="2780" spans="1:2" x14ac:dyDescent="0.25">
      <c r="A2780">
        <f ca="1">31268.2434533025*((RANDBETWEEN(1620,2416)))</f>
        <v>75419003.209365547</v>
      </c>
      <c r="B2780">
        <v>147526523.28550515</v>
      </c>
    </row>
    <row r="2781" spans="1:2" x14ac:dyDescent="0.25">
      <c r="A2781">
        <f ca="1">34080.4370274544*((RANDBETWEEN(1620,2416)))</f>
        <v>56164560.221244916</v>
      </c>
      <c r="B2781">
        <v>185166411.54213125</v>
      </c>
    </row>
    <row r="2782" spans="1:2" x14ac:dyDescent="0.25">
      <c r="A2782">
        <f ca="1">38115.1658539074*((RANDBETWEEN(1620,2416)))</f>
        <v>73714730.761456922</v>
      </c>
      <c r="B2782">
        <v>148229326.54733539</v>
      </c>
    </row>
    <row r="2783" spans="1:2" x14ac:dyDescent="0.25">
      <c r="A2783">
        <f ca="1">39959.4359770106*((RANDBETWEEN(1620,2416)))</f>
        <v>76402441.588044256</v>
      </c>
      <c r="B2783">
        <v>160146116.37966722</v>
      </c>
    </row>
    <row r="2784" spans="1:2" x14ac:dyDescent="0.25">
      <c r="A2784">
        <f ca="1">33266.754387306*((RANDBETWEEN(1620,2416)))</f>
        <v>79141608.687400907</v>
      </c>
      <c r="B2784">
        <v>186877608.28289017</v>
      </c>
    </row>
    <row r="2785" spans="1:2" x14ac:dyDescent="0.25">
      <c r="A2785">
        <f ca="1">30830.7146221894*((RANDBETWEEN(1620,2416)))</f>
        <v>65946898.576863214</v>
      </c>
      <c r="B2785">
        <v>179114637.38714749</v>
      </c>
    </row>
    <row r="2786" spans="1:2" x14ac:dyDescent="0.25">
      <c r="A2786">
        <f ca="1">31105.8984491266*((RANDBETWEEN(1620,2416)))</f>
        <v>54590851.778217264</v>
      </c>
      <c r="B2786">
        <v>174795117.55055484</v>
      </c>
    </row>
    <row r="2787" spans="1:2" x14ac:dyDescent="0.25">
      <c r="A2787">
        <f ca="1">30497.8364052192*((RANDBETWEEN(1620,2416)))</f>
        <v>52151300.252924778</v>
      </c>
      <c r="B2787">
        <v>187847640.62841275</v>
      </c>
    </row>
    <row r="2788" spans="1:2" x14ac:dyDescent="0.25">
      <c r="A2788">
        <f ca="1">31957.9901773414*((RANDBETWEEN(1620,2416)))</f>
        <v>58674869.965598904</v>
      </c>
      <c r="B2788">
        <v>161064717.42524594</v>
      </c>
    </row>
    <row r="2789" spans="1:2" x14ac:dyDescent="0.25">
      <c r="A2789">
        <f ca="1">30164.6655834933*((RANDBETWEEN(1620,2416)))</f>
        <v>53934422.063285954</v>
      </c>
      <c r="B2789">
        <v>149596847.91920549</v>
      </c>
    </row>
    <row r="2790" spans="1:2" x14ac:dyDescent="0.25">
      <c r="A2790">
        <f ca="1">31193.5449002788*((RANDBETWEEN(1620,2416)))</f>
        <v>55399735.742895208</v>
      </c>
      <c r="B2790">
        <v>144807565.87658101</v>
      </c>
    </row>
    <row r="2791" spans="1:2" x14ac:dyDescent="0.25">
      <c r="A2791">
        <f ca="1">38177.0436598842*((RANDBETWEEN(1620,2416)))</f>
        <v>80515385.078695819</v>
      </c>
      <c r="B2791">
        <v>201653762.72625947</v>
      </c>
    </row>
    <row r="2792" spans="1:2" x14ac:dyDescent="0.25">
      <c r="A2792">
        <f ca="1">30003.0294897709*((RANDBETWEEN(1620,2416)))</f>
        <v>56705725.735667087</v>
      </c>
      <c r="B2792">
        <v>148804025.84486401</v>
      </c>
    </row>
    <row r="2793" spans="1:2" x14ac:dyDescent="0.25">
      <c r="A2793">
        <f ca="1">41205.7870600228*((RANDBETWEEN(1620,2416)))</f>
        <v>84677892.408346951</v>
      </c>
      <c r="B2793">
        <v>162154931.54270273</v>
      </c>
    </row>
    <row r="2794" spans="1:2" x14ac:dyDescent="0.25">
      <c r="A2794">
        <f ca="1">29890.6438977539*((RANDBETWEEN(1620,2416)))</f>
        <v>58765005.90298415</v>
      </c>
      <c r="B2794">
        <v>159961765.70686209</v>
      </c>
    </row>
    <row r="2795" spans="1:2" x14ac:dyDescent="0.25">
      <c r="A2795">
        <f ca="1">28692.1898374556*((RANDBETWEEN(1620,2416)))</f>
        <v>60138829.899307013</v>
      </c>
      <c r="B2795">
        <v>150299895.44981921</v>
      </c>
    </row>
    <row r="2796" spans="1:2" x14ac:dyDescent="0.25">
      <c r="A2796">
        <f ca="1">34042.2692149827*((RANDBETWEEN(1620,2416)))</f>
        <v>76492978.926066145</v>
      </c>
      <c r="B2796">
        <v>146135902.76485884</v>
      </c>
    </row>
    <row r="2797" spans="1:2" x14ac:dyDescent="0.25">
      <c r="A2797">
        <f ca="1">36136.1779830079*((RANDBETWEEN(1620,2416)))</f>
        <v>83366162.606799155</v>
      </c>
      <c r="B2797">
        <v>185575041.28682667</v>
      </c>
    </row>
    <row r="2798" spans="1:2" x14ac:dyDescent="0.25">
      <c r="A2798">
        <f ca="1">40043.0307994699*((RANDBETWEEN(1620,2416)))</f>
        <v>81207266.461324945</v>
      </c>
      <c r="B2798">
        <v>166138924.1104272</v>
      </c>
    </row>
    <row r="2799" spans="1:2" x14ac:dyDescent="0.25">
      <c r="A2799">
        <f ca="1">36497.4943027876*((RANDBETWEEN(1620,2416)))</f>
        <v>74710370.83780627</v>
      </c>
      <c r="B2799">
        <v>184381799.143509</v>
      </c>
    </row>
    <row r="2800" spans="1:2" x14ac:dyDescent="0.25">
      <c r="A2800">
        <f ca="1">36043.18198572*((RANDBETWEEN(1620,2416)))</f>
        <v>66788016.219539218</v>
      </c>
      <c r="B2800">
        <v>155249155.25026247</v>
      </c>
    </row>
    <row r="2801" spans="1:2" x14ac:dyDescent="0.25">
      <c r="A2801">
        <f ca="1">31808.5164202062*((RANDBETWEEN(1620,2416)))</f>
        <v>70169587.222974837</v>
      </c>
      <c r="B2801">
        <v>171169210.01483405</v>
      </c>
    </row>
    <row r="2802" spans="1:2" x14ac:dyDescent="0.25">
      <c r="A2802">
        <f ca="1">32869.9064657843*((RANDBETWEEN(1620,2416)))</f>
        <v>59100091.82548023</v>
      </c>
      <c r="B2802">
        <v>197332956.38605815</v>
      </c>
    </row>
    <row r="2803" spans="1:2" x14ac:dyDescent="0.25">
      <c r="A2803">
        <f ca="1">32032.8709258918*((RANDBETWEEN(1620,2416)))</f>
        <v>57787299.150308751</v>
      </c>
      <c r="B2803">
        <v>179679601.47453812</v>
      </c>
    </row>
    <row r="2804" spans="1:2" x14ac:dyDescent="0.25">
      <c r="A2804">
        <f ca="1">33866.9300160409*((RANDBETWEEN(1620,2416)))</f>
        <v>70172278.993236765</v>
      </c>
      <c r="B2804">
        <v>143973014.8437131</v>
      </c>
    </row>
    <row r="2805" spans="1:2" x14ac:dyDescent="0.25">
      <c r="A2805">
        <f ca="1">41640.1244141244*((RANDBETWEEN(1620,2416)))</f>
        <v>93606999.682951659</v>
      </c>
      <c r="B2805">
        <v>160630506.50546315</v>
      </c>
    </row>
    <row r="2806" spans="1:2" x14ac:dyDescent="0.25">
      <c r="A2806">
        <f ca="1">33715.8461147521*((RANDBETWEEN(1620,2416)))</f>
        <v>63857812.541340411</v>
      </c>
      <c r="B2806">
        <v>162395607.61608237</v>
      </c>
    </row>
    <row r="2807" spans="1:2" x14ac:dyDescent="0.25">
      <c r="A2807">
        <f ca="1">30364.5320670391*((RANDBETWEEN(1620,2416)))</f>
        <v>64889005.027262636</v>
      </c>
      <c r="B2807">
        <v>154151312.44285643</v>
      </c>
    </row>
    <row r="2808" spans="1:2" x14ac:dyDescent="0.25">
      <c r="A2808">
        <f ca="1">32346.9215320272*((RANDBETWEEN(1620,2416)))</f>
        <v>73686287.249958068</v>
      </c>
      <c r="B2808">
        <v>181365288.80871081</v>
      </c>
    </row>
    <row r="2809" spans="1:2" x14ac:dyDescent="0.25">
      <c r="A2809">
        <f ca="1">28818.0587607738*((RANDBETWEEN(1620,2416)))</f>
        <v>48126158.130492277</v>
      </c>
      <c r="B2809">
        <v>176105185.80830169</v>
      </c>
    </row>
    <row r="2810" spans="1:2" x14ac:dyDescent="0.25">
      <c r="A2810">
        <f ca="1">29513.8800611002*((RANDBETWEEN(1620,2416)))</f>
        <v>53744775.591263473</v>
      </c>
      <c r="B2810">
        <v>160990019.54979759</v>
      </c>
    </row>
    <row r="2811" spans="1:2" x14ac:dyDescent="0.25">
      <c r="A2811">
        <f ca="1">30683.1277404014*((RANDBETWEEN(1620,2416)))</f>
        <v>72289448.956385672</v>
      </c>
      <c r="B2811">
        <v>184578346.7117694</v>
      </c>
    </row>
    <row r="2812" spans="1:2" x14ac:dyDescent="0.25">
      <c r="A2812">
        <f ca="1">32073.952072654*((RANDBETWEEN(1620,2416)))</f>
        <v>63506425.103854902</v>
      </c>
      <c r="B2812">
        <v>152464389.13020331</v>
      </c>
    </row>
    <row r="2813" spans="1:2" x14ac:dyDescent="0.25">
      <c r="A2813">
        <f ca="1">29350.7125984226*((RANDBETWEEN(1620,2416)))</f>
        <v>67712093.964560837</v>
      </c>
      <c r="B2813">
        <v>173935257.77465793</v>
      </c>
    </row>
    <row r="2814" spans="1:2" x14ac:dyDescent="0.25">
      <c r="A2814">
        <f ca="1">29326.3921716275*((RANDBETWEEN(1620,2416)))</f>
        <v>52963464.261959195</v>
      </c>
      <c r="B2814">
        <v>158179401.07786438</v>
      </c>
    </row>
    <row r="2815" spans="1:2" x14ac:dyDescent="0.25">
      <c r="A2815">
        <f ca="1">32690.8806389091*((RANDBETWEEN(1620,2416)))</f>
        <v>64760634.545678832</v>
      </c>
      <c r="B2815">
        <v>170386081.22991493</v>
      </c>
    </row>
    <row r="2816" spans="1:2" x14ac:dyDescent="0.25">
      <c r="A2816">
        <f ca="1">30728.8312725674*((RANDBETWEEN(1620,2416)))</f>
        <v>67388326.980740324</v>
      </c>
      <c r="B2816">
        <v>161741949.39772952</v>
      </c>
    </row>
    <row r="2817" spans="1:2" x14ac:dyDescent="0.25">
      <c r="A2817">
        <f ca="1">30848.2292293372*((RANDBETWEEN(1620,2416)))</f>
        <v>59814716.475684777</v>
      </c>
      <c r="B2817">
        <v>152038908.83985648</v>
      </c>
    </row>
    <row r="2818" spans="1:2" x14ac:dyDescent="0.25">
      <c r="A2818">
        <f ca="1">30498.2994145996*((RANDBETWEEN(1620,2416)))</f>
        <v>54927437.245693937</v>
      </c>
      <c r="B2818">
        <v>179684717.3304953</v>
      </c>
    </row>
    <row r="2819" spans="1:2" x14ac:dyDescent="0.25">
      <c r="A2819">
        <f ca="1">35434.8530595479*((RANDBETWEEN(1620,2416)))</f>
        <v>77460588.788171723</v>
      </c>
      <c r="B2819">
        <v>151768514.57944894</v>
      </c>
    </row>
    <row r="2820" spans="1:2" x14ac:dyDescent="0.25">
      <c r="A2820">
        <f ca="1">31858.0665656575*((RANDBETWEEN(1620,2416)))</f>
        <v>72954972.435355678</v>
      </c>
      <c r="B2820">
        <v>143393796.58031562</v>
      </c>
    </row>
    <row r="2821" spans="1:2" x14ac:dyDescent="0.25">
      <c r="A2821">
        <f ca="1">30064.0546959975*((RANDBETWEEN(1620,2416)))</f>
        <v>54896963.874891438</v>
      </c>
      <c r="B2821">
        <v>182825025.41760316</v>
      </c>
    </row>
    <row r="2822" spans="1:2" x14ac:dyDescent="0.25">
      <c r="A2822">
        <f ca="1">31094.7640562775*((RANDBETWEEN(1620,2416)))</f>
        <v>53389709.884628423</v>
      </c>
      <c r="B2822">
        <v>177005734.47660524</v>
      </c>
    </row>
    <row r="2823" spans="1:2" x14ac:dyDescent="0.25">
      <c r="A2823">
        <f ca="1">37581.764220911*((RANDBETWEEN(1620,2416)))</f>
        <v>72269732.596811786</v>
      </c>
      <c r="B2823">
        <v>164533216.14842519</v>
      </c>
    </row>
    <row r="2824" spans="1:2" x14ac:dyDescent="0.25">
      <c r="A2824">
        <f ca="1">29833.2540117564*((RANDBETWEEN(1620,2416)))</f>
        <v>51551862.932314985</v>
      </c>
      <c r="B2824">
        <v>159371395.91610941</v>
      </c>
    </row>
    <row r="2825" spans="1:2" x14ac:dyDescent="0.25">
      <c r="A2825">
        <f ca="1">31664.3991900336*((RANDBETWEEN(1620,2416)))</f>
        <v>62695510.396266475</v>
      </c>
      <c r="B2825">
        <v>145678468.56055486</v>
      </c>
    </row>
    <row r="2826" spans="1:2" x14ac:dyDescent="0.25">
      <c r="A2826">
        <f ca="1">31083.3979873806*((RANDBETWEEN(1620,2416)))</f>
        <v>54178362.692004375</v>
      </c>
      <c r="B2826">
        <v>162307380.86128408</v>
      </c>
    </row>
    <row r="2827" spans="1:2" x14ac:dyDescent="0.25">
      <c r="A2827">
        <f ca="1">33526.2110977528*((RANDBETWEEN(1620,2416)))</f>
        <v>54312461.978359595</v>
      </c>
      <c r="B2827">
        <v>178947278.8581773</v>
      </c>
    </row>
    <row r="2828" spans="1:2" x14ac:dyDescent="0.25">
      <c r="A2828">
        <f ca="1">31870.3282357754*((RANDBETWEEN(1620,2416)))</f>
        <v>69254223.256339878</v>
      </c>
      <c r="B2828">
        <v>170922601.23708612</v>
      </c>
    </row>
    <row r="2829" spans="1:2" x14ac:dyDescent="0.25">
      <c r="A2829">
        <f ca="1">30120.543780248*((RANDBETWEEN(1620,2416)))</f>
        <v>56536260.675525539</v>
      </c>
      <c r="B2829">
        <v>199158821.56915087</v>
      </c>
    </row>
    <row r="2830" spans="1:2" x14ac:dyDescent="0.25">
      <c r="A2830">
        <f ca="1">30923.1774508901*((RANDBETWEEN(1620,2416)))</f>
        <v>60640350.981195517</v>
      </c>
      <c r="B2830">
        <v>196812966.87296534</v>
      </c>
    </row>
    <row r="2831" spans="1:2" x14ac:dyDescent="0.25">
      <c r="A2831">
        <f ca="1">30378.1974142735*((RANDBETWEEN(1620,2416)))</f>
        <v>57445171.310391225</v>
      </c>
      <c r="B2831">
        <v>172900214.81508502</v>
      </c>
    </row>
    <row r="2832" spans="1:2" x14ac:dyDescent="0.25">
      <c r="A2832">
        <f ca="1">32096.0321556787*((RANDBETWEEN(1620,2416)))</f>
        <v>65957346.079919778</v>
      </c>
      <c r="B2832">
        <v>162541996.1017966</v>
      </c>
    </row>
    <row r="2833" spans="1:2" x14ac:dyDescent="0.25">
      <c r="A2833">
        <f ca="1">40326.904094038*((RANDBETWEEN(1620,2416)))</f>
        <v>65490892.248717666</v>
      </c>
      <c r="B2833">
        <v>160002168.71961814</v>
      </c>
    </row>
    <row r="2834" spans="1:2" x14ac:dyDescent="0.25">
      <c r="A2834">
        <f ca="1">31963.3836948264*((RANDBETWEEN(1620,2416)))</f>
        <v>71661906.243800834</v>
      </c>
      <c r="B2834">
        <v>178255240.86044997</v>
      </c>
    </row>
    <row r="2835" spans="1:2" x14ac:dyDescent="0.25">
      <c r="A2835">
        <f ca="1">29428.468784666*((RANDBETWEEN(1620,2416)))</f>
        <v>53589241.656876832</v>
      </c>
      <c r="B2835">
        <v>152901308.98500472</v>
      </c>
    </row>
    <row r="2836" spans="1:2" x14ac:dyDescent="0.25">
      <c r="A2836">
        <f ca="1">35286.6347070272*((RANDBETWEEN(1620,2416)))</f>
        <v>79571361.264346376</v>
      </c>
      <c r="B2836">
        <v>174008381.78285444</v>
      </c>
    </row>
    <row r="2837" spans="1:2" x14ac:dyDescent="0.25">
      <c r="A2837">
        <f ca="1">31825.6984192933*((RANDBETWEEN(1620,2416)))</f>
        <v>68075168.918868467</v>
      </c>
      <c r="B2837">
        <v>193159406.73726505</v>
      </c>
    </row>
    <row r="2838" spans="1:2" x14ac:dyDescent="0.25">
      <c r="A2838">
        <f ca="1">32609.7349818019*((RANDBETWEEN(1620,2416)))</f>
        <v>72458831.129563838</v>
      </c>
      <c r="B2838">
        <v>172786593.26309296</v>
      </c>
    </row>
    <row r="2839" spans="1:2" x14ac:dyDescent="0.25">
      <c r="A2839">
        <f ca="1">38791.367386873*((RANDBETWEEN(1620,2416)))</f>
        <v>76380202.38475287</v>
      </c>
      <c r="B2839">
        <v>183026517.86395845</v>
      </c>
    </row>
    <row r="2840" spans="1:2" x14ac:dyDescent="0.25">
      <c r="A2840">
        <f ca="1">33468.5339759544*((RANDBETWEEN(1620,2416)))</f>
        <v>74300145.426618695</v>
      </c>
      <c r="B2840">
        <v>171493729.77507681</v>
      </c>
    </row>
    <row r="2841" spans="1:2" x14ac:dyDescent="0.25">
      <c r="A2841">
        <f ca="1">39619.1837865342*((RANDBETWEEN(1620,2416)))</f>
        <v>88746971.68183665</v>
      </c>
      <c r="B2841">
        <v>159628934.06445277</v>
      </c>
    </row>
    <row r="2842" spans="1:2" x14ac:dyDescent="0.25">
      <c r="A2842">
        <f ca="1">31624.2059638627*((RANDBETWEEN(1620,2416)))</f>
        <v>69541628.914533988</v>
      </c>
      <c r="B2842">
        <v>170190679.37823439</v>
      </c>
    </row>
    <row r="2843" spans="1:2" x14ac:dyDescent="0.25">
      <c r="A2843">
        <f ca="1">29117.5830739243*((RANDBETWEEN(1620,2416)))</f>
        <v>48801069.231897138</v>
      </c>
      <c r="B2843">
        <v>200123402.07607058</v>
      </c>
    </row>
    <row r="2844" spans="1:2" x14ac:dyDescent="0.25">
      <c r="A2844">
        <f ca="1">32484.0583126848*((RANDBETWEEN(1620,2416)))</f>
        <v>71010151.471528932</v>
      </c>
      <c r="B2844">
        <v>167499099.97213855</v>
      </c>
    </row>
    <row r="2845" spans="1:2" x14ac:dyDescent="0.25">
      <c r="A2845">
        <f ca="1">31977.7764033753*((RANDBETWEEN(1620,2416)))</f>
        <v>57080330.880024932</v>
      </c>
      <c r="B2845">
        <v>174602087.54251313</v>
      </c>
    </row>
    <row r="2846" spans="1:2" x14ac:dyDescent="0.25">
      <c r="A2846">
        <f ca="1">32271.005533882*((RANDBETWEEN(1620,2416)))</f>
        <v>57410118.844776072</v>
      </c>
      <c r="B2846">
        <v>156487054.35967803</v>
      </c>
    </row>
    <row r="2847" spans="1:2" x14ac:dyDescent="0.25">
      <c r="A2847">
        <f ca="1">29094.1064693033*((RANDBETWEEN(1620,2416)))</f>
        <v>69418538.035757691</v>
      </c>
      <c r="B2847">
        <v>151960410.81539151</v>
      </c>
    </row>
    <row r="2848" spans="1:2" x14ac:dyDescent="0.25">
      <c r="A2848">
        <f ca="1">31149.9557815481*((RANDBETWEEN(1620,2416)))</f>
        <v>56879819.257106841</v>
      </c>
      <c r="B2848">
        <v>184638641.19137844</v>
      </c>
    </row>
    <row r="2849" spans="1:2" x14ac:dyDescent="0.25">
      <c r="A2849">
        <f ca="1">31258.0505347586*((RANDBETWEEN(1620,2416)))</f>
        <v>69017775.580747038</v>
      </c>
      <c r="B2849">
        <v>162633854.54340443</v>
      </c>
    </row>
    <row r="2850" spans="1:2" x14ac:dyDescent="0.25">
      <c r="A2850">
        <f ca="1">30729.5839485906*((RANDBETWEEN(1620,2416)))</f>
        <v>57802347.407298982</v>
      </c>
      <c r="B2850">
        <v>175923506.25736284</v>
      </c>
    </row>
    <row r="2851" spans="1:2" x14ac:dyDescent="0.25">
      <c r="A2851">
        <f ca="1">31813.4308717701*((RANDBETWEEN(1620,2416)))</f>
        <v>57868630.755749859</v>
      </c>
      <c r="B2851">
        <v>174442041.76505071</v>
      </c>
    </row>
    <row r="2852" spans="1:2" x14ac:dyDescent="0.25">
      <c r="A2852">
        <f ca="1">37365.4927334247*((RANDBETWEEN(1620,2416)))</f>
        <v>69649278.455103561</v>
      </c>
      <c r="B2852">
        <v>183696524.97601646</v>
      </c>
    </row>
    <row r="2853" spans="1:2" x14ac:dyDescent="0.25">
      <c r="A2853">
        <f ca="1">27860.7997078452*((RANDBETWEEN(1620,2416)))</f>
        <v>49898692.276750714</v>
      </c>
      <c r="B2853">
        <v>160925929.58583161</v>
      </c>
    </row>
    <row r="2854" spans="1:2" x14ac:dyDescent="0.25">
      <c r="A2854">
        <f ca="1">30753.6693395671*((RANDBETWEEN(1620,2416)))</f>
        <v>71902078.915907905</v>
      </c>
      <c r="B2854">
        <v>149291124.80092573</v>
      </c>
    </row>
    <row r="2855" spans="1:2" x14ac:dyDescent="0.25">
      <c r="A2855">
        <f ca="1">31430.5755847277*((RANDBETWEEN(1620,2416)))</f>
        <v>69115835.710816234</v>
      </c>
      <c r="B2855">
        <v>182701831.87647384</v>
      </c>
    </row>
    <row r="2856" spans="1:2" x14ac:dyDescent="0.25">
      <c r="A2856">
        <f ca="1">34687.8600980597*((RANDBETWEEN(1620,2416)))</f>
        <v>60495628.011016138</v>
      </c>
      <c r="B2856">
        <v>193058505.48283318</v>
      </c>
    </row>
    <row r="2857" spans="1:2" x14ac:dyDescent="0.25">
      <c r="A2857">
        <f ca="1">39042.3926934949*((RANDBETWEEN(1620,2416)))</f>
        <v>71447578.629095733</v>
      </c>
      <c r="B2857">
        <v>149287733.21572</v>
      </c>
    </row>
    <row r="2858" spans="1:2" x14ac:dyDescent="0.25">
      <c r="A2858">
        <f ca="1">33187.0353697463*((RANDBETWEEN(1620,2416)))</f>
        <v>68464853.967786655</v>
      </c>
      <c r="B2858">
        <v>190060890.22207564</v>
      </c>
    </row>
    <row r="2859" spans="1:2" x14ac:dyDescent="0.25">
      <c r="A2859">
        <f ca="1">40268.3556594266*((RANDBETWEEN(1620,2416)))</f>
        <v>67489764.085198998</v>
      </c>
      <c r="B2859">
        <v>147963336.4809117</v>
      </c>
    </row>
    <row r="2860" spans="1:2" x14ac:dyDescent="0.25">
      <c r="A2860">
        <f ca="1">30888.7010701764*((RANDBETWEEN(1620,2416)))</f>
        <v>55846771.534878962</v>
      </c>
      <c r="B2860">
        <v>163939210.15961346</v>
      </c>
    </row>
    <row r="2861" spans="1:2" x14ac:dyDescent="0.25">
      <c r="A2861">
        <f ca="1">31392.5750214478*((RANDBETWEEN(1620,2416)))</f>
        <v>62094513.392423674</v>
      </c>
      <c r="B2861">
        <v>165590102.1881156</v>
      </c>
    </row>
    <row r="2862" spans="1:2" x14ac:dyDescent="0.25">
      <c r="A2862">
        <f ca="1">31779.6325270418*((RANDBETWEEN(1620,2416)))</f>
        <v>62224520.487947762</v>
      </c>
      <c r="B2862">
        <v>160477999.70716703</v>
      </c>
    </row>
    <row r="2863" spans="1:2" x14ac:dyDescent="0.25">
      <c r="A2863">
        <f ca="1">31342.6482266319*((RANDBETWEEN(1620,2416)))</f>
        <v>69580679.063122794</v>
      </c>
      <c r="B2863">
        <v>192896752.79799438</v>
      </c>
    </row>
    <row r="2864" spans="1:2" x14ac:dyDescent="0.25">
      <c r="A2864">
        <f ca="1">36494.981996876*((RANDBETWEEN(1620,2416)))</f>
        <v>65362512.756404988</v>
      </c>
      <c r="B2864">
        <v>169440248.7850877</v>
      </c>
    </row>
    <row r="2865" spans="1:2" x14ac:dyDescent="0.25">
      <c r="A2865">
        <f ca="1">31592.8144523036*((RANDBETWEEN(1620,2416)))</f>
        <v>66408095.978742249</v>
      </c>
      <c r="B2865">
        <v>149333096.04713422</v>
      </c>
    </row>
    <row r="2866" spans="1:2" x14ac:dyDescent="0.25">
      <c r="A2866">
        <f ca="1">33834.2170405431*((RANDBETWEEN(1620,2416)))</f>
        <v>63980504.423667051</v>
      </c>
      <c r="B2866">
        <v>159644998.35231918</v>
      </c>
    </row>
    <row r="2867" spans="1:2" x14ac:dyDescent="0.25">
      <c r="A2867">
        <f ca="1">31522.8907290826*((RANDBETWEEN(1620,2416)))</f>
        <v>58569530.974635452</v>
      </c>
      <c r="B2867">
        <v>157002071.34687462</v>
      </c>
    </row>
    <row r="2868" spans="1:2" x14ac:dyDescent="0.25">
      <c r="A2868">
        <f ca="1">29500.6520241244*((RANDBETWEEN(1620,2416)))</f>
        <v>69710040.733006045</v>
      </c>
      <c r="B2868">
        <v>152920687.59444836</v>
      </c>
    </row>
    <row r="2869" spans="1:2" x14ac:dyDescent="0.25">
      <c r="A2869">
        <f ca="1">29296.7549954193*((RANDBETWEEN(1620,2416)))</f>
        <v>48456832.762423486</v>
      </c>
      <c r="B2869">
        <v>143919685.0067631</v>
      </c>
    </row>
    <row r="2870" spans="1:2" x14ac:dyDescent="0.25">
      <c r="A2870">
        <f ca="1">30496.9865866883*((RANDBETWEEN(1620,2416)))</f>
        <v>66208957.87970034</v>
      </c>
      <c r="B2870">
        <v>145891102.58672127</v>
      </c>
    </row>
    <row r="2871" spans="1:2" x14ac:dyDescent="0.25">
      <c r="A2871">
        <f ca="1">34728.3072086093*((RANDBETWEEN(1620,2416)))</f>
        <v>73103086.674122646</v>
      </c>
      <c r="B2871">
        <v>166504238.11654034</v>
      </c>
    </row>
    <row r="2872" spans="1:2" x14ac:dyDescent="0.25">
      <c r="A2872">
        <f ca="1">40193.1083151701*((RANDBETWEEN(1620,2416)))</f>
        <v>90233528.167556912</v>
      </c>
      <c r="B2872">
        <v>180464668.62686902</v>
      </c>
    </row>
    <row r="2873" spans="1:2" x14ac:dyDescent="0.25">
      <c r="A2873">
        <f ca="1">30021.9398897817*((RANDBETWEEN(1620,2416)))</f>
        <v>55570610.735985994</v>
      </c>
      <c r="B2873">
        <v>185693149.45616266</v>
      </c>
    </row>
    <row r="2874" spans="1:2" x14ac:dyDescent="0.25">
      <c r="A2874">
        <f ca="1">32894.7414432627*((RANDBETWEEN(1620,2416)))</f>
        <v>60197376.841170669</v>
      </c>
      <c r="B2874">
        <v>201098955.98491868</v>
      </c>
    </row>
    <row r="2875" spans="1:2" x14ac:dyDescent="0.25">
      <c r="A2875">
        <f ca="1">33753.5415354821*((RANDBETWEEN(1620,2416)))</f>
        <v>55592082.908939093</v>
      </c>
      <c r="B2875">
        <v>144267498.98318872</v>
      </c>
    </row>
    <row r="2876" spans="1:2" x14ac:dyDescent="0.25">
      <c r="A2876">
        <f ca="1">37502.5051288015*((RANDBETWEEN(1620,2416)))</f>
        <v>61466605.906105578</v>
      </c>
      <c r="B2876">
        <v>181400786.08077165</v>
      </c>
    </row>
    <row r="2877" spans="1:2" x14ac:dyDescent="0.25">
      <c r="A2877">
        <f ca="1">34099.7844569384*((RANDBETWEEN(1620,2416)))</f>
        <v>73075838.091218948</v>
      </c>
      <c r="B2877">
        <v>197718170.74479163</v>
      </c>
    </row>
    <row r="2878" spans="1:2" x14ac:dyDescent="0.25">
      <c r="A2878">
        <f ca="1">34488.2977894831*((RANDBETWEEN(1620,2416)))</f>
        <v>61527123.256437935</v>
      </c>
      <c r="B2878">
        <v>154838654.81612617</v>
      </c>
    </row>
    <row r="2879" spans="1:2" x14ac:dyDescent="0.25">
      <c r="A2879">
        <f ca="1">31566.2074365986*((RANDBETWEEN(1620,2416)))</f>
        <v>72349747.444683984</v>
      </c>
      <c r="B2879">
        <v>148924991.17912143</v>
      </c>
    </row>
    <row r="2880" spans="1:2" x14ac:dyDescent="0.25">
      <c r="A2880">
        <f ca="1">33299.9939061664*((RANDBETWEEN(1620,2416)))</f>
        <v>79120785.521051481</v>
      </c>
      <c r="B2880">
        <v>198504766.49303263</v>
      </c>
    </row>
    <row r="2881" spans="1:2" x14ac:dyDescent="0.25">
      <c r="A2881">
        <f ca="1">41101.0835313954*((RANDBETWEEN(1620,2416)))</f>
        <v>73283231.936478004</v>
      </c>
      <c r="B2881">
        <v>176615325.77864715</v>
      </c>
    </row>
    <row r="2882" spans="1:2" x14ac:dyDescent="0.25">
      <c r="A2882">
        <f ca="1">37421.9493704574*((RANDBETWEEN(1620,2416)))</f>
        <v>61222309.170068353</v>
      </c>
      <c r="B2882">
        <v>170386203.7104229</v>
      </c>
    </row>
    <row r="2883" spans="1:2" x14ac:dyDescent="0.25">
      <c r="A2883">
        <f ca="1">32445.7099892592*((RANDBETWEEN(1620,2416)))</f>
        <v>74982035.785177976</v>
      </c>
      <c r="B2883">
        <v>168793403.11941698</v>
      </c>
    </row>
    <row r="2884" spans="1:2" x14ac:dyDescent="0.25">
      <c r="A2884">
        <f ca="1">37605.2211824964*((RANDBETWEEN(1620,2416)))</f>
        <v>85777509.517274246</v>
      </c>
      <c r="B2884">
        <v>157892957.1754882</v>
      </c>
    </row>
    <row r="2885" spans="1:2" x14ac:dyDescent="0.25">
      <c r="A2885">
        <f ca="1">33590.7779409586*((RANDBETWEEN(1620,2416)))</f>
        <v>58817452.174618572</v>
      </c>
      <c r="B2885">
        <v>155993411.66788411</v>
      </c>
    </row>
    <row r="2886" spans="1:2" x14ac:dyDescent="0.25">
      <c r="A2886">
        <f ca="1">39263.8524682076*((RANDBETWEEN(1620,2416)))</f>
        <v>92544900.267565399</v>
      </c>
      <c r="B2886">
        <v>184931272.45122474</v>
      </c>
    </row>
    <row r="2887" spans="1:2" x14ac:dyDescent="0.25">
      <c r="A2887">
        <f ca="1">32014.9324660315*((RANDBETWEEN(1620,2416)))</f>
        <v>53272847.623476431</v>
      </c>
      <c r="B2887">
        <v>150128996.79624245</v>
      </c>
    </row>
    <row r="2888" spans="1:2" x14ac:dyDescent="0.25">
      <c r="A2888">
        <f ca="1">31850.8347173564*((RANDBETWEEN(1620,2416)))</f>
        <v>76219047.478633791</v>
      </c>
      <c r="B2888">
        <v>164394452.60848573</v>
      </c>
    </row>
    <row r="2889" spans="1:2" x14ac:dyDescent="0.25">
      <c r="A2889">
        <f ca="1">37142.3569378659*((RANDBETWEEN(1620,2416)))</f>
        <v>60764895.950348534</v>
      </c>
      <c r="B2889">
        <v>147269107.45892039</v>
      </c>
    </row>
    <row r="2890" spans="1:2" x14ac:dyDescent="0.25">
      <c r="A2890">
        <f ca="1">34233.7970401099*((RANDBETWEEN(1620,2416)))</f>
        <v>79251240.147854492</v>
      </c>
      <c r="B2890">
        <v>151870906.75903454</v>
      </c>
    </row>
    <row r="2891" spans="1:2" x14ac:dyDescent="0.25">
      <c r="A2891">
        <f ca="1">32057.5978884765*((RANDBETWEEN(1620,2416)))</f>
        <v>62448200.686752208</v>
      </c>
      <c r="B2891">
        <v>150829398.81853893</v>
      </c>
    </row>
    <row r="2892" spans="1:2" x14ac:dyDescent="0.25">
      <c r="A2892">
        <f ca="1">38730.7004032387*((RANDBETWEEN(1620,2416)))</f>
        <v>92837488.866563082</v>
      </c>
      <c r="B2892">
        <v>177447924.34922448</v>
      </c>
    </row>
    <row r="2893" spans="1:2" x14ac:dyDescent="0.25">
      <c r="A2893">
        <f ca="1">29830.5558047461*((RANDBETWEEN(1620,2416)))</f>
        <v>49399400.412659556</v>
      </c>
      <c r="B2893">
        <v>159263457.52679783</v>
      </c>
    </row>
    <row r="2894" spans="1:2" x14ac:dyDescent="0.25">
      <c r="A2894">
        <f ca="1">37708.1845858646*((RANDBETWEEN(1620,2416)))</f>
        <v>62520170.043363579</v>
      </c>
      <c r="B2894">
        <v>149198102.10032749</v>
      </c>
    </row>
    <row r="2895" spans="1:2" x14ac:dyDescent="0.25">
      <c r="A2895">
        <f ca="1">30449.7161588312*((RANDBETWEEN(1620,2416)))</f>
        <v>73536064.523577362</v>
      </c>
      <c r="B2895">
        <v>144523342.62168771</v>
      </c>
    </row>
    <row r="2896" spans="1:2" x14ac:dyDescent="0.25">
      <c r="A2896">
        <f ca="1">32693.1290496465*((RANDBETWEEN(1620,2416)))</f>
        <v>65288178.712144092</v>
      </c>
      <c r="B2896">
        <v>148636918.24848303</v>
      </c>
    </row>
    <row r="2897" spans="1:2" x14ac:dyDescent="0.25">
      <c r="A2897">
        <f ca="1">40991.0756889707*((RANDBETWEEN(1620,2416)))</f>
        <v>90918205.878136978</v>
      </c>
      <c r="B2897">
        <v>171954001.55731121</v>
      </c>
    </row>
    <row r="2898" spans="1:2" x14ac:dyDescent="0.25">
      <c r="A2898">
        <f ca="1">36024.8783533835*((RANDBETWEEN(1620,2416)))</f>
        <v>75436095.271985039</v>
      </c>
      <c r="B2898">
        <v>152259724.70290163</v>
      </c>
    </row>
    <row r="2899" spans="1:2" x14ac:dyDescent="0.25">
      <c r="A2899">
        <f ca="1">29425.4107822424*((RANDBETWEEN(1620,2416)))</f>
        <v>56320236.237211861</v>
      </c>
      <c r="B2899">
        <v>150491120.35767835</v>
      </c>
    </row>
    <row r="2900" spans="1:2" x14ac:dyDescent="0.25">
      <c r="A2900">
        <f ca="1">32636.7139967717*((RANDBETWEEN(1620,2416)))</f>
        <v>69157196.959159166</v>
      </c>
      <c r="B2900">
        <v>150652571.22893596</v>
      </c>
    </row>
    <row r="2901" spans="1:2" x14ac:dyDescent="0.25">
      <c r="A2901">
        <f ca="1">36167.6460161238*((RANDBETWEEN(1620,2416)))</f>
        <v>62316854.085781246</v>
      </c>
      <c r="B2901">
        <v>143722688.19041294</v>
      </c>
    </row>
    <row r="2902" spans="1:2" x14ac:dyDescent="0.25">
      <c r="A2902">
        <f ca="1">39299.947386476*((RANDBETWEEN(1620,2416)))</f>
        <v>71565204.190772876</v>
      </c>
      <c r="B2902">
        <v>183444780.35544547</v>
      </c>
    </row>
    <row r="2903" spans="1:2" x14ac:dyDescent="0.25">
      <c r="A2903">
        <f ca="1">31975.4272662848*((RANDBETWEEN(1620,2416)))</f>
        <v>70697669.685755596</v>
      </c>
      <c r="B2903">
        <v>179741849.67842072</v>
      </c>
    </row>
    <row r="2904" spans="1:2" x14ac:dyDescent="0.25">
      <c r="A2904">
        <f ca="1">28950.1273415568*((RANDBETWEEN(1620,2416)))</f>
        <v>49910019.536843941</v>
      </c>
      <c r="B2904">
        <v>155297564.5078792</v>
      </c>
    </row>
    <row r="2905" spans="1:2" x14ac:dyDescent="0.25">
      <c r="A2905">
        <f ca="1">35195.8144412909*((RANDBETWEEN(1620,2416)))</f>
        <v>83871625.813596219</v>
      </c>
      <c r="B2905">
        <v>154526141.30623889</v>
      </c>
    </row>
    <row r="2906" spans="1:2" x14ac:dyDescent="0.25">
      <c r="A2906">
        <f ca="1">29483.7317744292*((RANDBETWEEN(1620,2416)))</f>
        <v>70259732.818464771</v>
      </c>
      <c r="B2906">
        <v>159693918.53845423</v>
      </c>
    </row>
    <row r="2907" spans="1:2" x14ac:dyDescent="0.25">
      <c r="A2907">
        <f ca="1">30375.4561154861*((RANDBETWEEN(1620,2416)))</f>
        <v>55860463.796379022</v>
      </c>
      <c r="B2907">
        <v>194235032.98498392</v>
      </c>
    </row>
    <row r="2908" spans="1:2" x14ac:dyDescent="0.25">
      <c r="A2908">
        <f ca="1">27697.223916011*((RANDBETWEEN(1620,2416)))</f>
        <v>51849203.17077262</v>
      </c>
      <c r="B2908">
        <v>144464088.00290048</v>
      </c>
    </row>
    <row r="2909" spans="1:2" x14ac:dyDescent="0.25">
      <c r="A2909">
        <f ca="1">30601.798994535*((RANDBETWEEN(1620,2416)))</f>
        <v>56307310.149944477</v>
      </c>
      <c r="B2909">
        <v>157337101.64742765</v>
      </c>
    </row>
    <row r="2910" spans="1:2" x14ac:dyDescent="0.25">
      <c r="A2910">
        <f ca="1">31474.9589577634*((RANDBETWEEN(1620,2416)))</f>
        <v>70787182.696009874</v>
      </c>
      <c r="B2910">
        <v>187944037.34541139</v>
      </c>
    </row>
    <row r="2911" spans="1:2" x14ac:dyDescent="0.25">
      <c r="A2911">
        <f ca="1">29456.355171614*((RANDBETWEEN(1620,2416)))</f>
        <v>67101577.080936626</v>
      </c>
      <c r="B2911">
        <v>143690585.50176451</v>
      </c>
    </row>
    <row r="2912" spans="1:2" x14ac:dyDescent="0.25">
      <c r="A2912">
        <f ca="1">34394.0337264853*((RANDBETWEEN(1620,2416)))</f>
        <v>71642772.252268925</v>
      </c>
      <c r="B2912">
        <v>157194661.10913527</v>
      </c>
    </row>
    <row r="2913" spans="1:2" x14ac:dyDescent="0.25">
      <c r="A2913">
        <f ca="1">28954.4105732005*((RANDBETWEEN(1620,2416)))</f>
        <v>56895416.776338898</v>
      </c>
      <c r="B2913">
        <v>162220080.07931417</v>
      </c>
    </row>
    <row r="2914" spans="1:2" x14ac:dyDescent="0.25">
      <c r="A2914">
        <f ca="1">34037.5529305143*((RANDBETWEEN(1620,2416)))</f>
        <v>57591539.558430195</v>
      </c>
      <c r="B2914">
        <v>149556429.11432791</v>
      </c>
    </row>
    <row r="2915" spans="1:2" x14ac:dyDescent="0.25">
      <c r="A2915">
        <f ca="1">31383.0411831393*((RANDBETWEEN(1620,2416)))</f>
        <v>53633617.38198512</v>
      </c>
      <c r="B2915">
        <v>153634729.15391222</v>
      </c>
    </row>
    <row r="2916" spans="1:2" x14ac:dyDescent="0.25">
      <c r="A2916">
        <f ca="1">29802.2770055112*((RANDBETWEEN(1620,2416)))</f>
        <v>58710485.700857162</v>
      </c>
      <c r="B2916">
        <v>149794588.88307044</v>
      </c>
    </row>
    <row r="2917" spans="1:2" x14ac:dyDescent="0.25">
      <c r="A2917">
        <f ca="1">31217.3299012866*((RANDBETWEEN(1620,2416)))</f>
        <v>54474240.677745111</v>
      </c>
      <c r="B2917">
        <v>173421554.67619696</v>
      </c>
    </row>
    <row r="2918" spans="1:2" x14ac:dyDescent="0.25">
      <c r="A2918">
        <f ca="1">30128.0489139981*((RANDBETWEEN(1620,2416)))</f>
        <v>62847110.034600079</v>
      </c>
      <c r="B2918">
        <v>180345342.41932571</v>
      </c>
    </row>
    <row r="2919" spans="1:2" x14ac:dyDescent="0.25">
      <c r="A2919">
        <f ca="1">38584.5395205826*((RANDBETWEEN(1620,2416)))</f>
        <v>66558330.673005059</v>
      </c>
      <c r="B2919">
        <v>183217687.56069046</v>
      </c>
    </row>
    <row r="2920" spans="1:2" x14ac:dyDescent="0.25">
      <c r="A2920">
        <f ca="1">27798.6032440873*((RANDBETWEEN(1620,2416)))</f>
        <v>66939036.611762181</v>
      </c>
      <c r="B2920">
        <v>144413265.38118669</v>
      </c>
    </row>
    <row r="2921" spans="1:2" x14ac:dyDescent="0.25">
      <c r="A2921">
        <f ca="1">31992.3617900036*((RANDBETWEEN(1620,2416)))</f>
        <v>65776295.840247341</v>
      </c>
      <c r="B2921">
        <v>167344343.31460026</v>
      </c>
    </row>
    <row r="2922" spans="1:2" x14ac:dyDescent="0.25">
      <c r="A2922">
        <f ca="1">39652.8844287032*((RANDBETWEEN(1620,2416)))</f>
        <v>81050495.772269413</v>
      </c>
      <c r="B2922">
        <v>143599503.53481826</v>
      </c>
    </row>
    <row r="2923" spans="1:2" x14ac:dyDescent="0.25">
      <c r="A2923">
        <f ca="1">32407.539706094*((RANDBETWEEN(1620,2416)))</f>
        <v>73791967.910775959</v>
      </c>
      <c r="B2923">
        <v>187106436.08929715</v>
      </c>
    </row>
    <row r="2924" spans="1:2" x14ac:dyDescent="0.25">
      <c r="A2924">
        <f ca="1">38360.6925511117*((RANDBETWEEN(1620,2416)))</f>
        <v>81209586.130703524</v>
      </c>
      <c r="B2924">
        <v>158134137.00203723</v>
      </c>
    </row>
    <row r="2925" spans="1:2" x14ac:dyDescent="0.25">
      <c r="A2925">
        <f ca="1">29355.3367408014*((RANDBETWEEN(1620,2416)))</f>
        <v>55070611.725743435</v>
      </c>
      <c r="B2925">
        <v>182116866.55254617</v>
      </c>
    </row>
    <row r="2926" spans="1:2" x14ac:dyDescent="0.25">
      <c r="A2926">
        <f ca="1">31678.7744571268*((RANDBETWEEN(1620,2416)))</f>
        <v>66176959.840937786</v>
      </c>
      <c r="B2926">
        <v>165023435.71946663</v>
      </c>
    </row>
    <row r="2927" spans="1:2" x14ac:dyDescent="0.25">
      <c r="A2927">
        <f ca="1">33296.4909667013*((RANDBETWEEN(1620,2416)))</f>
        <v>66326610.005669028</v>
      </c>
      <c r="B2927">
        <v>143279389.31696165</v>
      </c>
    </row>
    <row r="2928" spans="1:2" x14ac:dyDescent="0.25">
      <c r="A2928">
        <f ca="1">33237.283482651*((RANDBETWEEN(1620,2416)))</f>
        <v>58996178.181705579</v>
      </c>
      <c r="B2928">
        <v>182988685.87897837</v>
      </c>
    </row>
    <row r="2929" spans="1:2" x14ac:dyDescent="0.25">
      <c r="A2929">
        <f ca="1">30808.2463251989*((RANDBETWEEN(1620,2416)))</f>
        <v>54992719.690480091</v>
      </c>
      <c r="B2929">
        <v>144458648.34947315</v>
      </c>
    </row>
    <row r="2930" spans="1:2" x14ac:dyDescent="0.25">
      <c r="A2930">
        <f ca="1">37333.7728425336*((RANDBETWEEN(1620,2416)))</f>
        <v>80752950.658400103</v>
      </c>
      <c r="B2930">
        <v>176271799.82810831</v>
      </c>
    </row>
    <row r="2931" spans="1:2" x14ac:dyDescent="0.25">
      <c r="A2931">
        <f ca="1">37278.1175504847*((RANDBETWEEN(1620,2416)))</f>
        <v>72468660.518142298</v>
      </c>
      <c r="B2931">
        <v>147074078.30886859</v>
      </c>
    </row>
    <row r="2932" spans="1:2" x14ac:dyDescent="0.25">
      <c r="A2932">
        <f ca="1">35427.8244075755*((RANDBETWEEN(1620,2416)))</f>
        <v>61290136.225105636</v>
      </c>
      <c r="B2932">
        <v>189219935.01590699</v>
      </c>
    </row>
    <row r="2933" spans="1:2" x14ac:dyDescent="0.25">
      <c r="A2933">
        <f ca="1">29696.5386547388*((RANDBETWEEN(1620,2416)))</f>
        <v>69341417.75881502</v>
      </c>
      <c r="B2933">
        <v>160518185.55370545</v>
      </c>
    </row>
    <row r="2934" spans="1:2" x14ac:dyDescent="0.25">
      <c r="A2934">
        <f ca="1">32637.1780897578*((RANDBETWEEN(1620,2416)))</f>
        <v>73727385.304762796</v>
      </c>
      <c r="B2934">
        <v>156970183.02631283</v>
      </c>
    </row>
    <row r="2935" spans="1:2" x14ac:dyDescent="0.25">
      <c r="A2935">
        <f ca="1">38700.4122218748*((RANDBETWEEN(1620,2416)))</f>
        <v>65829401.189409085</v>
      </c>
      <c r="B2935">
        <v>154043039.59818971</v>
      </c>
    </row>
    <row r="2936" spans="1:2" x14ac:dyDescent="0.25">
      <c r="A2936">
        <f ca="1">31076.3966496407*((RANDBETWEEN(1620,2416)))</f>
        <v>67218245.953172952</v>
      </c>
      <c r="B2936">
        <v>167187656.235156</v>
      </c>
    </row>
    <row r="2937" spans="1:2" x14ac:dyDescent="0.25">
      <c r="A2937">
        <f ca="1">29945.5845587543*((RANDBETWEEN(1620,2416)))</f>
        <v>57315848.845455676</v>
      </c>
      <c r="B2937">
        <v>201001934.45714325</v>
      </c>
    </row>
    <row r="2938" spans="1:2" x14ac:dyDescent="0.25">
      <c r="A2938">
        <f ca="1">36452.0505174116*((RANDBETWEEN(1620,2416)))</f>
        <v>61567513.323908202</v>
      </c>
      <c r="B2938">
        <v>161673242.04782066</v>
      </c>
    </row>
    <row r="2939" spans="1:2" x14ac:dyDescent="0.25">
      <c r="A2939">
        <f ca="1">32145.3268856277*((RANDBETWEEN(1620,2416)))</f>
        <v>72648438.761518538</v>
      </c>
      <c r="B2939">
        <v>155976146.38315526</v>
      </c>
    </row>
    <row r="2940" spans="1:2" x14ac:dyDescent="0.25">
      <c r="A2940">
        <f ca="1">32128.1369420834*((RANDBETWEEN(1620,2416)))</f>
        <v>70906798.23117815</v>
      </c>
      <c r="B2940">
        <v>153374742.4599826</v>
      </c>
    </row>
    <row r="2941" spans="1:2" x14ac:dyDescent="0.25">
      <c r="A2941">
        <f ca="1">28481.7676896864*((RANDBETWEEN(1620,2416)))</f>
        <v>57020498.914752185</v>
      </c>
      <c r="B2941">
        <v>177640918.78406283</v>
      </c>
    </row>
    <row r="2942" spans="1:2" x14ac:dyDescent="0.25">
      <c r="A2942">
        <f ca="1">32754.6663614405*((RANDBETWEEN(1620,2416)))</f>
        <v>78218143.271119937</v>
      </c>
      <c r="B2942">
        <v>152568577.93137532</v>
      </c>
    </row>
    <row r="2943" spans="1:2" x14ac:dyDescent="0.25">
      <c r="A2943">
        <f ca="1">29751.1752610737*((RANDBETWEEN(1620,2416)))</f>
        <v>71343318.276054636</v>
      </c>
      <c r="B2943">
        <v>160108249.70948604</v>
      </c>
    </row>
    <row r="2944" spans="1:2" x14ac:dyDescent="0.25">
      <c r="A2944">
        <f ca="1">33815.904433389*((RANDBETWEEN(1620,2416)))</f>
        <v>60023230.369265527</v>
      </c>
      <c r="B2944">
        <v>143690316.66393808</v>
      </c>
    </row>
    <row r="2945" spans="1:2" x14ac:dyDescent="0.25">
      <c r="A2945">
        <f ca="1">30983.238218057*((RANDBETWEEN(1620,2416)))</f>
        <v>62369258.532948814</v>
      </c>
      <c r="B2945">
        <v>149671171.27821812</v>
      </c>
    </row>
    <row r="2946" spans="1:2" x14ac:dyDescent="0.25">
      <c r="A2946">
        <f ca="1">34858.2653183256*((RANDBETWEEN(1620,2416)))</f>
        <v>81254616.457016915</v>
      </c>
      <c r="B2946">
        <v>152925266.65543053</v>
      </c>
    </row>
    <row r="2947" spans="1:2" x14ac:dyDescent="0.25">
      <c r="A2947">
        <f ca="1">31351.0901004164*((RANDBETWEEN(1620,2416)))</f>
        <v>58783293.938280776</v>
      </c>
      <c r="B2947">
        <v>173894609.05837536</v>
      </c>
    </row>
    <row r="2948" spans="1:2" x14ac:dyDescent="0.25">
      <c r="A2948">
        <f ca="1">37596.6140986494*((RANDBETWEEN(1620,2416)))</f>
        <v>75155631.583200082</v>
      </c>
      <c r="B2948">
        <v>175978603.02026814</v>
      </c>
    </row>
    <row r="2949" spans="1:2" x14ac:dyDescent="0.25">
      <c r="A2949">
        <f ca="1">37623.8431494556*((RANDBETWEEN(1620,2416)))</f>
        <v>81643739.634318739</v>
      </c>
      <c r="B2949">
        <v>176369692.24068144</v>
      </c>
    </row>
    <row r="2950" spans="1:2" x14ac:dyDescent="0.25">
      <c r="A2950">
        <f ca="1">31755.5773101254*((RANDBETWEEN(1620,2416)))</f>
        <v>74054006.287212312</v>
      </c>
      <c r="B2950">
        <v>151789275.246043</v>
      </c>
    </row>
    <row r="2951" spans="1:2" x14ac:dyDescent="0.25">
      <c r="A2951">
        <f ca="1">40348.4489117118*((RANDBETWEEN(1620,2416)))</f>
        <v>78437384.684367761</v>
      </c>
      <c r="B2951">
        <v>189488888.05442238</v>
      </c>
    </row>
    <row r="2952" spans="1:2" x14ac:dyDescent="0.25">
      <c r="A2952">
        <f ca="1">30583.0724863259*((RANDBETWEEN(1620,2416)))</f>
        <v>56425768.737271212</v>
      </c>
      <c r="B2952">
        <v>150943783.66748863</v>
      </c>
    </row>
    <row r="2953" spans="1:2" x14ac:dyDescent="0.25">
      <c r="A2953">
        <f ca="1">29298.5811545573*((RANDBETWEEN(1620,2416)))</f>
        <v>54934839.664794914</v>
      </c>
      <c r="B2953">
        <v>153778438.27221292</v>
      </c>
    </row>
    <row r="2954" spans="1:2" x14ac:dyDescent="0.25">
      <c r="A2954">
        <f ca="1">34340.4429246514*((RANDBETWEEN(1620,2416)))</f>
        <v>81695913.717745736</v>
      </c>
      <c r="B2954">
        <v>189775010.55546021</v>
      </c>
    </row>
    <row r="2955" spans="1:2" x14ac:dyDescent="0.25">
      <c r="A2955">
        <f ca="1">38040.7478788637*((RANDBETWEEN(1620,2416)))</f>
        <v>67065838.510436729</v>
      </c>
      <c r="B2955">
        <v>192879928.1516172</v>
      </c>
    </row>
    <row r="2956" spans="1:2" x14ac:dyDescent="0.25">
      <c r="A2956">
        <f ca="1">33964.7166740829*((RANDBETWEEN(1620,2416)))</f>
        <v>61781819.630156815</v>
      </c>
      <c r="B2956">
        <v>154187367.75696006</v>
      </c>
    </row>
    <row r="2957" spans="1:2" x14ac:dyDescent="0.25">
      <c r="A2957">
        <f ca="1">36679.4726963333*((RANDBETWEEN(1620,2416)))</f>
        <v>83005646.711802274</v>
      </c>
      <c r="B2957">
        <v>153131445.56131753</v>
      </c>
    </row>
    <row r="2958" spans="1:2" x14ac:dyDescent="0.25">
      <c r="A2958">
        <f ca="1">28247.0756829435*((RANDBETWEEN(1620,2416)))</f>
        <v>53612949.646226719</v>
      </c>
      <c r="B2958">
        <v>155388373.6211254</v>
      </c>
    </row>
    <row r="2959" spans="1:2" x14ac:dyDescent="0.25">
      <c r="A2959">
        <f ca="1">31275.3267606508*((RANDBETWEEN(1620,2416)))</f>
        <v>52980403.53254243</v>
      </c>
      <c r="B2959">
        <v>145753778.04138947</v>
      </c>
    </row>
    <row r="2960" spans="1:2" x14ac:dyDescent="0.25">
      <c r="A2960">
        <f ca="1">30561.2119542648*((RANDBETWEEN(1620,2416)))</f>
        <v>58646965.740234166</v>
      </c>
      <c r="B2960">
        <v>146693564.4827708</v>
      </c>
    </row>
    <row r="2961" spans="1:2" x14ac:dyDescent="0.25">
      <c r="A2961">
        <f ca="1">32452.9831355143*((RANDBETWEEN(1620,2416)))</f>
        <v>69157307.06178087</v>
      </c>
      <c r="B2961">
        <v>144502151.77451301</v>
      </c>
    </row>
    <row r="2962" spans="1:2" x14ac:dyDescent="0.25">
      <c r="A2962">
        <f ca="1">40953.9282319166*((RANDBETWEEN(1620,2416)))</f>
        <v>83505059.664877921</v>
      </c>
      <c r="B2962">
        <v>143847103.78742921</v>
      </c>
    </row>
    <row r="2963" spans="1:2" x14ac:dyDescent="0.25">
      <c r="A2963">
        <f ca="1">34170.021336191*((RANDBETWEEN(1620,2416)))</f>
        <v>80094530.012031674</v>
      </c>
      <c r="B2963">
        <v>189243757.91887152</v>
      </c>
    </row>
    <row r="2964" spans="1:2" x14ac:dyDescent="0.25">
      <c r="A2964">
        <f ca="1">36252.645729335*((RANDBETWEEN(1620,2416)))</f>
        <v>71852743.835541964</v>
      </c>
      <c r="B2964">
        <v>144564533.76680881</v>
      </c>
    </row>
    <row r="2965" spans="1:2" x14ac:dyDescent="0.25">
      <c r="A2965">
        <f ca="1">39514.019522301*((RANDBETWEEN(1620,2416)))</f>
        <v>87681609.319985867</v>
      </c>
      <c r="B2965">
        <v>175295527.1977995</v>
      </c>
    </row>
    <row r="2966" spans="1:2" x14ac:dyDescent="0.25">
      <c r="A2966">
        <f ca="1">38012.1392343973*((RANDBETWEEN(1620,2416)))</f>
        <v>65380879.483163327</v>
      </c>
      <c r="B2966">
        <v>171785168.40944472</v>
      </c>
    </row>
    <row r="2967" spans="1:2" x14ac:dyDescent="0.25">
      <c r="A2967">
        <f ca="1">37909.3263339423*((RANDBETWEEN(1620,2416)))</f>
        <v>84841072.335362762</v>
      </c>
      <c r="B2967">
        <v>175783692.7017459</v>
      </c>
    </row>
    <row r="2968" spans="1:2" x14ac:dyDescent="0.25">
      <c r="A2968">
        <f ca="1">31402.7040265637*((RANDBETWEEN(1620,2416)))</f>
        <v>63747489.173924319</v>
      </c>
      <c r="B2968">
        <v>197524611.27465937</v>
      </c>
    </row>
    <row r="2969" spans="1:2" x14ac:dyDescent="0.25">
      <c r="A2969">
        <f ca="1">31687.2980340879*((RANDBETWEEN(1620,2416)))</f>
        <v>70947860.298322886</v>
      </c>
      <c r="B2969">
        <v>182072668.77570114</v>
      </c>
    </row>
    <row r="2970" spans="1:2" x14ac:dyDescent="0.25">
      <c r="A2970">
        <f ca="1">39515.727210707*((RANDBETWEEN(1620,2416)))</f>
        <v>94324040.851957589</v>
      </c>
      <c r="B2970">
        <v>174736186.44519106</v>
      </c>
    </row>
    <row r="2971" spans="1:2" x14ac:dyDescent="0.25">
      <c r="A2971">
        <f ca="1">29261.7191050521*((RANDBETWEEN(1620,2416)))</f>
        <v>68384637.548506692</v>
      </c>
      <c r="B2971">
        <v>153665893.86890554</v>
      </c>
    </row>
    <row r="2972" spans="1:2" x14ac:dyDescent="0.25">
      <c r="A2972">
        <f ca="1">32767.809541803*((RANDBETWEEN(1620,2416)))</f>
        <v>59473574.318372525</v>
      </c>
      <c r="B2972">
        <v>169276326.68235144</v>
      </c>
    </row>
    <row r="2973" spans="1:2" x14ac:dyDescent="0.25">
      <c r="A2973">
        <f ca="1">34341.5814107393*((RANDBETWEEN(1620,2416)))</f>
        <v>66622667.936834298</v>
      </c>
      <c r="B2973">
        <v>187646270.5251734</v>
      </c>
    </row>
    <row r="2974" spans="1:2" x14ac:dyDescent="0.25">
      <c r="A2974">
        <f ca="1">33781.3036913523*((RANDBETWEEN(1620,2416)))</f>
        <v>65434385.250149325</v>
      </c>
      <c r="B2974">
        <v>194492001.09961584</v>
      </c>
    </row>
    <row r="2975" spans="1:2" x14ac:dyDescent="0.25">
      <c r="A2975">
        <f ca="1">31144.8609538613*((RANDBETWEEN(1620,2416)))</f>
        <v>73221568.102527916</v>
      </c>
      <c r="B2975">
        <v>199108820.82812867</v>
      </c>
    </row>
    <row r="2976" spans="1:2" x14ac:dyDescent="0.25">
      <c r="A2976">
        <f ca="1">38152.4725406291*((RANDBETWEEN(1620,2416)))</f>
        <v>64973660.7366914</v>
      </c>
      <c r="B2976">
        <v>170485437.76732135</v>
      </c>
    </row>
    <row r="2977" spans="1:2" x14ac:dyDescent="0.25">
      <c r="A2977">
        <f ca="1">39071.1391941089*((RANDBETWEEN(1620,2416)))</f>
        <v>92520457.611649901</v>
      </c>
      <c r="B2977">
        <v>175052783.56214595</v>
      </c>
    </row>
    <row r="2978" spans="1:2" x14ac:dyDescent="0.25">
      <c r="A2978">
        <f ca="1">31211.6141925029*((RANDBETWEEN(1620,2416)))</f>
        <v>64171078.779785909</v>
      </c>
      <c r="B2978">
        <v>144232853.31034583</v>
      </c>
    </row>
    <row r="2979" spans="1:2" x14ac:dyDescent="0.25">
      <c r="A2979">
        <f ca="1">37630.6245667523*((RANDBETWEEN(1620,2416)))</f>
        <v>71648709.175096452</v>
      </c>
      <c r="B2979">
        <v>148475644.82473499</v>
      </c>
    </row>
    <row r="2980" spans="1:2" x14ac:dyDescent="0.25">
      <c r="A2980">
        <f ca="1">37849.1986225743*((RANDBETWEEN(1620,2416)))</f>
        <v>82094911.812363684</v>
      </c>
      <c r="B2980">
        <v>195071519.68939453</v>
      </c>
    </row>
    <row r="2981" spans="1:2" x14ac:dyDescent="0.25">
      <c r="A2981">
        <f ca="1">31848.6971854208*((RANDBETWEEN(1620,2416)))</f>
        <v>59493366.342366062</v>
      </c>
      <c r="B2981">
        <v>153212720.83473557</v>
      </c>
    </row>
    <row r="2982" spans="1:2" x14ac:dyDescent="0.25">
      <c r="A2982">
        <f ca="1">38199.6929481692*((RANDBETWEEN(1620,2416)))</f>
        <v>69065044.850289956</v>
      </c>
      <c r="B2982">
        <v>169114718.71993864</v>
      </c>
    </row>
    <row r="2983" spans="1:2" x14ac:dyDescent="0.25">
      <c r="A2983">
        <f ca="1">31203.3164416926*((RANDBETWEEN(1620,2416)))</f>
        <v>52390368.305601947</v>
      </c>
      <c r="B2983">
        <v>182906732.87085766</v>
      </c>
    </row>
    <row r="2984" spans="1:2" x14ac:dyDescent="0.25">
      <c r="A2984">
        <f ca="1">39936.6723631561*((RANDBETWEEN(1620,2416)))</f>
        <v>87101882.424043372</v>
      </c>
      <c r="B2984">
        <v>160196891.0467813</v>
      </c>
    </row>
    <row r="2985" spans="1:2" x14ac:dyDescent="0.25">
      <c r="A2985">
        <f ca="1">31742.8399893803*((RANDBETWEEN(1620,2416)))</f>
        <v>75040073.734894991</v>
      </c>
      <c r="B2985">
        <v>159607910.3038986</v>
      </c>
    </row>
    <row r="2986" spans="1:2" x14ac:dyDescent="0.25">
      <c r="A2986">
        <f ca="1">30654.6366293052*((RANDBETWEEN(1620,2416)))</f>
        <v>62228912.357489459</v>
      </c>
      <c r="B2986">
        <v>198423464.73067078</v>
      </c>
    </row>
    <row r="2987" spans="1:2" x14ac:dyDescent="0.25">
      <c r="A2987">
        <f ca="1">32291.6088290649*((RANDBETWEEN(1620,2416)))</f>
        <v>60611349.772154845</v>
      </c>
      <c r="B2987">
        <v>151638303.69925368</v>
      </c>
    </row>
    <row r="2988" spans="1:2" x14ac:dyDescent="0.25">
      <c r="A2988">
        <f ca="1">32945.6651518463*((RANDBETWEEN(1620,2416)))</f>
        <v>61081263.191522963</v>
      </c>
      <c r="B2988">
        <v>196172934.82546201</v>
      </c>
    </row>
    <row r="2989" spans="1:2" x14ac:dyDescent="0.25">
      <c r="A2989">
        <f ca="1">33928.5009493917*((RANDBETWEEN(1620,2416)))</f>
        <v>72742706.035495728</v>
      </c>
      <c r="B2989">
        <v>184720648.56126544</v>
      </c>
    </row>
    <row r="2990" spans="1:2" x14ac:dyDescent="0.25">
      <c r="A2990">
        <f ca="1">31694.8393037622*((RANDBETWEEN(1620,2416)))</f>
        <v>64118659.911510877</v>
      </c>
      <c r="B2990">
        <v>155932735.91401935</v>
      </c>
    </row>
    <row r="2991" spans="1:2" x14ac:dyDescent="0.25">
      <c r="A2991">
        <f ca="1">33036.7934365566*((RANDBETWEEN(1620,2416)))</f>
        <v>72581835.180114761</v>
      </c>
      <c r="B2991">
        <v>156820111.23493364</v>
      </c>
    </row>
    <row r="2992" spans="1:2" x14ac:dyDescent="0.25">
      <c r="A2992">
        <f ca="1">31425.3616929096*((RANDBETWEEN(1620,2416)))</f>
        <v>55245785.856135108</v>
      </c>
      <c r="B2992">
        <v>171302452.32721794</v>
      </c>
    </row>
    <row r="2993" spans="1:2" x14ac:dyDescent="0.25">
      <c r="A2993">
        <f ca="1">33144.2867623118*((RANDBETWEEN(1620,2416)))</f>
        <v>59096263.297201872</v>
      </c>
      <c r="B2993">
        <v>189826510.12773979</v>
      </c>
    </row>
    <row r="2994" spans="1:2" x14ac:dyDescent="0.25">
      <c r="A2994">
        <f ca="1">39409.196179492*((RANDBETWEEN(1620,2416)))</f>
        <v>84847999.374446273</v>
      </c>
      <c r="B2994">
        <v>173629643.78609598</v>
      </c>
    </row>
    <row r="2995" spans="1:2" x14ac:dyDescent="0.25">
      <c r="A2995">
        <f ca="1">41747.1334615461*((RANDBETWEEN(1620,2416)))</f>
        <v>68590540.277320325</v>
      </c>
      <c r="B2995">
        <v>170097865.33397171</v>
      </c>
    </row>
    <row r="2996" spans="1:2" x14ac:dyDescent="0.25">
      <c r="A2996">
        <f ca="1">31325.432305677*((RANDBETWEEN(1620,2416)))</f>
        <v>73144884.433755845</v>
      </c>
      <c r="B2996">
        <v>161281420.02630076</v>
      </c>
    </row>
    <row r="2997" spans="1:2" x14ac:dyDescent="0.25">
      <c r="A2997">
        <f ca="1">28192.9201885208*((RANDBETWEEN(1620,2416)))</f>
        <v>50549905.898017757</v>
      </c>
      <c r="B2997">
        <v>151415401.70421118</v>
      </c>
    </row>
    <row r="2998" spans="1:2" x14ac:dyDescent="0.25">
      <c r="A2998">
        <f ca="1">28359.4497626398*((RANDBETWEEN(1620,2416)))</f>
        <v>66531269.143153064</v>
      </c>
      <c r="B2998">
        <v>190414763.10581908</v>
      </c>
    </row>
    <row r="2999" spans="1:2" x14ac:dyDescent="0.25">
      <c r="A2999">
        <f ca="1">32548.7391991249*((RANDBETWEEN(1620,2416)))</f>
        <v>55072466.724919252</v>
      </c>
      <c r="B2999">
        <v>176806255.6968863</v>
      </c>
    </row>
    <row r="3000" spans="1:2" x14ac:dyDescent="0.25">
      <c r="A3000">
        <f ca="1">30156.3597165141*((RANDBETWEEN(1620,2416)))</f>
        <v>71953074.283602625</v>
      </c>
      <c r="B3000">
        <v>152294609.74319121</v>
      </c>
    </row>
    <row r="3001" spans="1:2" x14ac:dyDescent="0.25">
      <c r="A3001">
        <f ca="1">42657.3897771309*((RANDBETWEEN(1620,2416)))</f>
        <v>85528066.503147438</v>
      </c>
      <c r="B3001">
        <v>173036446.34507734</v>
      </c>
    </row>
    <row r="3002" spans="1:2" x14ac:dyDescent="0.25">
      <c r="A3002">
        <f ca="1">31423.5316417227*((RANDBETWEEN(1620,2416)))</f>
        <v>64795322.245232262</v>
      </c>
      <c r="B3002">
        <v>149006750.36419833</v>
      </c>
    </row>
    <row r="3003" spans="1:2" x14ac:dyDescent="0.25">
      <c r="A3003">
        <f ca="1">35546.839966023*((RANDBETWEEN(1620,2416)))</f>
        <v>85312415.918455139</v>
      </c>
      <c r="B3003">
        <v>159578148.65662536</v>
      </c>
    </row>
    <row r="3004" spans="1:2" x14ac:dyDescent="0.25">
      <c r="A3004">
        <f ca="1">31280.0417731317*((RANDBETWEEN(1620,2416)))</f>
        <v>52331509.886449404</v>
      </c>
      <c r="B3004">
        <v>179616867.8453624</v>
      </c>
    </row>
    <row r="3005" spans="1:2" x14ac:dyDescent="0.25">
      <c r="A3005">
        <f ca="1">36242.0066445783*((RANDBETWEEN(1620,2416)))</f>
        <v>76796812.079861313</v>
      </c>
      <c r="B3005">
        <v>179641036.33684683</v>
      </c>
    </row>
    <row r="3006" spans="1:2" x14ac:dyDescent="0.25">
      <c r="A3006">
        <f ca="1">38452.0122509087*((RANDBETWEEN(1620,2416)))</f>
        <v>84248358.841740921</v>
      </c>
      <c r="B3006">
        <v>191143103.62513995</v>
      </c>
    </row>
    <row r="3007" spans="1:2" x14ac:dyDescent="0.25">
      <c r="A3007">
        <f ca="1">31338.3399159081*((RANDBETWEEN(1620,2416)))</f>
        <v>59668199.199888967</v>
      </c>
      <c r="B3007">
        <v>172381634.61381203</v>
      </c>
    </row>
    <row r="3008" spans="1:2" x14ac:dyDescent="0.25">
      <c r="A3008">
        <f ca="1">38792.6534137261*((RANDBETWEEN(1620,2416)))</f>
        <v>73356907.605356008</v>
      </c>
      <c r="B3008">
        <v>149195254.99536237</v>
      </c>
    </row>
    <row r="3009" spans="1:2" x14ac:dyDescent="0.25">
      <c r="A3009">
        <f ca="1">33099.2487202795*((RANDBETWEEN(1620,2416)))</f>
        <v>56996906.296321318</v>
      </c>
      <c r="B3009">
        <v>143582340.03398255</v>
      </c>
    </row>
    <row r="3010" spans="1:2" x14ac:dyDescent="0.25">
      <c r="A3010">
        <f ca="1">42076.2033904651*((RANDBETWEEN(1620,2416)))</f>
        <v>98879077.96759288</v>
      </c>
      <c r="B3010">
        <v>161910496.16168314</v>
      </c>
    </row>
    <row r="3011" spans="1:2" x14ac:dyDescent="0.25">
      <c r="A3011">
        <f ca="1">41342.2040085366*((RANDBETWEEN(1620,2416)))</f>
        <v>69744298.16240117</v>
      </c>
      <c r="B3011">
        <v>180889005.41864058</v>
      </c>
    </row>
    <row r="3012" spans="1:2" x14ac:dyDescent="0.25">
      <c r="A3012">
        <f ca="1">30587.3764017819*((RANDBETWEEN(1620,2416)))</f>
        <v>51753840.871815048</v>
      </c>
      <c r="B3012">
        <v>152118421.72221756</v>
      </c>
    </row>
    <row r="3013" spans="1:2" x14ac:dyDescent="0.25">
      <c r="A3013">
        <f ca="1">30073.4480734529*((RANDBETWEEN(1620,2416)))</f>
        <v>50312878.626886681</v>
      </c>
      <c r="B3013">
        <v>158073359.58992237</v>
      </c>
    </row>
    <row r="3014" spans="1:2" x14ac:dyDescent="0.25">
      <c r="A3014">
        <f ca="1">37222.9151411941*((RANDBETWEEN(1620,2416)))</f>
        <v>63055618.249182731</v>
      </c>
      <c r="B3014">
        <v>195461981.80415297</v>
      </c>
    </row>
    <row r="3015" spans="1:2" x14ac:dyDescent="0.25">
      <c r="A3015">
        <f ca="1">38260.5511231519*((RANDBETWEEN(1620,2416)))</f>
        <v>70055069.106491089</v>
      </c>
      <c r="B3015">
        <v>167091192.75739324</v>
      </c>
    </row>
    <row r="3016" spans="1:2" x14ac:dyDescent="0.25">
      <c r="A3016">
        <f ca="1">38955.7537771587*((RANDBETWEEN(1620,2416)))</f>
        <v>66848073.481604345</v>
      </c>
      <c r="B3016">
        <v>158973133.26712242</v>
      </c>
    </row>
    <row r="3017" spans="1:2" x14ac:dyDescent="0.25">
      <c r="A3017">
        <f ca="1">32229.367178455*((RANDBETWEEN(1620,2416)))</f>
        <v>70324479.18338871</v>
      </c>
      <c r="B3017">
        <v>199178647.92279795</v>
      </c>
    </row>
    <row r="3018" spans="1:2" x14ac:dyDescent="0.25">
      <c r="A3018">
        <f ca="1">31876.5887745132*((RANDBETWEEN(1620,2416)))</f>
        <v>76248800.348635539</v>
      </c>
      <c r="B3018">
        <v>199532839.18628514</v>
      </c>
    </row>
    <row r="3019" spans="1:2" x14ac:dyDescent="0.25">
      <c r="A3019">
        <f ca="1">33522.6415538329*((RANDBETWEEN(1620,2416)))</f>
        <v>75593556.7038932</v>
      </c>
      <c r="B3019">
        <v>183594100.71937311</v>
      </c>
    </row>
    <row r="3020" spans="1:2" x14ac:dyDescent="0.25">
      <c r="A3020">
        <f ca="1">30518.953146756*((RANDBETWEEN(1620,2416)))</f>
        <v>68026746.564119145</v>
      </c>
      <c r="B3020">
        <v>165539920.32091045</v>
      </c>
    </row>
    <row r="3021" spans="1:2" x14ac:dyDescent="0.25">
      <c r="A3021">
        <f ca="1">36052.353678677*((RANDBETWEEN(1620,2416)))</f>
        <v>70662613.210206971</v>
      </c>
      <c r="B3021">
        <v>154426546.45333013</v>
      </c>
    </row>
    <row r="3022" spans="1:2" x14ac:dyDescent="0.25">
      <c r="A3022">
        <f ca="1">32749.6298985377*((RANDBETWEEN(1620,2416)))</f>
        <v>60390317.532903574</v>
      </c>
      <c r="B3022">
        <v>172440831.21889132</v>
      </c>
    </row>
    <row r="3023" spans="1:2" x14ac:dyDescent="0.25">
      <c r="A3023">
        <f ca="1">29382.182829655*((RANDBETWEEN(1620,2416)))</f>
        <v>58705601.293650597</v>
      </c>
      <c r="B3023">
        <v>164142654.46563649</v>
      </c>
    </row>
    <row r="3024" spans="1:2" x14ac:dyDescent="0.25">
      <c r="A3024">
        <f ca="1">30561.7807511242*((RANDBETWEEN(1620,2416)))</f>
        <v>49601770.159074634</v>
      </c>
      <c r="B3024">
        <v>143155349.14158502</v>
      </c>
    </row>
    <row r="3025" spans="1:2" x14ac:dyDescent="0.25">
      <c r="A3025">
        <f ca="1">37822.2255876758*((RANDBETWEEN(1620,2416)))</f>
        <v>70954495.202479869</v>
      </c>
      <c r="B3025">
        <v>185046140.87366617</v>
      </c>
    </row>
    <row r="3026" spans="1:2" x14ac:dyDescent="0.25">
      <c r="A3026">
        <f ca="1">29086.8835471784*((RANDBETWEEN(1620,2416)))</f>
        <v>66783484.62432161</v>
      </c>
      <c r="B3026">
        <v>159437312.81360561</v>
      </c>
    </row>
    <row r="3027" spans="1:2" x14ac:dyDescent="0.25">
      <c r="A3027">
        <f ca="1">29212.8216353519*((RANDBETWEEN(1620,2416)))</f>
        <v>68036661.588734493</v>
      </c>
      <c r="B3027">
        <v>188508105.21979633</v>
      </c>
    </row>
    <row r="3028" spans="1:2" x14ac:dyDescent="0.25">
      <c r="A3028">
        <f ca="1">39807.8940297266*((RANDBETWEEN(1620,2416)))</f>
        <v>92752393.089263067</v>
      </c>
      <c r="B3028">
        <v>175493981.89495975</v>
      </c>
    </row>
    <row r="3029" spans="1:2" x14ac:dyDescent="0.25">
      <c r="A3029">
        <f ca="1">32158.3462853388*((RANDBETWEEN(1620,2416)))</f>
        <v>71198578.675740108</v>
      </c>
      <c r="B3029">
        <v>164457987.72783658</v>
      </c>
    </row>
    <row r="3030" spans="1:2" x14ac:dyDescent="0.25">
      <c r="A3030">
        <f ca="1">32439.9823541587*((RANDBETWEEN(1620,2416)))</f>
        <v>74352439.555731893</v>
      </c>
      <c r="B3030">
        <v>167635361.91959086</v>
      </c>
    </row>
    <row r="3031" spans="1:2" x14ac:dyDescent="0.25">
      <c r="A3031">
        <f ca="1">39132.9570521966*((RANDBETWEEN(1620,2416)))</f>
        <v>68443541.884291798</v>
      </c>
      <c r="B3031">
        <v>153605162.87674785</v>
      </c>
    </row>
    <row r="3032" spans="1:2" x14ac:dyDescent="0.25">
      <c r="A3032">
        <f ca="1">40433.9022999852*((RANDBETWEEN(1620,2416)))</f>
        <v>85841174.582868651</v>
      </c>
      <c r="B3032">
        <v>184148206.0439001</v>
      </c>
    </row>
    <row r="3033" spans="1:2" x14ac:dyDescent="0.25">
      <c r="A3033">
        <f ca="1">35579.4276637335*((RANDBETWEEN(1620,2416)))</f>
        <v>71977182.163732782</v>
      </c>
      <c r="B3033">
        <v>167812680.7085529</v>
      </c>
    </row>
    <row r="3034" spans="1:2" x14ac:dyDescent="0.25">
      <c r="A3034">
        <f ca="1">30498.6315666095*((RANDBETWEEN(1620,2416)))</f>
        <v>55812495.766895406</v>
      </c>
      <c r="B3034">
        <v>196830116.99313465</v>
      </c>
    </row>
    <row r="3035" spans="1:2" x14ac:dyDescent="0.25">
      <c r="A3035">
        <f ca="1">38980.7727789049*((RANDBETWEEN(1620,2416)))</f>
        <v>83769680.701866597</v>
      </c>
      <c r="B3035">
        <v>172445398.16772202</v>
      </c>
    </row>
    <row r="3036" spans="1:2" x14ac:dyDescent="0.25">
      <c r="A3036">
        <f ca="1">36218.2799619974*((RANDBETWEEN(1620,2416)))</f>
        <v>72581433.043842852</v>
      </c>
      <c r="B3036">
        <v>194277944.79484019</v>
      </c>
    </row>
    <row r="3037" spans="1:2" x14ac:dyDescent="0.25">
      <c r="A3037">
        <f ca="1">30898.225992584*((RANDBETWEEN(1620,2416)))</f>
        <v>67234539.759862825</v>
      </c>
      <c r="B3037">
        <v>199898912.86833459</v>
      </c>
    </row>
    <row r="3038" spans="1:2" x14ac:dyDescent="0.25">
      <c r="A3038">
        <f ca="1">33228.7262293344*((RANDBETWEEN(1620,2416)))</f>
        <v>70511357.058647543</v>
      </c>
      <c r="B3038">
        <v>169835750.85726205</v>
      </c>
    </row>
    <row r="3039" spans="1:2" x14ac:dyDescent="0.25">
      <c r="A3039">
        <f ca="1">36537.8902662138*((RANDBETWEEN(1620,2416)))</f>
        <v>84621753.856551141</v>
      </c>
      <c r="B3039">
        <v>162955368.40046167</v>
      </c>
    </row>
    <row r="3040" spans="1:2" x14ac:dyDescent="0.25">
      <c r="A3040">
        <f ca="1">31839.2082458794*((RANDBETWEEN(1620,2416)))</f>
        <v>73007304.507801354</v>
      </c>
      <c r="B3040">
        <v>147310388.4743593</v>
      </c>
    </row>
    <row r="3041" spans="1:2" x14ac:dyDescent="0.25">
      <c r="A3041">
        <f ca="1">32987.1181382349*((RANDBETWEEN(1620,2416)))</f>
        <v>55286409.999681622</v>
      </c>
      <c r="B3041">
        <v>188113783.53411734</v>
      </c>
    </row>
    <row r="3042" spans="1:2" x14ac:dyDescent="0.25">
      <c r="A3042">
        <f ca="1">32366.2378877824*((RANDBETWEEN(1620,2416)))</f>
        <v>52595136.567646444</v>
      </c>
      <c r="B3042">
        <v>170431453.35713923</v>
      </c>
    </row>
    <row r="3043" spans="1:2" x14ac:dyDescent="0.25">
      <c r="A3043">
        <f ca="1">37675.870234695*((RANDBETWEEN(1620,2416)))</f>
        <v>83678107.791257575</v>
      </c>
      <c r="B3043">
        <v>159957279.89652786</v>
      </c>
    </row>
    <row r="3044" spans="1:2" x14ac:dyDescent="0.25">
      <c r="A3044">
        <f ca="1">35911.1289175061*((RANDBETWEEN(1620,2416)))</f>
        <v>75449281.855680257</v>
      </c>
      <c r="B3044">
        <v>164153689.65775898</v>
      </c>
    </row>
    <row r="3045" spans="1:2" x14ac:dyDescent="0.25">
      <c r="A3045">
        <f ca="1">29075.1381556582*((RANDBETWEEN(1620,2416)))</f>
        <v>56027791.225953296</v>
      </c>
      <c r="B3045">
        <v>147872401.62184602</v>
      </c>
    </row>
    <row r="3046" spans="1:2" x14ac:dyDescent="0.25">
      <c r="A3046">
        <f ca="1">33488.291379791*((RANDBETWEEN(1620,2416)))</f>
        <v>76219351.18040435</v>
      </c>
      <c r="B3046">
        <v>174095044.69037479</v>
      </c>
    </row>
    <row r="3047" spans="1:2" x14ac:dyDescent="0.25">
      <c r="A3047">
        <f ca="1">39879.4264792707*((RANDBETWEEN(1620,2416)))</f>
        <v>95232070.43249844</v>
      </c>
      <c r="B3047">
        <v>151008809.23064542</v>
      </c>
    </row>
    <row r="3048" spans="1:2" x14ac:dyDescent="0.25">
      <c r="A3048">
        <f ca="1">30320.6811910606*((RANDBETWEEN(1620,2416)))</f>
        <v>61126493.28117808</v>
      </c>
      <c r="B3048">
        <v>182167167.41973981</v>
      </c>
    </row>
    <row r="3049" spans="1:2" x14ac:dyDescent="0.25">
      <c r="A3049">
        <f ca="1">29707.5507068138*((RANDBETWEEN(1620,2416)))</f>
        <v>51394062.722787902</v>
      </c>
      <c r="B3049">
        <v>159324439.20479614</v>
      </c>
    </row>
    <row r="3050" spans="1:2" x14ac:dyDescent="0.25">
      <c r="A3050">
        <f ca="1">31178.7400591252*((RANDBETWEEN(1620,2416)))</f>
        <v>71898174.576342702</v>
      </c>
      <c r="B3050">
        <v>156149444.78654855</v>
      </c>
    </row>
    <row r="3051" spans="1:2" x14ac:dyDescent="0.25">
      <c r="A3051">
        <f ca="1">34945.2507779499*((RANDBETWEEN(1620,2416)))</f>
        <v>65732016.713323839</v>
      </c>
      <c r="B3051">
        <v>175175557.82872546</v>
      </c>
    </row>
    <row r="3052" spans="1:2" x14ac:dyDescent="0.25">
      <c r="A3052">
        <f ca="1">38189.0555719716*((RANDBETWEEN(1620,2416)))</f>
        <v>76836379.810806811</v>
      </c>
      <c r="B3052">
        <v>183072188.88717103</v>
      </c>
    </row>
    <row r="3053" spans="1:2" x14ac:dyDescent="0.25">
      <c r="A3053">
        <f ca="1">30201.9899003237*((RANDBETWEEN(1620,2416)))</f>
        <v>71337100.144564524</v>
      </c>
      <c r="B3053">
        <v>153506644.56432769</v>
      </c>
    </row>
    <row r="3054" spans="1:2" x14ac:dyDescent="0.25">
      <c r="A3054">
        <f ca="1">32029.0678663384*((RANDBETWEEN(1620,2416)))</f>
        <v>70015542.355815679</v>
      </c>
      <c r="B3054">
        <v>185686071.2073265</v>
      </c>
    </row>
    <row r="3055" spans="1:2" x14ac:dyDescent="0.25">
      <c r="A3055">
        <f ca="1">30323.8401615155*((RANDBETWEEN(1620,2416)))</f>
        <v>73232073.990059912</v>
      </c>
      <c r="B3055">
        <v>188378596.68628743</v>
      </c>
    </row>
    <row r="3056" spans="1:2" x14ac:dyDescent="0.25">
      <c r="A3056">
        <f ca="1">31736.3194875978*((RANDBETWEEN(1620,2416)))</f>
        <v>76167166.770234659</v>
      </c>
      <c r="B3056">
        <v>151129556.39722952</v>
      </c>
    </row>
    <row r="3057" spans="1:2" x14ac:dyDescent="0.25">
      <c r="A3057">
        <f ca="1">36072.7307101482*((RANDBETWEEN(1620,2416)))</f>
        <v>72650479.650238439</v>
      </c>
      <c r="B3057">
        <v>143849980.55632889</v>
      </c>
    </row>
    <row r="3058" spans="1:2" x14ac:dyDescent="0.25">
      <c r="A3058">
        <f ca="1">32440.3288334795*((RANDBETWEEN(1620,2416)))</f>
        <v>61052698.864608482</v>
      </c>
      <c r="B3058">
        <v>144243999.91636842</v>
      </c>
    </row>
    <row r="3059" spans="1:2" x14ac:dyDescent="0.25">
      <c r="A3059">
        <f ca="1">44575.2776924547*((RANDBETWEEN(1620,2416)))</f>
        <v>104083273.41188164</v>
      </c>
      <c r="B3059">
        <v>163228478.24360344</v>
      </c>
    </row>
    <row r="3060" spans="1:2" x14ac:dyDescent="0.25">
      <c r="A3060">
        <f ca="1">36410.9179783852*((RANDBETWEEN(1620,2416)))</f>
        <v>69508442.420737386</v>
      </c>
      <c r="B3060">
        <v>158661272.41798624</v>
      </c>
    </row>
    <row r="3061" spans="1:2" x14ac:dyDescent="0.25">
      <c r="A3061">
        <f ca="1">27827.6603432659*((RANDBETWEEN(1620,2416)))</f>
        <v>47919231.11110387</v>
      </c>
      <c r="B3061">
        <v>153421520.22292265</v>
      </c>
    </row>
    <row r="3062" spans="1:2" x14ac:dyDescent="0.25">
      <c r="A3062">
        <f ca="1">33358.2023201271*((RANDBETWEEN(1620,2416)))</f>
        <v>54607377.198048003</v>
      </c>
      <c r="B3062">
        <v>183668655.58460107</v>
      </c>
    </row>
    <row r="3063" spans="1:2" x14ac:dyDescent="0.25">
      <c r="A3063">
        <f ca="1">36858.0388346152*((RANDBETWEEN(1620,2416)))</f>
        <v>67487069.106180504</v>
      </c>
      <c r="B3063">
        <v>150288831.61013046</v>
      </c>
    </row>
    <row r="3064" spans="1:2" x14ac:dyDescent="0.25">
      <c r="A3064">
        <f ca="1">34079.6912989366*((RANDBETWEEN(1620,2416)))</f>
        <v>55924773.421555012</v>
      </c>
      <c r="B3064">
        <v>197001890.85968623</v>
      </c>
    </row>
    <row r="3065" spans="1:2" x14ac:dyDescent="0.25">
      <c r="A3065">
        <f ca="1">42266.5450908914*((RANDBETWEEN(1620,2416)))</f>
        <v>88210279.604690313</v>
      </c>
      <c r="B3065">
        <v>164637263.15150142</v>
      </c>
    </row>
    <row r="3066" spans="1:2" x14ac:dyDescent="0.25">
      <c r="A3066">
        <f ca="1">41982.0376782518*((RANDBETWEEN(1620,2416)))</f>
        <v>89547686.367711172</v>
      </c>
      <c r="B3066">
        <v>159035200.6312941</v>
      </c>
    </row>
    <row r="3067" spans="1:2" x14ac:dyDescent="0.25">
      <c r="A3067">
        <f ca="1">36756.4589558057*((RANDBETWEEN(1620,2416)))</f>
        <v>79210169.04976134</v>
      </c>
      <c r="B3067">
        <v>193673907.43393597</v>
      </c>
    </row>
    <row r="3068" spans="1:2" x14ac:dyDescent="0.25">
      <c r="A3068">
        <f ca="1">40523.3363812808*((RANDBETWEEN(1620,2416)))</f>
        <v>95554027.187060013</v>
      </c>
      <c r="B3068">
        <v>181065719.92233586</v>
      </c>
    </row>
    <row r="3069" spans="1:2" x14ac:dyDescent="0.25">
      <c r="A3069">
        <f ca="1">32285.3916932266*((RANDBETWEEN(1620,2416)))</f>
        <v>75838385.08738935</v>
      </c>
      <c r="B3069">
        <v>143101480.88733155</v>
      </c>
    </row>
    <row r="3070" spans="1:2" x14ac:dyDescent="0.25">
      <c r="A3070">
        <f ca="1">31743.6784445744*((RANDBETWEEN(1620,2416)))</f>
        <v>71835944.320071831</v>
      </c>
      <c r="B3070">
        <v>175035605.29501584</v>
      </c>
    </row>
    <row r="3071" spans="1:2" x14ac:dyDescent="0.25">
      <c r="A3071">
        <f ca="1">38923.2202894064*((RANDBETWEEN(1620,2416)))</f>
        <v>72825345.161479369</v>
      </c>
      <c r="B3071">
        <v>171292793.28798759</v>
      </c>
    </row>
    <row r="3072" spans="1:2" x14ac:dyDescent="0.25">
      <c r="A3072">
        <f ca="1">32303.7549665285*((RANDBETWEEN(1620,2416)))</f>
        <v>65641230.091986001</v>
      </c>
      <c r="B3072">
        <v>148430987.38765332</v>
      </c>
    </row>
    <row r="3073" spans="1:2" x14ac:dyDescent="0.25">
      <c r="A3073">
        <f ca="1">30035.5588373737*((RANDBETWEEN(1620,2416)))</f>
        <v>68541145.26688689</v>
      </c>
      <c r="B3073">
        <v>179746401.04235867</v>
      </c>
    </row>
    <row r="3074" spans="1:2" x14ac:dyDescent="0.25">
      <c r="A3074">
        <f ca="1">38802.7474726748*((RANDBETWEEN(1620,2416)))</f>
        <v>81214150.460308328</v>
      </c>
      <c r="B3074">
        <v>171078816.09571803</v>
      </c>
    </row>
    <row r="3075" spans="1:2" x14ac:dyDescent="0.25">
      <c r="A3075">
        <f ca="1">35247.1388072112*((RANDBETWEEN(1620,2416)))</f>
        <v>63268614.158944137</v>
      </c>
      <c r="B3075">
        <v>161626165.99042374</v>
      </c>
    </row>
    <row r="3076" spans="1:2" x14ac:dyDescent="0.25">
      <c r="A3076">
        <f ca="1">30500.6644891811*((RANDBETWEEN(1620,2416)))</f>
        <v>53742170.829937093</v>
      </c>
      <c r="B3076">
        <v>145136889.21498328</v>
      </c>
    </row>
    <row r="3077" spans="1:2" x14ac:dyDescent="0.25">
      <c r="A3077">
        <f ca="1">29113.5358884489*((RANDBETWEEN(1620,2416)))</f>
        <v>47746198.857056133</v>
      </c>
      <c r="B3077">
        <v>192480772.18749112</v>
      </c>
    </row>
    <row r="3078" spans="1:2" x14ac:dyDescent="0.25">
      <c r="A3078">
        <f ca="1">33014.8854850411*((RANDBETWEEN(1620,2416)))</f>
        <v>57974138.911732145</v>
      </c>
      <c r="B3078">
        <v>154504402.27362648</v>
      </c>
    </row>
    <row r="3079" spans="1:2" x14ac:dyDescent="0.25">
      <c r="A3079">
        <f ca="1">36301.5564410542*((RANDBETWEEN(1620,2416)))</f>
        <v>82803850.242044702</v>
      </c>
      <c r="B3079">
        <v>154864647.54904124</v>
      </c>
    </row>
    <row r="3080" spans="1:2" x14ac:dyDescent="0.25">
      <c r="A3080">
        <f ca="1">38839.127597417*((RANDBETWEEN(1620,2416)))</f>
        <v>72396133.841585219</v>
      </c>
      <c r="B3080">
        <v>200988104.89031333</v>
      </c>
    </row>
    <row r="3081" spans="1:2" x14ac:dyDescent="0.25">
      <c r="A3081">
        <f ca="1">28394.3447686858*((RANDBETWEEN(1620,2416)))</f>
        <v>55283789.264631309</v>
      </c>
      <c r="B3081">
        <v>202847467.40557259</v>
      </c>
    </row>
    <row r="3082" spans="1:2" x14ac:dyDescent="0.25">
      <c r="A3082">
        <f ca="1">37851.5854649836*((RANDBETWEEN(1620,2416)))</f>
        <v>70252542.623009518</v>
      </c>
      <c r="B3082">
        <v>183677590.05061975</v>
      </c>
    </row>
    <row r="3083" spans="1:2" x14ac:dyDescent="0.25">
      <c r="A3083">
        <f ca="1">30348.3914444909*((RANDBETWEEN(1620,2416)))</f>
        <v>49194742.531519718</v>
      </c>
      <c r="B3083">
        <v>169033147.92871025</v>
      </c>
    </row>
    <row r="3084" spans="1:2" x14ac:dyDescent="0.25">
      <c r="A3084">
        <f ca="1">31901.957628841*((RANDBETWEEN(1620,2416)))</f>
        <v>55445602.358925596</v>
      </c>
      <c r="B3084">
        <v>147131839.36848155</v>
      </c>
    </row>
    <row r="3085" spans="1:2" x14ac:dyDescent="0.25">
      <c r="A3085">
        <f ca="1">34800.8810778857*((RANDBETWEEN(1620,2416)))</f>
        <v>70819792.993497476</v>
      </c>
      <c r="B3085">
        <v>183024091.04379377</v>
      </c>
    </row>
    <row r="3086" spans="1:2" x14ac:dyDescent="0.25">
      <c r="A3086">
        <f ca="1">29988.5693527096*((RANDBETWEEN(1620,2416)))</f>
        <v>52539973.505947374</v>
      </c>
      <c r="B3086">
        <v>159324058.53897762</v>
      </c>
    </row>
    <row r="3087" spans="1:2" x14ac:dyDescent="0.25">
      <c r="A3087">
        <f ca="1">31044.6826196868*((RANDBETWEEN(1620,2416)))</f>
        <v>54762820.141127512</v>
      </c>
      <c r="B3087">
        <v>149151186.89789873</v>
      </c>
    </row>
    <row r="3088" spans="1:2" x14ac:dyDescent="0.25">
      <c r="A3088">
        <f ca="1">28643.8816099175*((RANDBETWEEN(1620,2416)))</f>
        <v>48322228.27593077</v>
      </c>
      <c r="B3088">
        <v>177541945.98504922</v>
      </c>
    </row>
    <row r="3089" spans="1:2" x14ac:dyDescent="0.25">
      <c r="A3089">
        <f ca="1">30830.4655255071*((RANDBETWEEN(1620,2416)))</f>
        <v>60273560.102366328</v>
      </c>
      <c r="B3089">
        <v>188225724.73817623</v>
      </c>
    </row>
    <row r="3090" spans="1:2" x14ac:dyDescent="0.25">
      <c r="A3090">
        <f ca="1">29388.3403786144*((RANDBETWEEN(1620,2416)))</f>
        <v>65153950.619388126</v>
      </c>
      <c r="B3090">
        <v>154561502.67733565</v>
      </c>
    </row>
    <row r="3091" spans="1:2" x14ac:dyDescent="0.25">
      <c r="A3091">
        <f ca="1">38092.6585480957*((RANDBETWEEN(1620,2416)))</f>
        <v>90203415.441890642</v>
      </c>
      <c r="B3091">
        <v>145998839.33477479</v>
      </c>
    </row>
    <row r="3092" spans="1:2" x14ac:dyDescent="0.25">
      <c r="A3092">
        <f ca="1">29966.1711297777*((RANDBETWEEN(1620,2416)))</f>
        <v>53309818.439874604</v>
      </c>
      <c r="B3092">
        <v>148441490.97485054</v>
      </c>
    </row>
    <row r="3093" spans="1:2" x14ac:dyDescent="0.25">
      <c r="A3093">
        <f ca="1">31115.3611812769*((RANDBETWEEN(1620,2416)))</f>
        <v>54047382.371878006</v>
      </c>
      <c r="B3093">
        <v>179093079.19792908</v>
      </c>
    </row>
    <row r="3094" spans="1:2" x14ac:dyDescent="0.25">
      <c r="A3094">
        <f ca="1">34523.7547512062*((RANDBETWEEN(1620,2416)))</f>
        <v>66216561.612813398</v>
      </c>
      <c r="B3094">
        <v>168130596.47292605</v>
      </c>
    </row>
    <row r="3095" spans="1:2" x14ac:dyDescent="0.25">
      <c r="A3095">
        <f ca="1">30391.8302103782*((RANDBETWEEN(1620,2416)))</f>
        <v>65798312.405468792</v>
      </c>
      <c r="B3095">
        <v>158266664.80677104</v>
      </c>
    </row>
    <row r="3096" spans="1:2" x14ac:dyDescent="0.25">
      <c r="A3096">
        <f ca="1">29698.8579645347*((RANDBETWEEN(1620,2416)))</f>
        <v>57467290.161374688</v>
      </c>
      <c r="B3096">
        <v>145051868.44871137</v>
      </c>
    </row>
    <row r="3097" spans="1:2" x14ac:dyDescent="0.25">
      <c r="A3097">
        <f ca="1">35240.2516606658*((RANDBETWEEN(1620,2416)))</f>
        <v>62093323.426093116</v>
      </c>
      <c r="B3097">
        <v>161931218.66318589</v>
      </c>
    </row>
    <row r="3098" spans="1:2" x14ac:dyDescent="0.25">
      <c r="A3098">
        <f ca="1">40915.2694801191*((RANDBETWEEN(1620,2416)))</f>
        <v>84080878.781644791</v>
      </c>
      <c r="B3098">
        <v>153980752.19377351</v>
      </c>
    </row>
    <row r="3099" spans="1:2" x14ac:dyDescent="0.25">
      <c r="A3099">
        <f ca="1">39281.5895165185*((RANDBETWEEN(1620,2416)))</f>
        <v>81666424.604841977</v>
      </c>
      <c r="B3099">
        <v>149532187.571547</v>
      </c>
    </row>
    <row r="3100" spans="1:2" x14ac:dyDescent="0.25">
      <c r="A3100">
        <f ca="1">31453.9368870245*((RANDBETWEEN(1620,2416)))</f>
        <v>55862191.911355473</v>
      </c>
      <c r="B3100">
        <v>153268742.90435106</v>
      </c>
    </row>
    <row r="3101" spans="1:2" x14ac:dyDescent="0.25">
      <c r="A3101">
        <f ca="1">28391.100906439*((RANDBETWEEN(1620,2416)))</f>
        <v>65327923.185716242</v>
      </c>
      <c r="B3101">
        <v>172009260.66810989</v>
      </c>
    </row>
    <row r="3102" spans="1:2" x14ac:dyDescent="0.25">
      <c r="A3102">
        <f ca="1">31428.7583061977*((RANDBETWEEN(1620,2416)))</f>
        <v>68828980.690572888</v>
      </c>
      <c r="B3102">
        <v>197913113.76654065</v>
      </c>
    </row>
    <row r="3103" spans="1:2" x14ac:dyDescent="0.25">
      <c r="A3103">
        <f ca="1">34411.6504499154*((RANDBETWEEN(1620,2416)))</f>
        <v>61940970.809847742</v>
      </c>
      <c r="B3103">
        <v>195317391.84325334</v>
      </c>
    </row>
    <row r="3104" spans="1:2" x14ac:dyDescent="0.25">
      <c r="A3104">
        <f ca="1">30987.9450204751*((RANDBETWEEN(1620,2416)))</f>
        <v>60519456.6249879</v>
      </c>
      <c r="B3104">
        <v>154286885.80292881</v>
      </c>
    </row>
    <row r="3105" spans="1:2" x14ac:dyDescent="0.25">
      <c r="A3105">
        <f ca="1">32639.5022168465*((RANDBETWEEN(1620,2416)))</f>
        <v>64234540.362753853</v>
      </c>
      <c r="B3105">
        <v>162128417.02497903</v>
      </c>
    </row>
    <row r="3106" spans="1:2" x14ac:dyDescent="0.25">
      <c r="A3106">
        <f ca="1">32781.704971732*((RANDBETWEEN(1620,2416)))</f>
        <v>54450411.958046824</v>
      </c>
      <c r="B3106">
        <v>195261697.94478047</v>
      </c>
    </row>
    <row r="3107" spans="1:2" x14ac:dyDescent="0.25">
      <c r="A3107">
        <f ca="1">32804.9635640197*((RANDBETWEEN(1620,2416)))</f>
        <v>65511512.237347312</v>
      </c>
      <c r="B3107">
        <v>156767543.63974464</v>
      </c>
    </row>
    <row r="3108" spans="1:2" x14ac:dyDescent="0.25">
      <c r="A3108">
        <f ca="1">33804.3665029291*((RANDBETWEEN(1620,2416)))</f>
        <v>79507870.014889255</v>
      </c>
      <c r="B3108">
        <v>154551107.02665603</v>
      </c>
    </row>
    <row r="3109" spans="1:2" x14ac:dyDescent="0.25">
      <c r="A3109">
        <f ca="1">30199.5781491952*((RANDBETWEEN(1620,2416)))</f>
        <v>70727412.025415272</v>
      </c>
      <c r="B3109">
        <v>168504775.70311433</v>
      </c>
    </row>
    <row r="3110" spans="1:2" x14ac:dyDescent="0.25">
      <c r="A3110">
        <f ca="1">27880.2599296716*((RANDBETWEEN(1620,2416)))</f>
        <v>46978237.981496692</v>
      </c>
      <c r="B3110">
        <v>199782175.43922028</v>
      </c>
    </row>
    <row r="3111" spans="1:2" x14ac:dyDescent="0.25">
      <c r="A3111">
        <f ca="1">33047.9041389433*((RANDBETWEEN(1620,2416)))</f>
        <v>55322191.528591089</v>
      </c>
      <c r="B3111">
        <v>201018115.81955427</v>
      </c>
    </row>
    <row r="3112" spans="1:2" x14ac:dyDescent="0.25">
      <c r="A3112">
        <f ca="1">34117.9203187252*((RANDBETWEEN(1620,2416)))</f>
        <v>55885153.482072018</v>
      </c>
      <c r="B3112">
        <v>150677507.1633105</v>
      </c>
    </row>
    <row r="3113" spans="1:2" x14ac:dyDescent="0.25">
      <c r="A3113">
        <f ca="1">41001.0039015346*((RANDBETWEEN(1620,2416)))</f>
        <v>74867833.124202162</v>
      </c>
      <c r="B3113">
        <v>162404482.99965465</v>
      </c>
    </row>
    <row r="3114" spans="1:2" x14ac:dyDescent="0.25">
      <c r="A3114">
        <f ca="1">29895.9674512968*((RANDBETWEEN(1620,2416)))</f>
        <v>71840009.785466135</v>
      </c>
      <c r="B3114">
        <v>159668124.69859916</v>
      </c>
    </row>
    <row r="3115" spans="1:2" x14ac:dyDescent="0.25">
      <c r="A3115">
        <f ca="1">32458.247809284*((RANDBETWEEN(1620,2416)))</f>
        <v>66149909.035320751</v>
      </c>
      <c r="B3115">
        <v>144779269.8519938</v>
      </c>
    </row>
    <row r="3116" spans="1:2" x14ac:dyDescent="0.25">
      <c r="A3116">
        <f ca="1">32080.6791001581*((RANDBETWEEN(1620,2416)))</f>
        <v>71379510.9978517</v>
      </c>
      <c r="B3116">
        <v>183252177.30361825</v>
      </c>
    </row>
    <row r="3117" spans="1:2" x14ac:dyDescent="0.25">
      <c r="A3117">
        <f ca="1">33399.0348411691*((RANDBETWEEN(1620,2416)))</f>
        <v>61354027.003227703</v>
      </c>
      <c r="B3117">
        <v>196314770.76529065</v>
      </c>
    </row>
    <row r="3118" spans="1:2" x14ac:dyDescent="0.25">
      <c r="A3118">
        <f ca="1">30892.329863506*((RANDBETWEEN(1620,2416)))</f>
        <v>50138251.368470214</v>
      </c>
      <c r="B3118">
        <v>159996256.50290775</v>
      </c>
    </row>
    <row r="3119" spans="1:2" x14ac:dyDescent="0.25">
      <c r="A3119">
        <f ca="1">29107.3429529962*((RANDBETWEEN(1620,2416)))</f>
        <v>48900336.161033697</v>
      </c>
      <c r="B3119">
        <v>181671404.25680116</v>
      </c>
    </row>
    <row r="3120" spans="1:2" x14ac:dyDescent="0.25">
      <c r="A3120">
        <f ca="1">30477.9891070989*((RANDBETWEEN(1620,2416)))</f>
        <v>66015324.405976184</v>
      </c>
      <c r="B3120">
        <v>192004867.53592587</v>
      </c>
    </row>
    <row r="3121" spans="1:2" x14ac:dyDescent="0.25">
      <c r="A3121">
        <f ca="1">39595.6361333138*((RANDBETWEEN(1620,2416)))</f>
        <v>77884616.27422829</v>
      </c>
      <c r="B3121">
        <v>185967689.06542331</v>
      </c>
    </row>
    <row r="3122" spans="1:2" x14ac:dyDescent="0.25">
      <c r="A3122">
        <f ca="1">31053.9312019938*((RANDBETWEEN(1620,2416)))</f>
        <v>62107862.403987572</v>
      </c>
      <c r="B3122">
        <v>162600377.16420668</v>
      </c>
    </row>
    <row r="3123" spans="1:2" x14ac:dyDescent="0.25">
      <c r="A3123">
        <f ca="1">31505.2968601959*((RANDBETWEEN(1620,2416)))</f>
        <v>73690889.355998144</v>
      </c>
      <c r="B3123">
        <v>184722644.25874624</v>
      </c>
    </row>
    <row r="3124" spans="1:2" x14ac:dyDescent="0.25">
      <c r="A3124">
        <f ca="1">32673.613859466*((RANDBETWEEN(1620,2416)))</f>
        <v>66719519.501029558</v>
      </c>
      <c r="B3124">
        <v>182768123.66820663</v>
      </c>
    </row>
    <row r="3125" spans="1:2" x14ac:dyDescent="0.25">
      <c r="A3125">
        <f ca="1">33046.3524716975*((RANDBETWEEN(1620,2416)))</f>
        <v>58657275.637263015</v>
      </c>
      <c r="B3125">
        <v>202760041.04126894</v>
      </c>
    </row>
    <row r="3126" spans="1:2" x14ac:dyDescent="0.25">
      <c r="A3126">
        <f ca="1">32307.8497831515*((RANDBETWEEN(1620,2416)))</f>
        <v>62386457.931265511</v>
      </c>
      <c r="B3126">
        <v>152381440.55492821</v>
      </c>
    </row>
    <row r="3127" spans="1:2" x14ac:dyDescent="0.25">
      <c r="A3127">
        <f ca="1">39724.6252492849*((RANDBETWEEN(1620,2416)))</f>
        <v>72219368.703199893</v>
      </c>
      <c r="B3127">
        <v>184857371.82181063</v>
      </c>
    </row>
    <row r="3128" spans="1:2" x14ac:dyDescent="0.25">
      <c r="A3128">
        <f ca="1">29746.2711306873*((RANDBETWEEN(1620,2416)))</f>
        <v>55982482.267953411</v>
      </c>
      <c r="B3128">
        <v>185519580.34228477</v>
      </c>
    </row>
    <row r="3129" spans="1:2" x14ac:dyDescent="0.25">
      <c r="A3129">
        <f ca="1">33226.5815731523*((RANDBETWEEN(1620,2416)))</f>
        <v>63994396.109891295</v>
      </c>
      <c r="B3129">
        <v>156143654.27226323</v>
      </c>
    </row>
    <row r="3130" spans="1:2" x14ac:dyDescent="0.25">
      <c r="A3130">
        <f ca="1">31663.0536873863*((RANDBETWEEN(1620,2416)))</f>
        <v>70228653.078622892</v>
      </c>
      <c r="B3130">
        <v>186879282.28867057</v>
      </c>
    </row>
    <row r="3131" spans="1:2" x14ac:dyDescent="0.25">
      <c r="A3131">
        <f ca="1">30579.4620408148*((RANDBETWEEN(1620,2416)))</f>
        <v>51862767.621221945</v>
      </c>
      <c r="B3131">
        <v>175962322.03792587</v>
      </c>
    </row>
    <row r="3132" spans="1:2" x14ac:dyDescent="0.25">
      <c r="A3132">
        <f ca="1">28746.7522269135*((RANDBETWEEN(1620,2416)))</f>
        <v>58240920.011726841</v>
      </c>
      <c r="B3132">
        <v>145216826.69348451</v>
      </c>
    </row>
    <row r="3133" spans="1:2" x14ac:dyDescent="0.25">
      <c r="A3133">
        <f ca="1">30424.5154682652*((RANDBETWEEN(1620,2416)))</f>
        <v>63343841.204928108</v>
      </c>
      <c r="B3133">
        <v>190675763.97230428</v>
      </c>
    </row>
    <row r="3134" spans="1:2" x14ac:dyDescent="0.25">
      <c r="A3134">
        <f ca="1">37378.9387733773*((RANDBETWEEN(1620,2416)))</f>
        <v>79280729.13833335</v>
      </c>
      <c r="B3134">
        <v>160808361.82142994</v>
      </c>
    </row>
    <row r="3135" spans="1:2" x14ac:dyDescent="0.25">
      <c r="A3135">
        <f ca="1">34503.1989252022*((RANDBETWEEN(1620,2416)))</f>
        <v>78943319.140862644</v>
      </c>
      <c r="B3135">
        <v>152728094.1755707</v>
      </c>
    </row>
    <row r="3136" spans="1:2" x14ac:dyDescent="0.25">
      <c r="A3136">
        <f ca="1">33447.8523830459*((RANDBETWEEN(1620,2416)))</f>
        <v>72648735.375975624</v>
      </c>
      <c r="B3136">
        <v>163720322.98130172</v>
      </c>
    </row>
    <row r="3137" spans="1:2" x14ac:dyDescent="0.25">
      <c r="A3137">
        <f ca="1">29453.8060589383*((RANDBETWEEN(1620,2416)))</f>
        <v>65534718.481137611</v>
      </c>
      <c r="B3137">
        <v>146685797.76556787</v>
      </c>
    </row>
    <row r="3138" spans="1:2" x14ac:dyDescent="0.25">
      <c r="A3138">
        <f ca="1">32429.8900847231*((RANDBETWEEN(1620,2416)))</f>
        <v>78253324.774436921</v>
      </c>
      <c r="B3138">
        <v>167028301.05942714</v>
      </c>
    </row>
    <row r="3139" spans="1:2" x14ac:dyDescent="0.25">
      <c r="A3139">
        <f ca="1">28347.0397707849*((RANDBETWEEN(1620,2416)))</f>
        <v>49012031.763687178</v>
      </c>
      <c r="B3139">
        <v>156734044.8366065</v>
      </c>
    </row>
    <row r="3140" spans="1:2" x14ac:dyDescent="0.25">
      <c r="A3140">
        <f ca="1">30881.120404763*((RANDBETWEEN(1620,2416)))</f>
        <v>58952058.852692656</v>
      </c>
      <c r="B3140">
        <v>176153190.76837444</v>
      </c>
    </row>
    <row r="3141" spans="1:2" x14ac:dyDescent="0.25">
      <c r="A3141">
        <f ca="1">31615.5046627596*((RANDBETWEEN(1620,2416)))</f>
        <v>59721688.307952873</v>
      </c>
      <c r="B3141">
        <v>176391515.44482189</v>
      </c>
    </row>
    <row r="3142" spans="1:2" x14ac:dyDescent="0.25">
      <c r="A3142">
        <f ca="1">29040.0662702869*((RANDBETWEEN(1620,2416)))</f>
        <v>63830065.66209051</v>
      </c>
      <c r="B3142">
        <v>201932922.61030495</v>
      </c>
    </row>
    <row r="3143" spans="1:2" x14ac:dyDescent="0.25">
      <c r="A3143">
        <f ca="1">38977.0547769831*((RANDBETWEEN(1620,2416)))</f>
        <v>90153927.699161842</v>
      </c>
      <c r="B3143">
        <v>154953010.18857884</v>
      </c>
    </row>
    <row r="3144" spans="1:2" x14ac:dyDescent="0.25">
      <c r="A3144">
        <f ca="1">38301.1312808432*((RANDBETWEEN(1620,2416)))</f>
        <v>87364880.451603293</v>
      </c>
      <c r="B3144">
        <v>179146499.01004976</v>
      </c>
    </row>
    <row r="3145" spans="1:2" x14ac:dyDescent="0.25">
      <c r="A3145">
        <f ca="1">30281.8183879028*((RANDBETWEEN(1620,2416)))</f>
        <v>64106609.527190283</v>
      </c>
      <c r="B3145">
        <v>146889951.10332868</v>
      </c>
    </row>
    <row r="3146" spans="1:2" x14ac:dyDescent="0.25">
      <c r="A3146">
        <f ca="1">31141.7166838717*((RANDBETWEEN(1620,2416)))</f>
        <v>73930435.407511458</v>
      </c>
      <c r="B3146">
        <v>165316097.52109724</v>
      </c>
    </row>
    <row r="3147" spans="1:2" x14ac:dyDescent="0.25">
      <c r="A3147">
        <f ca="1">30755.4322885753*((RANDBETWEEN(1620,2416)))</f>
        <v>56405462.817247145</v>
      </c>
      <c r="B3147">
        <v>149887683.26656982</v>
      </c>
    </row>
    <row r="3148" spans="1:2" x14ac:dyDescent="0.25">
      <c r="A3148">
        <f ca="1">39894.0290726322*((RANDBETWEEN(1620,2416)))</f>
        <v>95745669.774317235</v>
      </c>
      <c r="B3148">
        <v>143537310.285088</v>
      </c>
    </row>
    <row r="3149" spans="1:2" x14ac:dyDescent="0.25">
      <c r="A3149">
        <f ca="1">31996.5528797079*((RANDBETWEEN(1620,2416)))</f>
        <v>64537047.15837086</v>
      </c>
      <c r="B3149">
        <v>173292899.9807978</v>
      </c>
    </row>
    <row r="3150" spans="1:2" x14ac:dyDescent="0.25">
      <c r="A3150">
        <f ca="1">31437.4611077782*((RANDBETWEEN(1620,2416)))</f>
        <v>51934685.750049613</v>
      </c>
      <c r="B3150">
        <v>156826932.58058289</v>
      </c>
    </row>
    <row r="3151" spans="1:2" x14ac:dyDescent="0.25">
      <c r="A3151">
        <f ca="1">31438.41140056*((RANDBETWEEN(1620,2416)))</f>
        <v>58444006.793640964</v>
      </c>
      <c r="B3151">
        <v>153929456.93579134</v>
      </c>
    </row>
    <row r="3152" spans="1:2" x14ac:dyDescent="0.25">
      <c r="A3152">
        <f ca="1">39600.9066382223*((RANDBETWEEN(1620,2416)))</f>
        <v>92784924.253354892</v>
      </c>
      <c r="B3152">
        <v>162418523.68517208</v>
      </c>
    </row>
    <row r="3153" spans="1:2" x14ac:dyDescent="0.25">
      <c r="A3153">
        <f ca="1">29957.3078196878*((RANDBETWEEN(1620,2416)))</f>
        <v>57727732.168538347</v>
      </c>
      <c r="B3153">
        <v>161216836.68674287</v>
      </c>
    </row>
    <row r="3154" spans="1:2" x14ac:dyDescent="0.25">
      <c r="A3154">
        <f ca="1">30888.0976608093*((RANDBETWEEN(1620,2416)))</f>
        <v>54517492.371328406</v>
      </c>
      <c r="B3154">
        <v>156653547.17606032</v>
      </c>
    </row>
    <row r="3155" spans="1:2" x14ac:dyDescent="0.25">
      <c r="A3155">
        <f ca="1">30405.263062241*((RANDBETWEEN(1620,2416)))</f>
        <v>73276683.980000719</v>
      </c>
      <c r="B3155">
        <v>162257217.54713061</v>
      </c>
    </row>
    <row r="3156" spans="1:2" x14ac:dyDescent="0.25">
      <c r="A3156">
        <f ca="1">31220.4148200196*((RANDBETWEEN(1620,2416)))</f>
        <v>53230807.268133357</v>
      </c>
      <c r="B3156">
        <v>165338141.30278769</v>
      </c>
    </row>
    <row r="3157" spans="1:2" x14ac:dyDescent="0.25">
      <c r="A3157">
        <f ca="1">35451.0957062097*((RANDBETWEEN(1620,2416)))</f>
        <v>65868135.822137758</v>
      </c>
      <c r="B3157">
        <v>153416010.77266979</v>
      </c>
    </row>
    <row r="3158" spans="1:2" x14ac:dyDescent="0.25">
      <c r="A3158">
        <f ca="1">29839.2626989126*((RANDBETWEEN(1620,2416)))</f>
        <v>50010604.283377558</v>
      </c>
      <c r="B3158">
        <v>167983378.26387694</v>
      </c>
    </row>
    <row r="3159" spans="1:2" x14ac:dyDescent="0.25">
      <c r="A3159">
        <f ca="1">27771.4748881415*((RANDBETWEEN(1620,2416)))</f>
        <v>48127965.981149137</v>
      </c>
      <c r="B3159">
        <v>167702813.89784366</v>
      </c>
    </row>
    <row r="3160" spans="1:2" x14ac:dyDescent="0.25">
      <c r="A3160">
        <f ca="1">30892.5701970652*((RANDBETWEEN(1620,2416)))</f>
        <v>66202777.932310686</v>
      </c>
      <c r="B3160">
        <v>190285408.80094975</v>
      </c>
    </row>
    <row r="3161" spans="1:2" x14ac:dyDescent="0.25">
      <c r="A3161">
        <f ca="1">30540.2658247389*((RANDBETWEEN(1620,2416)))</f>
        <v>55827605.927622721</v>
      </c>
      <c r="B3161">
        <v>159192637.13065282</v>
      </c>
    </row>
    <row r="3162" spans="1:2" x14ac:dyDescent="0.25">
      <c r="A3162">
        <f ca="1">30167.3848849521*((RANDBETWEEN(1620,2416)))</f>
        <v>65131383.966611475</v>
      </c>
      <c r="B3162">
        <v>167349603.96667418</v>
      </c>
    </row>
    <row r="3163" spans="1:2" x14ac:dyDescent="0.25">
      <c r="A3163">
        <f ca="1">42852.6091876304*((RANDBETWEEN(1620,2416)))</f>
        <v>78891653.514427662</v>
      </c>
      <c r="B3163">
        <v>184051879.44988519</v>
      </c>
    </row>
    <row r="3164" spans="1:2" x14ac:dyDescent="0.25">
      <c r="A3164">
        <f ca="1">37271.8965713305*((RANDBETWEEN(1620,2416)))</f>
        <v>76742835.04036957</v>
      </c>
      <c r="B3164">
        <v>154864835.12622851</v>
      </c>
    </row>
    <row r="3165" spans="1:2" x14ac:dyDescent="0.25">
      <c r="A3165">
        <f ca="1">35324.9741625836*((RANDBETWEEN(1620,2416)))</f>
        <v>60441030.792180598</v>
      </c>
      <c r="B3165">
        <v>162371942.24168715</v>
      </c>
    </row>
    <row r="3166" spans="1:2" x14ac:dyDescent="0.25">
      <c r="A3166">
        <f ca="1">36153.206718633*((RANDBETWEEN(1620,2416)))</f>
        <v>87093074.985186905</v>
      </c>
      <c r="B3166">
        <v>150264335.91511235</v>
      </c>
    </row>
    <row r="3167" spans="1:2" x14ac:dyDescent="0.25">
      <c r="A3167">
        <f ca="1">32955.1780098678*((RANDBETWEEN(1620,2416)))</f>
        <v>76653744.05095242</v>
      </c>
      <c r="B3167">
        <v>197880879.06846154</v>
      </c>
    </row>
    <row r="3168" spans="1:2" x14ac:dyDescent="0.25">
      <c r="A3168">
        <f ca="1">36174.9591474263*((RANDBETWEEN(1620,2416)))</f>
        <v>75786539.413858145</v>
      </c>
      <c r="B3168">
        <v>184161459.56858775</v>
      </c>
    </row>
    <row r="3169" spans="1:2" x14ac:dyDescent="0.25">
      <c r="A3169">
        <f ca="1">31007.4217944398*((RANDBETWEEN(1620,2416)))</f>
        <v>59131153.361996785</v>
      </c>
      <c r="B3169">
        <v>156368536.78830057</v>
      </c>
    </row>
    <row r="3170" spans="1:2" x14ac:dyDescent="0.25">
      <c r="A3170">
        <f ca="1">33984.4066833232*((RANDBETWEEN(1620,2416)))</f>
        <v>66881312.352780096</v>
      </c>
      <c r="B3170">
        <v>145366570.25666898</v>
      </c>
    </row>
    <row r="3171" spans="1:2" x14ac:dyDescent="0.25">
      <c r="A3171">
        <f ca="1">31835.7987852815*((RANDBETWEEN(1620,2416)))</f>
        <v>75100649.334479034</v>
      </c>
      <c r="B3171">
        <v>163007116.63384226</v>
      </c>
    </row>
    <row r="3172" spans="1:2" x14ac:dyDescent="0.25">
      <c r="A3172">
        <f ca="1">33306.4088364304*((RANDBETWEEN(1620,2416)))</f>
        <v>64914190.822202943</v>
      </c>
      <c r="B3172">
        <v>146817444.30106467</v>
      </c>
    </row>
    <row r="3173" spans="1:2" x14ac:dyDescent="0.25">
      <c r="A3173">
        <f ca="1">41668.951724842*((RANDBETWEEN(1620,2416)))</f>
        <v>83254565.546234325</v>
      </c>
      <c r="B3173">
        <v>170645149.53790766</v>
      </c>
    </row>
    <row r="3174" spans="1:2" x14ac:dyDescent="0.25">
      <c r="A3174">
        <f ca="1">30171.4397521004*((RANDBETWEEN(1620,2416)))</f>
        <v>51774190.614604257</v>
      </c>
      <c r="B3174">
        <v>144512375.47029656</v>
      </c>
    </row>
    <row r="3175" spans="1:2" x14ac:dyDescent="0.25">
      <c r="A3175">
        <f ca="1">35353.7130236001*((RANDBETWEEN(1620,2416)))</f>
        <v>68656910.691831365</v>
      </c>
      <c r="B3175">
        <v>155573718.46389517</v>
      </c>
    </row>
    <row r="3176" spans="1:2" x14ac:dyDescent="0.25">
      <c r="A3176">
        <f ca="1">29366.2934041475*((RANDBETWEEN(1620,2416)))</f>
        <v>50480658.361729503</v>
      </c>
      <c r="B3176">
        <v>157690417.99927235</v>
      </c>
    </row>
    <row r="3177" spans="1:2" x14ac:dyDescent="0.25">
      <c r="A3177">
        <f ca="1">33699.4627319816*((RANDBETWEEN(1620,2416)))</f>
        <v>58131573.212668195</v>
      </c>
      <c r="B3177">
        <v>151586467.80331686</v>
      </c>
    </row>
    <row r="3178" spans="1:2" x14ac:dyDescent="0.25">
      <c r="A3178">
        <f ca="1">31971.0773327267*((RANDBETWEEN(1620,2416)))</f>
        <v>56908517.652253561</v>
      </c>
      <c r="B3178">
        <v>176164283.24108818</v>
      </c>
    </row>
    <row r="3179" spans="1:2" x14ac:dyDescent="0.25">
      <c r="A3179">
        <f ca="1">29455.6413476616*((RANDBETWEEN(1620,2416)))</f>
        <v>68278176.643879518</v>
      </c>
      <c r="B3179">
        <v>165067232.90088096</v>
      </c>
    </row>
    <row r="3180" spans="1:2" x14ac:dyDescent="0.25">
      <c r="A3180">
        <f ca="1">31840.1635457151*((RANDBETWEEN(1620,2416)))</f>
        <v>69602597.510933191</v>
      </c>
      <c r="B3180">
        <v>179222012.21280655</v>
      </c>
    </row>
    <row r="3181" spans="1:2" x14ac:dyDescent="0.25">
      <c r="A3181">
        <f ca="1">30636.2949074863*((RANDBETWEEN(1620,2416)))</f>
        <v>54808331.589493021</v>
      </c>
      <c r="B3181">
        <v>144444478.03358892</v>
      </c>
    </row>
    <row r="3182" spans="1:2" x14ac:dyDescent="0.25">
      <c r="A3182">
        <f ca="1">40661.0006942834*((RANDBETWEEN(1620,2416)))</f>
        <v>81443984.390649721</v>
      </c>
      <c r="B3182">
        <v>152185283.81679899</v>
      </c>
    </row>
    <row r="3183" spans="1:2" x14ac:dyDescent="0.25">
      <c r="A3183">
        <f ca="1">30673.7662885792*((RANDBETWEEN(1620,2416)))</f>
        <v>53065615.67924197</v>
      </c>
      <c r="B3183">
        <v>143993840.65078834</v>
      </c>
    </row>
    <row r="3184" spans="1:2" x14ac:dyDescent="0.25">
      <c r="A3184">
        <f ca="1">36224.3971293212*((RANDBETWEEN(1620,2416)))</f>
        <v>81758464.320877954</v>
      </c>
      <c r="B3184">
        <v>160323222.01267898</v>
      </c>
    </row>
    <row r="3185" spans="1:2" x14ac:dyDescent="0.25">
      <c r="A3185">
        <f ca="1">29499.0711385476*((RANDBETWEEN(1620,2416)))</f>
        <v>57847678.50269179</v>
      </c>
      <c r="B3185">
        <v>188853944.99819243</v>
      </c>
    </row>
    <row r="3186" spans="1:2" x14ac:dyDescent="0.25">
      <c r="A3186">
        <f ca="1">36961.5912919139*((RANDBETWEEN(1620,2416)))</f>
        <v>70300946.637220174</v>
      </c>
      <c r="B3186">
        <v>148250148.96395788</v>
      </c>
    </row>
    <row r="3187" spans="1:2" x14ac:dyDescent="0.25">
      <c r="A3187">
        <f ca="1">32704.8870506446*((RANDBETWEEN(1620,2416)))</f>
        <v>66358215.825757876</v>
      </c>
      <c r="B3187">
        <v>143366497.77742043</v>
      </c>
    </row>
    <row r="3188" spans="1:2" x14ac:dyDescent="0.25">
      <c r="A3188">
        <f ca="1">38738.3229103505*((RANDBETWEEN(1620,2416)))</f>
        <v>86231506.798440292</v>
      </c>
      <c r="B3188">
        <v>152375747.25899729</v>
      </c>
    </row>
    <row r="3189" spans="1:2" x14ac:dyDescent="0.25">
      <c r="A3189">
        <f ca="1">40144.4660487813*((RANDBETWEEN(1620,2416)))</f>
        <v>96547440.847318932</v>
      </c>
      <c r="B3189">
        <v>190795867.2764197</v>
      </c>
    </row>
    <row r="3190" spans="1:2" x14ac:dyDescent="0.25">
      <c r="A3190">
        <f ca="1">31688.8930061301*((RANDBETWEEN(1620,2416)))</f>
        <v>62173608.078027345</v>
      </c>
      <c r="B3190">
        <v>188382236.18919331</v>
      </c>
    </row>
    <row r="3191" spans="1:2" x14ac:dyDescent="0.25">
      <c r="A3191">
        <f ca="1">28219.9754168095*((RANDBETWEEN(1620,2416)))</f>
        <v>61632426.310311861</v>
      </c>
      <c r="B3191">
        <v>178820943.00566855</v>
      </c>
    </row>
    <row r="3192" spans="1:2" x14ac:dyDescent="0.25">
      <c r="A3192">
        <f ca="1">31675.4374724165*((RANDBETWEEN(1620,2416)))</f>
        <v>68070515.128223121</v>
      </c>
      <c r="B3192">
        <v>161088534.96614438</v>
      </c>
    </row>
    <row r="3193" spans="1:2" x14ac:dyDescent="0.25">
      <c r="A3193">
        <f ca="1">39472.9814222919*((RANDBETWEEN(1620,2416)))</f>
        <v>93314128.08229816</v>
      </c>
      <c r="B3193">
        <v>147919869.53915584</v>
      </c>
    </row>
    <row r="3194" spans="1:2" x14ac:dyDescent="0.25">
      <c r="A3194">
        <f ca="1">31091.9818094601*((RANDBETWEEN(1620,2416)))</f>
        <v>61220112.182826839</v>
      </c>
      <c r="B3194">
        <v>155996306.62033105</v>
      </c>
    </row>
    <row r="3195" spans="1:2" x14ac:dyDescent="0.25">
      <c r="A3195">
        <f ca="1">29547.4969071879*((RANDBETWEEN(1620,2416)))</f>
        <v>69613902.71333465</v>
      </c>
      <c r="B3195">
        <v>154596934.48969761</v>
      </c>
    </row>
    <row r="3196" spans="1:2" x14ac:dyDescent="0.25">
      <c r="A3196">
        <f ca="1">30761.968702552*((RANDBETWEEN(1620,2416)))</f>
        <v>64415562.463143833</v>
      </c>
      <c r="B3196">
        <v>150728724.16216323</v>
      </c>
    </row>
    <row r="3197" spans="1:2" x14ac:dyDescent="0.25">
      <c r="A3197">
        <f ca="1">40433.2091901513*((RANDBETWEEN(1620,2416)))</f>
        <v>87012266.177205667</v>
      </c>
      <c r="B3197">
        <v>157818420.31173825</v>
      </c>
    </row>
    <row r="3198" spans="1:2" x14ac:dyDescent="0.25">
      <c r="A3198">
        <f ca="1">32314.2262067737*((RANDBETWEEN(1620,2416)))</f>
        <v>77748028.253497615</v>
      </c>
      <c r="B3198">
        <v>144903269.24289319</v>
      </c>
    </row>
    <row r="3199" spans="1:2" x14ac:dyDescent="0.25">
      <c r="A3199">
        <f ca="1">29234.4716822703*((RANDBETWEEN(1620,2416)))</f>
        <v>54171476.02724687</v>
      </c>
      <c r="B3199">
        <v>157606678.84994283</v>
      </c>
    </row>
    <row r="3200" spans="1:2" x14ac:dyDescent="0.25">
      <c r="A3200">
        <f ca="1">33164.6573301265*((RANDBETWEEN(1620,2416)))</f>
        <v>79329860.333662599</v>
      </c>
      <c r="B3200">
        <v>166172878.59879357</v>
      </c>
    </row>
    <row r="3201" spans="1:2" x14ac:dyDescent="0.25">
      <c r="A3201">
        <f ca="1">29716.9331694645*((RANDBETWEEN(1620,2416)))</f>
        <v>55986702.091271132</v>
      </c>
      <c r="B3201">
        <v>149651075.59763506</v>
      </c>
    </row>
    <row r="3202" spans="1:2" x14ac:dyDescent="0.25">
      <c r="A3202">
        <f ca="1">40501.7299864808*((RANDBETWEEN(1620,2416)))</f>
        <v>92262940.909203246</v>
      </c>
      <c r="B3202">
        <v>157942871.9300437</v>
      </c>
    </row>
    <row r="3203" spans="1:2" x14ac:dyDescent="0.25">
      <c r="A3203">
        <f ca="1">33012.9332502837*((RANDBETWEEN(1620,2416)))</f>
        <v>74048009.280386314</v>
      </c>
      <c r="B3203">
        <v>157036280.45237038</v>
      </c>
    </row>
    <row r="3204" spans="1:2" x14ac:dyDescent="0.25">
      <c r="A3204">
        <f ca="1">29472.974627558*((RANDBETWEEN(1620,2416)))</f>
        <v>60095395.265590824</v>
      </c>
      <c r="B3204">
        <v>147641617.80115664</v>
      </c>
    </row>
    <row r="3205" spans="1:2" x14ac:dyDescent="0.25">
      <c r="A3205">
        <f ca="1">37384.2373211624*((RANDBETWEEN(1620,2416)))</f>
        <v>85759440.414746553</v>
      </c>
      <c r="B3205">
        <v>151557710.0651117</v>
      </c>
    </row>
    <row r="3206" spans="1:2" x14ac:dyDescent="0.25">
      <c r="A3206">
        <f ca="1">42437.7315684485*((RANDBETWEEN(1620,2416)))</f>
        <v>89501175.877857909</v>
      </c>
      <c r="B3206">
        <v>152683503.35388818</v>
      </c>
    </row>
    <row r="3207" spans="1:2" x14ac:dyDescent="0.25">
      <c r="A3207">
        <f ca="1">33256.9095234633*((RANDBETWEEN(1620,2416)))</f>
        <v>74262678.965893567</v>
      </c>
      <c r="B3207">
        <v>156520398.76706061</v>
      </c>
    </row>
    <row r="3208" spans="1:2" x14ac:dyDescent="0.25">
      <c r="A3208">
        <f ca="1">29272.7189511186*((RANDBETWEEN(1620,2416)))</f>
        <v>61501982.516300157</v>
      </c>
      <c r="B3208">
        <v>164222974.56677541</v>
      </c>
    </row>
    <row r="3209" spans="1:2" x14ac:dyDescent="0.25">
      <c r="A3209">
        <f ca="1">29905.3417925501*((RANDBETWEEN(1620,2416)))</f>
        <v>48446653.703931153</v>
      </c>
      <c r="B3209">
        <v>175026937.99431461</v>
      </c>
    </row>
    <row r="3210" spans="1:2" x14ac:dyDescent="0.25">
      <c r="A3210">
        <f ca="1">30962.714487638*((RANDBETWEEN(1620,2416)))</f>
        <v>60810771.253721088</v>
      </c>
      <c r="B3210">
        <v>176677326.69290164</v>
      </c>
    </row>
    <row r="3211" spans="1:2" x14ac:dyDescent="0.25">
      <c r="A3211">
        <f ca="1">37935.3592374533*((RANDBETWEEN(1620,2416)))</f>
        <v>90399961.062851235</v>
      </c>
      <c r="B3211">
        <v>143754707.10618269</v>
      </c>
    </row>
    <row r="3212" spans="1:2" x14ac:dyDescent="0.25">
      <c r="A3212">
        <f ca="1">35975.2450657626*((RANDBETWEEN(1620,2416)))</f>
        <v>60114634.504889295</v>
      </c>
      <c r="B3212">
        <v>154262734.31047791</v>
      </c>
    </row>
    <row r="3213" spans="1:2" x14ac:dyDescent="0.25">
      <c r="A3213">
        <f ca="1">36085.6931639514*((RANDBETWEEN(1620,2416)))</f>
        <v>62428249.173635997</v>
      </c>
      <c r="B3213">
        <v>190904711.54078099</v>
      </c>
    </row>
    <row r="3214" spans="1:2" x14ac:dyDescent="0.25">
      <c r="A3214">
        <f ca="1">34482.8820102481*((RANDBETWEEN(1620,2416)))</f>
        <v>82724433.94258517</v>
      </c>
      <c r="B3214">
        <v>202904558.245792</v>
      </c>
    </row>
    <row r="3215" spans="1:2" x14ac:dyDescent="0.25">
      <c r="A3215">
        <f ca="1">29089.5195588318*((RANDBETWEEN(1620,2416)))</f>
        <v>62978809.84487094</v>
      </c>
      <c r="B3215">
        <v>150490075.36255047</v>
      </c>
    </row>
    <row r="3216" spans="1:2" x14ac:dyDescent="0.25">
      <c r="A3216">
        <f ca="1">32701.5353056325*((RANDBETWEEN(1620,2416)))</f>
        <v>59124375.832583524</v>
      </c>
      <c r="B3216">
        <v>190825450.50431171</v>
      </c>
    </row>
    <row r="3217" spans="1:2" x14ac:dyDescent="0.25">
      <c r="A3217">
        <f ca="1">29066.9203993395*((RANDBETWEEN(1620,2416)))</f>
        <v>54035405.022372119</v>
      </c>
      <c r="B3217">
        <v>164203968.15940732</v>
      </c>
    </row>
    <row r="3218" spans="1:2" x14ac:dyDescent="0.25">
      <c r="A3218">
        <f ca="1">35930.7403389606*((RANDBETWEEN(1620,2416)))</f>
        <v>80377066.138254881</v>
      </c>
      <c r="B3218">
        <v>169652171.21925008</v>
      </c>
    </row>
    <row r="3219" spans="1:2" x14ac:dyDescent="0.25">
      <c r="A3219">
        <f ca="1">28378.69532474*((RANDBETWEEN(1620,2416)))</f>
        <v>59027686.2754592</v>
      </c>
      <c r="B3219">
        <v>185594621.74014461</v>
      </c>
    </row>
    <row r="3220" spans="1:2" x14ac:dyDescent="0.25">
      <c r="A3220">
        <f ca="1">31881.935387167*((RANDBETWEEN(1620,2416)))</f>
        <v>68960626.242442146</v>
      </c>
      <c r="B3220">
        <v>168669880.84332445</v>
      </c>
    </row>
    <row r="3221" spans="1:2" x14ac:dyDescent="0.25">
      <c r="A3221">
        <f ca="1">30937.2946367555*((RANDBETWEEN(1620,2416)))</f>
        <v>62400523.282335818</v>
      </c>
      <c r="B3221">
        <v>152020761.84256247</v>
      </c>
    </row>
    <row r="3222" spans="1:2" x14ac:dyDescent="0.25">
      <c r="A3222">
        <f ca="1">33994.9145217929*((RANDBETWEEN(1620,2416)))</f>
        <v>75536700.067423731</v>
      </c>
      <c r="B3222">
        <v>164387978.39939281</v>
      </c>
    </row>
    <row r="3223" spans="1:2" x14ac:dyDescent="0.25">
      <c r="A3223">
        <f ca="1">32119.8578574269*((RANDBETWEEN(1620,2416)))</f>
        <v>55856432.814065397</v>
      </c>
      <c r="B3223">
        <v>169947611.45640478</v>
      </c>
    </row>
    <row r="3224" spans="1:2" x14ac:dyDescent="0.25">
      <c r="A3224">
        <f ca="1">42649.7947490277*((RANDBETWEEN(1620,2416)))</f>
        <v>70201562.156899601</v>
      </c>
      <c r="B3224">
        <v>185414945.12222728</v>
      </c>
    </row>
    <row r="3225" spans="1:2" x14ac:dyDescent="0.25">
      <c r="A3225">
        <f ca="1">33369.0189381218*((RANDBETWEEN(1620,2416)))</f>
        <v>71109379.357137531</v>
      </c>
      <c r="B3225">
        <v>177337236.04742128</v>
      </c>
    </row>
    <row r="3226" spans="1:2" x14ac:dyDescent="0.25">
      <c r="A3226">
        <f ca="1">38735.8419805844*((RANDBETWEEN(1620,2416)))</f>
        <v>92888549.069441408</v>
      </c>
      <c r="B3226">
        <v>194502772.70875648</v>
      </c>
    </row>
    <row r="3227" spans="1:2" x14ac:dyDescent="0.25">
      <c r="A3227">
        <f ca="1">34652.6172632988*((RANDBETWEEN(1620,2416)))</f>
        <v>82403923.852124453</v>
      </c>
      <c r="B3227">
        <v>148750620.0181618</v>
      </c>
    </row>
    <row r="3228" spans="1:2" x14ac:dyDescent="0.25">
      <c r="A3228">
        <f ca="1">29543.436519018*((RANDBETWEEN(1620,2416)))</f>
        <v>50489733.011001721</v>
      </c>
      <c r="B3228">
        <v>166367813.26167649</v>
      </c>
    </row>
    <row r="3229" spans="1:2" x14ac:dyDescent="0.25">
      <c r="A3229">
        <f ca="1">31723.4032936879*((RANDBETWEEN(1620,2416)))</f>
        <v>51613977.158830151</v>
      </c>
      <c r="B3229">
        <v>144130939.552912</v>
      </c>
    </row>
    <row r="3230" spans="1:2" x14ac:dyDescent="0.25">
      <c r="A3230">
        <f ca="1">30463.6938210721*((RANDBETWEEN(1620,2416)))</f>
        <v>51788279.495822527</v>
      </c>
      <c r="B3230">
        <v>145962844.77571809</v>
      </c>
    </row>
    <row r="3231" spans="1:2" x14ac:dyDescent="0.25">
      <c r="A3231">
        <f ca="1">29546.8846934714*((RANDBETWEEN(1620,2416)))</f>
        <v>68016928.564371198</v>
      </c>
      <c r="B3231">
        <v>158125779.47614074</v>
      </c>
    </row>
    <row r="3232" spans="1:2" x14ac:dyDescent="0.25">
      <c r="A3232">
        <f ca="1">40656.0698616649*((RANDBETWEEN(1620,2416)))</f>
        <v>76270787.060483292</v>
      </c>
      <c r="B3232">
        <v>164469657.33223438</v>
      </c>
    </row>
    <row r="3233" spans="1:2" x14ac:dyDescent="0.25">
      <c r="A3233">
        <f ca="1">31877.4288898165*((RANDBETWEEN(1620,2416)))</f>
        <v>58813856.301711373</v>
      </c>
      <c r="B3233">
        <v>165068274.81376395</v>
      </c>
    </row>
    <row r="3234" spans="1:2" x14ac:dyDescent="0.25">
      <c r="A3234">
        <f ca="1">29430.2259422502*((RANDBETWEEN(1620,2416)))</f>
        <v>58654440.302904561</v>
      </c>
      <c r="B3234">
        <v>178174846.84991753</v>
      </c>
    </row>
    <row r="3235" spans="1:2" x14ac:dyDescent="0.25">
      <c r="A3235">
        <f ca="1">35959.509260489*((RANDBETWEEN(1620,2416)))</f>
        <v>68287108.085668549</v>
      </c>
      <c r="B3235">
        <v>165035869.76493689</v>
      </c>
    </row>
    <row r="3236" spans="1:2" x14ac:dyDescent="0.25">
      <c r="A3236">
        <f ca="1">30794.2590581112*((RANDBETWEEN(1620,2416)))</f>
        <v>60541513.308246583</v>
      </c>
      <c r="B3236">
        <v>158498602.08010602</v>
      </c>
    </row>
    <row r="3237" spans="1:2" x14ac:dyDescent="0.25">
      <c r="A3237">
        <f ca="1">32028.7503448485*((RANDBETWEEN(1620,2416)))</f>
        <v>76580742.074532703</v>
      </c>
      <c r="B3237">
        <v>188863531.10856932</v>
      </c>
    </row>
    <row r="3238" spans="1:2" x14ac:dyDescent="0.25">
      <c r="A3238">
        <f ca="1">31423.9348219254*((RANDBETWEEN(1620,2416)))</f>
        <v>72934952.721688926</v>
      </c>
      <c r="B3238">
        <v>182445797.30253303</v>
      </c>
    </row>
    <row r="3239" spans="1:2" x14ac:dyDescent="0.25">
      <c r="A3239">
        <f ca="1">31619.1291062038*((RANDBETWEEN(1620,2416)))</f>
        <v>61435967.853353992</v>
      </c>
      <c r="B3239">
        <v>168299128.26128379</v>
      </c>
    </row>
    <row r="3240" spans="1:2" x14ac:dyDescent="0.25">
      <c r="A3240">
        <f ca="1">29054.8792613997*((RANDBETWEEN(1620,2416)))</f>
        <v>55552929.147796147</v>
      </c>
      <c r="B3240">
        <v>148186527.83214998</v>
      </c>
    </row>
    <row r="3241" spans="1:2" x14ac:dyDescent="0.25">
      <c r="A3241">
        <f ca="1">39528.0178651634*((RANDBETWEEN(1620,2416)))</f>
        <v>75024177.908080161</v>
      </c>
      <c r="B3241">
        <v>169255006.4587124</v>
      </c>
    </row>
    <row r="3242" spans="1:2" x14ac:dyDescent="0.25">
      <c r="A3242">
        <f ca="1">38767.3847467416*((RANDBETWEEN(1620,2416)))</f>
        <v>66137158.377941132</v>
      </c>
      <c r="B3242">
        <v>202107847.88766038</v>
      </c>
    </row>
    <row r="3243" spans="1:2" x14ac:dyDescent="0.25">
      <c r="A3243">
        <f ca="1">29768.7158327472*((RANDBETWEEN(1620,2416)))</f>
        <v>61055636.172964498</v>
      </c>
      <c r="B3243">
        <v>158006179.46238983</v>
      </c>
    </row>
    <row r="3244" spans="1:2" x14ac:dyDescent="0.25">
      <c r="A3244">
        <f ca="1">35841.2156576006*((RANDBETWEEN(1620,2416)))</f>
        <v>72220049.550065279</v>
      </c>
      <c r="B3244">
        <v>152461254.21498039</v>
      </c>
    </row>
    <row r="3245" spans="1:2" x14ac:dyDescent="0.25">
      <c r="A3245">
        <f ca="1">27626.9916772938*((RANDBETWEEN(1620,2416)))</f>
        <v>62713271.10745693</v>
      </c>
      <c r="B3245">
        <v>145795575.30167484</v>
      </c>
    </row>
    <row r="3246" spans="1:2" x14ac:dyDescent="0.25">
      <c r="A3246">
        <f ca="1">30494.4892998455*((RANDBETWEEN(1620,2416)))</f>
        <v>49980467.962446854</v>
      </c>
      <c r="B3246">
        <v>186450061.14381939</v>
      </c>
    </row>
    <row r="3247" spans="1:2" x14ac:dyDescent="0.25">
      <c r="A3247">
        <f ca="1">33926.3784177833*((RANDBETWEEN(1620,2416)))</f>
        <v>70295456.081646964</v>
      </c>
      <c r="B3247">
        <v>157230758.48280478</v>
      </c>
    </row>
    <row r="3248" spans="1:2" x14ac:dyDescent="0.25">
      <c r="A3248">
        <f ca="1">30069.8353356459*((RANDBETWEEN(1620,2416)))</f>
        <v>72408163.488235429</v>
      </c>
      <c r="B3248">
        <v>188656186.5951114</v>
      </c>
    </row>
    <row r="3249" spans="1:2" x14ac:dyDescent="0.25">
      <c r="A3249">
        <f ca="1">31924.5986886872*((RANDBETWEEN(1620,2416)))</f>
        <v>75820921.885632187</v>
      </c>
      <c r="B3249">
        <v>155138909.25311387</v>
      </c>
    </row>
    <row r="3250" spans="1:2" x14ac:dyDescent="0.25">
      <c r="A3250">
        <f ca="1">31418.7824946089*((RANDBETWEEN(1620,2416)))</f>
        <v>65885186.891194806</v>
      </c>
      <c r="B3250">
        <v>169782641.29111424</v>
      </c>
    </row>
    <row r="3251" spans="1:2" x14ac:dyDescent="0.25">
      <c r="A3251">
        <f ca="1">39339.0766633144*((RANDBETWEEN(1620,2416)))</f>
        <v>87568784.652537912</v>
      </c>
      <c r="B3251">
        <v>152872551.48917836</v>
      </c>
    </row>
    <row r="3252" spans="1:2" x14ac:dyDescent="0.25">
      <c r="A3252">
        <f ca="1">31886.3950023754*((RANDBETWEEN(1620,2416)))</f>
        <v>74199641.170527577</v>
      </c>
      <c r="B3252">
        <v>192167448.48940158</v>
      </c>
    </row>
    <row r="3253" spans="1:2" x14ac:dyDescent="0.25">
      <c r="A3253">
        <f ca="1">31289.1794665958*((RANDBETWEEN(1620,2416)))</f>
        <v>58980103.294533111</v>
      </c>
      <c r="B3253">
        <v>149711281.17766324</v>
      </c>
    </row>
    <row r="3254" spans="1:2" x14ac:dyDescent="0.25">
      <c r="A3254">
        <f ca="1">34444.5072389378*((RANDBETWEEN(1620,2416)))</f>
        <v>62964559.232778303</v>
      </c>
      <c r="B3254">
        <v>169573340.23500192</v>
      </c>
    </row>
    <row r="3255" spans="1:2" x14ac:dyDescent="0.25">
      <c r="A3255">
        <f ca="1">31524.1102890736*((RANDBETWEEN(1620,2416)))</f>
        <v>75910057.576089278</v>
      </c>
      <c r="B3255">
        <v>157030926.71988037</v>
      </c>
    </row>
    <row r="3256" spans="1:2" x14ac:dyDescent="0.25">
      <c r="A3256">
        <f ca="1">29443.2226913118*((RANDBETWEEN(1620,2416)))</f>
        <v>64362884.803207487</v>
      </c>
      <c r="B3256">
        <v>160858481.25303072</v>
      </c>
    </row>
    <row r="3257" spans="1:2" x14ac:dyDescent="0.25">
      <c r="A3257">
        <f ca="1">35815.500806851*((RANDBETWEEN(1620,2416)))</f>
        <v>85634862.429180935</v>
      </c>
      <c r="B3257">
        <v>160176276.35371578</v>
      </c>
    </row>
    <row r="3258" spans="1:2" x14ac:dyDescent="0.25">
      <c r="A3258">
        <f ca="1">33381.0625576842*((RANDBETWEEN(1620,2416)))</f>
        <v>72570430.00040558</v>
      </c>
      <c r="B3258">
        <v>184352732.62488934</v>
      </c>
    </row>
    <row r="3259" spans="1:2" x14ac:dyDescent="0.25">
      <c r="A3259">
        <f ca="1">35193.7398372049*((RANDBETWEEN(1620,2416)))</f>
        <v>76933515.284129977</v>
      </c>
      <c r="B3259">
        <v>150156546.62695444</v>
      </c>
    </row>
    <row r="3260" spans="1:2" x14ac:dyDescent="0.25">
      <c r="A3260">
        <f ca="1">40232.6438925998*((RANDBETWEEN(1620,2416)))</f>
        <v>88230188.056471422</v>
      </c>
      <c r="B3260">
        <v>188607518.36443263</v>
      </c>
    </row>
    <row r="3261" spans="1:2" x14ac:dyDescent="0.25">
      <c r="A3261">
        <f ca="1">39874.6620068528*((RANDBETWEEN(1620,2416)))</f>
        <v>88880621.613274798</v>
      </c>
      <c r="B3261">
        <v>150157223.74091625</v>
      </c>
    </row>
    <row r="3262" spans="1:2" x14ac:dyDescent="0.25">
      <c r="A3262">
        <f ca="1">41833.6971574918*((RANDBETWEEN(1620,2416)))</f>
        <v>75133320.094855368</v>
      </c>
      <c r="B3262">
        <v>187323775.04735544</v>
      </c>
    </row>
    <row r="3263" spans="1:2" x14ac:dyDescent="0.25">
      <c r="A3263">
        <f ca="1">31500.0626599934*((RANDBETWEEN(1620,2416)))</f>
        <v>68386636.034845576</v>
      </c>
      <c r="B3263">
        <v>171368435.92169437</v>
      </c>
    </row>
    <row r="3264" spans="1:2" x14ac:dyDescent="0.25">
      <c r="A3264">
        <f ca="1">36274.5420722377*((RANDBETWEEN(1620,2416)))</f>
        <v>61884368.775237434</v>
      </c>
      <c r="B3264">
        <v>168671556.2269333</v>
      </c>
    </row>
    <row r="3265" spans="1:2" x14ac:dyDescent="0.25">
      <c r="A3265">
        <f ca="1">35227.871216794*((RANDBETWEEN(1620,2416)))</f>
        <v>82257079.29121393</v>
      </c>
      <c r="B3265">
        <v>149560751.41407537</v>
      </c>
    </row>
    <row r="3266" spans="1:2" x14ac:dyDescent="0.25">
      <c r="A3266">
        <f ca="1">28764.7609274952*((RANDBETWEEN(1620,2416)))</f>
        <v>50971156.363521427</v>
      </c>
      <c r="B3266">
        <v>186137376.06173959</v>
      </c>
    </row>
    <row r="3267" spans="1:2" x14ac:dyDescent="0.25">
      <c r="A3267">
        <f ca="1">28084.1045226551*((RANDBETWEEN(1620,2416)))</f>
        <v>46310688.357858308</v>
      </c>
      <c r="B3267">
        <v>199539449.92377594</v>
      </c>
    </row>
    <row r="3268" spans="1:2" x14ac:dyDescent="0.25">
      <c r="A3268">
        <f ca="1">34111.2371902269*((RANDBETWEEN(1620,2416)))</f>
        <v>60103999.929179773</v>
      </c>
      <c r="B3268">
        <v>190775127.65901273</v>
      </c>
    </row>
    <row r="3269" spans="1:2" x14ac:dyDescent="0.25">
      <c r="A3269">
        <f ca="1">37462.6346348938*((RANDBETWEEN(1620,2416)))</f>
        <v>77247952.617151052</v>
      </c>
      <c r="B3269">
        <v>188893142.29618895</v>
      </c>
    </row>
    <row r="3270" spans="1:2" x14ac:dyDescent="0.25">
      <c r="A3270">
        <f ca="1">31512.2315360319*((RANDBETWEEN(1620,2416)))</f>
        <v>55303966.345736019</v>
      </c>
      <c r="B3270">
        <v>144110958.43629035</v>
      </c>
    </row>
    <row r="3271" spans="1:2" x14ac:dyDescent="0.25">
      <c r="A3271">
        <f ca="1">29271.3010510208*((RANDBETWEEN(1620,2416)))</f>
        <v>48619631.045745514</v>
      </c>
      <c r="B3271">
        <v>144781639.42780951</v>
      </c>
    </row>
    <row r="3272" spans="1:2" x14ac:dyDescent="0.25">
      <c r="A3272">
        <f ca="1">35191.9781769733*((RANDBETWEEN(1620,2416)))</f>
        <v>62641721.155012541</v>
      </c>
      <c r="B3272">
        <v>178043108.88660112</v>
      </c>
    </row>
    <row r="3273" spans="1:2" x14ac:dyDescent="0.25">
      <c r="A3273">
        <f ca="1">28749.2721399492*((RANDBETWEEN(1620,2416)))</f>
        <v>68682011.142338663</v>
      </c>
      <c r="B3273">
        <v>146202930.66610116</v>
      </c>
    </row>
    <row r="3274" spans="1:2" x14ac:dyDescent="0.25">
      <c r="A3274">
        <f ca="1">30943.1483190674*((RANDBETWEEN(1620,2416)))</f>
        <v>58018403.098251373</v>
      </c>
      <c r="B3274">
        <v>144307385.79220754</v>
      </c>
    </row>
    <row r="3275" spans="1:2" x14ac:dyDescent="0.25">
      <c r="A3275">
        <f ca="1">30161.8537321374*((RANDBETWEEN(1620,2416)))</f>
        <v>69915176.951094612</v>
      </c>
      <c r="B3275">
        <v>165116930.93275368</v>
      </c>
    </row>
    <row r="3276" spans="1:2" x14ac:dyDescent="0.25">
      <c r="A3276">
        <f ca="1">29524.9548267658*((RANDBETWEEN(1620,2416)))</f>
        <v>62592904.23274342</v>
      </c>
      <c r="B3276">
        <v>158166892.73337772</v>
      </c>
    </row>
    <row r="3277" spans="1:2" x14ac:dyDescent="0.25">
      <c r="A3277">
        <f ca="1">32734.4161329923*((RANDBETWEEN(1620,2416)))</f>
        <v>56074054.835815825</v>
      </c>
      <c r="B3277">
        <v>200917968.49409568</v>
      </c>
    </row>
    <row r="3278" spans="1:2" x14ac:dyDescent="0.25">
      <c r="A3278">
        <f ca="1">31821.8690611917*((RANDBETWEEN(1620,2416)))</f>
        <v>76467951.354043677</v>
      </c>
      <c r="B3278">
        <v>145686730.02303511</v>
      </c>
    </row>
    <row r="3279" spans="1:2" x14ac:dyDescent="0.25">
      <c r="A3279">
        <f ca="1">33329.976639131*((RANDBETWEEN(1620,2416)))</f>
        <v>54161212.03858792</v>
      </c>
      <c r="B3279">
        <v>143145117.21986365</v>
      </c>
    </row>
    <row r="3280" spans="1:2" x14ac:dyDescent="0.25">
      <c r="A3280">
        <f ca="1">37687.2461971052*((RANDBETWEEN(1620,2416)))</f>
        <v>77183480.211671397</v>
      </c>
      <c r="B3280">
        <v>200382461.80733392</v>
      </c>
    </row>
    <row r="3281" spans="1:2" x14ac:dyDescent="0.25">
      <c r="A3281">
        <f ca="1">37003.7301550913*((RANDBETWEEN(1620,2416)))</f>
        <v>84960564.436089709</v>
      </c>
      <c r="B3281">
        <v>191269251.81830269</v>
      </c>
    </row>
    <row r="3282" spans="1:2" x14ac:dyDescent="0.25">
      <c r="A3282">
        <f ca="1">31911.0338816038*((RANDBETWEEN(1620,2416)))</f>
        <v>68002413.201697707</v>
      </c>
      <c r="B3282">
        <v>171598909.48516068</v>
      </c>
    </row>
    <row r="3283" spans="1:2" x14ac:dyDescent="0.25">
      <c r="A3283">
        <f ca="1">32621.1540389329*((RANDBETWEEN(1620,2416)))</f>
        <v>58881183.040273957</v>
      </c>
      <c r="B3283">
        <v>149680301.48282361</v>
      </c>
    </row>
    <row r="3284" spans="1:2" x14ac:dyDescent="0.25">
      <c r="A3284">
        <f ca="1">27161.6689716413*((RANDBETWEEN(1620,2416)))</f>
        <v>50004632.576791555</v>
      </c>
      <c r="B3284">
        <v>150323615.91162992</v>
      </c>
    </row>
    <row r="3285" spans="1:2" x14ac:dyDescent="0.25">
      <c r="A3285">
        <f ca="1">38884.7709912958*((RANDBETWEEN(1620,2416)))</f>
        <v>71431324.311010405</v>
      </c>
      <c r="B3285">
        <v>169342300.0908581</v>
      </c>
    </row>
    <row r="3286" spans="1:2" x14ac:dyDescent="0.25">
      <c r="A3286">
        <f ca="1">35483.5841120969*((RANDBETWEEN(1620,2416)))</f>
        <v>76857443.186801895</v>
      </c>
      <c r="B3286">
        <v>172013425.60966575</v>
      </c>
    </row>
    <row r="3287" spans="1:2" x14ac:dyDescent="0.25">
      <c r="A3287">
        <f ca="1">32829.0735393957*((RANDBETWEEN(1620,2416)))</f>
        <v>60569640.68018508</v>
      </c>
      <c r="B3287">
        <v>176027345.1337207</v>
      </c>
    </row>
    <row r="3288" spans="1:2" x14ac:dyDescent="0.25">
      <c r="A3288">
        <f ca="1">31517.148812029*((RANDBETWEEN(1620,2416)))</f>
        <v>65807806.71951665</v>
      </c>
      <c r="B3288">
        <v>144452381.88336337</v>
      </c>
    </row>
    <row r="3289" spans="1:2" x14ac:dyDescent="0.25">
      <c r="A3289">
        <f ca="1">33142.8182622952*((RANDBETWEEN(1620,2416)))</f>
        <v>54089079.404065706</v>
      </c>
      <c r="B3289">
        <v>180842446.3906647</v>
      </c>
    </row>
    <row r="3290" spans="1:2" x14ac:dyDescent="0.25">
      <c r="A3290">
        <f ca="1">30051.6916422716*((RANDBETWEEN(1620,2416)))</f>
        <v>70621475.359338373</v>
      </c>
      <c r="B3290">
        <v>178777048.94409403</v>
      </c>
    </row>
    <row r="3291" spans="1:2" x14ac:dyDescent="0.25">
      <c r="A3291">
        <f ca="1">29339.5952612969*((RANDBETWEEN(1620,2416)))</f>
        <v>52429856.73193752</v>
      </c>
      <c r="B3291">
        <v>151853780.17042798</v>
      </c>
    </row>
    <row r="3292" spans="1:2" x14ac:dyDescent="0.25">
      <c r="A3292">
        <f ca="1">31803.0591249533*((RANDBETWEEN(1620,2416)))</f>
        <v>72033928.918019161</v>
      </c>
      <c r="B3292">
        <v>175451057.24780551</v>
      </c>
    </row>
    <row r="3293" spans="1:2" x14ac:dyDescent="0.25">
      <c r="A3293">
        <f ca="1">39379.5412002588*((RANDBETWEEN(1620,2416)))</f>
        <v>79743570.93052417</v>
      </c>
      <c r="B3293">
        <v>151533258.91855928</v>
      </c>
    </row>
    <row r="3294" spans="1:2" x14ac:dyDescent="0.25">
      <c r="A3294">
        <f ca="1">38167.1565309194*((RANDBETWEEN(1620,2416)))</f>
        <v>63128476.902140662</v>
      </c>
      <c r="B3294">
        <v>153828211.65192872</v>
      </c>
    </row>
    <row r="3295" spans="1:2" x14ac:dyDescent="0.25">
      <c r="A3295">
        <f ca="1">36744.2113473466*((RANDBETWEEN(1620,2416)))</f>
        <v>83005173.433655888</v>
      </c>
      <c r="B3295">
        <v>148851155.23118478</v>
      </c>
    </row>
    <row r="3296" spans="1:2" x14ac:dyDescent="0.25">
      <c r="A3296">
        <f ca="1">33932.1699401654*((RANDBETWEEN(1620,2416)))</f>
        <v>63317429.108348645</v>
      </c>
      <c r="B3296">
        <v>186859469.03825921</v>
      </c>
    </row>
    <row r="3297" spans="1:2" x14ac:dyDescent="0.25">
      <c r="A3297">
        <f ca="1">30217.5066619242*((RANDBETWEEN(1620,2416)))</f>
        <v>54693687.058082819</v>
      </c>
      <c r="B3297">
        <v>179397668.89764801</v>
      </c>
    </row>
    <row r="3298" spans="1:2" x14ac:dyDescent="0.25">
      <c r="A3298">
        <f ca="1">31091.7208871296*((RANDBETWEEN(1620,2416)))</f>
        <v>52918108.949894592</v>
      </c>
      <c r="B3298">
        <v>162663921.25438541</v>
      </c>
    </row>
    <row r="3299" spans="1:2" x14ac:dyDescent="0.25">
      <c r="A3299">
        <f ca="1">38421.5693443582*((RANDBETWEEN(1620,2416)))</f>
        <v>92096501.718426809</v>
      </c>
      <c r="B3299">
        <v>169925282.75073424</v>
      </c>
    </row>
    <row r="3300" spans="1:2" x14ac:dyDescent="0.25">
      <c r="A3300">
        <f ca="1">31911.1413664554*((RANDBETWEEN(1620,2416)))</f>
        <v>56833742.773656994</v>
      </c>
      <c r="B3300">
        <v>196648414.41344959</v>
      </c>
    </row>
    <row r="3301" spans="1:2" x14ac:dyDescent="0.25">
      <c r="A3301">
        <f ca="1">32332.9300493379*((RANDBETWEEN(1620,2416)))</f>
        <v>66153174.880945385</v>
      </c>
      <c r="B3301">
        <v>155781099.47308946</v>
      </c>
    </row>
    <row r="3302" spans="1:2" x14ac:dyDescent="0.25">
      <c r="A3302">
        <f ca="1">31363.9233115796*((RANDBETWEEN(1620,2416)))</f>
        <v>69220178.748656109</v>
      </c>
      <c r="B3302">
        <v>161201810.55149847</v>
      </c>
    </row>
    <row r="3303" spans="1:2" x14ac:dyDescent="0.25">
      <c r="A3303">
        <f ca="1">28247.939928967*((RANDBETWEEN(1620,2416)))</f>
        <v>57286822.175945096</v>
      </c>
      <c r="B3303">
        <v>169544629.65177351</v>
      </c>
    </row>
    <row r="3304" spans="1:2" x14ac:dyDescent="0.25">
      <c r="A3304">
        <f ca="1">32300.173416025*((RANDBETWEEN(1620,2416)))</f>
        <v>71351083.075999171</v>
      </c>
      <c r="B3304">
        <v>179071470.82729042</v>
      </c>
    </row>
    <row r="3305" spans="1:2" x14ac:dyDescent="0.25">
      <c r="A3305">
        <f ca="1">36423.8827539837*((RANDBETWEEN(1620,2416)))</f>
        <v>66874248.736314058</v>
      </c>
      <c r="B3305">
        <v>191075251.68410465</v>
      </c>
    </row>
    <row r="3306" spans="1:2" x14ac:dyDescent="0.25">
      <c r="A3306">
        <f ca="1">31078.2058623108*((RANDBETWEEN(1620,2416)))</f>
        <v>56096161.581471056</v>
      </c>
      <c r="B3306">
        <v>199735952.80492657</v>
      </c>
    </row>
    <row r="3307" spans="1:2" x14ac:dyDescent="0.25">
      <c r="A3307">
        <f ca="1">29925.468384856*((RANDBETWEEN(1620,2416)))</f>
        <v>63561694.849434197</v>
      </c>
      <c r="B3307">
        <v>155715387.32812181</v>
      </c>
    </row>
    <row r="3308" spans="1:2" x14ac:dyDescent="0.25">
      <c r="A3308">
        <f ca="1">32810.1446652579*((RANDBETWEEN(1620,2416)))</f>
        <v>62240844.429994188</v>
      </c>
      <c r="B3308">
        <v>147341937.57639694</v>
      </c>
    </row>
    <row r="3309" spans="1:2" x14ac:dyDescent="0.25">
      <c r="A3309">
        <f ca="1">37518.1121976868*((RANDBETWEEN(1620,2416)))</f>
        <v>75861622.863722607</v>
      </c>
      <c r="B3309">
        <v>163067285.28457376</v>
      </c>
    </row>
    <row r="3310" spans="1:2" x14ac:dyDescent="0.25">
      <c r="A3310">
        <f ca="1">37677.4603761309*((RANDBETWEEN(1620,2416)))</f>
        <v>76108469.959784463</v>
      </c>
      <c r="B3310">
        <v>154015112.13330758</v>
      </c>
    </row>
    <row r="3311" spans="1:2" x14ac:dyDescent="0.25">
      <c r="A3311">
        <f ca="1">36364.3529849383*((RANDBETWEEN(1620,2416)))</f>
        <v>81747065.510141313</v>
      </c>
      <c r="B3311">
        <v>180593646.76019731</v>
      </c>
    </row>
    <row r="3312" spans="1:2" x14ac:dyDescent="0.25">
      <c r="A3312">
        <f ca="1">27409.9103802374*((RANDBETWEEN(1620,2416)))</f>
        <v>47364325.137050301</v>
      </c>
      <c r="B3312">
        <v>148941562.53464073</v>
      </c>
    </row>
    <row r="3313" spans="1:2" x14ac:dyDescent="0.25">
      <c r="A3313">
        <f ca="1">31636.2442329717*((RANDBETWEEN(1620,2416)))</f>
        <v>53718342.70758602</v>
      </c>
      <c r="B3313">
        <v>177358585.6604194</v>
      </c>
    </row>
    <row r="3314" spans="1:2" x14ac:dyDescent="0.25">
      <c r="A3314">
        <f ca="1">37995.660838757*((RANDBETWEEN(1620,2416)))</f>
        <v>83818427.810298026</v>
      </c>
      <c r="B3314">
        <v>164410568.14172554</v>
      </c>
    </row>
    <row r="3315" spans="1:2" x14ac:dyDescent="0.25">
      <c r="A3315">
        <f ca="1">27785.5986747518*((RANDBETWEEN(1620,2416)))</f>
        <v>45485025.030568771</v>
      </c>
      <c r="B3315">
        <v>147231743.00366157</v>
      </c>
    </row>
    <row r="3316" spans="1:2" x14ac:dyDescent="0.25">
      <c r="A3316">
        <f ca="1">31014.5898616743*((RANDBETWEEN(1620,2416)))</f>
        <v>63641938.396155581</v>
      </c>
      <c r="B3316">
        <v>180865884.73525572</v>
      </c>
    </row>
    <row r="3317" spans="1:2" x14ac:dyDescent="0.25">
      <c r="A3317">
        <f ca="1">35083.6893267151*((RANDBETWEEN(1620,2416)))</f>
        <v>60273778.263296612</v>
      </c>
      <c r="B3317">
        <v>174480276.44065171</v>
      </c>
    </row>
    <row r="3318" spans="1:2" x14ac:dyDescent="0.25">
      <c r="A3318">
        <f ca="1">33147.4925714947*((RANDBETWEEN(1620,2416)))</f>
        <v>72725598.70185934</v>
      </c>
      <c r="B3318">
        <v>149613579.69552457</v>
      </c>
    </row>
    <row r="3319" spans="1:2" x14ac:dyDescent="0.25">
      <c r="A3319">
        <f ca="1">33586.5598279616*((RANDBETWEEN(1620,2416)))</f>
        <v>73050767.625816584</v>
      </c>
      <c r="B3319">
        <v>161093075.24806723</v>
      </c>
    </row>
    <row r="3320" spans="1:2" x14ac:dyDescent="0.25">
      <c r="A3320">
        <f ca="1">32931.3837595083*((RANDBETWEEN(1620,2416)))</f>
        <v>63590502.039610445</v>
      </c>
      <c r="B3320">
        <v>157295040.95660415</v>
      </c>
    </row>
    <row r="3321" spans="1:2" x14ac:dyDescent="0.25">
      <c r="A3321">
        <f ca="1">31016.7830026595*((RANDBETWEEN(1620,2416)))</f>
        <v>58001384.214973204</v>
      </c>
      <c r="B3321">
        <v>145343808.57654646</v>
      </c>
    </row>
    <row r="3322" spans="1:2" x14ac:dyDescent="0.25">
      <c r="A3322">
        <f ca="1">32597.1147776659*((RANDBETWEEN(1620,2416)))</f>
        <v>57110145.090470597</v>
      </c>
      <c r="B3322">
        <v>196107392.47079712</v>
      </c>
    </row>
    <row r="3323" spans="1:2" x14ac:dyDescent="0.25">
      <c r="A3323">
        <f ca="1">30161.0639766097*((RANDBETWEEN(1620,2416)))</f>
        <v>50610265.352751054</v>
      </c>
      <c r="B3323">
        <v>175444084.27295417</v>
      </c>
    </row>
    <row r="3324" spans="1:2" x14ac:dyDescent="0.25">
      <c r="A3324">
        <f ca="1">33457.6805738778*((RANDBETWEEN(1620,2416)))</f>
        <v>79763110.488124683</v>
      </c>
      <c r="B3324">
        <v>187593985.84556001</v>
      </c>
    </row>
    <row r="3325" spans="1:2" x14ac:dyDescent="0.25">
      <c r="A3325">
        <f ca="1">35091.599169925*((RANDBETWEEN(1620,2416)))</f>
        <v>69727007.550640926</v>
      </c>
      <c r="B3325">
        <v>169675480.68547055</v>
      </c>
    </row>
    <row r="3326" spans="1:2" x14ac:dyDescent="0.25">
      <c r="A3326">
        <f ca="1">31745.5317325072*((RANDBETWEEN(1620,2416)))</f>
        <v>56443555.420397766</v>
      </c>
      <c r="B3326">
        <v>159115408.77621096</v>
      </c>
    </row>
    <row r="3327" spans="1:2" x14ac:dyDescent="0.25">
      <c r="A3327">
        <f ca="1">31797.1985081742*((RANDBETWEEN(1620,2416)))</f>
        <v>70271808.703064963</v>
      </c>
      <c r="B3327">
        <v>149156914.81560138</v>
      </c>
    </row>
    <row r="3328" spans="1:2" x14ac:dyDescent="0.25">
      <c r="A3328">
        <f ca="1">30658.1429099266*((RANDBETWEEN(1620,2416)))</f>
        <v>71372156.694309056</v>
      </c>
      <c r="B3328">
        <v>154106097.29351383</v>
      </c>
    </row>
    <row r="3329" spans="1:2" x14ac:dyDescent="0.25">
      <c r="A3329">
        <f ca="1">37080.7994560672*((RANDBETWEEN(1620,2416)))</f>
        <v>61257480.701423027</v>
      </c>
      <c r="B3329">
        <v>157660843.42030194</v>
      </c>
    </row>
    <row r="3330" spans="1:2" x14ac:dyDescent="0.25">
      <c r="A3330">
        <f ca="1">28915.5746207715*((RANDBETWEEN(1620,2416)))</f>
        <v>53754053.220014244</v>
      </c>
      <c r="B3330">
        <v>145483034.3309367</v>
      </c>
    </row>
    <row r="3331" spans="1:2" x14ac:dyDescent="0.25">
      <c r="A3331">
        <f ca="1">30812.6575035882*((RANDBETWEEN(1620,2416)))</f>
        <v>53614024.056243449</v>
      </c>
      <c r="B3331">
        <v>176985615.73707062</v>
      </c>
    </row>
    <row r="3332" spans="1:2" x14ac:dyDescent="0.25">
      <c r="A3332">
        <f ca="1">36821.7589937742*((RANDBETWEEN(1620,2416)))</f>
        <v>84469115.131717905</v>
      </c>
      <c r="B3332">
        <v>144136588.47845972</v>
      </c>
    </row>
    <row r="3333" spans="1:2" x14ac:dyDescent="0.25">
      <c r="A3333">
        <f ca="1">33760.9892014892*((RANDBETWEEN(1620,2416)))</f>
        <v>67724544.338187397</v>
      </c>
      <c r="B3333">
        <v>181621469.95777926</v>
      </c>
    </row>
    <row r="3334" spans="1:2" x14ac:dyDescent="0.25">
      <c r="A3334">
        <f ca="1">33992.3502104711*((RANDBETWEEN(1620,2416)))</f>
        <v>77026665.576927513</v>
      </c>
      <c r="B3334">
        <v>146253685.69660309</v>
      </c>
    </row>
    <row r="3335" spans="1:2" x14ac:dyDescent="0.25">
      <c r="A3335">
        <f ca="1">32697.8720570835*((RANDBETWEEN(1620,2416)))</f>
        <v>62518331.373143733</v>
      </c>
      <c r="B3335">
        <v>171702169.37210372</v>
      </c>
    </row>
    <row r="3336" spans="1:2" x14ac:dyDescent="0.25">
      <c r="A3336">
        <f ca="1">32544.9888138184*((RANDBETWEEN(1620,2416)))</f>
        <v>69190646.21817787</v>
      </c>
      <c r="B3336">
        <v>162848868.73096165</v>
      </c>
    </row>
    <row r="3337" spans="1:2" x14ac:dyDescent="0.25">
      <c r="A3337">
        <f ca="1">28159.6183596193*((RANDBETWEEN(1620,2416)))</f>
        <v>51982655.491857223</v>
      </c>
      <c r="B3337">
        <v>177635424.44594532</v>
      </c>
    </row>
    <row r="3338" spans="1:2" x14ac:dyDescent="0.25">
      <c r="A3338">
        <f ca="1">30567.2083016582*((RANDBETWEEN(1620,2416)))</f>
        <v>60370236.395774953</v>
      </c>
      <c r="B3338">
        <v>177544259.01961145</v>
      </c>
    </row>
    <row r="3339" spans="1:2" x14ac:dyDescent="0.25">
      <c r="A3339">
        <f ca="1">39074.8767622576*((RANDBETWEEN(1620,2416)))</f>
        <v>93428030.338557824</v>
      </c>
      <c r="B3339">
        <v>190126495.17745239</v>
      </c>
    </row>
    <row r="3340" spans="1:2" x14ac:dyDescent="0.25">
      <c r="A3340">
        <f ca="1">28967.3830402678*((RANDBETWEEN(1620,2416)))</f>
        <v>62221938.770495273</v>
      </c>
      <c r="B3340">
        <v>179768634.3490319</v>
      </c>
    </row>
    <row r="3341" spans="1:2" x14ac:dyDescent="0.25">
      <c r="A3341">
        <f ca="1">36421.3842941948*((RANDBETWEEN(1620,2416)))</f>
        <v>81328951.128937036</v>
      </c>
      <c r="B3341">
        <v>196400641.42154354</v>
      </c>
    </row>
    <row r="3342" spans="1:2" x14ac:dyDescent="0.25">
      <c r="A3342">
        <f ca="1">31768.2742494255*((RANDBETWEEN(1620,2416)))</f>
        <v>63822462.967095733</v>
      </c>
      <c r="B3342">
        <v>159852158.04640365</v>
      </c>
    </row>
    <row r="3343" spans="1:2" x14ac:dyDescent="0.25">
      <c r="A3343">
        <f ca="1">29789.0346671529*((RANDBETWEEN(1620,2416)))</f>
        <v>50105156.310151152</v>
      </c>
      <c r="B3343">
        <v>194049639.86379385</v>
      </c>
    </row>
    <row r="3344" spans="1:2" x14ac:dyDescent="0.25">
      <c r="A3344">
        <f ca="1">33557.6316660018*((RANDBETWEEN(1620,2416)))</f>
        <v>67417282.01699774</v>
      </c>
      <c r="B3344">
        <v>155783469.83861637</v>
      </c>
    </row>
    <row r="3345" spans="1:2" x14ac:dyDescent="0.25">
      <c r="A3345">
        <f ca="1">31681.6609082283*((RANDBETWEEN(1620,2416)))</f>
        <v>65676083.062757209</v>
      </c>
      <c r="B3345">
        <v>178684627.09916562</v>
      </c>
    </row>
    <row r="3346" spans="1:2" x14ac:dyDescent="0.25">
      <c r="A3346">
        <f ca="1">41017.3216309497*((RANDBETWEEN(1620,2416)))</f>
        <v>74979663.941376045</v>
      </c>
      <c r="B3346">
        <v>193230407.13734806</v>
      </c>
    </row>
    <row r="3347" spans="1:2" x14ac:dyDescent="0.25">
      <c r="A3347">
        <f ca="1">37128.1505428965*((RANDBETWEEN(1620,2416)))</f>
        <v>78488910.247683108</v>
      </c>
      <c r="B3347">
        <v>161876744.75695765</v>
      </c>
    </row>
    <row r="3348" spans="1:2" x14ac:dyDescent="0.25">
      <c r="A3348">
        <f ca="1">32799.8692705152*((RANDBETWEEN(1620,2416)))</f>
        <v>72258112.002944946</v>
      </c>
      <c r="B3348">
        <v>190332197.64176697</v>
      </c>
    </row>
    <row r="3349" spans="1:2" x14ac:dyDescent="0.25">
      <c r="A3349">
        <f ca="1">32456.2144746196*((RANDBETWEEN(1620,2416)))</f>
        <v>76434385.087729082</v>
      </c>
      <c r="B3349">
        <v>168777197.36228418</v>
      </c>
    </row>
    <row r="3350" spans="1:2" x14ac:dyDescent="0.25">
      <c r="A3350">
        <f ca="1">35347.5963687148*((RANDBETWEEN(1620,2416)))</f>
        <v>78471663.938546896</v>
      </c>
      <c r="B3350">
        <v>156233942.81888813</v>
      </c>
    </row>
    <row r="3351" spans="1:2" x14ac:dyDescent="0.25">
      <c r="A3351">
        <f ca="1">35425.6669423668*((RANDBETWEEN(1620,2416)))</f>
        <v>82506378.308772177</v>
      </c>
      <c r="B3351">
        <v>175924233.27501926</v>
      </c>
    </row>
    <row r="3352" spans="1:2" x14ac:dyDescent="0.25">
      <c r="A3352">
        <f ca="1">30495.0041265985*((RANDBETWEEN(1620,2416)))</f>
        <v>60532583.191297993</v>
      </c>
      <c r="B3352">
        <v>146054285.31088406</v>
      </c>
    </row>
    <row r="3353" spans="1:2" x14ac:dyDescent="0.25">
      <c r="A3353">
        <f ca="1">31472.0368793002*((RANDBETWEEN(1620,2416)))</f>
        <v>69238481.134460539</v>
      </c>
      <c r="B3353">
        <v>191658713.49280712</v>
      </c>
    </row>
    <row r="3354" spans="1:2" x14ac:dyDescent="0.25">
      <c r="A3354">
        <f ca="1">39753.6206023799*((RANDBETWEEN(1620,2416)))</f>
        <v>80461328.099217013</v>
      </c>
      <c r="B3354">
        <v>177729147.07698262</v>
      </c>
    </row>
    <row r="3355" spans="1:2" x14ac:dyDescent="0.25">
      <c r="A3355">
        <f ca="1">32483.7499216045*((RANDBETWEEN(1620,2416)))</f>
        <v>75297332.318279326</v>
      </c>
      <c r="B3355">
        <v>148469646.90525094</v>
      </c>
    </row>
    <row r="3356" spans="1:2" x14ac:dyDescent="0.25">
      <c r="A3356">
        <f ca="1">32689.4321281039*((RANDBETWEEN(1620,2416)))</f>
        <v>72766675.917159304</v>
      </c>
      <c r="B3356">
        <v>153537752.04216826</v>
      </c>
    </row>
    <row r="3357" spans="1:2" x14ac:dyDescent="0.25">
      <c r="A3357">
        <f ca="1">32376.0896897355*((RANDBETWEEN(1620,2416)))</f>
        <v>52837778.373648405</v>
      </c>
      <c r="B3357">
        <v>154569344.21022075</v>
      </c>
    </row>
    <row r="3358" spans="1:2" x14ac:dyDescent="0.25">
      <c r="A3358">
        <f ca="1">35120.6683947193*((RANDBETWEEN(1620,2416)))</f>
        <v>75298713.038278088</v>
      </c>
      <c r="B3358">
        <v>170705270.1765613</v>
      </c>
    </row>
    <row r="3359" spans="1:2" x14ac:dyDescent="0.25">
      <c r="A3359">
        <f ca="1">28466.7901106888*((RANDBETWEEN(1620,2416)))</f>
        <v>59438657.751118168</v>
      </c>
      <c r="B3359">
        <v>146258900.68666857</v>
      </c>
    </row>
    <row r="3360" spans="1:2" x14ac:dyDescent="0.25">
      <c r="A3360">
        <f ca="1">32014.5195225308*((RANDBETWEEN(1620,2416)))</f>
        <v>63196661.53747575</v>
      </c>
      <c r="B3360">
        <v>192517537.4403708</v>
      </c>
    </row>
    <row r="3361" spans="1:2" x14ac:dyDescent="0.25">
      <c r="A3361">
        <f ca="1">30888.3540021004*((RANDBETWEEN(1620,2416)))</f>
        <v>63475567.474316262</v>
      </c>
      <c r="B3361">
        <v>156028022.87485132</v>
      </c>
    </row>
    <row r="3362" spans="1:2" x14ac:dyDescent="0.25">
      <c r="A3362">
        <f ca="1">33623.1179665713*((RANDBETWEEN(1620,2416)))</f>
        <v>57461908.604870349</v>
      </c>
      <c r="B3362">
        <v>156273520.74134305</v>
      </c>
    </row>
    <row r="3363" spans="1:2" x14ac:dyDescent="0.25">
      <c r="A3363">
        <f ca="1">31868.2870918426*((RANDBETWEEN(1620,2416)))</f>
        <v>64342071.638430171</v>
      </c>
      <c r="B3363">
        <v>145610113.56961846</v>
      </c>
    </row>
    <row r="3364" spans="1:2" x14ac:dyDescent="0.25">
      <c r="A3364">
        <f ca="1">32945.6452299682*((RANDBETWEEN(1620,2416)))</f>
        <v>73337006.281909168</v>
      </c>
      <c r="B3364">
        <v>150061708.34059376</v>
      </c>
    </row>
    <row r="3365" spans="1:2" x14ac:dyDescent="0.25">
      <c r="A3365">
        <f ca="1">30423.5742256637*((RANDBETWEEN(1620,2416)))</f>
        <v>50138050.323893748</v>
      </c>
      <c r="B3365">
        <v>172730422.64159548</v>
      </c>
    </row>
    <row r="3366" spans="1:2" x14ac:dyDescent="0.25">
      <c r="A3366">
        <f ca="1">36129.9288984977*((RANDBETWEEN(1620,2416)))</f>
        <v>72151468.010299981</v>
      </c>
      <c r="B3366">
        <v>167587936.78278458</v>
      </c>
    </row>
    <row r="3367" spans="1:2" x14ac:dyDescent="0.25">
      <c r="A3367">
        <f ca="1">33656.28388326*((RANDBETWEEN(1620,2416)))</f>
        <v>80775081.319823921</v>
      </c>
      <c r="B3367">
        <v>145561019.03039709</v>
      </c>
    </row>
    <row r="3368" spans="1:2" x14ac:dyDescent="0.25">
      <c r="A3368">
        <f ca="1">35380.448147242*((RANDBETWEEN(1620,2416)))</f>
        <v>82861009.560840696</v>
      </c>
      <c r="B3368">
        <v>178764042.35184681</v>
      </c>
    </row>
    <row r="3369" spans="1:2" x14ac:dyDescent="0.25">
      <c r="A3369">
        <f ca="1">30446.3500866326*((RANDBETWEEN(1620,2416)))</f>
        <v>69204553.746915877</v>
      </c>
      <c r="B3369">
        <v>162970872.42654669</v>
      </c>
    </row>
    <row r="3370" spans="1:2" x14ac:dyDescent="0.25">
      <c r="A3370">
        <f ca="1">34679.3008221263*((RANDBETWEEN(1620,2416)))</f>
        <v>83473077.078858018</v>
      </c>
      <c r="B3370">
        <v>155433773.31654373</v>
      </c>
    </row>
    <row r="3371" spans="1:2" x14ac:dyDescent="0.25">
      <c r="A3371">
        <f ca="1">30523.7490259945*((RANDBETWEEN(1620,2416)))</f>
        <v>69288910.289007455</v>
      </c>
      <c r="B3371">
        <v>149863574.71363798</v>
      </c>
    </row>
    <row r="3372" spans="1:2" x14ac:dyDescent="0.25">
      <c r="A3372">
        <f ca="1">32887.3013947103*((RANDBETWEEN(1620,2416)))</f>
        <v>55053342.534745045</v>
      </c>
      <c r="B3372">
        <v>194009461.52626497</v>
      </c>
    </row>
    <row r="3373" spans="1:2" x14ac:dyDescent="0.25">
      <c r="A3373">
        <f ca="1">32124.6421945908*((RANDBETWEEN(1620,2416)))</f>
        <v>70192343.195180893</v>
      </c>
      <c r="B3373">
        <v>158699753.64692238</v>
      </c>
    </row>
    <row r="3374" spans="1:2" x14ac:dyDescent="0.25">
      <c r="A3374">
        <f ca="1">29133.1195735464*((RANDBETWEEN(1620,2416)))</f>
        <v>47865715.459336713</v>
      </c>
      <c r="B3374">
        <v>163316533.17584905</v>
      </c>
    </row>
    <row r="3375" spans="1:2" x14ac:dyDescent="0.25">
      <c r="A3375">
        <f ca="1">30926.8444892245*((RANDBETWEEN(1620,2416)))</f>
        <v>56101295.903453156</v>
      </c>
      <c r="B3375">
        <v>193490763.10996991</v>
      </c>
    </row>
    <row r="3376" spans="1:2" x14ac:dyDescent="0.25">
      <c r="A3376">
        <f ca="1">32928.8396011513*((RANDBETWEEN(1620,2416)))</f>
        <v>55715596.60514798</v>
      </c>
      <c r="B3376">
        <v>197207323.2006593</v>
      </c>
    </row>
    <row r="3377" spans="1:2" x14ac:dyDescent="0.25">
      <c r="A3377">
        <f ca="1">31255.6071156758*((RANDBETWEEN(1620,2416)))</f>
        <v>64792873.550795868</v>
      </c>
      <c r="B3377">
        <v>179946903.28151435</v>
      </c>
    </row>
    <row r="3378" spans="1:2" x14ac:dyDescent="0.25">
      <c r="A3378">
        <f ca="1">40330.7497152746*((RANDBETWEEN(1620,2416)))</f>
        <v>80338853.432827055</v>
      </c>
      <c r="B3378">
        <v>170360718.33009857</v>
      </c>
    </row>
    <row r="3379" spans="1:2" x14ac:dyDescent="0.25">
      <c r="A3379">
        <f ca="1">31479.2156250047*((RANDBETWEEN(1620,2416)))</f>
        <v>72622550.44688578</v>
      </c>
      <c r="B3379">
        <v>146265493.83456609</v>
      </c>
    </row>
    <row r="3380" spans="1:2" x14ac:dyDescent="0.25">
      <c r="A3380">
        <f ca="1">34213.9073172559*((RANDBETWEEN(1620,2416)))</f>
        <v>66990830.527187079</v>
      </c>
      <c r="B3380">
        <v>146033722.61557072</v>
      </c>
    </row>
    <row r="3381" spans="1:2" x14ac:dyDescent="0.25">
      <c r="A3381">
        <f ca="1">30404.679461742*((RANDBETWEEN(1620,2416)))</f>
        <v>52964951.622354545</v>
      </c>
      <c r="B3381">
        <v>161533140.56368783</v>
      </c>
    </row>
    <row r="3382" spans="1:2" x14ac:dyDescent="0.25">
      <c r="A3382">
        <f ca="1">38705.9385384188*((RANDBETWEEN(1620,2416)))</f>
        <v>90300954.610131174</v>
      </c>
      <c r="B3382">
        <v>163558875.63567621</v>
      </c>
    </row>
    <row r="3383" spans="1:2" x14ac:dyDescent="0.25">
      <c r="A3383">
        <f ca="1">33497.3464446949*((RANDBETWEEN(1620,2416)))</f>
        <v>68133602.668509409</v>
      </c>
      <c r="B3383">
        <v>163624961.67972171</v>
      </c>
    </row>
    <row r="3384" spans="1:2" x14ac:dyDescent="0.25">
      <c r="A3384">
        <f ca="1">30531.6434936427*((RANDBETWEEN(1620,2416)))</f>
        <v>54926426.645063154</v>
      </c>
      <c r="B3384">
        <v>157181356.44205034</v>
      </c>
    </row>
    <row r="3385" spans="1:2" x14ac:dyDescent="0.25">
      <c r="A3385">
        <f ca="1">33232.5614087799*((RANDBETWEEN(1620,2416)))</f>
        <v>75404681.83652164</v>
      </c>
      <c r="B3385">
        <v>165462225.23177189</v>
      </c>
    </row>
    <row r="3386" spans="1:2" x14ac:dyDescent="0.25">
      <c r="A3386">
        <f ca="1">31211.0729146971*((RANDBETWEEN(1620,2416)))</f>
        <v>62952734.068944044</v>
      </c>
      <c r="B3386">
        <v>182449175.7842502</v>
      </c>
    </row>
    <row r="3387" spans="1:2" x14ac:dyDescent="0.25">
      <c r="A3387">
        <f ca="1">32137.1745276948*((RANDBETWEEN(1620,2416)))</f>
        <v>60385750.937538624</v>
      </c>
      <c r="B3387">
        <v>155647703.64861697</v>
      </c>
    </row>
    <row r="3388" spans="1:2" x14ac:dyDescent="0.25">
      <c r="A3388">
        <f ca="1">28741.8112992513*((RANDBETWEEN(1620,2416)))</f>
        <v>55299244.939759523</v>
      </c>
      <c r="B3388">
        <v>144869098.61819389</v>
      </c>
    </row>
    <row r="3389" spans="1:2" x14ac:dyDescent="0.25">
      <c r="A3389">
        <f ca="1">31064.0783384658*((RANDBETWEEN(1620,2416)))</f>
        <v>58245146.884623416</v>
      </c>
      <c r="B3389">
        <v>143452774.27565473</v>
      </c>
    </row>
    <row r="3390" spans="1:2" x14ac:dyDescent="0.25">
      <c r="A3390">
        <f ca="1">31983.6494129867*((RANDBETWEEN(1620,2416)))</f>
        <v>61760427.016477391</v>
      </c>
      <c r="B3390">
        <v>195153864.90696895</v>
      </c>
    </row>
    <row r="3391" spans="1:2" x14ac:dyDescent="0.25">
      <c r="A3391">
        <f ca="1">34691.0058999216*((RANDBETWEEN(1620,2416)))</f>
        <v>75210100.791030049</v>
      </c>
      <c r="B3391">
        <v>155164569.9634892</v>
      </c>
    </row>
    <row r="3392" spans="1:2" x14ac:dyDescent="0.25">
      <c r="A3392">
        <f ca="1">32653.2074395531*((RANDBETWEEN(1620,2416)))</f>
        <v>72098282.026533246</v>
      </c>
      <c r="B3392">
        <v>160077336.71430829</v>
      </c>
    </row>
    <row r="3393" spans="1:2" x14ac:dyDescent="0.25">
      <c r="A3393">
        <f ca="1">32365.611264614*((RANDBETWEEN(1620,2416)))</f>
        <v>55992507.487782285</v>
      </c>
      <c r="B3393">
        <v>164184171.11839595</v>
      </c>
    </row>
    <row r="3394" spans="1:2" x14ac:dyDescent="0.25">
      <c r="A3394">
        <f ca="1">31043.1146960815*((RANDBETWEEN(1620,2416)))</f>
        <v>70064309.869056031</v>
      </c>
      <c r="B3394">
        <v>172617945.86450201</v>
      </c>
    </row>
    <row r="3395" spans="1:2" x14ac:dyDescent="0.25">
      <c r="A3395">
        <f ca="1">38871.4515622145*((RANDBETWEEN(1620,2416)))</f>
        <v>87499637.466544822</v>
      </c>
      <c r="B3395">
        <v>191189938.79933774</v>
      </c>
    </row>
    <row r="3396" spans="1:2" x14ac:dyDescent="0.25">
      <c r="A3396">
        <f ca="1">40774.2231927083*((RANDBETWEEN(1620,2416)))</f>
        <v>83913351.33059375</v>
      </c>
      <c r="B3396">
        <v>183115963.39988911</v>
      </c>
    </row>
    <row r="3397" spans="1:2" x14ac:dyDescent="0.25">
      <c r="A3397">
        <f ca="1">31285.999383591*((RANDBETWEEN(1620,2416)))</f>
        <v>51496754.985390849</v>
      </c>
      <c r="B3397">
        <v>171835154.38016063</v>
      </c>
    </row>
    <row r="3398" spans="1:2" x14ac:dyDescent="0.25">
      <c r="A3398">
        <f ca="1">32877.8639065043*((RANDBETWEEN(1620,2416)))</f>
        <v>57240361.061224014</v>
      </c>
      <c r="B3398">
        <v>144027506.56762713</v>
      </c>
    </row>
    <row r="3399" spans="1:2" x14ac:dyDescent="0.25">
      <c r="A3399">
        <f ca="1">32595.6777348241*((RANDBETWEEN(1620,2416)))</f>
        <v>58998176.700031541</v>
      </c>
      <c r="B3399">
        <v>147192873.07049924</v>
      </c>
    </row>
    <row r="3400" spans="1:2" x14ac:dyDescent="0.25">
      <c r="A3400">
        <f ca="1">38167.3460272804*((RANDBETWEEN(1620,2416)))</f>
        <v>90990952.929036513</v>
      </c>
      <c r="B3400">
        <v>160957370.02761382</v>
      </c>
    </row>
    <row r="3401" spans="1:2" x14ac:dyDescent="0.25">
      <c r="A3401">
        <f ca="1">30499.4262815481*((RANDBETWEEN(1620,2416)))</f>
        <v>72192142.008424237</v>
      </c>
      <c r="B3401">
        <v>175553432.23234838</v>
      </c>
    </row>
    <row r="3402" spans="1:2" x14ac:dyDescent="0.25">
      <c r="A3402">
        <f ca="1">31973.5403177421*((RANDBETWEEN(1620,2416)))</f>
        <v>70181920.997444004</v>
      </c>
      <c r="B3402">
        <v>201815045.43295574</v>
      </c>
    </row>
    <row r="3403" spans="1:2" x14ac:dyDescent="0.25">
      <c r="A3403">
        <f ca="1">33686.7217866786*((RANDBETWEEN(1620,2416)))</f>
        <v>65958601.258316748</v>
      </c>
      <c r="B3403">
        <v>165848922.01555234</v>
      </c>
    </row>
    <row r="3404" spans="1:2" x14ac:dyDescent="0.25">
      <c r="A3404">
        <f ca="1">32429.4934265354*((RANDBETWEEN(1620,2416)))</f>
        <v>75398572.216694757</v>
      </c>
      <c r="B3404">
        <v>162675770.53958762</v>
      </c>
    </row>
    <row r="3405" spans="1:2" x14ac:dyDescent="0.25">
      <c r="A3405">
        <f ca="1">37338.5695597808*((RANDBETWEEN(1620,2416)))</f>
        <v>88156362.730642468</v>
      </c>
      <c r="B3405">
        <v>158304107.52648032</v>
      </c>
    </row>
    <row r="3406" spans="1:2" x14ac:dyDescent="0.25">
      <c r="A3406">
        <f ca="1">29579.5025912072*((RANDBETWEEN(1620,2416)))</f>
        <v>63240976.540001005</v>
      </c>
      <c r="B3406">
        <v>146463516.74605685</v>
      </c>
    </row>
    <row r="3407" spans="1:2" x14ac:dyDescent="0.25">
      <c r="A3407">
        <f ca="1">31865.6859853793*((RANDBETWEEN(1620,2416)))</f>
        <v>68065105.264770076</v>
      </c>
      <c r="B3407">
        <v>183394662.09218246</v>
      </c>
    </row>
    <row r="3408" spans="1:2" x14ac:dyDescent="0.25">
      <c r="A3408">
        <f ca="1">32472.6814879404*((RANDBETWEEN(1620,2416)))</f>
        <v>70952809.051149666</v>
      </c>
      <c r="B3408">
        <v>191759857.56654239</v>
      </c>
    </row>
    <row r="3409" spans="1:2" x14ac:dyDescent="0.25">
      <c r="A3409">
        <f ca="1">35714.1427515295*((RANDBETWEEN(1620,2416)))</f>
        <v>70142576.364004031</v>
      </c>
      <c r="B3409">
        <v>171180060.02541286</v>
      </c>
    </row>
    <row r="3410" spans="1:2" x14ac:dyDescent="0.25">
      <c r="A3410">
        <f ca="1">31463.1774805135*((RANDBETWEEN(1620,2416)))</f>
        <v>53581791.249314442</v>
      </c>
      <c r="B3410">
        <v>164337416.0942429</v>
      </c>
    </row>
    <row r="3411" spans="1:2" x14ac:dyDescent="0.25">
      <c r="A3411">
        <f ca="1">33262.2633882309*((RANDBETWEEN(1620,2416)))</f>
        <v>55281881.751239672</v>
      </c>
      <c r="B3411">
        <v>149726408.7375021</v>
      </c>
    </row>
    <row r="3412" spans="1:2" x14ac:dyDescent="0.25">
      <c r="A3412">
        <f ca="1">31262.3966407331*((RANDBETWEEN(1620,2416)))</f>
        <v>58773305.684578292</v>
      </c>
      <c r="B3412">
        <v>145546937.30830976</v>
      </c>
    </row>
    <row r="3413" spans="1:2" x14ac:dyDescent="0.25">
      <c r="A3413">
        <f ca="1">30364.7246525969*((RANDBETWEEN(1620,2416)))</f>
        <v>50800184.343794554</v>
      </c>
      <c r="B3413">
        <v>175925748.66789594</v>
      </c>
    </row>
    <row r="3414" spans="1:2" x14ac:dyDescent="0.25">
      <c r="A3414">
        <f ca="1">30222.8094674753*((RANDBETWEEN(1620,2416)))</f>
        <v>64646589.450929731</v>
      </c>
      <c r="B3414">
        <v>154113571.863415</v>
      </c>
    </row>
    <row r="3415" spans="1:2" x14ac:dyDescent="0.25">
      <c r="A3415">
        <f ca="1">29930.3455995014*((RANDBETWEEN(1620,2416)))</f>
        <v>51240751.666346453</v>
      </c>
      <c r="B3415">
        <v>163752179.16415784</v>
      </c>
    </row>
    <row r="3416" spans="1:2" x14ac:dyDescent="0.25">
      <c r="A3416">
        <f ca="1">39042.1362560902*((RANDBETWEEN(1620,2416)))</f>
        <v>64497609.095060982</v>
      </c>
      <c r="B3416">
        <v>167688179.75766304</v>
      </c>
    </row>
    <row r="3417" spans="1:2" x14ac:dyDescent="0.25">
      <c r="A3417">
        <f ca="1">32306.8522727535*((RANDBETWEEN(1620,2416)))</f>
        <v>75210352.090970248</v>
      </c>
      <c r="B3417">
        <v>153759338.08827192</v>
      </c>
    </row>
    <row r="3418" spans="1:2" x14ac:dyDescent="0.25">
      <c r="A3418">
        <f ca="1">31701.2136303331*((RANDBETWEEN(1620,2416)))</f>
        <v>63434128.474296547</v>
      </c>
      <c r="B3418">
        <v>170076125.23250693</v>
      </c>
    </row>
    <row r="3419" spans="1:2" x14ac:dyDescent="0.25">
      <c r="A3419">
        <f ca="1">31143.7745812173*((RANDBETWEEN(1620,2416)))</f>
        <v>74682771.445759088</v>
      </c>
      <c r="B3419">
        <v>168680472.12679282</v>
      </c>
    </row>
    <row r="3420" spans="1:2" x14ac:dyDescent="0.25">
      <c r="A3420">
        <f ca="1">32666.5096243529*((RANDBETWEEN(1620,2416)))</f>
        <v>78726288.194690585</v>
      </c>
      <c r="B3420">
        <v>171958089.93553355</v>
      </c>
    </row>
    <row r="3421" spans="1:2" x14ac:dyDescent="0.25">
      <c r="A3421">
        <f ca="1">32296.4782107924*((RANDBETWEEN(1620,2416)))</f>
        <v>56195872.086778708</v>
      </c>
      <c r="B3421">
        <v>191989698.66615933</v>
      </c>
    </row>
    <row r="3422" spans="1:2" x14ac:dyDescent="0.25">
      <c r="A3422">
        <f ca="1">32131.1277337772*((RANDBETWEEN(1620,2416)))</f>
        <v>67154056.963594258</v>
      </c>
      <c r="B3422">
        <v>154885715.89844933</v>
      </c>
    </row>
    <row r="3423" spans="1:2" x14ac:dyDescent="0.25">
      <c r="A3423">
        <f ca="1">33672.9831536901*((RANDBETWEEN(1620,2416)))</f>
        <v>70174496.89229016</v>
      </c>
      <c r="B3423">
        <v>183022095.2399388</v>
      </c>
    </row>
    <row r="3424" spans="1:2" x14ac:dyDescent="0.25">
      <c r="A3424">
        <f ca="1">33055.8742283839*((RANDBETWEEN(1620,2416)))</f>
        <v>67929821.539328992</v>
      </c>
      <c r="B3424">
        <v>149441845.57990989</v>
      </c>
    </row>
    <row r="3425" spans="1:2" x14ac:dyDescent="0.25">
      <c r="A3425">
        <f ca="1">40508.6744749638*((RANDBETWEEN(1620,2416)))</f>
        <v>85716355.189023465</v>
      </c>
      <c r="B3425">
        <v>150462806.65439019</v>
      </c>
    </row>
    <row r="3426" spans="1:2" x14ac:dyDescent="0.25">
      <c r="A3426">
        <f ca="1">30835.404058714*((RANDBETWEEN(1620,2416)))</f>
        <v>53561096.849986203</v>
      </c>
      <c r="B3426">
        <v>183191855.71617687</v>
      </c>
    </row>
    <row r="3427" spans="1:2" x14ac:dyDescent="0.25">
      <c r="A3427">
        <f ca="1">32180.5432160395*((RANDBETWEEN(1620,2416)))</f>
        <v>55768881.393396415</v>
      </c>
      <c r="B3427">
        <v>149926041.21081096</v>
      </c>
    </row>
    <row r="3428" spans="1:2" x14ac:dyDescent="0.25">
      <c r="A3428">
        <f ca="1">36084.5413685033*((RANDBETWEEN(1620,2416)))</f>
        <v>67875022.314154789</v>
      </c>
      <c r="B3428">
        <v>159795593.9882077</v>
      </c>
    </row>
    <row r="3429" spans="1:2" x14ac:dyDescent="0.25">
      <c r="A3429">
        <f ca="1">28875.7428987487*((RANDBETWEEN(1620,2416)))</f>
        <v>64652788.350298315</v>
      </c>
      <c r="B3429">
        <v>170098546.72929242</v>
      </c>
    </row>
    <row r="3430" spans="1:2" x14ac:dyDescent="0.25">
      <c r="A3430">
        <f ca="1">34063.2598774358*((RANDBETWEEN(1620,2416)))</f>
        <v>69795619.488865882</v>
      </c>
      <c r="B3430">
        <v>186892305.9213298</v>
      </c>
    </row>
    <row r="3431" spans="1:2" x14ac:dyDescent="0.25">
      <c r="A3431">
        <f ca="1">37461.7096827348*((RANDBETWEEN(1620,2416)))</f>
        <v>89645871.270784482</v>
      </c>
      <c r="B3431">
        <v>147239025.65905806</v>
      </c>
    </row>
    <row r="3432" spans="1:2" x14ac:dyDescent="0.25">
      <c r="A3432">
        <f ca="1">28184.1449213431*((RANDBETWEEN(1620,2416)))</f>
        <v>59045783.610213853</v>
      </c>
      <c r="B3432">
        <v>154358646.96367711</v>
      </c>
    </row>
    <row r="3433" spans="1:2" x14ac:dyDescent="0.25">
      <c r="A3433">
        <f ca="1">30913.1585682693*((RANDBETWEEN(1620,2416)))</f>
        <v>62939190.844996341</v>
      </c>
      <c r="B3433">
        <v>147014040.77558735</v>
      </c>
    </row>
    <row r="3434" spans="1:2" x14ac:dyDescent="0.25">
      <c r="A3434">
        <f ca="1">32573.2907463776*((RANDBETWEEN(1620,2416)))</f>
        <v>58371337.017508656</v>
      </c>
      <c r="B3434">
        <v>178312127.93244821</v>
      </c>
    </row>
    <row r="3435" spans="1:2" x14ac:dyDescent="0.25">
      <c r="A3435">
        <f ca="1">29052.9397760942*((RANDBETWEEN(1620,2416)))</f>
        <v>61853708.783304617</v>
      </c>
      <c r="B3435">
        <v>176103802.08242148</v>
      </c>
    </row>
    <row r="3436" spans="1:2" x14ac:dyDescent="0.25">
      <c r="A3436">
        <f ca="1">33778.169568171*((RANDBETWEEN(1620,2416)))</f>
        <v>61712715.801048495</v>
      </c>
      <c r="B3436">
        <v>173171214.6994772</v>
      </c>
    </row>
    <row r="3437" spans="1:2" x14ac:dyDescent="0.25">
      <c r="A3437">
        <f ca="1">36826.5942404258*((RANDBETWEEN(1620,2416)))</f>
        <v>76930755.368249565</v>
      </c>
      <c r="B3437">
        <v>152475934.23139942</v>
      </c>
    </row>
    <row r="3438" spans="1:2" x14ac:dyDescent="0.25">
      <c r="A3438">
        <f ca="1">34047.5816783976*((RANDBETWEEN(1620,2416)))</f>
        <v>64043501.13706591</v>
      </c>
      <c r="B3438">
        <v>197735059.01563323</v>
      </c>
    </row>
    <row r="3439" spans="1:2" x14ac:dyDescent="0.25">
      <c r="A3439">
        <f ca="1">32302.3148861151*((RANDBETWEEN(1620,2416)))</f>
        <v>71129697.379225358</v>
      </c>
      <c r="B3439">
        <v>177100953.29514861</v>
      </c>
    </row>
    <row r="3440" spans="1:2" x14ac:dyDescent="0.25">
      <c r="A3440">
        <f ca="1">32115.9219473615*((RANDBETWEEN(1620,2416)))</f>
        <v>66126683.28961727</v>
      </c>
      <c r="B3440">
        <v>180650960.34222576</v>
      </c>
    </row>
    <row r="3441" spans="1:2" x14ac:dyDescent="0.25">
      <c r="A3441">
        <f ca="1">30945.7399928047*((RANDBETWEEN(1620,2416)))</f>
        <v>69256566.103896856</v>
      </c>
      <c r="B3441">
        <v>145548622.41519955</v>
      </c>
    </row>
    <row r="3442" spans="1:2" x14ac:dyDescent="0.25">
      <c r="A3442">
        <f ca="1">34003.0852929855*((RANDBETWEEN(1620,2416)))</f>
        <v>72528580.929937974</v>
      </c>
      <c r="B3442">
        <v>170815288.13858899</v>
      </c>
    </row>
    <row r="3443" spans="1:2" x14ac:dyDescent="0.25">
      <c r="A3443">
        <f ca="1">40698.7321944578*((RANDBETWEEN(1620,2416)))</f>
        <v>94461757.423336625</v>
      </c>
      <c r="B3443">
        <v>165387324.71860605</v>
      </c>
    </row>
    <row r="3444" spans="1:2" x14ac:dyDescent="0.25">
      <c r="A3444">
        <f ca="1">30976.8576418983*((RANDBETWEEN(1620,2416)))</f>
        <v>55262714.03314656</v>
      </c>
      <c r="B3444">
        <v>149269714.52052176</v>
      </c>
    </row>
    <row r="3445" spans="1:2" x14ac:dyDescent="0.25">
      <c r="A3445">
        <f ca="1">30704.2232595188*((RANDBETWEEN(1620,2416)))</f>
        <v>54254362.499569684</v>
      </c>
      <c r="B3445">
        <v>163313550.38328385</v>
      </c>
    </row>
    <row r="3446" spans="1:2" x14ac:dyDescent="0.25">
      <c r="A3446">
        <f ca="1">35017.491071547*((RANDBETWEEN(1620,2416)))</f>
        <v>67618775.2591573</v>
      </c>
      <c r="B3446">
        <v>145552719.63653326</v>
      </c>
    </row>
    <row r="3447" spans="1:2" x14ac:dyDescent="0.25">
      <c r="A3447">
        <f ca="1">30087.3417626217*((RANDBETWEEN(1620,2416)))</f>
        <v>56142979.729052037</v>
      </c>
      <c r="B3447">
        <v>176340234.96607095</v>
      </c>
    </row>
    <row r="3448" spans="1:2" x14ac:dyDescent="0.25">
      <c r="A3448">
        <f ca="1">33086.6408183552*((RANDBETWEEN(1620,2416)))</f>
        <v>73187649.490201622</v>
      </c>
      <c r="B3448">
        <v>183875674.36903232</v>
      </c>
    </row>
    <row r="3449" spans="1:2" x14ac:dyDescent="0.25">
      <c r="A3449">
        <f ca="1">30535.2926527278*((RANDBETWEEN(1620,2416)))</f>
        <v>65192849.813573837</v>
      </c>
      <c r="B3449">
        <v>143842030.08192471</v>
      </c>
    </row>
    <row r="3450" spans="1:2" x14ac:dyDescent="0.25">
      <c r="A3450">
        <f ca="1">30531.8694776119*((RANDBETWEEN(1620,2416)))</f>
        <v>66376284.244328283</v>
      </c>
      <c r="B3450">
        <v>161850876.3950702</v>
      </c>
    </row>
    <row r="3451" spans="1:2" x14ac:dyDescent="0.25">
      <c r="A3451">
        <f ca="1">35813.1681227614*((RANDBETWEEN(1620,2416)))</f>
        <v>77499695.817655578</v>
      </c>
      <c r="B3451">
        <v>173232675.69018471</v>
      </c>
    </row>
    <row r="3452" spans="1:2" x14ac:dyDescent="0.25">
      <c r="A3452">
        <f ca="1">32069.0934750409*((RANDBETWEEN(1620,2416)))</f>
        <v>57692299.161598615</v>
      </c>
      <c r="B3452">
        <v>190866178.33181912</v>
      </c>
    </row>
    <row r="3453" spans="1:2" x14ac:dyDescent="0.25">
      <c r="A3453">
        <f ca="1">28789.5423495198*((RANDBETWEEN(1620,2416)))</f>
        <v>62559675.525506631</v>
      </c>
      <c r="B3453">
        <v>164309566.78144163</v>
      </c>
    </row>
    <row r="3454" spans="1:2" x14ac:dyDescent="0.25">
      <c r="A3454">
        <f ca="1">40368.4425602169*((RANDBETWEEN(1620,2416)))</f>
        <v>75811935.128087357</v>
      </c>
      <c r="B3454">
        <v>167156627.90615547</v>
      </c>
    </row>
    <row r="3455" spans="1:2" x14ac:dyDescent="0.25">
      <c r="A3455">
        <f ca="1">42146.9867792627*((RANDBETWEEN(1620,2416)))</f>
        <v>73630785.903372005</v>
      </c>
      <c r="B3455">
        <v>178391475.56233805</v>
      </c>
    </row>
    <row r="3456" spans="1:2" x14ac:dyDescent="0.25">
      <c r="A3456">
        <f ca="1">29994.4089621396*((RANDBETWEEN(1620,2416)))</f>
        <v>61788482.462007537</v>
      </c>
      <c r="B3456">
        <v>176906246.24528793</v>
      </c>
    </row>
    <row r="3457" spans="1:2" x14ac:dyDescent="0.25">
      <c r="A3457">
        <f ca="1">32242.9440536713*((RANDBETWEEN(1620,2416)))</f>
        <v>71289149.302667275</v>
      </c>
      <c r="B3457">
        <v>191942954.95714781</v>
      </c>
    </row>
    <row r="3458" spans="1:2" x14ac:dyDescent="0.25">
      <c r="A3458">
        <f ca="1">31550.7062142259*((RANDBETWEEN(1620,2416)))</f>
        <v>54645823.163039237</v>
      </c>
      <c r="B3458">
        <v>167018414.28214872</v>
      </c>
    </row>
    <row r="3459" spans="1:2" x14ac:dyDescent="0.25">
      <c r="A3459">
        <f ca="1">33434.6627557104*((RANDBETWEEN(1620,2416)))</f>
        <v>60583608.913347326</v>
      </c>
      <c r="B3459">
        <v>184575800.05385518</v>
      </c>
    </row>
    <row r="3460" spans="1:2" x14ac:dyDescent="0.25">
      <c r="A3460">
        <f ca="1">31723.9939458826*((RANDBETWEEN(1620,2416)))</f>
        <v>75915517.512497038</v>
      </c>
      <c r="B3460">
        <v>156875478.99111286</v>
      </c>
    </row>
    <row r="3461" spans="1:2" x14ac:dyDescent="0.25">
      <c r="A3461">
        <f ca="1">33463.7660602487*((RANDBETWEEN(1620,2416)))</f>
        <v>76230459.085246578</v>
      </c>
      <c r="B3461">
        <v>167891161.67238423</v>
      </c>
    </row>
    <row r="3462" spans="1:2" x14ac:dyDescent="0.25">
      <c r="A3462">
        <f ca="1">29620.5979975061*((RANDBETWEEN(1620,2416)))</f>
        <v>67979272.404276565</v>
      </c>
      <c r="B3462">
        <v>157233743.3276931</v>
      </c>
    </row>
    <row r="3463" spans="1:2" x14ac:dyDescent="0.25">
      <c r="A3463">
        <f ca="1">30747.5305842028*((RANDBETWEEN(1620,2416)))</f>
        <v>51440618.667371288</v>
      </c>
      <c r="B3463">
        <v>175328610.19907296</v>
      </c>
    </row>
    <row r="3464" spans="1:2" x14ac:dyDescent="0.25">
      <c r="A3464">
        <f ca="1">31293.631512357*((RANDBETWEEN(1620,2416)))</f>
        <v>67281307.751567438</v>
      </c>
      <c r="B3464">
        <v>163894890.62576687</v>
      </c>
    </row>
    <row r="3465" spans="1:2" x14ac:dyDescent="0.25">
      <c r="A3465">
        <f ca="1">37472.2246462351*((RANDBETWEEN(1620,2416)))</f>
        <v>81801866.402731329</v>
      </c>
      <c r="B3465">
        <v>190081300.28025237</v>
      </c>
    </row>
    <row r="3466" spans="1:2" x14ac:dyDescent="0.25">
      <c r="A3466">
        <f ca="1">33813.2804224209*((RANDBETWEEN(1620,2416)))</f>
        <v>66679788.993014008</v>
      </c>
      <c r="B3466">
        <v>157708905.0763185</v>
      </c>
    </row>
    <row r="3467" spans="1:2" x14ac:dyDescent="0.25">
      <c r="A3467">
        <f ca="1">32705.9948332587*((RANDBETWEEN(1620,2416)))</f>
        <v>59394086.61719773</v>
      </c>
      <c r="B3467">
        <v>154775663.32768002</v>
      </c>
    </row>
    <row r="3468" spans="1:2" x14ac:dyDescent="0.25">
      <c r="A3468">
        <f ca="1">30851.2770033081*((RANDBETWEEN(1620,2416)))</f>
        <v>60375949.095473953</v>
      </c>
      <c r="B3468">
        <v>171494417.02405027</v>
      </c>
    </row>
    <row r="3469" spans="1:2" x14ac:dyDescent="0.25">
      <c r="A3469">
        <f ca="1">33189.203645283*((RANDBETWEEN(1620,2416)))</f>
        <v>69365435.618641391</v>
      </c>
      <c r="B3469">
        <v>175243283.11160406</v>
      </c>
    </row>
    <row r="3470" spans="1:2" x14ac:dyDescent="0.25">
      <c r="A3470">
        <f ca="1">31181.7881016546*((RANDBETWEEN(1620,2416)))</f>
        <v>74961018.59637773</v>
      </c>
      <c r="B3470">
        <v>145109197.34981</v>
      </c>
    </row>
    <row r="3471" spans="1:2" x14ac:dyDescent="0.25">
      <c r="A3471">
        <f ca="1">28913.8162883308*((RANDBETWEEN(1620,2416)))</f>
        <v>49269142.955315746</v>
      </c>
      <c r="B3471">
        <v>179721375.07369441</v>
      </c>
    </row>
    <row r="3472" spans="1:2" x14ac:dyDescent="0.25">
      <c r="A3472">
        <f ca="1">32166.4826850838*((RANDBETWEEN(1620,2416)))</f>
        <v>75398235.413836494</v>
      </c>
      <c r="B3472">
        <v>169646406.23905212</v>
      </c>
    </row>
    <row r="3473" spans="1:2" x14ac:dyDescent="0.25">
      <c r="A3473">
        <f ca="1">40921.206947832*((RANDBETWEEN(1620,2416)))</f>
        <v>76972790.268871948</v>
      </c>
      <c r="B3473">
        <v>164992430.0443131</v>
      </c>
    </row>
    <row r="3474" spans="1:2" x14ac:dyDescent="0.25">
      <c r="A3474">
        <f ca="1">31258.2580950057*((RANDBETWEEN(1620,2416)))</f>
        <v>53764203.923409745</v>
      </c>
      <c r="B3474">
        <v>148070437.03737208</v>
      </c>
    </row>
    <row r="3475" spans="1:2" x14ac:dyDescent="0.25">
      <c r="A3475">
        <f ca="1">34039.0359812592*((RANDBETWEEN(1620,2416)))</f>
        <v>75430503.734470353</v>
      </c>
      <c r="B3475">
        <v>183863262.39352027</v>
      </c>
    </row>
    <row r="3476" spans="1:2" x14ac:dyDescent="0.25">
      <c r="A3476">
        <f ca="1">30967.9302009285*((RANDBETWEEN(1620,2416)))</f>
        <v>54224845.781825848</v>
      </c>
      <c r="B3476">
        <v>164814003.6646027</v>
      </c>
    </row>
    <row r="3477" spans="1:2" x14ac:dyDescent="0.25">
      <c r="A3477">
        <f ca="1">36343.7142121344*((RANDBETWEEN(1620,2416)))</f>
        <v>83844948.687394127</v>
      </c>
      <c r="B3477">
        <v>146219596.65515402</v>
      </c>
    </row>
    <row r="3478" spans="1:2" x14ac:dyDescent="0.25">
      <c r="A3478">
        <f ca="1">35101.2503398518*((RANDBETWEEN(1620,2416)))</f>
        <v>63322655.613092557</v>
      </c>
      <c r="B3478">
        <v>201105031.06290442</v>
      </c>
    </row>
    <row r="3479" spans="1:2" x14ac:dyDescent="0.25">
      <c r="A3479">
        <f ca="1">31026.0879454588*((RANDBETWEEN(1620,2416)))</f>
        <v>61586784.57173571</v>
      </c>
      <c r="B3479">
        <v>153918070.35272747</v>
      </c>
    </row>
    <row r="3480" spans="1:2" x14ac:dyDescent="0.25">
      <c r="A3480">
        <f ca="1">41717.0154936914*((RANDBETWEEN(1620,2416)))</f>
        <v>92486623.349513873</v>
      </c>
      <c r="B3480">
        <v>201046796.27208093</v>
      </c>
    </row>
    <row r="3481" spans="1:2" x14ac:dyDescent="0.25">
      <c r="A3481">
        <f ca="1">33024.6919101733*((RANDBETWEEN(1620,2416)))</f>
        <v>59576544.205952607</v>
      </c>
      <c r="B3481">
        <v>151139717.24868715</v>
      </c>
    </row>
    <row r="3482" spans="1:2" x14ac:dyDescent="0.25">
      <c r="A3482">
        <f ca="1">39778.156121291*((RANDBETWEEN(1620,2416)))</f>
        <v>71998462.579536647</v>
      </c>
      <c r="B3482">
        <v>156587003.53321341</v>
      </c>
    </row>
    <row r="3483" spans="1:2" x14ac:dyDescent="0.25">
      <c r="A3483">
        <f ca="1">37272.7559980102*((RANDBETWEEN(1620,2416)))</f>
        <v>81776426.659634411</v>
      </c>
      <c r="B3483">
        <v>156648431.70213741</v>
      </c>
    </row>
    <row r="3484" spans="1:2" x14ac:dyDescent="0.25">
      <c r="A3484">
        <f ca="1">36372.7850968212*((RANDBETWEEN(1620,2416)))</f>
        <v>60669805.541497789</v>
      </c>
      <c r="B3484">
        <v>178725538.42750329</v>
      </c>
    </row>
    <row r="3485" spans="1:2" x14ac:dyDescent="0.25">
      <c r="A3485">
        <f ca="1">31968.7540134851*((RANDBETWEEN(1620,2416)))</f>
        <v>56392882.079787694</v>
      </c>
      <c r="B3485">
        <v>185765802.70641366</v>
      </c>
    </row>
    <row r="3486" spans="1:2" x14ac:dyDescent="0.25">
      <c r="A3486">
        <f ca="1">33327.4179191861*((RANDBETWEEN(1620,2416)))</f>
        <v>67887950.301382139</v>
      </c>
      <c r="B3486">
        <v>143781855.59244281</v>
      </c>
    </row>
    <row r="3487" spans="1:2" x14ac:dyDescent="0.25">
      <c r="A3487">
        <f ca="1">34748.9099468923*((RANDBETWEEN(1620,2416)))</f>
        <v>75752623.684225261</v>
      </c>
      <c r="B3487">
        <v>178458175.80306274</v>
      </c>
    </row>
    <row r="3488" spans="1:2" x14ac:dyDescent="0.25">
      <c r="A3488">
        <f ca="1">33501.7366016104*((RANDBETWEEN(1620,2416)))</f>
        <v>56751941.803128064</v>
      </c>
      <c r="B3488">
        <v>200976894.72563565</v>
      </c>
    </row>
    <row r="3489" spans="1:2" x14ac:dyDescent="0.25">
      <c r="A3489">
        <f ca="1">37961.3020253061*((RANDBETWEEN(1620,2416)))</f>
        <v>78086398.26605463</v>
      </c>
      <c r="B3489">
        <v>151464368.92446294</v>
      </c>
    </row>
    <row r="3490" spans="1:2" x14ac:dyDescent="0.25">
      <c r="A3490">
        <f ca="1">41650.3845638126*((RANDBETWEEN(1620,2416)))</f>
        <v>72221766.833651081</v>
      </c>
      <c r="B3490">
        <v>155511261.28417727</v>
      </c>
    </row>
    <row r="3491" spans="1:2" x14ac:dyDescent="0.25">
      <c r="A3491">
        <f ca="1">31540.763206056*((RANDBETWEEN(1620,2416)))</f>
        <v>69295056.763705045</v>
      </c>
      <c r="B3491">
        <v>156586541.93941742</v>
      </c>
    </row>
    <row r="3492" spans="1:2" x14ac:dyDescent="0.25">
      <c r="A3492">
        <f ca="1">31010.6620285983*((RANDBETWEEN(1620,2416)))</f>
        <v>71324522.665776074</v>
      </c>
      <c r="B3492">
        <v>163008239.00455591</v>
      </c>
    </row>
    <row r="3493" spans="1:2" x14ac:dyDescent="0.25">
      <c r="A3493">
        <f ca="1">33006.4587530623*((RANDBETWEEN(1620,2416)))</f>
        <v>67036117.727469608</v>
      </c>
      <c r="B3493">
        <v>201168745.43144554</v>
      </c>
    </row>
    <row r="3494" spans="1:2" x14ac:dyDescent="0.25">
      <c r="A3494">
        <f ca="1">31838.5382737197*((RANDBETWEEN(1620,2416)))</f>
        <v>55208025.366629981</v>
      </c>
      <c r="B3494">
        <v>157489514.45304167</v>
      </c>
    </row>
    <row r="3495" spans="1:2" x14ac:dyDescent="0.25">
      <c r="A3495">
        <f ca="1">39714.9460123325*((RANDBETWEEN(1620,2416)))</f>
        <v>90113212.501982555</v>
      </c>
      <c r="B3495">
        <v>152099235.32026079</v>
      </c>
    </row>
    <row r="3496" spans="1:2" x14ac:dyDescent="0.25">
      <c r="A3496">
        <f ca="1">31687.2814945093*((RANDBETWEEN(1620,2416)))</f>
        <v>51650268.836050093</v>
      </c>
      <c r="B3496">
        <v>161044369.79311204</v>
      </c>
    </row>
    <row r="3497" spans="1:2" x14ac:dyDescent="0.25">
      <c r="A3497">
        <f ca="1">38163.9119168031*((RANDBETWEEN(1620,2416)))</f>
        <v>70259761.838834509</v>
      </c>
      <c r="B3497">
        <v>152043979.53710705</v>
      </c>
    </row>
    <row r="3498" spans="1:2" x14ac:dyDescent="0.25">
      <c r="A3498">
        <f ca="1">34363.5144063816*((RANDBETWEEN(1620,2416)))</f>
        <v>67077580.121256836</v>
      </c>
      <c r="B3498">
        <v>184644598.54924354</v>
      </c>
    </row>
    <row r="3499" spans="1:2" x14ac:dyDescent="0.25">
      <c r="A3499">
        <f ca="1">33775.1153068374*((RANDBETWEEN(1620,2416)))</f>
        <v>80823850.929261878</v>
      </c>
      <c r="B3499">
        <v>148531668.58869553</v>
      </c>
    </row>
    <row r="3500" spans="1:2" x14ac:dyDescent="0.25">
      <c r="A3500">
        <f ca="1">29955.7301407252*((RANDBETWEEN(1620,2416)))</f>
        <v>49217264.621211462</v>
      </c>
      <c r="B3500">
        <v>186870048.59175089</v>
      </c>
    </row>
    <row r="3501" spans="1:2" x14ac:dyDescent="0.25">
      <c r="A3501">
        <f ca="1">33717.4217696396*((RANDBETWEEN(1620,2416)))</f>
        <v>74852676.328599915</v>
      </c>
      <c r="B3501">
        <v>179216642.06790534</v>
      </c>
    </row>
    <row r="3502" spans="1:2" x14ac:dyDescent="0.25">
      <c r="A3502">
        <f ca="1">32293.2366724585*((RANDBETWEEN(1620,2416)))</f>
        <v>53477599.929591253</v>
      </c>
      <c r="B3502">
        <v>151292173.99106616</v>
      </c>
    </row>
    <row r="3503" spans="1:2" x14ac:dyDescent="0.25">
      <c r="A3503">
        <f ca="1">40677.311670636*((RANDBETWEEN(1620,2416)))</f>
        <v>89205344.493704751</v>
      </c>
      <c r="B3503">
        <v>174606197.01541737</v>
      </c>
    </row>
    <row r="3504" spans="1:2" x14ac:dyDescent="0.25">
      <c r="A3504">
        <f ca="1">33834.4917115731*((RANDBETWEEN(1620,2416)))</f>
        <v>54879545.556171641</v>
      </c>
      <c r="B3504">
        <v>197415102.90888116</v>
      </c>
    </row>
    <row r="3505" spans="1:2" x14ac:dyDescent="0.25">
      <c r="A3505">
        <f ca="1">31337.4343857649*((RANDBETWEEN(1620,2416)))</f>
        <v>52803576.94001393</v>
      </c>
      <c r="B3505">
        <v>172813444.32287765</v>
      </c>
    </row>
    <row r="3506" spans="1:2" x14ac:dyDescent="0.25">
      <c r="A3506">
        <f ca="1">35791.1370967213*((RANDBETWEEN(1620,2416)))</f>
        <v>65175660.653129421</v>
      </c>
      <c r="B3506">
        <v>148796015.62742364</v>
      </c>
    </row>
    <row r="3507" spans="1:2" x14ac:dyDescent="0.25">
      <c r="A3507">
        <f ca="1">40891.0049221384*((RANDBETWEEN(1620,2416)))</f>
        <v>86443584.40540047</v>
      </c>
      <c r="B3507">
        <v>166164737.03239387</v>
      </c>
    </row>
    <row r="3508" spans="1:2" x14ac:dyDescent="0.25">
      <c r="A3508">
        <f ca="1">28112.8848689093*((RANDBETWEEN(1620,2416)))</f>
        <v>57912542.829953134</v>
      </c>
      <c r="B3508">
        <v>187070185.47933728</v>
      </c>
    </row>
    <row r="3509" spans="1:2" x14ac:dyDescent="0.25">
      <c r="A3509">
        <f ca="1">38866.3414912629*((RANDBETWEEN(1620,2416)))</f>
        <v>86361010.79358612</v>
      </c>
      <c r="B3509">
        <v>182507316.61640927</v>
      </c>
    </row>
    <row r="3510" spans="1:2" x14ac:dyDescent="0.25">
      <c r="A3510">
        <f ca="1">42114.9474694371*((RANDBETWEEN(1620,2416)))</f>
        <v>85619688.205365524</v>
      </c>
      <c r="B3510">
        <v>156701931.94561458</v>
      </c>
    </row>
    <row r="3511" spans="1:2" x14ac:dyDescent="0.25">
      <c r="A3511">
        <f ca="1">31211.3759075503*((RANDBETWEEN(1620,2416)))</f>
        <v>70693766.430601478</v>
      </c>
      <c r="B3511">
        <v>183524182.44931707</v>
      </c>
    </row>
    <row r="3512" spans="1:2" x14ac:dyDescent="0.25">
      <c r="A3512">
        <f ca="1">35897.5572236752*((RANDBETWEEN(1620,2416)))</f>
        <v>71113060.860100508</v>
      </c>
      <c r="B3512">
        <v>173983309.75079733</v>
      </c>
    </row>
    <row r="3513" spans="1:2" x14ac:dyDescent="0.25">
      <c r="A3513">
        <f ca="1">30812.9186957201*((RANDBETWEEN(1620,2416)))</f>
        <v>69390692.902761579</v>
      </c>
      <c r="B3513">
        <v>198251081.83037424</v>
      </c>
    </row>
    <row r="3514" spans="1:2" x14ac:dyDescent="0.25">
      <c r="A3514">
        <f ca="1">38023.5633017356*((RANDBETWEEN(1620,2416)))</f>
        <v>72663029.469616815</v>
      </c>
      <c r="B3514">
        <v>188177975.99364835</v>
      </c>
    </row>
    <row r="3515" spans="1:2" x14ac:dyDescent="0.25">
      <c r="A3515">
        <f ca="1">30275.9926578445*((RANDBETWEEN(1620,2416)))</f>
        <v>55919758.439038858</v>
      </c>
      <c r="B3515">
        <v>156810262.10656559</v>
      </c>
    </row>
    <row r="3516" spans="1:2" x14ac:dyDescent="0.25">
      <c r="A3516">
        <f ca="1">30889.0941708804*((RANDBETWEEN(1620,2416)))</f>
        <v>61314851.929197669</v>
      </c>
      <c r="B3516">
        <v>152577212.06485379</v>
      </c>
    </row>
    <row r="3517" spans="1:2" x14ac:dyDescent="0.25">
      <c r="A3517">
        <f ca="1">29936.2901756095*((RANDBETWEEN(1620,2416)))</f>
        <v>51969399.744858034</v>
      </c>
      <c r="B3517">
        <v>194386169.86026096</v>
      </c>
    </row>
    <row r="3518" spans="1:2" x14ac:dyDescent="0.25">
      <c r="A3518">
        <f ca="1">33633.3810911725*((RANDBETWEEN(1620,2416)))</f>
        <v>57244014.617175646</v>
      </c>
      <c r="B3518">
        <v>170681535.06431699</v>
      </c>
    </row>
    <row r="3519" spans="1:2" x14ac:dyDescent="0.25">
      <c r="A3519">
        <f ca="1">30169.4473416912*((RANDBETWEEN(1620,2416)))</f>
        <v>49417554.745690145</v>
      </c>
      <c r="B3519">
        <v>152389849.39675003</v>
      </c>
    </row>
    <row r="3520" spans="1:2" x14ac:dyDescent="0.25">
      <c r="A3520">
        <f ca="1">31151.9326216636*((RANDBETWEEN(1620,2416)))</f>
        <v>63144967.424112096</v>
      </c>
      <c r="B3520">
        <v>166875415.72487795</v>
      </c>
    </row>
    <row r="3521" spans="1:2" x14ac:dyDescent="0.25">
      <c r="A3521">
        <f ca="1">32317.809075668*((RANDBETWEEN(1620,2416)))</f>
        <v>70808319.6847886</v>
      </c>
      <c r="B3521">
        <v>179363146.80307454</v>
      </c>
    </row>
    <row r="3522" spans="1:2" x14ac:dyDescent="0.25">
      <c r="A3522">
        <f ca="1">31666.9022050759*((RANDBETWEEN(1620,2416)))</f>
        <v>62953801.583690919</v>
      </c>
      <c r="B3522">
        <v>183334533.10781503</v>
      </c>
    </row>
    <row r="3523" spans="1:2" x14ac:dyDescent="0.25">
      <c r="A3523">
        <f ca="1">32437.0428211925*((RANDBETWEEN(1620,2416)))</f>
        <v>54202298.554212734</v>
      </c>
      <c r="B3523">
        <v>184682570.04570693</v>
      </c>
    </row>
    <row r="3524" spans="1:2" x14ac:dyDescent="0.25">
      <c r="A3524">
        <f ca="1">31942.1693694304*((RANDBETWEEN(1620,2416)))</f>
        <v>60115162.753267996</v>
      </c>
      <c r="B3524">
        <v>154913933.19401374</v>
      </c>
    </row>
    <row r="3525" spans="1:2" x14ac:dyDescent="0.25">
      <c r="A3525">
        <f ca="1">37418.823876507*((RANDBETWEEN(1620,2416)))</f>
        <v>85876200.796583563</v>
      </c>
      <c r="B3525">
        <v>202901501.18756279</v>
      </c>
    </row>
    <row r="3526" spans="1:2" x14ac:dyDescent="0.25">
      <c r="A3526">
        <f ca="1">37057.7829618163*((RANDBETWEEN(1620,2416)))</f>
        <v>73226179.132549047</v>
      </c>
      <c r="B3526">
        <v>156417162.72791523</v>
      </c>
    </row>
    <row r="3527" spans="1:2" x14ac:dyDescent="0.25">
      <c r="A3527">
        <f ca="1">36613.0623793031*((RANDBETWEEN(1620,2416)))</f>
        <v>69308527.084020749</v>
      </c>
      <c r="B3527">
        <v>192925635.90664893</v>
      </c>
    </row>
    <row r="3528" spans="1:2" x14ac:dyDescent="0.25">
      <c r="A3528">
        <f ca="1">30912.4859182655*((RANDBETWEEN(1620,2416)))</f>
        <v>72057004.675476804</v>
      </c>
      <c r="B3528">
        <v>164161462.25282961</v>
      </c>
    </row>
    <row r="3529" spans="1:2" x14ac:dyDescent="0.25">
      <c r="A3529">
        <f ca="1">28883.5023054217*((RANDBETWEEN(1620,2416)))</f>
        <v>47311176.776280798</v>
      </c>
      <c r="B3529">
        <v>189138758.73405948</v>
      </c>
    </row>
    <row r="3530" spans="1:2" x14ac:dyDescent="0.25">
      <c r="A3530">
        <f ca="1">32504.2325898146*((RANDBETWEEN(1620,2416)))</f>
        <v>66146113.320272692</v>
      </c>
      <c r="B3530">
        <v>154756543.59966007</v>
      </c>
    </row>
    <row r="3531" spans="1:2" x14ac:dyDescent="0.25">
      <c r="A3531">
        <f ca="1">31492.227009128*((RANDBETWEEN(1620,2416)))</f>
        <v>61787749.391909063</v>
      </c>
      <c r="B3531">
        <v>189126464.4573555</v>
      </c>
    </row>
    <row r="3532" spans="1:2" x14ac:dyDescent="0.25">
      <c r="A3532">
        <f ca="1">33179.1957931156*((RANDBETWEEN(1620,2416)))</f>
        <v>79829145.078236073</v>
      </c>
      <c r="B3532">
        <v>188232041.19416237</v>
      </c>
    </row>
    <row r="3533" spans="1:2" x14ac:dyDescent="0.25">
      <c r="A3533">
        <f ca="1">39511.0443644169*((RANDBETWEEN(1620,2416)))</f>
        <v>81748350.789978474</v>
      </c>
      <c r="B3533">
        <v>146892939.59580353</v>
      </c>
    </row>
    <row r="3534" spans="1:2" x14ac:dyDescent="0.25">
      <c r="A3534">
        <f ca="1">32028.7255895204*((RANDBETWEEN(1620,2416)))</f>
        <v>63609049.020787455</v>
      </c>
      <c r="B3534">
        <v>165031201.59417635</v>
      </c>
    </row>
    <row r="3535" spans="1:2" x14ac:dyDescent="0.25">
      <c r="A3535">
        <f ca="1">32564.8494081072*((RANDBETWEEN(1620,2416)))</f>
        <v>68288489.208800778</v>
      </c>
      <c r="B3535">
        <v>186550718.88605475</v>
      </c>
    </row>
    <row r="3536" spans="1:2" x14ac:dyDescent="0.25">
      <c r="A3536">
        <f ca="1">36736.8839560804*((RANDBETWEEN(1620,2416)))</f>
        <v>62085333.885775797</v>
      </c>
      <c r="B3536">
        <v>169600976.27718893</v>
      </c>
    </row>
    <row r="3537" spans="1:2" x14ac:dyDescent="0.25">
      <c r="A3537">
        <f ca="1">32775.6103375441*((RANDBETWEEN(1620,2416)))</f>
        <v>71254176.873820886</v>
      </c>
      <c r="B3537">
        <v>154012726.26505914</v>
      </c>
    </row>
    <row r="3538" spans="1:2" x14ac:dyDescent="0.25">
      <c r="A3538">
        <f ca="1">28101.7997513735*((RANDBETWEEN(1620,2416)))</f>
        <v>66966588.807523094</v>
      </c>
      <c r="B3538">
        <v>150845636.06479222</v>
      </c>
    </row>
    <row r="3539" spans="1:2" x14ac:dyDescent="0.25">
      <c r="A3539">
        <f ca="1">33408.3415121661*((RANDBETWEEN(1620,2416)))</f>
        <v>59199581.159558408</v>
      </c>
      <c r="B3539">
        <v>147670913.28980738</v>
      </c>
    </row>
    <row r="3540" spans="1:2" x14ac:dyDescent="0.25">
      <c r="A3540">
        <f ca="1">31299.7906143655*((RANDBETWEEN(1620,2416)))</f>
        <v>54712033.993910849</v>
      </c>
      <c r="B3540">
        <v>180872766.40449387</v>
      </c>
    </row>
    <row r="3541" spans="1:2" x14ac:dyDescent="0.25">
      <c r="A3541">
        <f ca="1">34521.0685689304*((RANDBETWEEN(1620,2416)))</f>
        <v>80054358.011349514</v>
      </c>
      <c r="B3541">
        <v>150516234.35199875</v>
      </c>
    </row>
    <row r="3542" spans="1:2" x14ac:dyDescent="0.25">
      <c r="A3542">
        <f ca="1">31636.936727128*((RANDBETWEEN(1620,2416)))</f>
        <v>53909340.183026187</v>
      </c>
      <c r="B3542">
        <v>173204426.15480319</v>
      </c>
    </row>
    <row r="3543" spans="1:2" x14ac:dyDescent="0.25">
      <c r="A3543">
        <f ca="1">32410.6675109244*((RANDBETWEEN(1620,2416)))</f>
        <v>61094108.2580925</v>
      </c>
      <c r="B3543">
        <v>173265050.29659891</v>
      </c>
    </row>
    <row r="3544" spans="1:2" x14ac:dyDescent="0.25">
      <c r="A3544">
        <f ca="1">38869.1006714149*((RANDBETWEEN(1620,2416)))</f>
        <v>78904274.362972334</v>
      </c>
      <c r="B3544">
        <v>184809496.05139199</v>
      </c>
    </row>
    <row r="3545" spans="1:2" x14ac:dyDescent="0.25">
      <c r="A3545">
        <f ca="1">33239.9175785502*((RANDBETWEEN(1620,2416)))</f>
        <v>78147046.227171585</v>
      </c>
      <c r="B3545">
        <v>171547949.80858168</v>
      </c>
    </row>
    <row r="3546" spans="1:2" x14ac:dyDescent="0.25">
      <c r="A3546">
        <f ca="1">40278.7078072049*((RANDBETWEEN(1620,2416)))</f>
        <v>76569823.541496441</v>
      </c>
      <c r="B3546">
        <v>163276237.28474259</v>
      </c>
    </row>
    <row r="3547" spans="1:2" x14ac:dyDescent="0.25">
      <c r="A3547">
        <f ca="1">31219.473476223*((RANDBETWEEN(1620,2416)))</f>
        <v>54103347.534294389</v>
      </c>
      <c r="B3547">
        <v>162280456.41750389</v>
      </c>
    </row>
    <row r="3548" spans="1:2" x14ac:dyDescent="0.25">
      <c r="A3548">
        <f ca="1">31063.9684923894*((RANDBETWEEN(1620,2416)))</f>
        <v>66228380.82577423</v>
      </c>
      <c r="B3548">
        <v>166170476.66611707</v>
      </c>
    </row>
    <row r="3549" spans="1:2" x14ac:dyDescent="0.25">
      <c r="A3549">
        <f ca="1">40292.9422551905*((RANDBETWEEN(1620,2416)))</f>
        <v>89369745.922012687</v>
      </c>
      <c r="B3549">
        <v>161189533.02677184</v>
      </c>
    </row>
    <row r="3550" spans="1:2" x14ac:dyDescent="0.25">
      <c r="A3550">
        <f ca="1">29794.6939332757*((RANDBETWEEN(1620,2416)))</f>
        <v>50770158.462301873</v>
      </c>
      <c r="B3550">
        <v>175635830.52077717</v>
      </c>
    </row>
    <row r="3551" spans="1:2" x14ac:dyDescent="0.25">
      <c r="A3551">
        <f ca="1">30729.2531787982*((RANDBETWEEN(1620,2416)))</f>
        <v>51625145.340380959</v>
      </c>
      <c r="B3551">
        <v>160219875.51332051</v>
      </c>
    </row>
    <row r="3552" spans="1:2" x14ac:dyDescent="0.25">
      <c r="A3552">
        <f ca="1">43501.186596553*((RANDBETWEEN(1620,2416)))</f>
        <v>101923280.19572368</v>
      </c>
      <c r="B3552">
        <v>151582462.53094012</v>
      </c>
    </row>
    <row r="3553" spans="1:2" x14ac:dyDescent="0.25">
      <c r="A3553">
        <f ca="1">32445.7031503368*((RANDBETWEEN(1620,2416)))</f>
        <v>60835693.406881534</v>
      </c>
      <c r="B3553">
        <v>193353602.76566848</v>
      </c>
    </row>
    <row r="3554" spans="1:2" x14ac:dyDescent="0.25">
      <c r="A3554">
        <f ca="1">40543.452735994*((RANDBETWEEN(1620,2416)))</f>
        <v>67829196.427317977</v>
      </c>
      <c r="B3554">
        <v>170435291.80293885</v>
      </c>
    </row>
    <row r="3555" spans="1:2" x14ac:dyDescent="0.25">
      <c r="A3555">
        <f ca="1">31236.4373070721*((RANDBETWEEN(1620,2416)))</f>
        <v>62597820.363372423</v>
      </c>
      <c r="B3555">
        <v>184715005.24864742</v>
      </c>
    </row>
    <row r="3556" spans="1:2" x14ac:dyDescent="0.25">
      <c r="A3556">
        <f ca="1">32151.3114208386*((RANDBETWEEN(1620,2416)))</f>
        <v>56361248.920730077</v>
      </c>
      <c r="B3556">
        <v>191885207.0194774</v>
      </c>
    </row>
    <row r="3557" spans="1:2" x14ac:dyDescent="0.25">
      <c r="A3557">
        <f ca="1">41497.54207377*((RANDBETWEEN(1620,2416)))</f>
        <v>76811950.378548354</v>
      </c>
      <c r="B3557">
        <v>147093622.96749616</v>
      </c>
    </row>
    <row r="3558" spans="1:2" x14ac:dyDescent="0.25">
      <c r="A3558">
        <f ca="1">36944.6360067426*((RANDBETWEEN(1620,2416)))</f>
        <v>74443441.553586289</v>
      </c>
      <c r="B3558">
        <v>144705140.63590869</v>
      </c>
    </row>
    <row r="3559" spans="1:2" x14ac:dyDescent="0.25">
      <c r="A3559">
        <f ca="1">33511.7458062734*((RANDBETWEEN(1620,2416)))</f>
        <v>63705828.777725786</v>
      </c>
      <c r="B3559">
        <v>146299528.7427187</v>
      </c>
    </row>
    <row r="3560" spans="1:2" x14ac:dyDescent="0.25">
      <c r="A3560">
        <f ca="1">33592.1512024363*((RANDBETWEEN(1620,2416)))</f>
        <v>62850914.899758272</v>
      </c>
      <c r="B3560">
        <v>147491344.77686852</v>
      </c>
    </row>
    <row r="3561" spans="1:2" x14ac:dyDescent="0.25">
      <c r="A3561">
        <f ca="1">35441.4547845617*((RANDBETWEEN(1620,2416)))</f>
        <v>85413906.030793652</v>
      </c>
      <c r="B3561">
        <v>152342543.97852415</v>
      </c>
    </row>
    <row r="3562" spans="1:2" x14ac:dyDescent="0.25">
      <c r="A3562">
        <f ca="1">32611.4865940387*((RANDBETWEEN(1620,2416)))</f>
        <v>77713172.553594291</v>
      </c>
      <c r="B3562">
        <v>190643295.57148656</v>
      </c>
    </row>
    <row r="3563" spans="1:2" x14ac:dyDescent="0.25">
      <c r="A3563">
        <f ca="1">36111.3917746182*((RANDBETWEEN(1620,2416)))</f>
        <v>59222682.510373883</v>
      </c>
      <c r="B3563">
        <v>160892816.54112783</v>
      </c>
    </row>
    <row r="3564" spans="1:2" x14ac:dyDescent="0.25">
      <c r="A3564">
        <f ca="1">38368.3684353632*((RANDBETWEEN(1620,2416)))</f>
        <v>78885365.503106818</v>
      </c>
      <c r="B3564">
        <v>189797679.45895517</v>
      </c>
    </row>
    <row r="3565" spans="1:2" x14ac:dyDescent="0.25">
      <c r="A3565">
        <f ca="1">30118.6179763044*((RANDBETWEEN(1620,2416)))</f>
        <v>67586178.738827169</v>
      </c>
      <c r="B3565">
        <v>163982221.49133027</v>
      </c>
    </row>
    <row r="3566" spans="1:2" x14ac:dyDescent="0.25">
      <c r="A3566">
        <f ca="1">33449.8975175064*((RANDBETWEEN(1620,2416)))</f>
        <v>64993150.876514927</v>
      </c>
      <c r="B3566">
        <v>157073397.81250912</v>
      </c>
    </row>
    <row r="3567" spans="1:2" x14ac:dyDescent="0.25">
      <c r="A3567">
        <f ca="1">29503.0716675896*((RANDBETWEEN(1620,2416)))</f>
        <v>50981307.8415948</v>
      </c>
      <c r="B3567">
        <v>176874786.98068964</v>
      </c>
    </row>
    <row r="3568" spans="1:2" x14ac:dyDescent="0.25">
      <c r="A3568">
        <f ca="1">34185.4274300611*((RANDBETWEEN(1620,2416)))</f>
        <v>65875318.657727726</v>
      </c>
      <c r="B3568">
        <v>145641921.0245558</v>
      </c>
    </row>
    <row r="3569" spans="1:2" x14ac:dyDescent="0.25">
      <c r="A3569">
        <f ca="1">32813.1460146123*((RANDBETWEEN(1620,2416)))</f>
        <v>53288549.127730362</v>
      </c>
      <c r="B3569">
        <v>164624731.00373226</v>
      </c>
    </row>
    <row r="3570" spans="1:2" x14ac:dyDescent="0.25">
      <c r="A3570">
        <f ca="1">36162.5165141926*((RANDBETWEEN(1620,2416)))</f>
        <v>61512440.590641581</v>
      </c>
      <c r="B3570">
        <v>152250993.73575309</v>
      </c>
    </row>
    <row r="3571" spans="1:2" x14ac:dyDescent="0.25">
      <c r="A3571">
        <f ca="1">37309.2933916956*((RANDBETWEEN(1620,2416)))</f>
        <v>72380029.179889366</v>
      </c>
      <c r="B3571">
        <v>171453497.33062926</v>
      </c>
    </row>
    <row r="3572" spans="1:2" x14ac:dyDescent="0.25">
      <c r="A3572">
        <f ca="1">38755.69413837*((RANDBETWEEN(1620,2416)))</f>
        <v>71659278.461846039</v>
      </c>
      <c r="B3572">
        <v>196947249.98915887</v>
      </c>
    </row>
    <row r="3573" spans="1:2" x14ac:dyDescent="0.25">
      <c r="A3573">
        <f ca="1">30721.3398880954*((RANDBETWEEN(1620,2416)))</f>
        <v>68662194.649893314</v>
      </c>
      <c r="B3573">
        <v>158890700.17586705</v>
      </c>
    </row>
    <row r="3574" spans="1:2" x14ac:dyDescent="0.25">
      <c r="A3574">
        <f ca="1">41331.8614315316*((RANDBETWEEN(1620,2416)))</f>
        <v>71256129.107960418</v>
      </c>
      <c r="B3574">
        <v>185677303.73842591</v>
      </c>
    </row>
    <row r="3575" spans="1:2" x14ac:dyDescent="0.25">
      <c r="A3575">
        <f ca="1">38340.9331654398*((RANDBETWEEN(1620,2416)))</f>
        <v>67480042.371174037</v>
      </c>
      <c r="B3575">
        <v>159946019.17453498</v>
      </c>
    </row>
    <row r="3576" spans="1:2" x14ac:dyDescent="0.25">
      <c r="A3576">
        <f ca="1">39056.1684677658*((RANDBETWEEN(1620,2416)))</f>
        <v>70027710.062704012</v>
      </c>
      <c r="B3576">
        <v>147147798.98522803</v>
      </c>
    </row>
    <row r="3577" spans="1:2" x14ac:dyDescent="0.25">
      <c r="A3577">
        <f ca="1">31609.7229417909*((RANDBETWEEN(1620,2416)))</f>
        <v>51650287.28688632</v>
      </c>
      <c r="B3577">
        <v>189428327.03671959</v>
      </c>
    </row>
    <row r="3578" spans="1:2" x14ac:dyDescent="0.25">
      <c r="A3578">
        <f ca="1">34398.6202662934*((RANDBETWEEN(1620,2416)))</f>
        <v>59475214.440421328</v>
      </c>
      <c r="B3578">
        <v>144981430.10813075</v>
      </c>
    </row>
    <row r="3579" spans="1:2" x14ac:dyDescent="0.25">
      <c r="A3579">
        <f ca="1">32933.1210836673*((RANDBETWEEN(1620,2416)))</f>
        <v>54636047.877804048</v>
      </c>
      <c r="B3579">
        <v>189000031.03625235</v>
      </c>
    </row>
    <row r="3580" spans="1:2" x14ac:dyDescent="0.25">
      <c r="A3580">
        <f ca="1">37722.4266347199*((RANDBETWEEN(1620,2416)))</f>
        <v>88232755.898609906</v>
      </c>
      <c r="B3580">
        <v>182128411.17708158</v>
      </c>
    </row>
    <row r="3581" spans="1:2" x14ac:dyDescent="0.25">
      <c r="A3581">
        <f ca="1">32768.047876336*((RANDBETWEEN(1620,2416)))</f>
        <v>78643314.903206304</v>
      </c>
      <c r="B3581">
        <v>154270191.74878535</v>
      </c>
    </row>
    <row r="3582" spans="1:2" x14ac:dyDescent="0.25">
      <c r="A3582">
        <f ca="1">39886.7162537399*((RANDBETWEEN(1620,2416)))</f>
        <v>80491393.400047049</v>
      </c>
      <c r="B3582">
        <v>188353219.43073046</v>
      </c>
    </row>
    <row r="3583" spans="1:2" x14ac:dyDescent="0.25">
      <c r="A3583">
        <f ca="1">31328.0238406928*((RANDBETWEEN(1620,2416)))</f>
        <v>63031983.967473954</v>
      </c>
      <c r="B3583">
        <v>156703373.41365981</v>
      </c>
    </row>
    <row r="3584" spans="1:2" x14ac:dyDescent="0.25">
      <c r="A3584">
        <f ca="1">30157.163215716*((RANDBETWEEN(1620,2416)))</f>
        <v>59288982.882097639</v>
      </c>
      <c r="B3584">
        <v>151526900.58852774</v>
      </c>
    </row>
    <row r="3585" spans="1:2" x14ac:dyDescent="0.25">
      <c r="A3585">
        <f ca="1">29487.1534878538*((RANDBETWEEN(1620,2416)))</f>
        <v>62070458.091932297</v>
      </c>
      <c r="B3585">
        <v>145692664.0160749</v>
      </c>
    </row>
    <row r="3586" spans="1:2" x14ac:dyDescent="0.25">
      <c r="A3586">
        <f ca="1">32099.299300696*((RANDBETWEEN(1620,2416)))</f>
        <v>73860487.690901607</v>
      </c>
      <c r="B3586">
        <v>200044630.78147626</v>
      </c>
    </row>
    <row r="3587" spans="1:2" x14ac:dyDescent="0.25">
      <c r="A3587">
        <f ca="1">38268.0190681703*((RANDBETWEEN(1620,2416)))</f>
        <v>74431297.087591156</v>
      </c>
      <c r="B3587">
        <v>176703404.95950541</v>
      </c>
    </row>
    <row r="3588" spans="1:2" x14ac:dyDescent="0.25">
      <c r="A3588">
        <f ca="1">28666.6215871674*((RANDBETWEEN(1620,2416)))</f>
        <v>50166587.777542949</v>
      </c>
      <c r="B3588">
        <v>151507740.30166274</v>
      </c>
    </row>
    <row r="3589" spans="1:2" x14ac:dyDescent="0.25">
      <c r="A3589">
        <f ca="1">37752.7058433454*((RANDBETWEEN(1620,2416)))</f>
        <v>86453696.381261051</v>
      </c>
      <c r="B3589">
        <v>143649431.82261395</v>
      </c>
    </row>
    <row r="3590" spans="1:2" x14ac:dyDescent="0.25">
      <c r="A3590">
        <f ca="1">35764.4901450025*((RANDBETWEEN(1620,2416)))</f>
        <v>68882408.019274876</v>
      </c>
      <c r="B3590">
        <v>172370433.60455379</v>
      </c>
    </row>
    <row r="3591" spans="1:2" x14ac:dyDescent="0.25">
      <c r="A3591">
        <f ca="1">41094.8025952154*((RANDBETWEEN(1620,2416)))</f>
        <v>90942798.143211618</v>
      </c>
      <c r="B3591">
        <v>193482446.34093073</v>
      </c>
    </row>
    <row r="3592" spans="1:2" x14ac:dyDescent="0.25">
      <c r="A3592">
        <f ca="1">31587.3977747281*((RANDBETWEEN(1620,2416)))</f>
        <v>70408309.639868945</v>
      </c>
      <c r="B3592">
        <v>194065550.29487225</v>
      </c>
    </row>
    <row r="3593" spans="1:2" x14ac:dyDescent="0.25">
      <c r="A3593">
        <f ca="1">31405.2788892433*((RANDBETWEEN(1620,2416)))</f>
        <v>67678376.006319255</v>
      </c>
      <c r="B3593">
        <v>181621074.74400097</v>
      </c>
    </row>
    <row r="3594" spans="1:2" x14ac:dyDescent="0.25">
      <c r="A3594">
        <f ca="1">35126.1768161369*((RANDBETWEEN(1620,2416)))</f>
        <v>67547638.017431185</v>
      </c>
      <c r="B3594">
        <v>193714290.59227356</v>
      </c>
    </row>
    <row r="3595" spans="1:2" x14ac:dyDescent="0.25">
      <c r="A3595">
        <f ca="1">29999.7755224592*((RANDBETWEEN(1620,2416)))</f>
        <v>62339533.53567031</v>
      </c>
      <c r="B3595">
        <v>147279257.60778812</v>
      </c>
    </row>
    <row r="3596" spans="1:2" x14ac:dyDescent="0.25">
      <c r="A3596">
        <f ca="1">30406.0270654976*((RANDBETWEEN(1620,2416)))</f>
        <v>52997705.17516233</v>
      </c>
      <c r="B3596">
        <v>167225700.32994127</v>
      </c>
    </row>
    <row r="3597" spans="1:2" x14ac:dyDescent="0.25">
      <c r="A3597">
        <f ca="1">31478.8218322186*((RANDBETWEEN(1620,2416)))</f>
        <v>74447413.633196905</v>
      </c>
      <c r="B3597">
        <v>201331423.05293906</v>
      </c>
    </row>
    <row r="3598" spans="1:2" x14ac:dyDescent="0.25">
      <c r="A3598">
        <f ca="1">35135.5566694076*((RANDBETWEEN(1620,2416)))</f>
        <v>59238548.544621296</v>
      </c>
      <c r="B3598">
        <v>188876597.69223082</v>
      </c>
    </row>
    <row r="3599" spans="1:2" x14ac:dyDescent="0.25">
      <c r="A3599">
        <f ca="1">33387.5495993584*((RANDBETWEEN(1620,2416)))</f>
        <v>58995800.142066278</v>
      </c>
      <c r="B3599">
        <v>159626287.89536363</v>
      </c>
    </row>
    <row r="3600" spans="1:2" x14ac:dyDescent="0.25">
      <c r="A3600">
        <f ca="1">32698.7054598089*((RANDBETWEEN(1620,2416)))</f>
        <v>68340294.41100055</v>
      </c>
      <c r="B3600">
        <v>167975641.52959934</v>
      </c>
    </row>
    <row r="3601" spans="1:2" x14ac:dyDescent="0.25">
      <c r="A3601">
        <f ca="1">39520.5455153924*((RANDBETWEEN(1620,2416)))</f>
        <v>92082871.05086422</v>
      </c>
      <c r="B3601">
        <v>198774717.47394687</v>
      </c>
    </row>
    <row r="3602" spans="1:2" x14ac:dyDescent="0.25">
      <c r="A3602">
        <f ca="1">31313.0161935786*((RANDBETWEEN(1620,2416)))</f>
        <v>71393676.921359286</v>
      </c>
      <c r="B3602">
        <v>164457576.35320586</v>
      </c>
    </row>
    <row r="3603" spans="1:2" x14ac:dyDescent="0.25">
      <c r="A3603">
        <f ca="1">38144.3526080829*((RANDBETWEEN(1620,2416)))</f>
        <v>85100050.66863285</v>
      </c>
      <c r="B3603">
        <v>152932306.73954797</v>
      </c>
    </row>
    <row r="3604" spans="1:2" x14ac:dyDescent="0.25">
      <c r="A3604">
        <f ca="1">27338.4410488011*((RANDBETWEEN(1620,2416)))</f>
        <v>49673947.385671638</v>
      </c>
      <c r="B3604">
        <v>180948307.60304287</v>
      </c>
    </row>
    <row r="3605" spans="1:2" x14ac:dyDescent="0.25">
      <c r="A3605">
        <f ca="1">32186.1289872306*((RANDBETWEEN(1620,2416)))</f>
        <v>64275699.587499551</v>
      </c>
      <c r="B3605">
        <v>148949903.73793939</v>
      </c>
    </row>
    <row r="3606" spans="1:2" x14ac:dyDescent="0.25">
      <c r="A3606">
        <f ca="1">38009.3072855002*((RANDBETWEEN(1620,2416)))</f>
        <v>69671060.254321918</v>
      </c>
      <c r="B3606">
        <v>176694194.93664604</v>
      </c>
    </row>
    <row r="3607" spans="1:2" x14ac:dyDescent="0.25">
      <c r="A3607">
        <f ca="1">30180.4828810433*((RANDBETWEEN(1620,2416)))</f>
        <v>69415110.626399562</v>
      </c>
      <c r="B3607">
        <v>155942807.02718276</v>
      </c>
    </row>
    <row r="3608" spans="1:2" x14ac:dyDescent="0.25">
      <c r="A3608">
        <f ca="1">32332.0039581654*((RANDBETWEEN(1620,2416)))</f>
        <v>53380138.534931108</v>
      </c>
      <c r="B3608">
        <v>150914037.2483815</v>
      </c>
    </row>
    <row r="3609" spans="1:2" x14ac:dyDescent="0.25">
      <c r="A3609">
        <f ca="1">30069.9454978428*((RANDBETWEEN(1620,2416)))</f>
        <v>65913320.531271458</v>
      </c>
      <c r="B3609">
        <v>192881312.28806117</v>
      </c>
    </row>
    <row r="3610" spans="1:2" x14ac:dyDescent="0.25">
      <c r="A3610">
        <f ca="1">33872.2566437403*((RANDBETWEEN(1620,2416)))</f>
        <v>74552836.872872308</v>
      </c>
      <c r="B3610">
        <v>154322023.20409402</v>
      </c>
    </row>
    <row r="3611" spans="1:2" x14ac:dyDescent="0.25">
      <c r="A3611">
        <f ca="1">31723.3706740084*((RANDBETWEEN(1620,2416)))</f>
        <v>59068916.195003606</v>
      </c>
      <c r="B3611">
        <v>151221790.59817263</v>
      </c>
    </row>
    <row r="3612" spans="1:2" x14ac:dyDescent="0.25">
      <c r="A3612">
        <f ca="1">41676.6296569327*((RANDBETWEEN(1620,2416)))</f>
        <v>89271340.7251499</v>
      </c>
      <c r="B3612">
        <v>196575517.96799546</v>
      </c>
    </row>
    <row r="3613" spans="1:2" x14ac:dyDescent="0.25">
      <c r="A3613">
        <f ca="1">32036.6266095332*((RANDBETWEEN(1620,2416)))</f>
        <v>65418791.536666833</v>
      </c>
      <c r="B3613">
        <v>144513330.14094555</v>
      </c>
    </row>
    <row r="3614" spans="1:2" x14ac:dyDescent="0.25">
      <c r="A3614">
        <f ca="1">31754.5794563192*((RANDBETWEEN(1620,2416)))</f>
        <v>56554906.011704452</v>
      </c>
      <c r="B3614">
        <v>202235660.14455938</v>
      </c>
    </row>
    <row r="3615" spans="1:2" x14ac:dyDescent="0.25">
      <c r="A3615">
        <f ca="1">35778.3094496104*((RANDBETWEEN(1620,2416)))</f>
        <v>60536899.588740714</v>
      </c>
      <c r="B3615">
        <v>169493273.11595309</v>
      </c>
    </row>
    <row r="3616" spans="1:2" x14ac:dyDescent="0.25">
      <c r="A3616">
        <f ca="1">31378.4388378787*((RANDBETWEEN(1620,2416)))</f>
        <v>75308253.210908949</v>
      </c>
      <c r="B3616">
        <v>183111141.67218143</v>
      </c>
    </row>
    <row r="3617" spans="1:2" x14ac:dyDescent="0.25">
      <c r="A3617">
        <f ca="1">33158.786862185*((RANDBETWEEN(1620,2416)))</f>
        <v>64228570.152052373</v>
      </c>
      <c r="B3617">
        <v>173523863.03280693</v>
      </c>
    </row>
    <row r="3618" spans="1:2" x14ac:dyDescent="0.25">
      <c r="A3618">
        <f ca="1">30919.5022953556*((RANDBETWEEN(1620,2416)))</f>
        <v>50831661.773564622</v>
      </c>
      <c r="B3618">
        <v>153795595.42081362</v>
      </c>
    </row>
    <row r="3619" spans="1:2" x14ac:dyDescent="0.25">
      <c r="A3619">
        <f ca="1">31704.7340167537*((RANDBETWEEN(1620,2416)))</f>
        <v>53898047.82848122</v>
      </c>
      <c r="B3619">
        <v>180703660.37701416</v>
      </c>
    </row>
    <row r="3620" spans="1:2" x14ac:dyDescent="0.25">
      <c r="A3620">
        <f ca="1">31368.9115149198*((RANDBETWEEN(1620,2416)))</f>
        <v>53546731.955968097</v>
      </c>
      <c r="B3620">
        <v>155636368.61325052</v>
      </c>
    </row>
    <row r="3621" spans="1:2" x14ac:dyDescent="0.25">
      <c r="A3621">
        <f ca="1">29467.6231063255*((RANDBETWEEN(1620,2416)))</f>
        <v>62795504.839579575</v>
      </c>
      <c r="B3621">
        <v>158611098.29845592</v>
      </c>
    </row>
    <row r="3622" spans="1:2" x14ac:dyDescent="0.25">
      <c r="A3622">
        <f ca="1">29228.0814437876*((RANDBETWEEN(1620,2416)))</f>
        <v>57228583.466936104</v>
      </c>
      <c r="B3622">
        <v>170544265.11904234</v>
      </c>
    </row>
    <row r="3623" spans="1:2" x14ac:dyDescent="0.25">
      <c r="A3623">
        <f ca="1">36771.2485654878*((RANDBETWEEN(1620,2416)))</f>
        <v>75601687.050642848</v>
      </c>
      <c r="B3623">
        <v>165436356.29986235</v>
      </c>
    </row>
    <row r="3624" spans="1:2" x14ac:dyDescent="0.25">
      <c r="A3624">
        <f ca="1">31423.6002177635*((RANDBETWEEN(1620,2416)))</f>
        <v>65203970.45185928</v>
      </c>
      <c r="B3624">
        <v>184757461.27640098</v>
      </c>
    </row>
    <row r="3625" spans="1:2" x14ac:dyDescent="0.25">
      <c r="A3625">
        <f ca="1">29361.0270127322*((RANDBETWEEN(1620,2416)))</f>
        <v>58252277.593260765</v>
      </c>
      <c r="B3625">
        <v>148113076.97118717</v>
      </c>
    </row>
    <row r="3626" spans="1:2" x14ac:dyDescent="0.25">
      <c r="A3626">
        <f ca="1">33008.5506533877*((RANDBETWEEN(1620,2416)))</f>
        <v>74764367.229923159</v>
      </c>
      <c r="B3626">
        <v>155551566.6436381</v>
      </c>
    </row>
    <row r="3627" spans="1:2" x14ac:dyDescent="0.25">
      <c r="A3627">
        <f ca="1">32066.6750495174*((RANDBETWEEN(1620,2416)))</f>
        <v>76767620.068544596</v>
      </c>
      <c r="B3627">
        <v>149252078.12102142</v>
      </c>
    </row>
    <row r="3628" spans="1:2" x14ac:dyDescent="0.25">
      <c r="A3628">
        <f ca="1">32769.828448934*((RANDBETWEEN(1620,2416)))</f>
        <v>61869436.111587435</v>
      </c>
      <c r="B3628">
        <v>181020126.4470906</v>
      </c>
    </row>
    <row r="3629" spans="1:2" x14ac:dyDescent="0.25">
      <c r="A3629">
        <f ca="1">38669.9931513255*((RANDBETWEEN(1620,2416)))</f>
        <v>68136527.932635456</v>
      </c>
      <c r="B3629">
        <v>175731669.03891498</v>
      </c>
    </row>
    <row r="3630" spans="1:2" x14ac:dyDescent="0.25">
      <c r="A3630">
        <f ca="1">30063.5605139502*((RANDBETWEEN(1620,2416)))</f>
        <v>63554366.926490813</v>
      </c>
      <c r="B3630">
        <v>142965618.0953505</v>
      </c>
    </row>
    <row r="3631" spans="1:2" x14ac:dyDescent="0.25">
      <c r="A3631">
        <f ca="1">41829.8436707437*((RANDBETWEEN(1620,2416)))</f>
        <v>94535446.695880815</v>
      </c>
      <c r="B3631">
        <v>183898162.79387414</v>
      </c>
    </row>
    <row r="3632" spans="1:2" x14ac:dyDescent="0.25">
      <c r="A3632">
        <f ca="1">32943.3584717924*((RANDBETWEEN(1620,2416)))</f>
        <v>60945213.172815889</v>
      </c>
      <c r="B3632">
        <v>144628230.3070623</v>
      </c>
    </row>
    <row r="3633" spans="1:2" x14ac:dyDescent="0.25">
      <c r="A3633">
        <f ca="1">32136.7178024708*((RANDBETWEEN(1620,2416)))</f>
        <v>52093619.557805151</v>
      </c>
      <c r="B3633">
        <v>158316924.55502591</v>
      </c>
    </row>
    <row r="3634" spans="1:2" x14ac:dyDescent="0.25">
      <c r="A3634">
        <f ca="1">31873.0229762003*((RANDBETWEEN(1620,2416)))</f>
        <v>76527128.165856808</v>
      </c>
      <c r="B3634">
        <v>146902136.48035121</v>
      </c>
    </row>
    <row r="3635" spans="1:2" x14ac:dyDescent="0.25">
      <c r="A3635">
        <f ca="1">41822.0475351081*((RANDBETWEEN(1620,2416)))</f>
        <v>73941380.042071059</v>
      </c>
      <c r="B3635">
        <v>172475225.49105984</v>
      </c>
    </row>
    <row r="3636" spans="1:2" x14ac:dyDescent="0.25">
      <c r="A3636">
        <f ca="1">30018.9942469218*((RANDBETWEEN(1620,2416)))</f>
        <v>66792262.199401043</v>
      </c>
      <c r="B3636">
        <v>160351154.82842857</v>
      </c>
    </row>
    <row r="3637" spans="1:2" x14ac:dyDescent="0.25">
      <c r="A3637">
        <f ca="1">33876.3992261344*((RANDBETWEEN(1620,2416)))</f>
        <v>68836843.227505058</v>
      </c>
      <c r="B3637">
        <v>150842664.23195609</v>
      </c>
    </row>
    <row r="3638" spans="1:2" x14ac:dyDescent="0.25">
      <c r="A3638">
        <f ca="1">30879.2162919892*((RANDBETWEEN(1620,2416)))</f>
        <v>65556576.187892988</v>
      </c>
      <c r="B3638">
        <v>144487918.91276067</v>
      </c>
    </row>
    <row r="3639" spans="1:2" x14ac:dyDescent="0.25">
      <c r="A3639">
        <f ca="1">30688.8074109288*((RANDBETWEEN(1620,2416)))</f>
        <v>69694281.630219206</v>
      </c>
      <c r="B3639">
        <v>150825241.43322343</v>
      </c>
    </row>
    <row r="3640" spans="1:2" x14ac:dyDescent="0.25">
      <c r="A3640">
        <f ca="1">31104.2851761531*((RANDBETWEEN(1620,2416)))</f>
        <v>67465194.547076017</v>
      </c>
      <c r="B3640">
        <v>145818862.66325462</v>
      </c>
    </row>
    <row r="3641" spans="1:2" x14ac:dyDescent="0.25">
      <c r="A3641">
        <f ca="1">39998.3119093716*((RANDBETWEEN(1620,2416)))</f>
        <v>71636976.629684463</v>
      </c>
      <c r="B3641">
        <v>200028110.24620384</v>
      </c>
    </row>
    <row r="3642" spans="1:2" x14ac:dyDescent="0.25">
      <c r="A3642">
        <f ca="1">27679.2076124229*((RANDBETWEEN(1620,2416)))</f>
        <v>48300217.283677943</v>
      </c>
      <c r="B3642">
        <v>144234827.30633852</v>
      </c>
    </row>
    <row r="3643" spans="1:2" x14ac:dyDescent="0.25">
      <c r="A3643">
        <f ca="1">41199.2328449097*((RANDBETWEEN(1620,2416)))</f>
        <v>72016259.01290223</v>
      </c>
      <c r="B3643">
        <v>200149924.84571558</v>
      </c>
    </row>
    <row r="3644" spans="1:2" x14ac:dyDescent="0.25">
      <c r="A3644">
        <f ca="1">31744.7313674415*((RANDBETWEEN(1620,2416)))</f>
        <v>63870399.511292264</v>
      </c>
      <c r="B3644">
        <v>164299657.47537339</v>
      </c>
    </row>
    <row r="3645" spans="1:2" x14ac:dyDescent="0.25">
      <c r="A3645">
        <f ca="1">39467.7919669147*((RANDBETWEEN(1620,2416)))</f>
        <v>80751102.364307418</v>
      </c>
      <c r="B3645">
        <v>151666395.09498075</v>
      </c>
    </row>
    <row r="3646" spans="1:2" x14ac:dyDescent="0.25">
      <c r="A3646">
        <f ca="1">37231.3454986296*((RANDBETWEEN(1620,2416)))</f>
        <v>60352011.053278528</v>
      </c>
      <c r="B3646">
        <v>161031647.34188145</v>
      </c>
    </row>
    <row r="3647" spans="1:2" x14ac:dyDescent="0.25">
      <c r="A3647">
        <f ca="1">35561.5072576634*((RANDBETWEEN(1620,2416)))</f>
        <v>60916861.932377391</v>
      </c>
      <c r="B3647">
        <v>202209662.33288714</v>
      </c>
    </row>
    <row r="3648" spans="1:2" x14ac:dyDescent="0.25">
      <c r="A3648">
        <f ca="1">35539.9455306624*((RANDBETWEEN(1620,2416)))</f>
        <v>72181629.372775346</v>
      </c>
      <c r="B3648">
        <v>186401343.19902059</v>
      </c>
    </row>
    <row r="3649" spans="1:2" x14ac:dyDescent="0.25">
      <c r="A3649">
        <f ca="1">31919.8455111705*((RANDBETWEEN(1620,2416)))</f>
        <v>76128831.544141725</v>
      </c>
      <c r="B3649">
        <v>144821007.2280381</v>
      </c>
    </row>
    <row r="3650" spans="1:2" x14ac:dyDescent="0.25">
      <c r="A3650">
        <f ca="1">32081.4829697511*((RANDBETWEEN(1620,2416)))</f>
        <v>63232602.933379501</v>
      </c>
      <c r="B3650">
        <v>146010958.1963957</v>
      </c>
    </row>
    <row r="3651" spans="1:2" x14ac:dyDescent="0.25">
      <c r="A3651">
        <f ca="1">34308.7829128*((RANDBETWEEN(1620,2416)))</f>
        <v>57638755.293503918</v>
      </c>
      <c r="B3651">
        <v>154583826.88964117</v>
      </c>
    </row>
    <row r="3652" spans="1:2" x14ac:dyDescent="0.25">
      <c r="A3652">
        <f ca="1">32843.9331159346*((RANDBETWEEN(1620,2416)))</f>
        <v>55079275.835422307</v>
      </c>
      <c r="B3652">
        <v>183437929.27498132</v>
      </c>
    </row>
    <row r="3653" spans="1:2" x14ac:dyDescent="0.25">
      <c r="A3653">
        <f ca="1">32263.0464357855*((RANDBETWEEN(1620,2416)))</f>
        <v>69236497.65119575</v>
      </c>
      <c r="B3653">
        <v>197321044.77196464</v>
      </c>
    </row>
    <row r="3654" spans="1:2" x14ac:dyDescent="0.25">
      <c r="A3654">
        <f ca="1">32726.5084572604*((RANDBETWEEN(1620,2416)))</f>
        <v>56682312.647974938</v>
      </c>
      <c r="B3654">
        <v>178877705.93450433</v>
      </c>
    </row>
    <row r="3655" spans="1:2" x14ac:dyDescent="0.25">
      <c r="A3655">
        <f ca="1">31469.2468832105*((RANDBETWEEN(1620,2416)))</f>
        <v>52899804.010676771</v>
      </c>
      <c r="B3655">
        <v>151453065.91315818</v>
      </c>
    </row>
    <row r="3656" spans="1:2" x14ac:dyDescent="0.25">
      <c r="A3656">
        <f ca="1">31639.0531377814*((RANDBETWEEN(1620,2416)))</f>
        <v>69890668.381359145</v>
      </c>
      <c r="B3656">
        <v>151325714.95381251</v>
      </c>
    </row>
    <row r="3657" spans="1:2" x14ac:dyDescent="0.25">
      <c r="A3657">
        <f ca="1">30198.1798240111*((RANDBETWEEN(1620,2416)))</f>
        <v>72868207.915338844</v>
      </c>
      <c r="B3657">
        <v>163601256.29824471</v>
      </c>
    </row>
    <row r="3658" spans="1:2" x14ac:dyDescent="0.25">
      <c r="A3658">
        <f ca="1">27847.5030210291*((RANDBETWEEN(1620,2416)))</f>
        <v>62991051.833567873</v>
      </c>
      <c r="B3658">
        <v>170305949.31765449</v>
      </c>
    </row>
    <row r="3659" spans="1:2" x14ac:dyDescent="0.25">
      <c r="A3659">
        <f ca="1">39600.6813892004*((RANDBETWEEN(1620,2416)))</f>
        <v>95318840.103805453</v>
      </c>
      <c r="B3659">
        <v>146100161.02092734</v>
      </c>
    </row>
    <row r="3660" spans="1:2" x14ac:dyDescent="0.25">
      <c r="A3660">
        <f ca="1">29754.455298835*((RANDBETWEEN(1620,2416)))</f>
        <v>62246320.485162772</v>
      </c>
      <c r="B3660">
        <v>163179867.19167644</v>
      </c>
    </row>
    <row r="3661" spans="1:2" x14ac:dyDescent="0.25">
      <c r="A3661">
        <f ca="1">30314.8884052474*((RANDBETWEEN(1620,2416)))</f>
        <v>50686493.41357366</v>
      </c>
      <c r="B3661">
        <v>190469727.25535336</v>
      </c>
    </row>
    <row r="3662" spans="1:2" x14ac:dyDescent="0.25">
      <c r="A3662">
        <f ca="1">31244.4811360957*((RANDBETWEEN(1620,2416)))</f>
        <v>53646774.110676356</v>
      </c>
      <c r="B3662">
        <v>174734497.09820703</v>
      </c>
    </row>
    <row r="3663" spans="1:2" x14ac:dyDescent="0.25">
      <c r="A3663">
        <f ca="1">30757.6656280177*((RANDBETWEEN(1620,2416)))</f>
        <v>62222757.565479845</v>
      </c>
      <c r="B3663">
        <v>144828101.8006295</v>
      </c>
    </row>
    <row r="3664" spans="1:2" x14ac:dyDescent="0.25">
      <c r="A3664">
        <f ca="1">29188.8165003754*((RANDBETWEEN(1620,2416)))</f>
        <v>54787408.571204685</v>
      </c>
      <c r="B3664">
        <v>142934463.40919799</v>
      </c>
    </row>
    <row r="3665" spans="1:2" x14ac:dyDescent="0.25">
      <c r="A3665">
        <f ca="1">30109.1999880341*((RANDBETWEEN(1620,2416)))</f>
        <v>54708416.378257886</v>
      </c>
      <c r="B3665">
        <v>146034467.92954528</v>
      </c>
    </row>
    <row r="3666" spans="1:2" x14ac:dyDescent="0.25">
      <c r="A3666">
        <f ca="1">29349.5548762993*((RANDBETWEEN(1620,2416)))</f>
        <v>68942104.404427022</v>
      </c>
      <c r="B3666">
        <v>170091418.87917414</v>
      </c>
    </row>
    <row r="3667" spans="1:2" x14ac:dyDescent="0.25">
      <c r="A3667">
        <f ca="1">34479.1800958469*((RANDBETWEEN(1620,2416)))</f>
        <v>80888156.504857063</v>
      </c>
      <c r="B3667">
        <v>182324384.11037713</v>
      </c>
    </row>
    <row r="3668" spans="1:2" x14ac:dyDescent="0.25">
      <c r="A3668">
        <f ca="1">31525.5601058063*((RANDBETWEEN(1620,2416)))</f>
        <v>62893492.411083654</v>
      </c>
      <c r="B3668">
        <v>147685717.83148658</v>
      </c>
    </row>
    <row r="3669" spans="1:2" x14ac:dyDescent="0.25">
      <c r="A3669">
        <f ca="1">37527.0100672601*((RANDBETWEEN(1620,2416)))</f>
        <v>85824272.023823813</v>
      </c>
      <c r="B3669">
        <v>156899745.90149495</v>
      </c>
    </row>
    <row r="3670" spans="1:2" x14ac:dyDescent="0.25">
      <c r="A3670">
        <f ca="1">31342.9511340037*((RANDBETWEEN(1620,2416)))</f>
        <v>64159020.971305549</v>
      </c>
      <c r="B3670">
        <v>180693630.04745495</v>
      </c>
    </row>
    <row r="3671" spans="1:2" x14ac:dyDescent="0.25">
      <c r="A3671">
        <f ca="1">31962.9629265447*((RANDBETWEEN(1620,2416)))</f>
        <v>75080999.914453506</v>
      </c>
      <c r="B3671">
        <v>194530149.62536228</v>
      </c>
    </row>
    <row r="3672" spans="1:2" x14ac:dyDescent="0.25">
      <c r="A3672">
        <f ca="1">33959.2495230525*((RANDBETWEEN(1620,2416)))</f>
        <v>56508191.206359401</v>
      </c>
      <c r="B3672">
        <v>153460898.80421579</v>
      </c>
    </row>
    <row r="3673" spans="1:2" x14ac:dyDescent="0.25">
      <c r="A3673">
        <f ca="1">28465.2614713497*((RANDBETWEEN(1620,2416)))</f>
        <v>66779503.41178637</v>
      </c>
      <c r="B3673">
        <v>173406193.428083</v>
      </c>
    </row>
    <row r="3674" spans="1:2" x14ac:dyDescent="0.25">
      <c r="A3674">
        <f ca="1">38928.9532252624*((RANDBETWEEN(1620,2416)))</f>
        <v>65789930.95069354</v>
      </c>
      <c r="B3674">
        <v>154863649.62840277</v>
      </c>
    </row>
    <row r="3675" spans="1:2" x14ac:dyDescent="0.25">
      <c r="A3675">
        <f ca="1">40128.6599395718*((RANDBETWEEN(1620,2416)))</f>
        <v>75080722.746938854</v>
      </c>
      <c r="B3675">
        <v>160299229.85183343</v>
      </c>
    </row>
    <row r="3676" spans="1:2" x14ac:dyDescent="0.25">
      <c r="A3676">
        <f ca="1">31181.9888105533*((RANDBETWEEN(1620,2416)))</f>
        <v>62925253.41969651</v>
      </c>
      <c r="B3676">
        <v>154690351.92877561</v>
      </c>
    </row>
    <row r="3677" spans="1:2" x14ac:dyDescent="0.25">
      <c r="A3677">
        <f ca="1">31842.6545878096*((RANDBETWEEN(1620,2416)))</f>
        <v>76613426.938269943</v>
      </c>
      <c r="B3677">
        <v>165733123.61959186</v>
      </c>
    </row>
    <row r="3678" spans="1:2" x14ac:dyDescent="0.25">
      <c r="A3678">
        <f ca="1">41108.5269175362*((RANDBETWEEN(1620,2416)))</f>
        <v>70994425.986585036</v>
      </c>
      <c r="B3678">
        <v>201174259.84657732</v>
      </c>
    </row>
    <row r="3679" spans="1:2" x14ac:dyDescent="0.25">
      <c r="A3679">
        <f ca="1">36628.2546616879*((RANDBETWEEN(1620,2416)))</f>
        <v>63000598.018103197</v>
      </c>
      <c r="B3679">
        <v>164449832.95866656</v>
      </c>
    </row>
    <row r="3680" spans="1:2" x14ac:dyDescent="0.25">
      <c r="A3680">
        <f ca="1">40599.3885671744*((RANDBETWEEN(1620,2416)))</f>
        <v>97032538.675546765</v>
      </c>
      <c r="B3680">
        <v>176857573.5126712</v>
      </c>
    </row>
    <row r="3681" spans="1:2" x14ac:dyDescent="0.25">
      <c r="A3681">
        <f ca="1">31800.5874807948*((RANDBETWEEN(1620,2416)))</f>
        <v>68816471.308439896</v>
      </c>
      <c r="B3681">
        <v>168545056.29635766</v>
      </c>
    </row>
    <row r="3682" spans="1:2" x14ac:dyDescent="0.25">
      <c r="A3682">
        <f ca="1">31756.7100662701*((RANDBETWEEN(1620,2416)))</f>
        <v>64370851.30432941</v>
      </c>
      <c r="B3682">
        <v>149276386.60638112</v>
      </c>
    </row>
    <row r="3683" spans="1:2" x14ac:dyDescent="0.25">
      <c r="A3683">
        <f ca="1">40511.5559664219*((RANDBETWEEN(1620,2416)))</f>
        <v>85722452.424948707</v>
      </c>
      <c r="B3683">
        <v>152170516.47378975</v>
      </c>
    </row>
    <row r="3684" spans="1:2" x14ac:dyDescent="0.25">
      <c r="A3684">
        <f ca="1">38927.3467366373*((RANDBETWEEN(1620,2416)))</f>
        <v>63646211.914401986</v>
      </c>
      <c r="B3684">
        <v>164634812.86619544</v>
      </c>
    </row>
    <row r="3685" spans="1:2" x14ac:dyDescent="0.25">
      <c r="A3685">
        <f ca="1">28944.7839623893*((RANDBETWEEN(1620,2416)))</f>
        <v>51550660.237015285</v>
      </c>
      <c r="B3685">
        <v>191491671.3750211</v>
      </c>
    </row>
    <row r="3686" spans="1:2" x14ac:dyDescent="0.25">
      <c r="A3686">
        <f ca="1">30863.625602313*((RANDBETWEEN(1620,2416)))</f>
        <v>64443250.257629514</v>
      </c>
      <c r="B3686">
        <v>151530808.76588288</v>
      </c>
    </row>
    <row r="3687" spans="1:2" x14ac:dyDescent="0.25">
      <c r="A3687">
        <f ca="1">31303.8524075796*((RANDBETWEEN(1620,2416)))</f>
        <v>67178067.266665772</v>
      </c>
      <c r="B3687">
        <v>169164874.45864531</v>
      </c>
    </row>
    <row r="3688" spans="1:2" x14ac:dyDescent="0.25">
      <c r="A3688">
        <f ca="1">34439.2395130142*((RANDBETWEEN(1620,2416)))</f>
        <v>68086376.517229125</v>
      </c>
      <c r="B3688">
        <v>160369969.41160539</v>
      </c>
    </row>
    <row r="3689" spans="1:2" x14ac:dyDescent="0.25">
      <c r="A3689">
        <f ca="1">36013.8089086644*((RANDBETWEEN(1620,2416)))</f>
        <v>60503198.966556184</v>
      </c>
      <c r="B3689">
        <v>164813767.09711772</v>
      </c>
    </row>
    <row r="3690" spans="1:2" x14ac:dyDescent="0.25">
      <c r="A3690">
        <f ca="1">32160.8417656654*((RANDBETWEEN(1620,2416)))</f>
        <v>62584998.075984851</v>
      </c>
      <c r="B3690">
        <v>145834164.23858693</v>
      </c>
    </row>
    <row r="3691" spans="1:2" x14ac:dyDescent="0.25">
      <c r="A3691">
        <f ca="1">30217.85077435*((RANDBETWEEN(1620,2416)))</f>
        <v>71555870.633660868</v>
      </c>
      <c r="B3691">
        <v>189899413.1437571</v>
      </c>
    </row>
    <row r="3692" spans="1:2" x14ac:dyDescent="0.25">
      <c r="A3692">
        <f ca="1">29949.5584648543*((RANDBETWEEN(1620,2416)))</f>
        <v>55526481.393839918</v>
      </c>
      <c r="B3692">
        <v>170692880.6187408</v>
      </c>
    </row>
    <row r="3693" spans="1:2" x14ac:dyDescent="0.25">
      <c r="A3693">
        <f ca="1">35200.0988572755*((RANDBETWEEN(1620,2416)))</f>
        <v>71878601.86655651</v>
      </c>
      <c r="B3693">
        <v>154994585.49725401</v>
      </c>
    </row>
    <row r="3694" spans="1:2" x14ac:dyDescent="0.25">
      <c r="A3694">
        <f ca="1">38941.2174091419*((RANDBETWEEN(1620,2416)))</f>
        <v>78193964.557556897</v>
      </c>
      <c r="B3694">
        <v>194790425.64610973</v>
      </c>
    </row>
    <row r="3695" spans="1:2" x14ac:dyDescent="0.25">
      <c r="A3695">
        <f ca="1">30717.5147588461*((RANDBETWEEN(1620,2416)))</f>
        <v>69544453.414027512</v>
      </c>
      <c r="B3695">
        <v>164351632.1857948</v>
      </c>
    </row>
    <row r="3696" spans="1:2" x14ac:dyDescent="0.25">
      <c r="A3696">
        <f ca="1">29929.8269717862*((RANDBETWEEN(1620,2416)))</f>
        <v>50072600.523798235</v>
      </c>
      <c r="B3696">
        <v>148987904.04972231</v>
      </c>
    </row>
    <row r="3697" spans="1:2" x14ac:dyDescent="0.25">
      <c r="A3697">
        <f ca="1">39812.8098158242*((RANDBETWEEN(1620,2416)))</f>
        <v>96187748.515031263</v>
      </c>
      <c r="B3697">
        <v>161060377.64355955</v>
      </c>
    </row>
    <row r="3698" spans="1:2" x14ac:dyDescent="0.25">
      <c r="A3698">
        <f ca="1">28101.36672657*((RANDBETWEEN(1620,2416)))</f>
        <v>52184238.01124043</v>
      </c>
      <c r="B3698">
        <v>164782940.5218153</v>
      </c>
    </row>
    <row r="3699" spans="1:2" x14ac:dyDescent="0.25">
      <c r="A3699">
        <f ca="1">34183.3935337324*((RANDBETWEEN(1620,2416)))</f>
        <v>56402599.330658533</v>
      </c>
      <c r="B3699">
        <v>163557537.19950658</v>
      </c>
    </row>
    <row r="3700" spans="1:2" x14ac:dyDescent="0.25">
      <c r="A3700">
        <f ca="1">32906.7903935612*((RANDBETWEEN(1620,2416)))</f>
        <v>72756913.56016387</v>
      </c>
      <c r="B3700">
        <v>178296290.82366928</v>
      </c>
    </row>
    <row r="3701" spans="1:2" x14ac:dyDescent="0.25">
      <c r="A3701">
        <f ca="1">31383.9285558168*((RANDBETWEEN(1620,2416)))</f>
        <v>61481116.040845014</v>
      </c>
      <c r="B3701">
        <v>144763610.29140097</v>
      </c>
    </row>
    <row r="3702" spans="1:2" x14ac:dyDescent="0.25">
      <c r="A3702">
        <f ca="1">37380.8063238309*((RANDBETWEEN(1620,2416)))</f>
        <v>85452523.256277546</v>
      </c>
      <c r="B3702">
        <v>155002438.6501905</v>
      </c>
    </row>
    <row r="3703" spans="1:2" x14ac:dyDescent="0.25">
      <c r="A3703">
        <f ca="1">33868.8295481691*((RANDBETWEEN(1620,2416)))</f>
        <v>75087195.108290821</v>
      </c>
      <c r="B3703">
        <v>175092844.24878481</v>
      </c>
    </row>
    <row r="3704" spans="1:2" x14ac:dyDescent="0.25">
      <c r="A3704">
        <f ca="1">33080.1955657487*((RANDBETWEEN(1620,2416)))</f>
        <v>65267225.851222135</v>
      </c>
      <c r="B3704">
        <v>165881866.91867605</v>
      </c>
    </row>
    <row r="3705" spans="1:2" x14ac:dyDescent="0.25">
      <c r="A3705">
        <f ca="1">37369.7808592565*((RANDBETWEEN(1620,2416)))</f>
        <v>76794899.66577208</v>
      </c>
      <c r="B3705">
        <v>155764679.16283104</v>
      </c>
    </row>
    <row r="3706" spans="1:2" x14ac:dyDescent="0.25">
      <c r="A3706">
        <f ca="1">31746.023381617*((RANDBETWEEN(1620,2416)))</f>
        <v>61206333.079757556</v>
      </c>
      <c r="B3706">
        <v>199791184.35079587</v>
      </c>
    </row>
    <row r="3707" spans="1:2" x14ac:dyDescent="0.25">
      <c r="A3707">
        <f ca="1">40578.0312838849*((RANDBETWEEN(1620,2416)))</f>
        <v>87323923.322920278</v>
      </c>
      <c r="B3707">
        <v>199896733.61840183</v>
      </c>
    </row>
    <row r="3708" spans="1:2" x14ac:dyDescent="0.25">
      <c r="A3708">
        <f ca="1">29432.8301674524*((RANDBETWEEN(1620,2416)))</f>
        <v>56128407.12933176</v>
      </c>
      <c r="B3708">
        <v>170094507.11546317</v>
      </c>
    </row>
    <row r="3709" spans="1:2" x14ac:dyDescent="0.25">
      <c r="A3709">
        <f ca="1">36190.0883630838*((RANDBETWEEN(1620,2416)))</f>
        <v>83273393.32345584</v>
      </c>
      <c r="B3709">
        <v>184776555.56899044</v>
      </c>
    </row>
    <row r="3710" spans="1:2" x14ac:dyDescent="0.25">
      <c r="A3710">
        <f ca="1">34240.4331517005*((RANDBETWEEN(1620,2416)))</f>
        <v>82587924.761901617</v>
      </c>
      <c r="B3710">
        <v>158763827.73769951</v>
      </c>
    </row>
    <row r="3711" spans="1:2" x14ac:dyDescent="0.25">
      <c r="A3711">
        <f ca="1">39812.7017464147*((RANDBETWEEN(1620,2416)))</f>
        <v>91330337.806275263</v>
      </c>
      <c r="B3711">
        <v>184889084.22087225</v>
      </c>
    </row>
    <row r="3712" spans="1:2" x14ac:dyDescent="0.25">
      <c r="A3712">
        <f ca="1">37969.6410669428*((RANDBETWEEN(1620,2416)))</f>
        <v>88773020.814512193</v>
      </c>
      <c r="B3712">
        <v>150948730.69952521</v>
      </c>
    </row>
    <row r="3713" spans="1:2" x14ac:dyDescent="0.25">
      <c r="A3713">
        <f ca="1">29381.344086888*((RANDBETWEEN(1620,2416)))</f>
        <v>51887453.657444209</v>
      </c>
      <c r="B3713">
        <v>162007446.0447228</v>
      </c>
    </row>
    <row r="3714" spans="1:2" x14ac:dyDescent="0.25">
      <c r="A3714">
        <f ca="1">30626.0263199916*((RANDBETWEEN(1620,2416)))</f>
        <v>67193501.746061519</v>
      </c>
      <c r="B3714">
        <v>151981521.66361409</v>
      </c>
    </row>
    <row r="3715" spans="1:2" x14ac:dyDescent="0.25">
      <c r="A3715">
        <f ca="1">31091.7058106873*((RANDBETWEEN(1620,2416)))</f>
        <v>59540616.627466261</v>
      </c>
      <c r="B3715">
        <v>170414917.37012649</v>
      </c>
    </row>
    <row r="3716" spans="1:2" x14ac:dyDescent="0.25">
      <c r="A3716">
        <f ca="1">30657.091534933*((RANDBETWEEN(1620,2416)))</f>
        <v>51963770.151711442</v>
      </c>
      <c r="B3716">
        <v>200213122.76967788</v>
      </c>
    </row>
    <row r="3717" spans="1:2" x14ac:dyDescent="0.25">
      <c r="A3717">
        <f ca="1">30494.698112804*((RANDBETWEEN(1620,2416)))</f>
        <v>56903106.678492174</v>
      </c>
      <c r="B3717">
        <v>159447790.7564773</v>
      </c>
    </row>
    <row r="3718" spans="1:2" x14ac:dyDescent="0.25">
      <c r="A3718">
        <f ca="1">28628.8247839245*((RANDBETWEEN(1620,2416)))</f>
        <v>46922643.820852272</v>
      </c>
      <c r="B3718">
        <v>148249543.43793121</v>
      </c>
    </row>
    <row r="3719" spans="1:2" x14ac:dyDescent="0.25">
      <c r="A3719">
        <f ca="1">31389.1210071822*((RANDBETWEEN(1620,2416)))</f>
        <v>73984158.213928387</v>
      </c>
      <c r="B3719">
        <v>186102537.51131633</v>
      </c>
    </row>
    <row r="3720" spans="1:2" x14ac:dyDescent="0.25">
      <c r="A3720">
        <f ca="1">37551.0503967663*((RANDBETWEEN(1620,2416)))</f>
        <v>87869457.928433254</v>
      </c>
      <c r="B3720">
        <v>171823765.01824433</v>
      </c>
    </row>
    <row r="3721" spans="1:2" x14ac:dyDescent="0.25">
      <c r="A3721">
        <f ca="1">39112.9697501053*((RANDBETWEEN(1620,2416)))</f>
        <v>93714675.521252275</v>
      </c>
      <c r="B3721">
        <v>160663256.95856234</v>
      </c>
    </row>
    <row r="3722" spans="1:2" x14ac:dyDescent="0.25">
      <c r="A3722">
        <f ca="1">37349.4799589932*((RANDBETWEEN(1620,2416)))</f>
        <v>88742364.382567897</v>
      </c>
      <c r="B3722">
        <v>147695308.63893762</v>
      </c>
    </row>
    <row r="3723" spans="1:2" x14ac:dyDescent="0.25">
      <c r="A3723">
        <f ca="1">29461.9101684985*((RANDBETWEEN(1620,2416)))</f>
        <v>50851256.950828493</v>
      </c>
      <c r="B3723">
        <v>154792833.00141114</v>
      </c>
    </row>
    <row r="3724" spans="1:2" x14ac:dyDescent="0.25">
      <c r="A3724">
        <f ca="1">39028.4724376603*((RANDBETWEEN(1620,2416)))</f>
        <v>91053426.197061509</v>
      </c>
      <c r="B3724">
        <v>145616032.06595066</v>
      </c>
    </row>
    <row r="3725" spans="1:2" x14ac:dyDescent="0.25">
      <c r="A3725">
        <f ca="1">30452.5311069213*((RANDBETWEEN(1620,2416)))</f>
        <v>69096793.081604332</v>
      </c>
      <c r="B3725">
        <v>166154387.74473226</v>
      </c>
    </row>
    <row r="3726" spans="1:2" x14ac:dyDescent="0.25">
      <c r="A3726">
        <f ca="1">36044.5149500856*((RANDBETWEEN(1620,2416)))</f>
        <v>59942028.361992426</v>
      </c>
      <c r="B3726">
        <v>180105960.74879181</v>
      </c>
    </row>
    <row r="3727" spans="1:2" x14ac:dyDescent="0.25">
      <c r="A3727">
        <f ca="1">31364.681313466*((RANDBETWEEN(1620,2416)))</f>
        <v>74114741.943720162</v>
      </c>
      <c r="B3727">
        <v>175854873.77152246</v>
      </c>
    </row>
    <row r="3728" spans="1:2" x14ac:dyDescent="0.25">
      <c r="A3728">
        <f ca="1">34737.196621325*((RANDBETWEEN(1620,2416)))</f>
        <v>78228166.791223973</v>
      </c>
      <c r="B3728">
        <v>166960378.87791216</v>
      </c>
    </row>
    <row r="3729" spans="1:2" x14ac:dyDescent="0.25">
      <c r="A3729">
        <f ca="1">30056.3854109605*((RANDBETWEEN(1620,2416)))</f>
        <v>67296246.935140505</v>
      </c>
      <c r="B3729">
        <v>202362388.4685069</v>
      </c>
    </row>
    <row r="3730" spans="1:2" x14ac:dyDescent="0.25">
      <c r="A3730">
        <f ca="1">29251.8790985505*((RANDBETWEEN(1620,2416)))</f>
        <v>57655453.703243077</v>
      </c>
      <c r="B3730">
        <v>186294082.91817239</v>
      </c>
    </row>
    <row r="3731" spans="1:2" x14ac:dyDescent="0.25">
      <c r="A3731">
        <f ca="1">30799.5664947643*((RANDBETWEEN(1620,2416)))</f>
        <v>73487765.656507552</v>
      </c>
      <c r="B3731">
        <v>150892034.53329861</v>
      </c>
    </row>
    <row r="3732" spans="1:2" x14ac:dyDescent="0.25">
      <c r="A3732">
        <f ca="1">33387.5867657778*((RANDBETWEEN(1620,2416)))</f>
        <v>74654644.00827907</v>
      </c>
      <c r="B3732">
        <v>180303683.88497293</v>
      </c>
    </row>
    <row r="3733" spans="1:2" x14ac:dyDescent="0.25">
      <c r="A3733">
        <f ca="1">31645.4508229828*((RANDBETWEEN(1620,2416)))</f>
        <v>73955418.573310703</v>
      </c>
      <c r="B3733">
        <v>183903262.61786321</v>
      </c>
    </row>
    <row r="3734" spans="1:2" x14ac:dyDescent="0.25">
      <c r="A3734">
        <f ca="1">35415.5742447877*((RANDBETWEEN(1620,2416)))</f>
        <v>67927071.401502907</v>
      </c>
      <c r="B3734">
        <v>161723728.0479269</v>
      </c>
    </row>
    <row r="3735" spans="1:2" x14ac:dyDescent="0.25">
      <c r="A3735">
        <f ca="1">34867.5530071255*((RANDBETWEEN(1620,2416)))</f>
        <v>63075403.389890119</v>
      </c>
      <c r="B3735">
        <v>160819329.95809337</v>
      </c>
    </row>
    <row r="3736" spans="1:2" x14ac:dyDescent="0.25">
      <c r="A3736">
        <f ca="1">33022.5203091367*((RANDBETWEEN(1620,2416)))</f>
        <v>59077288.833045624</v>
      </c>
      <c r="B3736">
        <v>145183308.27183229</v>
      </c>
    </row>
    <row r="3737" spans="1:2" x14ac:dyDescent="0.25">
      <c r="A3737">
        <f ca="1">30476.2487864842*((RANDBETWEEN(1620,2416)))</f>
        <v>62811548.74894388</v>
      </c>
      <c r="B3737">
        <v>178730096.44253296</v>
      </c>
    </row>
    <row r="3738" spans="1:2" x14ac:dyDescent="0.25">
      <c r="A3738">
        <f ca="1">31678.7911075694*((RANDBETWEEN(1620,2416)))</f>
        <v>52998617.522963561</v>
      </c>
      <c r="B3738">
        <v>154461056.8546181</v>
      </c>
    </row>
    <row r="3739" spans="1:2" x14ac:dyDescent="0.25">
      <c r="A3739">
        <f ca="1">30283.3335213058*((RANDBETWEEN(1620,2416)))</f>
        <v>64897183.736158259</v>
      </c>
      <c r="B3739">
        <v>164606832.34758401</v>
      </c>
    </row>
    <row r="3740" spans="1:2" x14ac:dyDescent="0.25">
      <c r="A3740">
        <f ca="1">31924.6701929232*((RANDBETWEEN(1620,2416)))</f>
        <v>61965784.844463959</v>
      </c>
      <c r="B3740">
        <v>164169154.01497355</v>
      </c>
    </row>
    <row r="3741" spans="1:2" x14ac:dyDescent="0.25">
      <c r="A3741">
        <f ca="1">33402.834138183*((RANDBETWEEN(1620,2416)))</f>
        <v>58488362.575958349</v>
      </c>
      <c r="B3741">
        <v>174236236.27161825</v>
      </c>
    </row>
    <row r="3742" spans="1:2" x14ac:dyDescent="0.25">
      <c r="A3742">
        <f ca="1">31388.818830404*((RANDBETWEEN(1620,2416)))</f>
        <v>53800435.475312501</v>
      </c>
      <c r="B3742">
        <v>162240503.94657415</v>
      </c>
    </row>
    <row r="3743" spans="1:2" x14ac:dyDescent="0.25">
      <c r="A3743">
        <f ca="1">35387.4387233424*((RANDBETWEEN(1620,2416)))</f>
        <v>79303250.179010525</v>
      </c>
      <c r="B3743">
        <v>176955364.47309887</v>
      </c>
    </row>
    <row r="3744" spans="1:2" x14ac:dyDescent="0.25">
      <c r="A3744">
        <f ca="1">29597.7831235893*((RANDBETWEEN(1620,2416)))</f>
        <v>56176592.368572451</v>
      </c>
      <c r="B3744">
        <v>183019276.34396544</v>
      </c>
    </row>
    <row r="3745" spans="1:2" x14ac:dyDescent="0.25">
      <c r="A3745">
        <f ca="1">29569.5438666196*((RANDBETWEEN(1620,2416)))</f>
        <v>63722367.032565221</v>
      </c>
      <c r="B3745">
        <v>177180294.77287069</v>
      </c>
    </row>
    <row r="3746" spans="1:2" x14ac:dyDescent="0.25">
      <c r="A3746">
        <f ca="1">27037.920895082*((RANDBETWEEN(1620,2416)))</f>
        <v>65296578.961623058</v>
      </c>
      <c r="B3746">
        <v>187917186.20235509</v>
      </c>
    </row>
    <row r="3747" spans="1:2" x14ac:dyDescent="0.25">
      <c r="A3747">
        <f ca="1">32726.2440616753*((RANDBETWEEN(1620,2416)))</f>
        <v>69805078.583553344</v>
      </c>
      <c r="B3747">
        <v>194091912.60710251</v>
      </c>
    </row>
    <row r="3748" spans="1:2" x14ac:dyDescent="0.25">
      <c r="A3748">
        <f ca="1">31632.6720127481*((RANDBETWEEN(1620,2416)))</f>
        <v>61304118.360705845</v>
      </c>
      <c r="B3748">
        <v>171201954.9696767</v>
      </c>
    </row>
    <row r="3749" spans="1:2" x14ac:dyDescent="0.25">
      <c r="A3749">
        <f ca="1">31279.3720903645*((RANDBETWEEN(1620,2416)))</f>
        <v>51079214.623565234</v>
      </c>
      <c r="B3749">
        <v>169779837.52188712</v>
      </c>
    </row>
    <row r="3750" spans="1:2" x14ac:dyDescent="0.25">
      <c r="A3750">
        <f ca="1">32224.5255080856*((RANDBETWEEN(1620,2416)))</f>
        <v>63288968.097880073</v>
      </c>
      <c r="B3750">
        <v>144505783.98063838</v>
      </c>
    </row>
    <row r="3751" spans="1:2" x14ac:dyDescent="0.25">
      <c r="A3751">
        <f ca="1">27946.1300416042*((RANDBETWEEN(1620,2416)))</f>
        <v>46725929.429562189</v>
      </c>
      <c r="B3751">
        <v>147471342.58541322</v>
      </c>
    </row>
    <row r="3752" spans="1:2" x14ac:dyDescent="0.25">
      <c r="A3752">
        <f ca="1">41139.3853845116*((RANDBETWEEN(1620,2416)))</f>
        <v>98775664.308212414</v>
      </c>
      <c r="B3752">
        <v>176881735.60017896</v>
      </c>
    </row>
    <row r="3753" spans="1:2" x14ac:dyDescent="0.25">
      <c r="A3753">
        <f ca="1">34366.1673496379*((RANDBETWEEN(1620,2416)))</f>
        <v>70072615.225911707</v>
      </c>
      <c r="B3753">
        <v>151227188.79766172</v>
      </c>
    </row>
    <row r="3754" spans="1:2" x14ac:dyDescent="0.25">
      <c r="A3754">
        <f ca="1">32511.0738066135*((RANDBETWEEN(1620,2416)))</f>
        <v>74580403.312371477</v>
      </c>
      <c r="B3754">
        <v>158498242.43290257</v>
      </c>
    </row>
    <row r="3755" spans="1:2" x14ac:dyDescent="0.25">
      <c r="A3755">
        <f ca="1">34351.002594473*((RANDBETWEEN(1620,2416)))</f>
        <v>67637124.108517423</v>
      </c>
      <c r="B3755">
        <v>167028597.39147615</v>
      </c>
    </row>
    <row r="3756" spans="1:2" x14ac:dyDescent="0.25">
      <c r="A3756">
        <f ca="1">40590.4856336581*((RANDBETWEEN(1620,2416)))</f>
        <v>68313787.321446583</v>
      </c>
      <c r="B3756">
        <v>194581509.05986482</v>
      </c>
    </row>
    <row r="3757" spans="1:2" x14ac:dyDescent="0.25">
      <c r="A3757">
        <f ca="1">29693.5016153654*((RANDBETWEEN(1620,2416)))</f>
        <v>65771106.078034461</v>
      </c>
      <c r="B3757">
        <v>178000437.75333378</v>
      </c>
    </row>
    <row r="3758" spans="1:2" x14ac:dyDescent="0.25">
      <c r="A3758">
        <f ca="1">31276.0855181296*((RANDBETWEEN(1620,2416)))</f>
        <v>53638486.663592182</v>
      </c>
      <c r="B3758">
        <v>144109016.76248485</v>
      </c>
    </row>
    <row r="3759" spans="1:2" x14ac:dyDescent="0.25">
      <c r="A3759">
        <f ca="1">35605.4809000479*((RANDBETWEEN(1620,2416)))</f>
        <v>75839674.317102045</v>
      </c>
      <c r="B3759">
        <v>197990817.36991608</v>
      </c>
    </row>
    <row r="3760" spans="1:2" x14ac:dyDescent="0.25">
      <c r="A3760">
        <f ca="1">29506.7246995572*((RANDBETWEEN(1620,2416)))</f>
        <v>63380444.65464887</v>
      </c>
      <c r="B3760">
        <v>163396310.20887446</v>
      </c>
    </row>
    <row r="3761" spans="1:2" x14ac:dyDescent="0.25">
      <c r="A3761">
        <f ca="1">32635.1768492949*((RANDBETWEEN(1620,2416)))</f>
        <v>76464219.357897833</v>
      </c>
      <c r="B3761">
        <v>201887402.03608036</v>
      </c>
    </row>
    <row r="3762" spans="1:2" x14ac:dyDescent="0.25">
      <c r="A3762">
        <f ca="1">39817.4723702272*((RANDBETWEEN(1620,2416)))</f>
        <v>90624567.114637032</v>
      </c>
      <c r="B3762">
        <v>162608010.98243296</v>
      </c>
    </row>
    <row r="3763" spans="1:2" x14ac:dyDescent="0.25">
      <c r="A3763">
        <f ca="1">35148.7393263691*((RANDBETWEEN(1620,2416)))</f>
        <v>80771802.971996114</v>
      </c>
      <c r="B3763">
        <v>199787952.69388416</v>
      </c>
    </row>
    <row r="3764" spans="1:2" x14ac:dyDescent="0.25">
      <c r="A3764">
        <f ca="1">33325.6245444747*((RANDBETWEEN(1620,2416)))</f>
        <v>60785939.169121899</v>
      </c>
      <c r="B3764">
        <v>195276870.34315324</v>
      </c>
    </row>
    <row r="3765" spans="1:2" x14ac:dyDescent="0.25">
      <c r="A3765">
        <f ca="1">31765.7431831858*((RANDBETWEEN(1620,2416)))</f>
        <v>56384194.150154747</v>
      </c>
      <c r="B3765">
        <v>144833306.05658138</v>
      </c>
    </row>
    <row r="3766" spans="1:2" x14ac:dyDescent="0.25">
      <c r="A3766">
        <f ca="1">38107.294317959*((RANDBETWEEN(1620,2416)))</f>
        <v>85550875.74381797</v>
      </c>
      <c r="B3766">
        <v>146349151.18106934</v>
      </c>
    </row>
    <row r="3767" spans="1:2" x14ac:dyDescent="0.25">
      <c r="A3767">
        <f ca="1">37052.0416686344*((RANDBETWEEN(1620,2416)))</f>
        <v>66174946.420181021</v>
      </c>
      <c r="B3767">
        <v>182239125.62038732</v>
      </c>
    </row>
    <row r="3768" spans="1:2" x14ac:dyDescent="0.25">
      <c r="A3768">
        <f ca="1">39554.440766726*((RANDBETWEEN(1620,2416)))</f>
        <v>84488285.477726683</v>
      </c>
      <c r="B3768">
        <v>160016202.63469124</v>
      </c>
    </row>
    <row r="3769" spans="1:2" x14ac:dyDescent="0.25">
      <c r="A3769">
        <f ca="1">31930.2415830451*((RANDBETWEEN(1620,2416)))</f>
        <v>64275576.306669764</v>
      </c>
      <c r="B3769">
        <v>143225778.3158325</v>
      </c>
    </row>
    <row r="3770" spans="1:2" x14ac:dyDescent="0.25">
      <c r="A3770">
        <f ca="1">41115.5221411328*((RANDBETWEEN(1620,2416)))</f>
        <v>88398372.603435412</v>
      </c>
      <c r="B3770">
        <v>178454547.90180993</v>
      </c>
    </row>
    <row r="3771" spans="1:2" x14ac:dyDescent="0.25">
      <c r="A3771">
        <f ca="1">36374.0421560838*((RANDBETWEEN(1620,2416)))</f>
        <v>76130870.23268345</v>
      </c>
      <c r="B3771">
        <v>146679745.92067769</v>
      </c>
    </row>
    <row r="3772" spans="1:2" x14ac:dyDescent="0.25">
      <c r="A3772">
        <f ca="1">31816.329823892*((RANDBETWEEN(1620,2416)))</f>
        <v>53419617.774314687</v>
      </c>
      <c r="B3772">
        <v>179956911.33368826</v>
      </c>
    </row>
    <row r="3773" spans="1:2" x14ac:dyDescent="0.25">
      <c r="A3773">
        <f ca="1">36442.6910941464*((RANDBETWEEN(1620,2416)))</f>
        <v>72375184.51297465</v>
      </c>
      <c r="B3773">
        <v>197934995.4786194</v>
      </c>
    </row>
    <row r="3774" spans="1:2" x14ac:dyDescent="0.25">
      <c r="A3774">
        <f ca="1">33131.1696429294*((RANDBETWEEN(1620,2416)))</f>
        <v>64804567.821569815</v>
      </c>
      <c r="B3774">
        <v>143737638.55812421</v>
      </c>
    </row>
    <row r="3775" spans="1:2" x14ac:dyDescent="0.25">
      <c r="A3775">
        <f ca="1">31934.4668202363*((RANDBETWEEN(1620,2416)))</f>
        <v>66391756.519271366</v>
      </c>
      <c r="B3775">
        <v>178176393.86842468</v>
      </c>
    </row>
    <row r="3776" spans="1:2" x14ac:dyDescent="0.25">
      <c r="A3776">
        <f ca="1">30411.5018997575*((RANDBETWEEN(1620,2416)))</f>
        <v>58937490.681730017</v>
      </c>
      <c r="B3776">
        <v>168098368.67575258</v>
      </c>
    </row>
    <row r="3777" spans="1:2" x14ac:dyDescent="0.25">
      <c r="A3777">
        <f ca="1">33011.0675736105*((RANDBETWEEN(1620,2416)))</f>
        <v>76420621.432908371</v>
      </c>
      <c r="B3777">
        <v>161415989.05141726</v>
      </c>
    </row>
    <row r="3778" spans="1:2" x14ac:dyDescent="0.25">
      <c r="A3778">
        <f ca="1">31671.7162030737*((RANDBETWEEN(1620,2416)))</f>
        <v>61823190.02839987</v>
      </c>
      <c r="B3778">
        <v>201055564.55149066</v>
      </c>
    </row>
    <row r="3779" spans="1:2" x14ac:dyDescent="0.25">
      <c r="A3779">
        <f ca="1">30327.1865811413*((RANDBETWEEN(1620,2416)))</f>
        <v>56378239.854341663</v>
      </c>
      <c r="B3779">
        <v>144069496.06239393</v>
      </c>
    </row>
    <row r="3780" spans="1:2" x14ac:dyDescent="0.25">
      <c r="A3780">
        <f ca="1">38188.1849041938*((RANDBETWEEN(1620,2416)))</f>
        <v>86190733.328765452</v>
      </c>
      <c r="B3780">
        <v>171273757.06212723</v>
      </c>
    </row>
    <row r="3781" spans="1:2" x14ac:dyDescent="0.25">
      <c r="A3781">
        <f ca="1">39168.6591207723*((RANDBETWEEN(1620,2416)))</f>
        <v>69015177.370800748</v>
      </c>
      <c r="B3781">
        <v>168232686.81911838</v>
      </c>
    </row>
    <row r="3782" spans="1:2" x14ac:dyDescent="0.25">
      <c r="A3782">
        <f ca="1">30797.9050186704*((RANDBETWEEN(1620,2416)))</f>
        <v>54481493.978027955</v>
      </c>
      <c r="B3782">
        <v>145518770.81198871</v>
      </c>
    </row>
    <row r="3783" spans="1:2" x14ac:dyDescent="0.25">
      <c r="A3783">
        <f ca="1">34737.7534191109*((RANDBETWEEN(1620,2416)))</f>
        <v>80973703.219947472</v>
      </c>
      <c r="B3783">
        <v>192166274.12270337</v>
      </c>
    </row>
    <row r="3784" spans="1:2" x14ac:dyDescent="0.25">
      <c r="A3784">
        <f ca="1">31042.7706276603*((RANDBETWEEN(1620,2416)))</f>
        <v>53269394.397064991</v>
      </c>
      <c r="B3784">
        <v>196684320.9511404</v>
      </c>
    </row>
    <row r="3785" spans="1:2" x14ac:dyDescent="0.25">
      <c r="A3785">
        <f ca="1">36871.6444958594*((RANDBETWEEN(1620,2416)))</f>
        <v>59916422.305771597</v>
      </c>
      <c r="B3785">
        <v>169551793.32514513</v>
      </c>
    </row>
    <row r="3786" spans="1:2" x14ac:dyDescent="0.25">
      <c r="A3786">
        <f ca="1">31447.5192562277*((RANDBETWEEN(1620,2416)))</f>
        <v>60693712.164519385</v>
      </c>
      <c r="B3786">
        <v>158310546.17565066</v>
      </c>
    </row>
    <row r="3787" spans="1:2" x14ac:dyDescent="0.25">
      <c r="A3787">
        <f ca="1">38914.8305709623*((RANDBETWEEN(1620,2416)))</f>
        <v>83044248.438433602</v>
      </c>
      <c r="B3787">
        <v>156822418.97639307</v>
      </c>
    </row>
    <row r="3788" spans="1:2" x14ac:dyDescent="0.25">
      <c r="A3788">
        <f ca="1">32070.4661232197*((RANDBETWEEN(1620,2416)))</f>
        <v>61543224.490458593</v>
      </c>
      <c r="B3788">
        <v>163772221.83896902</v>
      </c>
    </row>
    <row r="3789" spans="1:2" x14ac:dyDescent="0.25">
      <c r="A3789">
        <f ca="1">28462.8798021898*((RANDBETWEEN(1620,2416)))</f>
        <v>50037742.692249596</v>
      </c>
      <c r="B3789">
        <v>168644263.29152793</v>
      </c>
    </row>
    <row r="3790" spans="1:2" x14ac:dyDescent="0.25">
      <c r="A3790">
        <f ca="1">31790.9108241414*((RANDBETWEEN(1620,2416)))</f>
        <v>74358940.417666733</v>
      </c>
      <c r="B3790">
        <v>159638371.29449433</v>
      </c>
    </row>
    <row r="3791" spans="1:2" x14ac:dyDescent="0.25">
      <c r="A3791">
        <f ca="1">41613.1046835994*((RANDBETWEEN(1620,2416)))</f>
        <v>76817791.245924413</v>
      </c>
      <c r="B3791">
        <v>191001881.67966652</v>
      </c>
    </row>
    <row r="3792" spans="1:2" x14ac:dyDescent="0.25">
      <c r="A3792">
        <f ca="1">32362.6656676648*((RANDBETWEEN(1620,2416)))</f>
        <v>67281981.923075125</v>
      </c>
      <c r="B3792">
        <v>166877065.85515559</v>
      </c>
    </row>
    <row r="3793" spans="1:2" x14ac:dyDescent="0.25">
      <c r="A3793">
        <f ca="1">31342.9197604614*((RANDBETWEEN(1620,2416)))</f>
        <v>71869315.010737926</v>
      </c>
      <c r="B3793">
        <v>190108953.00809348</v>
      </c>
    </row>
    <row r="3794" spans="1:2" x14ac:dyDescent="0.25">
      <c r="A3794">
        <f ca="1">29496.1158994089*((RANDBETWEEN(1620,2416)))</f>
        <v>70082771.376995653</v>
      </c>
      <c r="B3794">
        <v>159617163.69589826</v>
      </c>
    </row>
    <row r="3795" spans="1:2" x14ac:dyDescent="0.25">
      <c r="A3795">
        <f ca="1">30178.308164399*((RANDBETWEEN(1620,2416)))</f>
        <v>62529454.51663468</v>
      </c>
      <c r="B3795">
        <v>181851563.14415547</v>
      </c>
    </row>
    <row r="3796" spans="1:2" x14ac:dyDescent="0.25">
      <c r="A3796">
        <f ca="1">33210.4275173765*((RANDBETWEEN(1620,2416)))</f>
        <v>55859939.084227316</v>
      </c>
      <c r="B3796">
        <v>183667938.18500611</v>
      </c>
    </row>
    <row r="3797" spans="1:2" x14ac:dyDescent="0.25">
      <c r="A3797">
        <f ca="1">30112.1493068953*((RANDBETWEEN(1620,2416)))</f>
        <v>53328616.422511578</v>
      </c>
      <c r="B3797">
        <v>160844067.91486156</v>
      </c>
    </row>
    <row r="3798" spans="1:2" x14ac:dyDescent="0.25">
      <c r="A3798">
        <f ca="1">34124.6170750166*((RANDBETWEEN(1620,2416)))</f>
        <v>62857544.652180605</v>
      </c>
      <c r="B3798">
        <v>184116818.10996276</v>
      </c>
    </row>
    <row r="3799" spans="1:2" x14ac:dyDescent="0.25">
      <c r="A3799">
        <f ca="1">31849.1421988714*((RANDBETWEEN(1620,2416)))</f>
        <v>67552030.603806153</v>
      </c>
      <c r="B3799">
        <v>153177861.04098457</v>
      </c>
    </row>
    <row r="3800" spans="1:2" x14ac:dyDescent="0.25">
      <c r="A3800">
        <f ca="1">33890.3617562985*((RANDBETWEEN(1620,2416)))</f>
        <v>69848035.579731151</v>
      </c>
      <c r="B3800">
        <v>147868991.88402441</v>
      </c>
    </row>
    <row r="3801" spans="1:2" x14ac:dyDescent="0.25">
      <c r="A3801">
        <f ca="1">31765.9598692361*((RANDBETWEEN(1620,2416)))</f>
        <v>65215515.611541726</v>
      </c>
      <c r="B3801">
        <v>160562931.38306323</v>
      </c>
    </row>
    <row r="3802" spans="1:2" x14ac:dyDescent="0.25">
      <c r="A3802">
        <f ca="1">41123.3039793266*((RANDBETWEEN(1620,2416)))</f>
        <v>80930662.231314719</v>
      </c>
      <c r="B3802">
        <v>175325690.79752246</v>
      </c>
    </row>
    <row r="3803" spans="1:2" x14ac:dyDescent="0.25">
      <c r="A3803">
        <f ca="1">38908.7664720462*((RANDBETWEEN(1620,2416)))</f>
        <v>63187836.750603035</v>
      </c>
      <c r="B3803">
        <v>189670263.63515455</v>
      </c>
    </row>
    <row r="3804" spans="1:2" x14ac:dyDescent="0.25">
      <c r="A3804">
        <f ca="1">36803.8052275332*((RANDBETWEEN(1620,2416)))</f>
        <v>69559191.880037725</v>
      </c>
      <c r="B3804">
        <v>155734228.07510695</v>
      </c>
    </row>
    <row r="3805" spans="1:2" x14ac:dyDescent="0.25">
      <c r="A3805">
        <f ca="1">34716.3638174527*((RANDBETWEEN(1620,2416)))</f>
        <v>66794283.984779023</v>
      </c>
      <c r="B3805">
        <v>164227217.6406492</v>
      </c>
    </row>
    <row r="3806" spans="1:2" x14ac:dyDescent="0.25">
      <c r="A3806">
        <f ca="1">32211.0661218367*((RANDBETWEEN(1620,2416)))</f>
        <v>67127861.797907785</v>
      </c>
      <c r="B3806">
        <v>185108280.89388344</v>
      </c>
    </row>
    <row r="3807" spans="1:2" x14ac:dyDescent="0.25">
      <c r="A3807">
        <f ca="1">31520.6397304016*((RANDBETWEEN(1620,2416)))</f>
        <v>58596869.258816548</v>
      </c>
      <c r="B3807">
        <v>144956898.55767444</v>
      </c>
    </row>
    <row r="3808" spans="1:2" x14ac:dyDescent="0.25">
      <c r="A3808">
        <f ca="1">37531.465679039*((RANDBETWEEN(1620,2416)))</f>
        <v>73073763.677088842</v>
      </c>
      <c r="B3808">
        <v>152516336.37252012</v>
      </c>
    </row>
    <row r="3809" spans="1:2" x14ac:dyDescent="0.25">
      <c r="A3809">
        <f ca="1">32360.3273489685*((RANDBETWEEN(1620,2416)))</f>
        <v>69898307.073771983</v>
      </c>
      <c r="B3809">
        <v>149622907.10115489</v>
      </c>
    </row>
    <row r="3810" spans="1:2" x14ac:dyDescent="0.25">
      <c r="A3810">
        <f ca="1">39954.4792447525*((RANDBETWEEN(1620,2416)))</f>
        <v>67083570.651939489</v>
      </c>
      <c r="B3810">
        <v>172951158.86272287</v>
      </c>
    </row>
    <row r="3811" spans="1:2" x14ac:dyDescent="0.25">
      <c r="A3811">
        <f ca="1">31367.9231871085*((RANDBETWEEN(1620,2416)))</f>
        <v>65151176.459624454</v>
      </c>
      <c r="B3811">
        <v>151044400.6615698</v>
      </c>
    </row>
    <row r="3812" spans="1:2" x14ac:dyDescent="0.25">
      <c r="A3812">
        <f ca="1">29465.8929841643*((RANDBETWEEN(1620,2416)))</f>
        <v>51152790.220509209</v>
      </c>
      <c r="B3812">
        <v>151192866.80603659</v>
      </c>
    </row>
    <row r="3813" spans="1:2" x14ac:dyDescent="0.25">
      <c r="A3813">
        <f ca="1">35402.448211453*((RANDBETWEEN(1620,2416)))</f>
        <v>67300054.049972132</v>
      </c>
      <c r="B3813">
        <v>143571953.88699117</v>
      </c>
    </row>
    <row r="3814" spans="1:2" x14ac:dyDescent="0.25">
      <c r="A3814">
        <f ca="1">31612.2501374781*((RANDBETWEEN(1620,2416)))</f>
        <v>52065375.976426482</v>
      </c>
      <c r="B3814">
        <v>201312842.26872951</v>
      </c>
    </row>
    <row r="3815" spans="1:2" x14ac:dyDescent="0.25">
      <c r="A3815">
        <f ca="1">41706.9746504284*((RANDBETWEEN(1620,2416)))</f>
        <v>76073521.762381375</v>
      </c>
      <c r="B3815">
        <v>177577300.45183134</v>
      </c>
    </row>
    <row r="3816" spans="1:2" x14ac:dyDescent="0.25">
      <c r="A3816">
        <f ca="1">30340.4110381404*((RANDBETWEEN(1620,2416)))</f>
        <v>72422561.14804104</v>
      </c>
      <c r="B3816">
        <v>173230068.06616834</v>
      </c>
    </row>
    <row r="3817" spans="1:2" x14ac:dyDescent="0.25">
      <c r="A3817">
        <f ca="1">30415.839813679*((RANDBETWEEN(1620,2416)))</f>
        <v>55904313.577541955</v>
      </c>
      <c r="B3817">
        <v>203436877.85379797</v>
      </c>
    </row>
    <row r="3818" spans="1:2" x14ac:dyDescent="0.25">
      <c r="A3818">
        <f ca="1">31683.4149353264*((RANDBETWEEN(1620,2416)))</f>
        <v>75311477.301270798</v>
      </c>
      <c r="B3818">
        <v>145389220.40132457</v>
      </c>
    </row>
    <row r="3819" spans="1:2" x14ac:dyDescent="0.25">
      <c r="A3819">
        <f ca="1">30262.9518939535*((RANDBETWEEN(1620,2416)))</f>
        <v>54049632.082600914</v>
      </c>
      <c r="B3819">
        <v>170158637.8628507</v>
      </c>
    </row>
    <row r="3820" spans="1:2" x14ac:dyDescent="0.25">
      <c r="A3820">
        <f ca="1">31265.3829743455*((RANDBETWEEN(1620,2416)))</f>
        <v>61561539.076486304</v>
      </c>
      <c r="B3820">
        <v>183078889.27761245</v>
      </c>
    </row>
    <row r="3821" spans="1:2" x14ac:dyDescent="0.25">
      <c r="A3821">
        <f ca="1">29759.6895089664*((RANDBETWEEN(1620,2416)))</f>
        <v>69875750.967053056</v>
      </c>
      <c r="B3821">
        <v>145229046.1424793</v>
      </c>
    </row>
    <row r="3822" spans="1:2" x14ac:dyDescent="0.25">
      <c r="A3822">
        <f ca="1">32265.0697992903*((RANDBETWEEN(1620,2416)))</f>
        <v>71338069.326230839</v>
      </c>
      <c r="B3822">
        <v>173508192.23356375</v>
      </c>
    </row>
    <row r="3823" spans="1:2" x14ac:dyDescent="0.25">
      <c r="A3823">
        <f ca="1">30559.235636121*((RANDBETWEEN(1620,2416)))</f>
        <v>61699096.74932833</v>
      </c>
      <c r="B3823">
        <v>157641214.25586757</v>
      </c>
    </row>
    <row r="3824" spans="1:2" x14ac:dyDescent="0.25">
      <c r="A3824">
        <f ca="1">36777.8860895044*((RANDBETWEEN(1620,2416)))</f>
        <v>77160005.0157803</v>
      </c>
      <c r="B3824">
        <v>167795557.08437303</v>
      </c>
    </row>
    <row r="3825" spans="1:2" x14ac:dyDescent="0.25">
      <c r="A3825">
        <f ca="1">32785.6424505167*((RANDBETWEEN(1620,2416)))</f>
        <v>54915951.10461539</v>
      </c>
      <c r="B3825">
        <v>191403241.9095608</v>
      </c>
    </row>
    <row r="3826" spans="1:2" x14ac:dyDescent="0.25">
      <c r="A3826">
        <f ca="1">37189.3137092613*((RANDBETWEEN(1620,2416)))</f>
        <v>67424225.75489071</v>
      </c>
      <c r="B3826">
        <v>152352419.28026342</v>
      </c>
    </row>
    <row r="3827" spans="1:2" x14ac:dyDescent="0.25">
      <c r="A3827">
        <f ca="1">31213.4192611045*((RANDBETWEEN(1620,2416)))</f>
        <v>61022234.655459315</v>
      </c>
      <c r="B3827">
        <v>195588971.85141379</v>
      </c>
    </row>
    <row r="3828" spans="1:2" x14ac:dyDescent="0.25">
      <c r="A3828">
        <f ca="1">32265.3830008668*((RANDBETWEEN(1620,2416)))</f>
        <v>64401704.469730213</v>
      </c>
      <c r="B3828">
        <v>197808202.53344071</v>
      </c>
    </row>
    <row r="3829" spans="1:2" x14ac:dyDescent="0.25">
      <c r="A3829">
        <f ca="1">32927.707224803*((RANDBETWEEN(1620,2416)))</f>
        <v>76886196.369915098</v>
      </c>
      <c r="B3829">
        <v>173393805.7553421</v>
      </c>
    </row>
    <row r="3830" spans="1:2" x14ac:dyDescent="0.25">
      <c r="A3830">
        <f ca="1">30527.9716960707*((RANDBETWEEN(1620,2416)))</f>
        <v>69878527.212305844</v>
      </c>
      <c r="B3830">
        <v>146535083.44720358</v>
      </c>
    </row>
    <row r="3831" spans="1:2" x14ac:dyDescent="0.25">
      <c r="A3831">
        <f ca="1">29231.680172312*((RANDBETWEEN(1620,2416)))</f>
        <v>50453879.977410436</v>
      </c>
      <c r="B3831">
        <v>148471311.14194405</v>
      </c>
    </row>
    <row r="3832" spans="1:2" x14ac:dyDescent="0.25">
      <c r="A3832">
        <f ca="1">29130.6645675846*((RANDBETWEEN(1620,2416)))</f>
        <v>51415622.961786889</v>
      </c>
      <c r="B3832">
        <v>168992049.4843486</v>
      </c>
    </row>
    <row r="3833" spans="1:2" x14ac:dyDescent="0.25">
      <c r="A3833">
        <f ca="1">30820.0949105087*((RANDBETWEEN(1620,2416)))</f>
        <v>53195483.815538049</v>
      </c>
      <c r="B3833">
        <v>169983107.46614423</v>
      </c>
    </row>
    <row r="3834" spans="1:2" x14ac:dyDescent="0.25">
      <c r="A3834">
        <f ca="1">29702.3544983876*((RANDBETWEEN(1620,2416)))</f>
        <v>70751008.415159196</v>
      </c>
      <c r="B3834">
        <v>203546615.97872964</v>
      </c>
    </row>
    <row r="3835" spans="1:2" x14ac:dyDescent="0.25">
      <c r="A3835">
        <f ca="1">32897.6474823569*((RANDBETWEEN(1620,2416)))</f>
        <v>74973738.612291336</v>
      </c>
      <c r="B3835">
        <v>193369198.58247876</v>
      </c>
    </row>
    <row r="3836" spans="1:2" x14ac:dyDescent="0.25">
      <c r="A3836">
        <f ca="1">31225.2771125883*((RANDBETWEEN(1620,2416)))</f>
        <v>64386521.406157009</v>
      </c>
      <c r="B3836">
        <v>151777867.94273865</v>
      </c>
    </row>
    <row r="3837" spans="1:2" x14ac:dyDescent="0.25">
      <c r="A3837">
        <f ca="1">40346.2080789674*((RANDBETWEEN(1620,2416)))</f>
        <v>77101603.638906643</v>
      </c>
      <c r="B3837">
        <v>165616814.73997048</v>
      </c>
    </row>
    <row r="3838" spans="1:2" x14ac:dyDescent="0.25">
      <c r="A3838">
        <f ca="1">38803.4068804477*((RANDBETWEEN(1620,2416)))</f>
        <v>82108008.959027424</v>
      </c>
      <c r="B3838">
        <v>199233235.59063303</v>
      </c>
    </row>
    <row r="3839" spans="1:2" x14ac:dyDescent="0.25">
      <c r="A3839">
        <f ca="1">32194.135378779*((RANDBETWEEN(1620,2416)))</f>
        <v>70955874.374828815</v>
      </c>
      <c r="B3839">
        <v>157273464.75781149</v>
      </c>
    </row>
    <row r="3840" spans="1:2" x14ac:dyDescent="0.25">
      <c r="A3840">
        <f ca="1">33882.1597768224*((RANDBETWEEN(1620,2416)))</f>
        <v>56346031.708855689</v>
      </c>
      <c r="B3840">
        <v>201471111.05791217</v>
      </c>
    </row>
    <row r="3841" spans="1:2" x14ac:dyDescent="0.25">
      <c r="A3841">
        <f ca="1">36060.0037598756*((RANDBETWEEN(1620,2416)))</f>
        <v>64150746.688818604</v>
      </c>
      <c r="B3841">
        <v>193914864.23042527</v>
      </c>
    </row>
    <row r="3842" spans="1:2" x14ac:dyDescent="0.25">
      <c r="A3842">
        <f ca="1">34185.6852390763*((RANDBETWEEN(1620,2416)))</f>
        <v>55791038.310172535</v>
      </c>
      <c r="B3842">
        <v>167961768.71959001</v>
      </c>
    </row>
    <row r="3843" spans="1:2" x14ac:dyDescent="0.25">
      <c r="A3843">
        <f ca="1">38901.3091359032*((RANDBETWEEN(1620,2416)))</f>
        <v>76713381.61600104</v>
      </c>
      <c r="B3843">
        <v>162011264.991413</v>
      </c>
    </row>
    <row r="3844" spans="1:2" x14ac:dyDescent="0.25">
      <c r="A3844">
        <f ca="1">33810.8097351679*((RANDBETWEEN(1620,2416)))</f>
        <v>65119619.549933434</v>
      </c>
      <c r="B3844">
        <v>188444392.83480203</v>
      </c>
    </row>
    <row r="3845" spans="1:2" x14ac:dyDescent="0.25">
      <c r="A3845">
        <f ca="1">29064.4561862314*((RANDBETWEEN(1620,2416)))</f>
        <v>47404128.039743423</v>
      </c>
      <c r="B3845">
        <v>187621621.60238588</v>
      </c>
    </row>
    <row r="3846" spans="1:2" x14ac:dyDescent="0.25">
      <c r="A3846">
        <f ca="1">38264.4139366501*((RANDBETWEEN(1620,2416)))</f>
        <v>74424285.106784374</v>
      </c>
      <c r="B3846">
        <v>166692411.83344299</v>
      </c>
    </row>
    <row r="3847" spans="1:2" x14ac:dyDescent="0.25">
      <c r="A3847">
        <f ca="1">31823.5392351552*((RANDBETWEEN(1620,2416)))</f>
        <v>67179491.325412571</v>
      </c>
      <c r="B3847">
        <v>194202088.49447945</v>
      </c>
    </row>
    <row r="3848" spans="1:2" x14ac:dyDescent="0.25">
      <c r="A3848">
        <f ca="1">32231.8221049126*((RANDBETWEEN(1620,2416)))</f>
        <v>71296790.496066704</v>
      </c>
      <c r="B3848">
        <v>143458967.5421088</v>
      </c>
    </row>
    <row r="3849" spans="1:2" x14ac:dyDescent="0.25">
      <c r="A3849">
        <f ca="1">32475.2799288635*((RANDBETWEEN(1620,2416)))</f>
        <v>63716499.22043021</v>
      </c>
      <c r="B3849">
        <v>150351071.12622213</v>
      </c>
    </row>
    <row r="3850" spans="1:2" x14ac:dyDescent="0.25">
      <c r="A3850">
        <f ca="1">29831.6276295688*((RANDBETWEEN(1620,2416)))</f>
        <v>55785143.667293727</v>
      </c>
      <c r="B3850">
        <v>159912311.93838531</v>
      </c>
    </row>
    <row r="3851" spans="1:2" x14ac:dyDescent="0.25">
      <c r="A3851">
        <f ca="1">32687.146518387*((RANDBETWEEN(1620,2416)))</f>
        <v>65406980.183292337</v>
      </c>
      <c r="B3851">
        <v>146876586.86224321</v>
      </c>
    </row>
    <row r="3852" spans="1:2" x14ac:dyDescent="0.25">
      <c r="A3852">
        <f ca="1">32566.5389168225*((RANDBETWEEN(1620,2416)))</f>
        <v>62788287.031633712</v>
      </c>
      <c r="B3852">
        <v>154956191.95560452</v>
      </c>
    </row>
    <row r="3853" spans="1:2" x14ac:dyDescent="0.25">
      <c r="A3853">
        <f ca="1">32576.3649045445*((RANDBETWEEN(1620,2416)))</f>
        <v>59419289.585889116</v>
      </c>
      <c r="B3853">
        <v>162579225.67381671</v>
      </c>
    </row>
    <row r="3854" spans="1:2" x14ac:dyDescent="0.25">
      <c r="A3854">
        <f ca="1">33847.6486191519*((RANDBETWEEN(1620,2416)))</f>
        <v>56728659.085698582</v>
      </c>
      <c r="B3854">
        <v>174189993.727952</v>
      </c>
    </row>
    <row r="3855" spans="1:2" x14ac:dyDescent="0.25">
      <c r="A3855">
        <f ca="1">28975.1306796224*((RANDBETWEEN(1620,2416)))</f>
        <v>50011075.553028263</v>
      </c>
      <c r="B3855">
        <v>152318650.53865352</v>
      </c>
    </row>
    <row r="3856" spans="1:2" x14ac:dyDescent="0.25">
      <c r="A3856">
        <f ca="1">30253.6808366854*((RANDBETWEEN(1620,2416)))</f>
        <v>64924399.075526953</v>
      </c>
      <c r="B3856">
        <v>147608325.76418275</v>
      </c>
    </row>
    <row r="3857" spans="1:2" x14ac:dyDescent="0.25">
      <c r="A3857">
        <f ca="1">39294.0245069811*((RANDBETWEEN(1620,2416)))</f>
        <v>66760547.637360811</v>
      </c>
      <c r="B3857">
        <v>155250529.32603806</v>
      </c>
    </row>
    <row r="3858" spans="1:2" x14ac:dyDescent="0.25">
      <c r="A3858">
        <f ca="1">32786.576275949*((RANDBETWEEN(1620,2416)))</f>
        <v>58720758.110224575</v>
      </c>
      <c r="B3858">
        <v>153321687.59193888</v>
      </c>
    </row>
    <row r="3859" spans="1:2" x14ac:dyDescent="0.25">
      <c r="A3859">
        <f ca="1">29995.0664095375*((RANDBETWEEN(1620,2416)))</f>
        <v>52941292.21283365</v>
      </c>
      <c r="B3859">
        <v>151732707.49269277</v>
      </c>
    </row>
    <row r="3860" spans="1:2" x14ac:dyDescent="0.25">
      <c r="A3860">
        <f ca="1">33711.8258524755*((RANDBETWEEN(1620,2416)))</f>
        <v>62771419.737309366</v>
      </c>
      <c r="B3860">
        <v>148883639.8090924</v>
      </c>
    </row>
    <row r="3861" spans="1:2" x14ac:dyDescent="0.25">
      <c r="A3861">
        <f ca="1">33045.8695165419*((RANDBETWEEN(1620,2416)))</f>
        <v>72932234.023008019</v>
      </c>
      <c r="B3861">
        <v>171015667.32371199</v>
      </c>
    </row>
    <row r="3862" spans="1:2" x14ac:dyDescent="0.25">
      <c r="A3862">
        <f ca="1">32807.3265885381*((RANDBETWEEN(1620,2416)))</f>
        <v>70142064.246294454</v>
      </c>
      <c r="B3862">
        <v>144350051.13442111</v>
      </c>
    </row>
    <row r="3863" spans="1:2" x14ac:dyDescent="0.25">
      <c r="A3863">
        <f ca="1">34450.8829146249*((RANDBETWEEN(1620,2416)))</f>
        <v>79030325.406149447</v>
      </c>
      <c r="B3863">
        <v>146810717.72092348</v>
      </c>
    </row>
    <row r="3864" spans="1:2" x14ac:dyDescent="0.25">
      <c r="A3864">
        <f ca="1">29756.362106844*((RANDBETWEEN(1620,2416)))</f>
        <v>52252171.85961806</v>
      </c>
      <c r="B3864">
        <v>159979811.60085332</v>
      </c>
    </row>
    <row r="3865" spans="1:2" x14ac:dyDescent="0.25">
      <c r="A3865">
        <f ca="1">29687.2590357833*((RANDBETWEEN(1620,2416)))</f>
        <v>55218301.806556933</v>
      </c>
      <c r="B3865">
        <v>172998540.72525853</v>
      </c>
    </row>
    <row r="3866" spans="1:2" x14ac:dyDescent="0.25">
      <c r="A3866">
        <f ca="1">30936.613944518*((RANDBETWEEN(1620,2416)))</f>
        <v>57542101.936803542</v>
      </c>
      <c r="B3866">
        <v>185949266.88496986</v>
      </c>
    </row>
    <row r="3867" spans="1:2" x14ac:dyDescent="0.25">
      <c r="A3867">
        <f ca="1">31847.1024934131*((RANDBETWEEN(1620,2416)))</f>
        <v>67993563.823436931</v>
      </c>
      <c r="B3867">
        <v>197748116.82993147</v>
      </c>
    </row>
    <row r="3868" spans="1:2" x14ac:dyDescent="0.25">
      <c r="A3868">
        <f ca="1">29003.46294175*((RANDBETWEEN(1620,2416)))</f>
        <v>57745894.717024244</v>
      </c>
      <c r="B3868">
        <v>184543863.57879817</v>
      </c>
    </row>
    <row r="3869" spans="1:2" x14ac:dyDescent="0.25">
      <c r="A3869">
        <f ca="1">31165.4394171037*((RANDBETWEEN(1620,2416)))</f>
        <v>60305125.272095695</v>
      </c>
      <c r="B3869">
        <v>148269716.8141048</v>
      </c>
    </row>
    <row r="3870" spans="1:2" x14ac:dyDescent="0.25">
      <c r="A3870">
        <f ca="1">41276.3671521055*((RANDBETWEEN(1620,2416)))</f>
        <v>81231890.555343568</v>
      </c>
      <c r="B3870">
        <v>166428837.40799946</v>
      </c>
    </row>
    <row r="3871" spans="1:2" x14ac:dyDescent="0.25">
      <c r="A3871">
        <f ca="1">33463.3232439847*((RANDBETWEEN(1620,2416)))</f>
        <v>66960109.811213307</v>
      </c>
      <c r="B3871">
        <v>162778614.40593219</v>
      </c>
    </row>
    <row r="3872" spans="1:2" x14ac:dyDescent="0.25">
      <c r="A3872">
        <f ca="1">33261.6920632698*((RANDBETWEEN(1620,2416)))</f>
        <v>76668200.205836982</v>
      </c>
      <c r="B3872">
        <v>172292759.50696164</v>
      </c>
    </row>
    <row r="3873" spans="1:2" x14ac:dyDescent="0.25">
      <c r="A3873">
        <f ca="1">30568.2932630701*((RANDBETWEEN(1620,2416)))</f>
        <v>68014452.510331064</v>
      </c>
      <c r="B3873">
        <v>149532967.20172131</v>
      </c>
    </row>
    <row r="3874" spans="1:2" x14ac:dyDescent="0.25">
      <c r="A3874">
        <f ca="1">41879.0561841706*((RANDBETWEEN(1620,2416)))</f>
        <v>78397593.176767409</v>
      </c>
      <c r="B3874">
        <v>147953880.5151636</v>
      </c>
    </row>
    <row r="3875" spans="1:2" x14ac:dyDescent="0.25">
      <c r="A3875">
        <f ca="1">34360.8450046936*((RANDBETWEEN(1620,2416)))</f>
        <v>74459951.125171036</v>
      </c>
      <c r="B3875">
        <v>192585494.70596957</v>
      </c>
    </row>
    <row r="3876" spans="1:2" x14ac:dyDescent="0.25">
      <c r="A3876">
        <f ca="1">33929.9177820495*((RANDBETWEEN(1620,2416)))</f>
        <v>59241636.447458483</v>
      </c>
      <c r="B3876">
        <v>188112048.7980336</v>
      </c>
    </row>
    <row r="3877" spans="1:2" x14ac:dyDescent="0.25">
      <c r="A3877">
        <f ca="1">31149.6864218352*((RANDBETWEEN(1620,2416)))</f>
        <v>50618240.435482241</v>
      </c>
      <c r="B3877">
        <v>195034997.04190272</v>
      </c>
    </row>
    <row r="3878" spans="1:2" x14ac:dyDescent="0.25">
      <c r="A3878">
        <f ca="1">31041.1189311395*((RANDBETWEEN(1620,2416)))</f>
        <v>65124267.517530657</v>
      </c>
      <c r="B3878">
        <v>150263983.58665845</v>
      </c>
    </row>
    <row r="3879" spans="1:2" x14ac:dyDescent="0.25">
      <c r="A3879">
        <f ca="1">34546.7243537971*((RANDBETWEEN(1620,2416)))</f>
        <v>83257605.692650989</v>
      </c>
      <c r="B3879">
        <v>173196363.46959686</v>
      </c>
    </row>
    <row r="3880" spans="1:2" x14ac:dyDescent="0.25">
      <c r="A3880">
        <f ca="1">31813.4464893596*((RANDBETWEEN(1620,2416)))</f>
        <v>59268450.809676878</v>
      </c>
      <c r="B3880">
        <v>203111416.99046814</v>
      </c>
    </row>
    <row r="3881" spans="1:2" x14ac:dyDescent="0.25">
      <c r="A3881">
        <f ca="1">35851.2335258285*((RANDBETWEEN(1620,2416)))</f>
        <v>80736977.900165826</v>
      </c>
      <c r="B3881">
        <v>143940133.13726413</v>
      </c>
    </row>
    <row r="3882" spans="1:2" x14ac:dyDescent="0.25">
      <c r="A3882">
        <f ca="1">30667.1634976852*((RANDBETWEEN(1620,2416)))</f>
        <v>55936906.219777875</v>
      </c>
      <c r="B3882">
        <v>195156177.65351</v>
      </c>
    </row>
    <row r="3883" spans="1:2" x14ac:dyDescent="0.25">
      <c r="A3883">
        <f ca="1">30858.2434663574*((RANDBETWEEN(1620,2416)))</f>
        <v>55452263.509044304</v>
      </c>
      <c r="B3883">
        <v>165592594.19593027</v>
      </c>
    </row>
    <row r="3884" spans="1:2" x14ac:dyDescent="0.25">
      <c r="A3884">
        <f ca="1">35800.2880458546*((RANDBETWEEN(1620,2416)))</f>
        <v>79440839.173751399</v>
      </c>
      <c r="B3884">
        <v>144773521.81416067</v>
      </c>
    </row>
    <row r="3885" spans="1:2" x14ac:dyDescent="0.25">
      <c r="A3885">
        <f ca="1">36978.2189024184*((RANDBETWEEN(1620,2416)))</f>
        <v>89265420.430438086</v>
      </c>
      <c r="B3885">
        <v>146633859.67213136</v>
      </c>
    </row>
    <row r="3886" spans="1:2" x14ac:dyDescent="0.25">
      <c r="A3886">
        <f ca="1">41105.302548882*((RANDBETWEEN(1620,2416)))</f>
        <v>86197819.445005536</v>
      </c>
      <c r="B3886">
        <v>150201838.1950407</v>
      </c>
    </row>
    <row r="3887" spans="1:2" x14ac:dyDescent="0.25">
      <c r="A3887">
        <f ca="1">33892.1381475112*((RANDBETWEEN(1620,2416)))</f>
        <v>62700455.572895773</v>
      </c>
      <c r="B3887">
        <v>169385301.83424509</v>
      </c>
    </row>
    <row r="3888" spans="1:2" x14ac:dyDescent="0.25">
      <c r="A3888">
        <f ca="1">33574.0196118917*((RANDBETWEEN(1620,2416)))</f>
        <v>68860314.223989889</v>
      </c>
      <c r="B3888">
        <v>164396158.97872633</v>
      </c>
    </row>
    <row r="3889" spans="1:2" x14ac:dyDescent="0.25">
      <c r="A3889">
        <f ca="1">40844.3831925583*((RANDBETWEEN(1620,2416)))</f>
        <v>79401480.926333383</v>
      </c>
      <c r="B3889">
        <v>187525992.65879568</v>
      </c>
    </row>
    <row r="3890" spans="1:2" x14ac:dyDescent="0.25">
      <c r="A3890">
        <f ca="1">40185.753131098*((RANDBETWEEN(1620,2416)))</f>
        <v>71008225.782650232</v>
      </c>
      <c r="B3890">
        <v>180953508.17782801</v>
      </c>
    </row>
    <row r="3891" spans="1:2" x14ac:dyDescent="0.25">
      <c r="A3891">
        <f ca="1">41822.1129817879*((RANDBETWEEN(1620,2416)))</f>
        <v>91046739.961352363</v>
      </c>
      <c r="B3891">
        <v>163232879.48083472</v>
      </c>
    </row>
    <row r="3892" spans="1:2" x14ac:dyDescent="0.25">
      <c r="A3892">
        <f ca="1">35263.7490623918*((RANDBETWEEN(1620,2416)))</f>
        <v>75781796.735079944</v>
      </c>
      <c r="B3892">
        <v>194646805.36102784</v>
      </c>
    </row>
    <row r="3893" spans="1:2" x14ac:dyDescent="0.25">
      <c r="A3893">
        <f ca="1">33593.9317122662*((RANDBETWEEN(1620,2416)))</f>
        <v>65172227.521796376</v>
      </c>
      <c r="B3893">
        <v>177415624.37760037</v>
      </c>
    </row>
    <row r="3894" spans="1:2" x14ac:dyDescent="0.25">
      <c r="A3894">
        <f ca="1">32676.4881954352*((RANDBETWEEN(1620,2416)))</f>
        <v>68261183.840264037</v>
      </c>
      <c r="B3894">
        <v>152491780.19890484</v>
      </c>
    </row>
    <row r="3895" spans="1:2" x14ac:dyDescent="0.25">
      <c r="A3895">
        <f ca="1">32661.0640371856*((RANDBETWEEN(1620,2416)))</f>
        <v>62578598.695247576</v>
      </c>
      <c r="B3895">
        <v>202220779.98655364</v>
      </c>
    </row>
    <row r="3896" spans="1:2" x14ac:dyDescent="0.25">
      <c r="A3896">
        <f ca="1">31678.3250277861*((RANDBETWEEN(1620,2416)))</f>
        <v>55278677.173486784</v>
      </c>
      <c r="B3896">
        <v>193731289.60473847</v>
      </c>
    </row>
    <row r="3897" spans="1:2" x14ac:dyDescent="0.25">
      <c r="A3897">
        <f ca="1">36235.1610033462*((RANDBETWEEN(1620,2416)))</f>
        <v>84609100.942813441</v>
      </c>
      <c r="B3897">
        <v>175778536.20916748</v>
      </c>
    </row>
    <row r="3898" spans="1:2" x14ac:dyDescent="0.25">
      <c r="A3898">
        <f ca="1">31384.3568679089*((RANDBETWEEN(1620,2416)))</f>
        <v>52976794.393030271</v>
      </c>
      <c r="B3898">
        <v>148239299.67574039</v>
      </c>
    </row>
    <row r="3899" spans="1:2" x14ac:dyDescent="0.25">
      <c r="A3899">
        <f ca="1">36184.3155657348*((RANDBETWEEN(1620,2416)))</f>
        <v>77036407.839449286</v>
      </c>
      <c r="B3899">
        <v>172568408.57410815</v>
      </c>
    </row>
    <row r="3900" spans="1:2" x14ac:dyDescent="0.25">
      <c r="A3900">
        <f ca="1">32215.491692373*((RANDBETWEEN(1620,2416)))</f>
        <v>56280463.986575641</v>
      </c>
      <c r="B3900">
        <v>187650417.8904511</v>
      </c>
    </row>
    <row r="3901" spans="1:2" x14ac:dyDescent="0.25">
      <c r="A3901">
        <f ca="1">30463.2532170358*((RANDBETWEEN(1620,2416)))</f>
        <v>60134461.850428686</v>
      </c>
      <c r="B3901">
        <v>147311302.33742878</v>
      </c>
    </row>
    <row r="3902" spans="1:2" x14ac:dyDescent="0.25">
      <c r="A3902">
        <f ca="1">29672.1860166441*((RANDBETWEEN(1620,2416)))</f>
        <v>67474551.001848713</v>
      </c>
      <c r="B3902">
        <v>146670985.18400359</v>
      </c>
    </row>
    <row r="3903" spans="1:2" x14ac:dyDescent="0.25">
      <c r="A3903">
        <f ca="1">29337.9387385359*((RANDBETWEEN(1620,2416)))</f>
        <v>66421093.30404523</v>
      </c>
      <c r="B3903">
        <v>145141866.11217919</v>
      </c>
    </row>
    <row r="3904" spans="1:2" x14ac:dyDescent="0.25">
      <c r="A3904">
        <f ca="1">29651.173127008*((RANDBETWEEN(1620,2416)))</f>
        <v>53194204.589852273</v>
      </c>
      <c r="B3904">
        <v>193798673.27971074</v>
      </c>
    </row>
    <row r="3905" spans="1:2" x14ac:dyDescent="0.25">
      <c r="A3905">
        <f ca="1">39776.902409402*((RANDBETWEEN(1620,2416)))</f>
        <v>81184657.817589581</v>
      </c>
      <c r="B3905">
        <v>199850819.94949734</v>
      </c>
    </row>
    <row r="3906" spans="1:2" x14ac:dyDescent="0.25">
      <c r="A3906">
        <f ca="1">30803.3079021406*((RANDBETWEEN(1620,2416)))</f>
        <v>55723183.994972341</v>
      </c>
      <c r="B3906">
        <v>161620532.8962487</v>
      </c>
    </row>
    <row r="3907" spans="1:2" x14ac:dyDescent="0.25">
      <c r="A3907">
        <f ca="1">33220.2214121726*((RANDBETWEEN(1620,2416)))</f>
        <v>69895345.85121119</v>
      </c>
      <c r="B3907">
        <v>167926842.10717225</v>
      </c>
    </row>
    <row r="3908" spans="1:2" x14ac:dyDescent="0.25">
      <c r="A3908">
        <f ca="1">40236.9257816562*((RANDBETWEEN(1620,2416)))</f>
        <v>70977937.078841612</v>
      </c>
      <c r="B3908">
        <v>180101933.91291142</v>
      </c>
    </row>
    <row r="3909" spans="1:2" x14ac:dyDescent="0.25">
      <c r="A3909">
        <f ca="1">35078.2771599032*((RANDBETWEEN(1620,2416)))</f>
        <v>58335174.916919105</v>
      </c>
      <c r="B3909">
        <v>188086779.07501495</v>
      </c>
    </row>
    <row r="3910" spans="1:2" x14ac:dyDescent="0.25">
      <c r="A3910">
        <f ca="1">34272.9356478785*((RANDBETWEEN(1620,2416)))</f>
        <v>55899158.041689761</v>
      </c>
      <c r="B3910">
        <v>148258701.48797345</v>
      </c>
    </row>
    <row r="3911" spans="1:2" x14ac:dyDescent="0.25">
      <c r="A3911">
        <f ca="1">30860.2831198307*((RANDBETWEEN(1620,2416)))</f>
        <v>60979919.444785416</v>
      </c>
      <c r="B3911">
        <v>144028463.87563992</v>
      </c>
    </row>
    <row r="3912" spans="1:2" x14ac:dyDescent="0.25">
      <c r="A3912">
        <f ca="1">30574.8659028502*((RANDBETWEEN(1620,2416)))</f>
        <v>58122820.081318237</v>
      </c>
      <c r="B3912">
        <v>166492240.94199541</v>
      </c>
    </row>
    <row r="3913" spans="1:2" x14ac:dyDescent="0.25">
      <c r="A3913">
        <f ca="1">38655.6801354148*((RANDBETWEEN(1620,2416)))</f>
        <v>68575176.560225919</v>
      </c>
      <c r="B3913">
        <v>201700541.11306399</v>
      </c>
    </row>
    <row r="3914" spans="1:2" x14ac:dyDescent="0.25">
      <c r="A3914">
        <f ca="1">30035.7958790933*((RANDBETWEEN(1620,2416)))</f>
        <v>61242987.797471315</v>
      </c>
      <c r="B3914">
        <v>162042256.17134207</v>
      </c>
    </row>
    <row r="3915" spans="1:2" x14ac:dyDescent="0.25">
      <c r="A3915">
        <f ca="1">30596.3455510523*((RANDBETWEEN(1620,2416)))</f>
        <v>64313518.348312035</v>
      </c>
      <c r="B3915">
        <v>183380825.58136541</v>
      </c>
    </row>
    <row r="3916" spans="1:2" x14ac:dyDescent="0.25">
      <c r="A3916">
        <f ca="1">32907.883659424*((RANDBETWEEN(1620,2416)))</f>
        <v>54956165.711238086</v>
      </c>
      <c r="B3916">
        <v>170291015.98270828</v>
      </c>
    </row>
    <row r="3917" spans="1:2" x14ac:dyDescent="0.25">
      <c r="A3917">
        <f ca="1">31725.3114502399*((RANDBETWEEN(1620,2416)))</f>
        <v>71508852.008840635</v>
      </c>
      <c r="B3917">
        <v>193926923.33560246</v>
      </c>
    </row>
    <row r="3918" spans="1:2" x14ac:dyDescent="0.25">
      <c r="A3918">
        <f ca="1">27963.4559956718*((RANDBETWEEN(1620,2416)))</f>
        <v>51872210.87197113</v>
      </c>
      <c r="B3918">
        <v>156881602.55326986</v>
      </c>
    </row>
    <row r="3919" spans="1:2" x14ac:dyDescent="0.25">
      <c r="A3919">
        <f ca="1">30917.037913374*((RANDBETWEEN(1620,2416)))</f>
        <v>59175210.56619785</v>
      </c>
      <c r="B3919">
        <v>177801623.56005955</v>
      </c>
    </row>
    <row r="3920" spans="1:2" x14ac:dyDescent="0.25">
      <c r="A3920">
        <f ca="1">30189.9831537832*((RANDBETWEEN(1620,2416)))</f>
        <v>61255475.819026038</v>
      </c>
      <c r="B3920">
        <v>186938485.77121454</v>
      </c>
    </row>
    <row r="3921" spans="1:2" x14ac:dyDescent="0.25">
      <c r="A3921">
        <f ca="1">33298.1113898963*((RANDBETWEEN(1620,2416)))</f>
        <v>61834592.851037472</v>
      </c>
      <c r="B3921">
        <v>148419530.79111814</v>
      </c>
    </row>
    <row r="3922" spans="1:2" x14ac:dyDescent="0.25">
      <c r="A3922">
        <f ca="1">31869.8304669977*((RANDBETWEEN(1620,2416)))</f>
        <v>65811199.914350323</v>
      </c>
      <c r="B3922">
        <v>149753256.52700073</v>
      </c>
    </row>
    <row r="3923" spans="1:2" x14ac:dyDescent="0.25">
      <c r="A3923">
        <f ca="1">33576.4451743474*((RANDBETWEEN(1620,2416)))</f>
        <v>70980605.098570302</v>
      </c>
      <c r="B3923">
        <v>183509655.3470535</v>
      </c>
    </row>
    <row r="3924" spans="1:2" x14ac:dyDescent="0.25">
      <c r="A3924">
        <f ca="1">39906.2872272721*((RANDBETWEEN(1620,2416)))</f>
        <v>79692855.592862308</v>
      </c>
      <c r="B3924">
        <v>176913821.27737534</v>
      </c>
    </row>
    <row r="3925" spans="1:2" x14ac:dyDescent="0.25">
      <c r="A3925">
        <f ca="1">31532.960376885*((RANDBETWEEN(1620,2416)))</f>
        <v>72525808.86683546</v>
      </c>
      <c r="B3925">
        <v>144777094.18291166</v>
      </c>
    </row>
    <row r="3926" spans="1:2" x14ac:dyDescent="0.25">
      <c r="A3926">
        <f ca="1">29437.1473385501*((RANDBETWEEN(1620,2416)))</f>
        <v>52780805.178020358</v>
      </c>
      <c r="B3926">
        <v>182036089.75584078</v>
      </c>
    </row>
    <row r="3927" spans="1:2" x14ac:dyDescent="0.25">
      <c r="A3927">
        <f ca="1">37452.7860243197*((RANDBETWEEN(1620,2416)))</f>
        <v>72733310.459228784</v>
      </c>
      <c r="B3927">
        <v>168237563.03495106</v>
      </c>
    </row>
    <row r="3928" spans="1:2" x14ac:dyDescent="0.25">
      <c r="A3928">
        <f ca="1">30690.7629727687*((RANDBETWEEN(1620,2416)))</f>
        <v>52020843.238842927</v>
      </c>
      <c r="B3928">
        <v>148883644.94254884</v>
      </c>
    </row>
    <row r="3929" spans="1:2" x14ac:dyDescent="0.25">
      <c r="A3929">
        <f ca="1">35296.3195870486*((RANDBETWEEN(1620,2416)))</f>
        <v>77263643.576049402</v>
      </c>
      <c r="B3929">
        <v>196484248.47327629</v>
      </c>
    </row>
    <row r="3930" spans="1:2" x14ac:dyDescent="0.25">
      <c r="A3930">
        <f ca="1">33243.7758217588*((RANDBETWEEN(1620,2416)))</f>
        <v>58608776.773760773</v>
      </c>
      <c r="B3930">
        <v>147932443.97685677</v>
      </c>
    </row>
    <row r="3931" spans="1:2" x14ac:dyDescent="0.25">
      <c r="A3931">
        <f ca="1">31301.2780691115*((RANDBETWEEN(1620,2416)))</f>
        <v>60035851.336555868</v>
      </c>
      <c r="B3931">
        <v>150546657.11276746</v>
      </c>
    </row>
    <row r="3932" spans="1:2" x14ac:dyDescent="0.25">
      <c r="A3932">
        <f ca="1">29613.6680612793*((RANDBETWEEN(1620,2416)))</f>
        <v>61566815.899399713</v>
      </c>
      <c r="B3932">
        <v>174555962.46245879</v>
      </c>
    </row>
    <row r="3933" spans="1:2" x14ac:dyDescent="0.25">
      <c r="A3933">
        <f ca="1">38039.0017491143*((RANDBETWEEN(1620,2416)))</f>
        <v>87527743.024711922</v>
      </c>
      <c r="B3933">
        <v>161508881.8887957</v>
      </c>
    </row>
    <row r="3934" spans="1:2" x14ac:dyDescent="0.25">
      <c r="A3934">
        <f ca="1">33540.4199615164*((RANDBETWEEN(1620,2416)))</f>
        <v>78853527.329525098</v>
      </c>
      <c r="B3934">
        <v>153159733.89722228</v>
      </c>
    </row>
    <row r="3935" spans="1:2" x14ac:dyDescent="0.25">
      <c r="A3935">
        <f ca="1">34436.7240492398*((RANDBETWEEN(1620,2416)))</f>
        <v>56613974.33695019</v>
      </c>
      <c r="B3935">
        <v>148182256.92930058</v>
      </c>
    </row>
    <row r="3936" spans="1:2" x14ac:dyDescent="0.25">
      <c r="A3936">
        <f ca="1">37533.7105349141*((RANDBETWEEN(1620,2416)))</f>
        <v>67748347.515519902</v>
      </c>
      <c r="B3936">
        <v>165766573.45815107</v>
      </c>
    </row>
    <row r="3937" spans="1:2" x14ac:dyDescent="0.25">
      <c r="A3937">
        <f ca="1">34745.8437670989*((RANDBETWEEN(1620,2416)))</f>
        <v>67650157.814541563</v>
      </c>
      <c r="B3937">
        <v>188060824.57816038</v>
      </c>
    </row>
    <row r="3938" spans="1:2" x14ac:dyDescent="0.25">
      <c r="A3938">
        <f ca="1">33456.0853687314*((RANDBETWEEN(1620,2416)))</f>
        <v>73804124.323421523</v>
      </c>
      <c r="B3938">
        <v>194012834.06179565</v>
      </c>
    </row>
    <row r="3939" spans="1:2" x14ac:dyDescent="0.25">
      <c r="A3939">
        <f ca="1">37378.5447176185*((RANDBETWEEN(1620,2416)))</f>
        <v>86905116.468462989</v>
      </c>
      <c r="B3939">
        <v>199355759.12235525</v>
      </c>
    </row>
    <row r="3940" spans="1:2" x14ac:dyDescent="0.25">
      <c r="A3940">
        <f ca="1">40079.1091196659*((RANDBETWEEN(1620,2416)))</f>
        <v>95268042.377445832</v>
      </c>
      <c r="B3940">
        <v>151208823.91380626</v>
      </c>
    </row>
    <row r="3941" spans="1:2" x14ac:dyDescent="0.25">
      <c r="A3941">
        <f ca="1">32431.4413535113*((RANDBETWEEN(1620,2416)))</f>
        <v>62106210.191974089</v>
      </c>
      <c r="B3941">
        <v>163312695.61878073</v>
      </c>
    </row>
    <row r="3942" spans="1:2" x14ac:dyDescent="0.25">
      <c r="A3942">
        <f ca="1">33369.6653523298*((RANDBETWEEN(1620,2416)))</f>
        <v>62301165.212799795</v>
      </c>
      <c r="B3942">
        <v>152826076.33960378</v>
      </c>
    </row>
    <row r="3943" spans="1:2" x14ac:dyDescent="0.25">
      <c r="A3943">
        <f ca="1">32754.7996825574*((RANDBETWEEN(1620,2416)))</f>
        <v>58041505.037491746</v>
      </c>
      <c r="B3943">
        <v>198148278.27456707</v>
      </c>
    </row>
    <row r="3944" spans="1:2" x14ac:dyDescent="0.25">
      <c r="A3944">
        <f ca="1">38193.5563642101*((RANDBETWEEN(1620,2416)))</f>
        <v>67602594.764651835</v>
      </c>
      <c r="B3944">
        <v>187787531.23828709</v>
      </c>
    </row>
    <row r="3945" spans="1:2" x14ac:dyDescent="0.25">
      <c r="A3945">
        <f ca="1">32235.3962612862*((RANDBETWEEN(1620,2416)))</f>
        <v>73851292.834606707</v>
      </c>
      <c r="B3945">
        <v>149781965.45297557</v>
      </c>
    </row>
    <row r="3946" spans="1:2" x14ac:dyDescent="0.25">
      <c r="A3946">
        <f ca="1">37774.3809362235*((RANDBETWEEN(1620,2416)))</f>
        <v>77173060.252704605</v>
      </c>
      <c r="B3946">
        <v>181699117.46271044</v>
      </c>
    </row>
    <row r="3947" spans="1:2" x14ac:dyDescent="0.25">
      <c r="A3947">
        <f ca="1">36263.6483355954*((RANDBETWEEN(1620,2416)))</f>
        <v>77422889.196496278</v>
      </c>
      <c r="B3947">
        <v>167958151.46667144</v>
      </c>
    </row>
    <row r="3948" spans="1:2" x14ac:dyDescent="0.25">
      <c r="A3948">
        <f ca="1">33168.194741979*((RANDBETWEEN(1620,2416)))</f>
        <v>67895294.636830971</v>
      </c>
      <c r="B3948">
        <v>196259025.94111994</v>
      </c>
    </row>
    <row r="3949" spans="1:2" x14ac:dyDescent="0.25">
      <c r="A3949">
        <f ca="1">36820.6743992088*((RANDBETWEEN(1620,2416)))</f>
        <v>72720831.938437328</v>
      </c>
      <c r="B3949">
        <v>144658100.79660758</v>
      </c>
    </row>
    <row r="3950" spans="1:2" x14ac:dyDescent="0.25">
      <c r="A3950">
        <f ca="1">30560.2234439479*((RANDBETWEEN(1620,2416)))</f>
        <v>68577141.40821901</v>
      </c>
      <c r="B3950">
        <v>158060492.96022487</v>
      </c>
    </row>
    <row r="3951" spans="1:2" x14ac:dyDescent="0.25">
      <c r="A3951">
        <f ca="1">31104.7556491467*((RANDBETWEEN(1620,2416)))</f>
        <v>52162675.223619081</v>
      </c>
      <c r="B3951">
        <v>146285772.00218812</v>
      </c>
    </row>
    <row r="3952" spans="1:2" x14ac:dyDescent="0.25">
      <c r="A3952">
        <f ca="1">42121.9686105482*((RANDBETWEEN(1620,2416)))</f>
        <v>76956836.6514716</v>
      </c>
      <c r="B3952">
        <v>170512299.01213652</v>
      </c>
    </row>
    <row r="3953" spans="1:2" x14ac:dyDescent="0.25">
      <c r="A3953">
        <f ca="1">34169.1474188849*((RANDBETWEEN(1620,2416)))</f>
        <v>73805358.424791321</v>
      </c>
      <c r="B3953">
        <v>152700458.21015108</v>
      </c>
    </row>
    <row r="3954" spans="1:2" x14ac:dyDescent="0.25">
      <c r="A3954">
        <f ca="1">29854.9566490079*((RANDBETWEEN(1620,2416)))</f>
        <v>55888478.846942768</v>
      </c>
      <c r="B3954">
        <v>201022814.89846534</v>
      </c>
    </row>
    <row r="3955" spans="1:2" x14ac:dyDescent="0.25">
      <c r="A3955">
        <f ca="1">32694.7268065761*((RANDBETWEEN(1620,2416)))</f>
        <v>70162883.726912215</v>
      </c>
      <c r="B3955">
        <v>149855826.32186759</v>
      </c>
    </row>
    <row r="3956" spans="1:2" x14ac:dyDescent="0.25">
      <c r="A3956">
        <f ca="1">38728.2982555422*((RANDBETWEEN(1620,2416)))</f>
        <v>65257182.560588531</v>
      </c>
      <c r="B3956">
        <v>159054180.68222818</v>
      </c>
    </row>
    <row r="3957" spans="1:2" x14ac:dyDescent="0.25">
      <c r="A3957">
        <f ca="1">34793.2635417859*((RANDBETWEEN(1620,2416)))</f>
        <v>57513264.634572066</v>
      </c>
      <c r="B3957">
        <v>158932980.42979029</v>
      </c>
    </row>
    <row r="3958" spans="1:2" x14ac:dyDescent="0.25">
      <c r="A3958">
        <f ca="1">39766.9773925565*((RANDBETWEEN(1620,2416)))</f>
        <v>87725952.127979711</v>
      </c>
      <c r="B3958">
        <v>157623542.85485023</v>
      </c>
    </row>
    <row r="3959" spans="1:2" x14ac:dyDescent="0.25">
      <c r="A3959">
        <f ca="1">30828.381871813*((RANDBETWEEN(1620,2416)))</f>
        <v>68469836.137296647</v>
      </c>
      <c r="B3959">
        <v>186375096.50400424</v>
      </c>
    </row>
    <row r="3960" spans="1:2" x14ac:dyDescent="0.25">
      <c r="A3960">
        <f ca="1">39999.5285159909*((RANDBETWEEN(1620,2416)))</f>
        <v>95358875.982122302</v>
      </c>
      <c r="B3960">
        <v>146615397.47630897</v>
      </c>
    </row>
    <row r="3961" spans="1:2" x14ac:dyDescent="0.25">
      <c r="A3961">
        <f ca="1">30390.5464072704*((RANDBETWEEN(1620,2416)))</f>
        <v>49293466.272592537</v>
      </c>
      <c r="B3961">
        <v>144440390.32563338</v>
      </c>
    </row>
    <row r="3962" spans="1:2" x14ac:dyDescent="0.25">
      <c r="A3962">
        <f ca="1">29808.6217949838*((RANDBETWEEN(1620,2416)))</f>
        <v>53893988.20533064</v>
      </c>
      <c r="B3962">
        <v>191518167.16304547</v>
      </c>
    </row>
    <row r="3963" spans="1:2" x14ac:dyDescent="0.25">
      <c r="A3963">
        <f ca="1">30207.7651144086*((RANDBETWEEN(1620,2416)))</f>
        <v>69085158.816652477</v>
      </c>
      <c r="B3963">
        <v>144743510.91479379</v>
      </c>
    </row>
    <row r="3964" spans="1:2" x14ac:dyDescent="0.25">
      <c r="A3964">
        <f ca="1">30281.3203398744*((RANDBETWEEN(1620,2416)))</f>
        <v>60502078.039069071</v>
      </c>
      <c r="B3964">
        <v>157243129.11093813</v>
      </c>
    </row>
    <row r="3965" spans="1:2" x14ac:dyDescent="0.25">
      <c r="A3965">
        <f ca="1">33596.114045406*((RANDBETWEEN(1620,2416)))</f>
        <v>71055781.206033781</v>
      </c>
      <c r="B3965">
        <v>177799584.84987232</v>
      </c>
    </row>
    <row r="3966" spans="1:2" x14ac:dyDescent="0.25">
      <c r="A3966">
        <f ca="1">39951.9585676341*((RANDBETWEEN(1620,2416)))</f>
        <v>82660602.276434928</v>
      </c>
      <c r="B3966">
        <v>156341456.79869086</v>
      </c>
    </row>
    <row r="3967" spans="1:2" x14ac:dyDescent="0.25">
      <c r="A3967">
        <f ca="1">30003.1102342601*((RANDBETWEEN(1620,2416)))</f>
        <v>63546587.476162836</v>
      </c>
      <c r="B3967">
        <v>184058468.02572387</v>
      </c>
    </row>
    <row r="3968" spans="1:2" x14ac:dyDescent="0.25">
      <c r="A3968">
        <f ca="1">33157.9565055124*((RANDBETWEEN(1620,2416)))</f>
        <v>58590109.145240456</v>
      </c>
      <c r="B3968">
        <v>196854892.3318817</v>
      </c>
    </row>
    <row r="3969" spans="1:2" x14ac:dyDescent="0.25">
      <c r="A3969">
        <f ca="1">31041.3560802383*((RANDBETWEEN(1620,2416)))</f>
        <v>71364077.628467783</v>
      </c>
      <c r="B3969">
        <v>153079879.48296103</v>
      </c>
    </row>
    <row r="3970" spans="1:2" x14ac:dyDescent="0.25">
      <c r="A3970">
        <f ca="1">31899.5319483364*((RANDBETWEEN(1620,2416)))</f>
        <v>67212313.815144747</v>
      </c>
      <c r="B3970">
        <v>172488728.21080428</v>
      </c>
    </row>
    <row r="3971" spans="1:2" x14ac:dyDescent="0.25">
      <c r="A3971">
        <f ca="1">32424.4142149367*((RANDBETWEEN(1620,2416)))</f>
        <v>64330037.802434497</v>
      </c>
      <c r="B3971">
        <v>196115951.02590403</v>
      </c>
    </row>
    <row r="3972" spans="1:2" x14ac:dyDescent="0.25">
      <c r="A3972">
        <f ca="1">36469.4718027816*((RANDBETWEEN(1620,2416)))</f>
        <v>76002379.236996844</v>
      </c>
      <c r="B3972">
        <v>155624278.01136088</v>
      </c>
    </row>
    <row r="3973" spans="1:2" x14ac:dyDescent="0.25">
      <c r="A3973">
        <f ca="1">32339.4122982154*((RANDBETWEEN(1620,2416)))</f>
        <v>62835478.09543258</v>
      </c>
      <c r="B3973">
        <v>162952889.5658322</v>
      </c>
    </row>
    <row r="3974" spans="1:2" x14ac:dyDescent="0.25">
      <c r="A3974">
        <f ca="1">28847.9731599217*((RANDBETWEEN(1620,2416)))</f>
        <v>53339902.37269529</v>
      </c>
      <c r="B3974">
        <v>157343624.444913</v>
      </c>
    </row>
    <row r="3975" spans="1:2" x14ac:dyDescent="0.25">
      <c r="A3975">
        <f ca="1">31397.6305634753*((RANDBETWEEN(1620,2416)))</f>
        <v>66814157.839075476</v>
      </c>
      <c r="B3975">
        <v>172390126.02828646</v>
      </c>
    </row>
    <row r="3976" spans="1:2" x14ac:dyDescent="0.25">
      <c r="A3976">
        <f ca="1">30981.3394010268*((RANDBETWEEN(1620,2416)))</f>
        <v>58523750.128539599</v>
      </c>
      <c r="B3976">
        <v>158067070.0027141</v>
      </c>
    </row>
    <row r="3977" spans="1:2" x14ac:dyDescent="0.25">
      <c r="A3977">
        <f ca="1">37614.8159232794*((RANDBETWEEN(1620,2416)))</f>
        <v>68120431.637059078</v>
      </c>
      <c r="B3977">
        <v>197484659.610704</v>
      </c>
    </row>
    <row r="3978" spans="1:2" x14ac:dyDescent="0.25">
      <c r="A3978">
        <f ca="1">38950.7091495754*((RANDBETWEEN(1620,2416)))</f>
        <v>64463423.642547294</v>
      </c>
      <c r="B3978">
        <v>158609727.42534363</v>
      </c>
    </row>
    <row r="3979" spans="1:2" x14ac:dyDescent="0.25">
      <c r="A3979">
        <f ca="1">41324.6667337521*((RANDBETWEEN(1620,2416)))</f>
        <v>94302889.48642236</v>
      </c>
      <c r="B3979">
        <v>151114756.40142199</v>
      </c>
    </row>
    <row r="3980" spans="1:2" x14ac:dyDescent="0.25">
      <c r="A3980">
        <f ca="1">36304.4145390195*((RANDBETWEEN(1620,2416)))</f>
        <v>86077766.872015238</v>
      </c>
      <c r="B3980">
        <v>180018471.41849551</v>
      </c>
    </row>
    <row r="3981" spans="1:2" x14ac:dyDescent="0.25">
      <c r="A3981">
        <f ca="1">39935.5730794902*((RANDBETWEEN(1620,2416)))</f>
        <v>74999006.243282616</v>
      </c>
      <c r="B3981">
        <v>196389384.0373612</v>
      </c>
    </row>
    <row r="3982" spans="1:2" x14ac:dyDescent="0.25">
      <c r="A3982">
        <f ca="1">31558.8520540661*((RANDBETWEEN(1620,2416)))</f>
        <v>75267862.148947731</v>
      </c>
      <c r="B3982">
        <v>153041769.6969834</v>
      </c>
    </row>
    <row r="3983" spans="1:2" x14ac:dyDescent="0.25">
      <c r="A3983">
        <f ca="1">35978.9725355814*((RANDBETWEEN(1620,2416)))</f>
        <v>79801361.0839196</v>
      </c>
      <c r="B3983">
        <v>169723030.61879742</v>
      </c>
    </row>
    <row r="3984" spans="1:2" x14ac:dyDescent="0.25">
      <c r="A3984">
        <f ca="1">29990.1255165953*((RANDBETWEEN(1620,2416)))</f>
        <v>56501396.473265462</v>
      </c>
      <c r="B3984">
        <v>151586990.09589028</v>
      </c>
    </row>
    <row r="3985" spans="1:2" x14ac:dyDescent="0.25">
      <c r="A3985">
        <f ca="1">34126.2049441453*((RANDBETWEEN(1620,2416)))</f>
        <v>66204837.591641881</v>
      </c>
      <c r="B3985">
        <v>170323212.76161087</v>
      </c>
    </row>
    <row r="3986" spans="1:2" x14ac:dyDescent="0.25">
      <c r="A3986">
        <f ca="1">27979.3027755675*((RANDBETWEEN(1620,2416)))</f>
        <v>54447723.201254264</v>
      </c>
      <c r="B3986">
        <v>156090394.32524315</v>
      </c>
    </row>
    <row r="3987" spans="1:2" x14ac:dyDescent="0.25">
      <c r="A3987">
        <f ca="1">30108.9000536077*((RANDBETWEEN(1620,2416)))</f>
        <v>59705948.806304105</v>
      </c>
      <c r="B3987">
        <v>173510251.19061962</v>
      </c>
    </row>
    <row r="3988" spans="1:2" x14ac:dyDescent="0.25">
      <c r="A3988">
        <f ca="1">30052.5814296704*((RANDBETWEEN(1620,2416)))</f>
        <v>70833934.429733187</v>
      </c>
      <c r="B3988">
        <v>147194857.86293823</v>
      </c>
    </row>
    <row r="3989" spans="1:2" x14ac:dyDescent="0.25">
      <c r="A3989">
        <f ca="1">31891.0101142107*((RANDBETWEEN(1620,2416)))</f>
        <v>75709258.011136219</v>
      </c>
      <c r="B3989">
        <v>159071382.76421326</v>
      </c>
    </row>
    <row r="3990" spans="1:2" x14ac:dyDescent="0.25">
      <c r="A3990">
        <f ca="1">37646.4933650872*((RANDBETWEEN(1620,2416)))</f>
        <v>77212957.891793847</v>
      </c>
      <c r="B3990">
        <v>198859068.29562044</v>
      </c>
    </row>
    <row r="3991" spans="1:2" x14ac:dyDescent="0.25">
      <c r="A3991">
        <f ca="1">30097.3816540671*((RANDBETWEEN(1620,2416)))</f>
        <v>57485998.959268093</v>
      </c>
      <c r="B3991">
        <v>182322464.02926317</v>
      </c>
    </row>
    <row r="3992" spans="1:2" x14ac:dyDescent="0.25">
      <c r="A3992">
        <f ca="1">39390.2208850389*((RANDBETWEEN(1620,2416)))</f>
        <v>67475448.376071617</v>
      </c>
      <c r="B3992">
        <v>195110208.36525482</v>
      </c>
    </row>
    <row r="3993" spans="1:2" x14ac:dyDescent="0.25">
      <c r="A3993">
        <f ca="1">31270.6732946469*((RANDBETWEEN(1620,2416)))</f>
        <v>59539361.953007668</v>
      </c>
      <c r="B3993">
        <v>171714443.91154408</v>
      </c>
    </row>
    <row r="3994" spans="1:2" x14ac:dyDescent="0.25">
      <c r="A3994">
        <f ca="1">42411.2977862457*((RANDBETWEEN(1620,2416)))</f>
        <v>85967700.612719998</v>
      </c>
      <c r="B3994">
        <v>176169992.52354306</v>
      </c>
    </row>
    <row r="3995" spans="1:2" x14ac:dyDescent="0.25">
      <c r="A3995">
        <f ca="1">30835.1734927259*((RANDBETWEEN(1620,2416)))</f>
        <v>65740589.886491559</v>
      </c>
      <c r="B3995">
        <v>144157858.05809745</v>
      </c>
    </row>
    <row r="3996" spans="1:2" x14ac:dyDescent="0.25">
      <c r="A3996">
        <f ca="1">32611.7999259562*((RANDBETWEEN(1620,2416)))</f>
        <v>67604261.246507287</v>
      </c>
      <c r="B3996">
        <v>184774228.32340711</v>
      </c>
    </row>
    <row r="3997" spans="1:2" x14ac:dyDescent="0.25">
      <c r="A3997">
        <f ca="1">32383.2153332063*((RANDBETWEEN(1620,2416)))</f>
        <v>58775535.82976947</v>
      </c>
      <c r="B3997">
        <v>154302718.21682942</v>
      </c>
    </row>
    <row r="3998" spans="1:2" x14ac:dyDescent="0.25">
      <c r="A3998">
        <f ca="1">37852.0221696429*((RANDBETWEEN(1620,2416)))</f>
        <v>73054402.787410811</v>
      </c>
      <c r="B3998">
        <v>145667043.0639241</v>
      </c>
    </row>
    <row r="3999" spans="1:2" x14ac:dyDescent="0.25">
      <c r="A3999">
        <f ca="1">33043.7534224867*((RANDBETWEEN(1620,2416)))</f>
        <v>67475344.488717869</v>
      </c>
      <c r="B3999">
        <v>185310708.04204988</v>
      </c>
    </row>
    <row r="4000" spans="1:2" x14ac:dyDescent="0.25">
      <c r="A4000">
        <f ca="1">37827.3664195865*((RANDBETWEEN(1620,2416)))</f>
        <v>69488872.112780377</v>
      </c>
      <c r="B4000">
        <v>176439486.09588632</v>
      </c>
    </row>
    <row r="4001" spans="1:2" x14ac:dyDescent="0.25">
      <c r="A4001">
        <f ca="1">32531.6519181823*((RANDBETWEEN(1620,2416)))</f>
        <v>74530014.544555619</v>
      </c>
      <c r="B4001">
        <v>166336462.75730139</v>
      </c>
    </row>
    <row r="4002" spans="1:2" x14ac:dyDescent="0.25">
      <c r="A4002">
        <f ca="1">32901.8694576591*((RANDBETWEEN(1620,2416)))</f>
        <v>76398140.88068445</v>
      </c>
      <c r="B4002">
        <v>147489853.93145901</v>
      </c>
    </row>
    <row r="4003" spans="1:2" x14ac:dyDescent="0.25">
      <c r="A4003">
        <f ca="1">34758.5215682019*((RANDBETWEEN(1620,2416)))</f>
        <v>78206673.528454334</v>
      </c>
      <c r="B4003">
        <v>147037472.40750885</v>
      </c>
    </row>
    <row r="4004" spans="1:2" x14ac:dyDescent="0.25">
      <c r="A4004">
        <f ca="1">28864.2243289043*((RANDBETWEEN(1620,2416)))</f>
        <v>52215381.810987957</v>
      </c>
      <c r="B4004">
        <v>157666940.184771</v>
      </c>
    </row>
    <row r="4005" spans="1:2" x14ac:dyDescent="0.25">
      <c r="A4005">
        <f ca="1">40029.8016554299*((RANDBETWEEN(1620,2416)))</f>
        <v>65969113.128148504</v>
      </c>
      <c r="B4005">
        <v>143682006.16960308</v>
      </c>
    </row>
    <row r="4006" spans="1:2" x14ac:dyDescent="0.25">
      <c r="A4006">
        <f ca="1">32116.1013508386*((RANDBETWEEN(1620,2416)))</f>
        <v>64200086.600326277</v>
      </c>
      <c r="B4006">
        <v>162862601.18474394</v>
      </c>
    </row>
    <row r="4007" spans="1:2" x14ac:dyDescent="0.25">
      <c r="A4007">
        <f ca="1">31312.7622583784*((RANDBETWEEN(1620,2416)))</f>
        <v>64911356.161618419</v>
      </c>
      <c r="B4007">
        <v>193619695.85541874</v>
      </c>
    </row>
    <row r="4008" spans="1:2" x14ac:dyDescent="0.25">
      <c r="A4008">
        <f ca="1">33612.6884116035*((RANDBETWEEN(1620,2416)))</f>
        <v>62687663.887640499</v>
      </c>
      <c r="B4008">
        <v>147774156.88426685</v>
      </c>
    </row>
    <row r="4009" spans="1:2" x14ac:dyDescent="0.25">
      <c r="A4009">
        <f ca="1">42179.3581000203*((RANDBETWEEN(1620,2416)))</f>
        <v>83388590.963740095</v>
      </c>
      <c r="B4009">
        <v>177969093.80622625</v>
      </c>
    </row>
    <row r="4010" spans="1:2" x14ac:dyDescent="0.25">
      <c r="A4010">
        <f ca="1">32207.4956240825*((RANDBETWEEN(1620,2416)))</f>
        <v>53915347.674714126</v>
      </c>
      <c r="B4010">
        <v>146433722.60008276</v>
      </c>
    </row>
    <row r="4011" spans="1:2" x14ac:dyDescent="0.25">
      <c r="A4011">
        <f ca="1">31494.1826162472*((RANDBETWEEN(1620,2416)))</f>
        <v>71838230.547659829</v>
      </c>
      <c r="B4011">
        <v>187305759.0309785</v>
      </c>
    </row>
    <row r="4012" spans="1:2" x14ac:dyDescent="0.25">
      <c r="A4012">
        <f ca="1">33180.0223227827*((RANDBETWEEN(1620,2416)))</f>
        <v>55344277.234401524</v>
      </c>
      <c r="B4012">
        <v>150186693.04839903</v>
      </c>
    </row>
    <row r="4013" spans="1:2" x14ac:dyDescent="0.25">
      <c r="A4013">
        <f ca="1">35471.2616020138*((RANDBETWEEN(1620,2416)))</f>
        <v>70836109.419221506</v>
      </c>
      <c r="B4013">
        <v>178923770.56017402</v>
      </c>
    </row>
    <row r="4014" spans="1:2" x14ac:dyDescent="0.25">
      <c r="A4014">
        <f ca="1">36557.2915311932*((RANDBETWEEN(1620,2416)))</f>
        <v>61672150.81312298</v>
      </c>
      <c r="B4014">
        <v>175088047.8833409</v>
      </c>
    </row>
    <row r="4015" spans="1:2" x14ac:dyDescent="0.25">
      <c r="A4015">
        <f ca="1">30714.0064978859*((RANDBETWEEN(1620,2416)))</f>
        <v>57926616.255012736</v>
      </c>
      <c r="B4015">
        <v>145170405.16685674</v>
      </c>
    </row>
    <row r="4016" spans="1:2" x14ac:dyDescent="0.25">
      <c r="A4016">
        <f ca="1">36856.7538822367*((RANDBETWEEN(1620,2416)))</f>
        <v>84696820.421379969</v>
      </c>
      <c r="B4016">
        <v>194136324.46383551</v>
      </c>
    </row>
    <row r="4017" spans="1:2" x14ac:dyDescent="0.25">
      <c r="A4017">
        <f ca="1">31688.6639045252*((RANDBETWEEN(1620,2416)))</f>
        <v>67623608.772256792</v>
      </c>
      <c r="B4017">
        <v>151510046.89635754</v>
      </c>
    </row>
    <row r="4018" spans="1:2" x14ac:dyDescent="0.25">
      <c r="A4018">
        <f ca="1">32476.2204819778*((RANDBETWEEN(1620,2416)))</f>
        <v>56865862.063943163</v>
      </c>
      <c r="B4018">
        <v>144834080.23840606</v>
      </c>
    </row>
    <row r="4019" spans="1:2" x14ac:dyDescent="0.25">
      <c r="A4019">
        <f ca="1">31895.7557047346*((RANDBETWEEN(1620,2416)))</f>
        <v>65609569.484639041</v>
      </c>
      <c r="B4019">
        <v>153471912.03441012</v>
      </c>
    </row>
    <row r="4020" spans="1:2" x14ac:dyDescent="0.25">
      <c r="A4020">
        <f ca="1">31047.0522027708*((RANDBETWEEN(1620,2416)))</f>
        <v>61100598.73505301</v>
      </c>
      <c r="B4020">
        <v>153890522.93729818</v>
      </c>
    </row>
    <row r="4021" spans="1:2" x14ac:dyDescent="0.25">
      <c r="A4021">
        <f ca="1">38908.5061538517*((RANDBETWEEN(1620,2416)))</f>
        <v>77194476.209241778</v>
      </c>
      <c r="B4021">
        <v>149265598.29147327</v>
      </c>
    </row>
    <row r="4022" spans="1:2" x14ac:dyDescent="0.25">
      <c r="A4022">
        <f ca="1">31883.5175957531*((RANDBETWEEN(1620,2416)))</f>
        <v>70303156.298635513</v>
      </c>
      <c r="B4022">
        <v>147088885.78374726</v>
      </c>
    </row>
    <row r="4023" spans="1:2" x14ac:dyDescent="0.25">
      <c r="A4023">
        <f ca="1">30199.7425140262*((RANDBETWEEN(1620,2416)))</f>
        <v>70395599.800195068</v>
      </c>
      <c r="B4023">
        <v>165104531.56257957</v>
      </c>
    </row>
    <row r="4024" spans="1:2" x14ac:dyDescent="0.25">
      <c r="A4024">
        <f ca="1">28311.8276805593*((RANDBETWEEN(1620,2416)))</f>
        <v>60927053.168563582</v>
      </c>
      <c r="B4024">
        <v>167444266.16896674</v>
      </c>
    </row>
    <row r="4025" spans="1:2" x14ac:dyDescent="0.25">
      <c r="A4025">
        <f ca="1">29249.9393540921*((RANDBETWEEN(1620,2416)))</f>
        <v>53849138.350883469</v>
      </c>
      <c r="B4025">
        <v>180389043.83383307</v>
      </c>
    </row>
    <row r="4026" spans="1:2" x14ac:dyDescent="0.25">
      <c r="A4026">
        <f ca="1">38263.3162816853*((RANDBETWEEN(1620,2416)))</f>
        <v>90760586.22015743</v>
      </c>
      <c r="B4026">
        <v>157772698.34063414</v>
      </c>
    </row>
    <row r="4027" spans="1:2" x14ac:dyDescent="0.25">
      <c r="A4027">
        <f ca="1">30731.9968688581*((RANDBETWEEN(1620,2416)))</f>
        <v>68962600.97371763</v>
      </c>
      <c r="B4027">
        <v>146289441.95048985</v>
      </c>
    </row>
    <row r="4028" spans="1:2" x14ac:dyDescent="0.25">
      <c r="A4028">
        <f ca="1">40416.3885273595*((RANDBETWEEN(1620,2416)))</f>
        <v>77154885.698729441</v>
      </c>
      <c r="B4028">
        <v>183545876.21899804</v>
      </c>
    </row>
    <row r="4029" spans="1:2" x14ac:dyDescent="0.25">
      <c r="A4029">
        <f ca="1">34644.1539233779*((RANDBETWEEN(1620,2416)))</f>
        <v>78954026.791378155</v>
      </c>
      <c r="B4029">
        <v>156251850.80028605</v>
      </c>
    </row>
    <row r="4030" spans="1:2" x14ac:dyDescent="0.25">
      <c r="A4030">
        <f ca="1">38124.2104093072*((RANDBETWEEN(1620,2416)))</f>
        <v>84407001.846206069</v>
      </c>
      <c r="B4030">
        <v>174405177.60330373</v>
      </c>
    </row>
    <row r="4031" spans="1:2" x14ac:dyDescent="0.25">
      <c r="A4031">
        <f ca="1">33390.7512322889*((RANDBETWEEN(1620,2416)))</f>
        <v>70888564.866149276</v>
      </c>
      <c r="B4031">
        <v>175156939.60488191</v>
      </c>
    </row>
    <row r="4032" spans="1:2" x14ac:dyDescent="0.25">
      <c r="A4032">
        <f ca="1">33232.0972942273*((RANDBETWEEN(1620,2416)))</f>
        <v>61977861.453733876</v>
      </c>
      <c r="B4032">
        <v>150977594.89216188</v>
      </c>
    </row>
    <row r="4033" spans="1:2" x14ac:dyDescent="0.25">
      <c r="A4033">
        <f ca="1">40669.1415105972*((RANDBETWEEN(1620,2416)))</f>
        <v>73041778.153032631</v>
      </c>
      <c r="B4033">
        <v>168514902.87279791</v>
      </c>
    </row>
    <row r="4034" spans="1:2" x14ac:dyDescent="0.25">
      <c r="A4034">
        <f ca="1">31007.6092268768*((RANDBETWEEN(1620,2416)))</f>
        <v>54821453.113118187</v>
      </c>
      <c r="B4034">
        <v>146037295.57481939</v>
      </c>
    </row>
    <row r="4035" spans="1:2" x14ac:dyDescent="0.25">
      <c r="A4035">
        <f ca="1">39476.6601724327*((RANDBETWEEN(1620,2416)))</f>
        <v>81558779.916245908</v>
      </c>
      <c r="B4035">
        <v>148603028.5345962</v>
      </c>
    </row>
    <row r="4036" spans="1:2" x14ac:dyDescent="0.25">
      <c r="A4036">
        <f ca="1">37591.3386319045*((RANDBETWEEN(1620,2416)))</f>
        <v>80257507.979116172</v>
      </c>
      <c r="B4036">
        <v>161884443.41349959</v>
      </c>
    </row>
    <row r="4037" spans="1:2" x14ac:dyDescent="0.25">
      <c r="A4037">
        <f ca="1">33165.635223298*((RANDBETWEEN(1620,2416)))</f>
        <v>59001665.06224715</v>
      </c>
      <c r="B4037">
        <v>192715695.90917641</v>
      </c>
    </row>
    <row r="4038" spans="1:2" x14ac:dyDescent="0.25">
      <c r="A4038">
        <f ca="1">31823.4118605932*((RANDBETWEEN(1620,2416)))</f>
        <v>64315115.370258845</v>
      </c>
      <c r="B4038">
        <v>188082734.23989078</v>
      </c>
    </row>
    <row r="4039" spans="1:2" x14ac:dyDescent="0.25">
      <c r="A4039">
        <f ca="1">40813.3196527616*((RANDBETWEEN(1620,2416)))</f>
        <v>85830411.229757667</v>
      </c>
      <c r="B4039">
        <v>144176641.3667776</v>
      </c>
    </row>
    <row r="4040" spans="1:2" x14ac:dyDescent="0.25">
      <c r="A4040">
        <f ca="1">30198.3851579112*((RANDBETWEEN(1620,2416)))</f>
        <v>66557240.888036229</v>
      </c>
      <c r="B4040">
        <v>168014327.13569352</v>
      </c>
    </row>
    <row r="4041" spans="1:2" x14ac:dyDescent="0.25">
      <c r="A4041">
        <f ca="1">30358.5568876298*((RANDBETWEEN(1620,2416)))</f>
        <v>63965479.362235963</v>
      </c>
      <c r="B4041">
        <v>154712369.92427534</v>
      </c>
    </row>
    <row r="4042" spans="1:2" x14ac:dyDescent="0.25">
      <c r="A4042">
        <f ca="1">33970.090617547*((RANDBETWEEN(1620,2416)))</f>
        <v>75821242.258364841</v>
      </c>
      <c r="B4042">
        <v>175170912.25395092</v>
      </c>
    </row>
    <row r="4043" spans="1:2" x14ac:dyDescent="0.25">
      <c r="A4043">
        <f ca="1">30937.8910401315*((RANDBETWEEN(1620,2416)))</f>
        <v>55904769.109517559</v>
      </c>
      <c r="B4043">
        <v>144583455.54398671</v>
      </c>
    </row>
    <row r="4044" spans="1:2" x14ac:dyDescent="0.25">
      <c r="A4044">
        <f ca="1">32399.2258018994*((RANDBETWEEN(1620,2416)))</f>
        <v>75781789.150642663</v>
      </c>
      <c r="B4044">
        <v>161265524.38697729</v>
      </c>
    </row>
    <row r="4045" spans="1:2" x14ac:dyDescent="0.25">
      <c r="A4045">
        <f ca="1">30023.0462993094*((RANDBETWEEN(1620,2416)))</f>
        <v>56353257.903803758</v>
      </c>
      <c r="B4045">
        <v>144519624.87704</v>
      </c>
    </row>
    <row r="4046" spans="1:2" x14ac:dyDescent="0.25">
      <c r="A4046">
        <f ca="1">34534.4992448587*((RANDBETWEEN(1620,2416)))</f>
        <v>71555482.43534714</v>
      </c>
      <c r="B4046">
        <v>180469090.79033038</v>
      </c>
    </row>
    <row r="4047" spans="1:2" x14ac:dyDescent="0.25">
      <c r="A4047">
        <f ca="1">28431.2995756549*((RANDBETWEEN(1620,2416)))</f>
        <v>52398885.117932029</v>
      </c>
      <c r="B4047">
        <v>186850262.60643211</v>
      </c>
    </row>
    <row r="4048" spans="1:2" x14ac:dyDescent="0.25">
      <c r="A4048">
        <f ca="1">30747.9990132264*((RANDBETWEEN(1620,2416)))</f>
        <v>73303229.647531778</v>
      </c>
      <c r="B4048">
        <v>145176705.60471037</v>
      </c>
    </row>
    <row r="4049" spans="1:2" x14ac:dyDescent="0.25">
      <c r="A4049">
        <f ca="1">30840.349499167*((RANDBETWEEN(1620,2416)))</f>
        <v>59460193.834393941</v>
      </c>
      <c r="B4049">
        <v>164446977.54469645</v>
      </c>
    </row>
    <row r="4050" spans="1:2" x14ac:dyDescent="0.25">
      <c r="A4050">
        <f ca="1">30464.6257947066*((RANDBETWEEN(1620,2416)))</f>
        <v>57182102.616664246</v>
      </c>
      <c r="B4050">
        <v>185081067.73528838</v>
      </c>
    </row>
    <row r="4051" spans="1:2" x14ac:dyDescent="0.25">
      <c r="A4051">
        <f ca="1">29789.0299617812*((RANDBETWEEN(1620,2416)))</f>
        <v>71642617.058083802</v>
      </c>
      <c r="B4051">
        <v>154189047.83805996</v>
      </c>
    </row>
    <row r="4052" spans="1:2" x14ac:dyDescent="0.25">
      <c r="A4052">
        <f ca="1">29237.9678844693*((RANDBETWEEN(1620,2416)))</f>
        <v>49996925.082442567</v>
      </c>
      <c r="B4052">
        <v>146194420.61061203</v>
      </c>
    </row>
    <row r="4053" spans="1:2" x14ac:dyDescent="0.25">
      <c r="A4053">
        <f ca="1">36830.484542601*((RANDBETWEEN(1620,2416)))</f>
        <v>60807129.979834214</v>
      </c>
      <c r="B4053">
        <v>163678540.42621088</v>
      </c>
    </row>
    <row r="4054" spans="1:2" x14ac:dyDescent="0.25">
      <c r="A4054">
        <f ca="1">32253.678192145*((RANDBETWEEN(1620,2416)))</f>
        <v>67732724.203504473</v>
      </c>
      <c r="B4054">
        <v>151525983.61211783</v>
      </c>
    </row>
    <row r="4055" spans="1:2" x14ac:dyDescent="0.25">
      <c r="A4055">
        <f ca="1">31865.9442748802*((RANDBETWEEN(1620,2416)))</f>
        <v>56243391.645163618</v>
      </c>
      <c r="B4055">
        <v>199045113.94084787</v>
      </c>
    </row>
    <row r="4056" spans="1:2" x14ac:dyDescent="0.25">
      <c r="A4056">
        <f ca="1">28361.8526405437*((RANDBETWEEN(1620,2416)))</f>
        <v>59418081.281939059</v>
      </c>
      <c r="B4056">
        <v>164983035.33420452</v>
      </c>
    </row>
    <row r="4057" spans="1:2" x14ac:dyDescent="0.25">
      <c r="A4057">
        <f ca="1">38429.1895120778*((RANDBETWEEN(1620,2416)))</f>
        <v>70748137.891735181</v>
      </c>
      <c r="B4057">
        <v>177545403.82480714</v>
      </c>
    </row>
    <row r="4058" spans="1:2" x14ac:dyDescent="0.25">
      <c r="A4058">
        <f ca="1">31050.0735129488*((RANDBETWEEN(1620,2416)))</f>
        <v>61292845.114561029</v>
      </c>
      <c r="B4058">
        <v>158019418.40322292</v>
      </c>
    </row>
    <row r="4059" spans="1:2" x14ac:dyDescent="0.25">
      <c r="A4059">
        <f ca="1">32318.6301617047*((RANDBETWEEN(1620,2416)))</f>
        <v>56622240.043306582</v>
      </c>
      <c r="B4059">
        <v>185701745.52909034</v>
      </c>
    </row>
    <row r="4060" spans="1:2" x14ac:dyDescent="0.25">
      <c r="A4060">
        <f ca="1">33237.8891031429*((RANDBETWEEN(1620,2416)))</f>
        <v>59927914.052966624</v>
      </c>
      <c r="B4060">
        <v>143229621.0651339</v>
      </c>
    </row>
    <row r="4061" spans="1:2" x14ac:dyDescent="0.25">
      <c r="A4061">
        <f ca="1">28962.3081293745*((RANDBETWEEN(1620,2416)))</f>
        <v>61921414.780602723</v>
      </c>
      <c r="B4061">
        <v>185649755.5128563</v>
      </c>
    </row>
    <row r="4062" spans="1:2" x14ac:dyDescent="0.25">
      <c r="A4062">
        <f ca="1">30696.3026600526*((RANDBETWEEN(1620,2416)))</f>
        <v>54884989.156173967</v>
      </c>
      <c r="B4062">
        <v>180078086.9795543</v>
      </c>
    </row>
    <row r="4063" spans="1:2" x14ac:dyDescent="0.25">
      <c r="A4063">
        <f ca="1">31169.5779219402*((RANDBETWEEN(1620,2416)))</f>
        <v>63617108.538679987</v>
      </c>
      <c r="B4063">
        <v>160153876.05353716</v>
      </c>
    </row>
    <row r="4064" spans="1:2" x14ac:dyDescent="0.25">
      <c r="A4064">
        <f ca="1">34972.5287114645*((RANDBETWEEN(1620,2416)))</f>
        <v>72358161.904019997</v>
      </c>
      <c r="B4064">
        <v>193238400.41295496</v>
      </c>
    </row>
    <row r="4065" spans="1:2" x14ac:dyDescent="0.25">
      <c r="A4065">
        <f ca="1">38369.2636734362*((RANDBETWEEN(1620,2416)))</f>
        <v>85409980.937069044</v>
      </c>
      <c r="B4065">
        <v>167261676.03231549</v>
      </c>
    </row>
    <row r="4066" spans="1:2" x14ac:dyDescent="0.25">
      <c r="A4066">
        <f ca="1">39037.7313362801*((RANDBETWEEN(1620,2416)))</f>
        <v>73859387.688241988</v>
      </c>
      <c r="B4066">
        <v>158805109.64522353</v>
      </c>
    </row>
    <row r="4067" spans="1:2" x14ac:dyDescent="0.25">
      <c r="A4067">
        <f ca="1">40893.0600794799*((RANDBETWEEN(1620,2416)))</f>
        <v>75038765.245845631</v>
      </c>
      <c r="B4067">
        <v>201800730.11960068</v>
      </c>
    </row>
    <row r="4068" spans="1:2" x14ac:dyDescent="0.25">
      <c r="A4068">
        <f ca="1">41012.1759790949*((RANDBETWEEN(1620,2416)))</f>
        <v>86822776.547743991</v>
      </c>
      <c r="B4068">
        <v>169302634.12949938</v>
      </c>
    </row>
    <row r="4069" spans="1:2" x14ac:dyDescent="0.25">
      <c r="A4069">
        <f ca="1">32260.8477507962*((RANDBETWEEN(1620,2416)))</f>
        <v>58843786.297452256</v>
      </c>
      <c r="B4069">
        <v>158978845.18782207</v>
      </c>
    </row>
    <row r="4070" spans="1:2" x14ac:dyDescent="0.25">
      <c r="A4070">
        <f ca="1">31414.3169153248*((RANDBETWEEN(1620,2416)))</f>
        <v>64964807.380891785</v>
      </c>
      <c r="B4070">
        <v>172669230.45807034</v>
      </c>
    </row>
    <row r="4071" spans="1:2" x14ac:dyDescent="0.25">
      <c r="A4071">
        <f ca="1">32520.046794013*((RANDBETWEEN(1620,2416)))</f>
        <v>66536015.740550563</v>
      </c>
      <c r="B4071">
        <v>202869936.40350991</v>
      </c>
    </row>
    <row r="4072" spans="1:2" x14ac:dyDescent="0.25">
      <c r="A4072">
        <f ca="1">34349.5258891533*((RANDBETWEEN(1620,2416)))</f>
        <v>77045986.569370806</v>
      </c>
      <c r="B4072">
        <v>175592734.7762163</v>
      </c>
    </row>
    <row r="4073" spans="1:2" x14ac:dyDescent="0.25">
      <c r="A4073">
        <f ca="1">30344.450999669*((RANDBETWEEN(1620,2416)))</f>
        <v>53102789.249420695</v>
      </c>
      <c r="B4073">
        <v>150577337.35623506</v>
      </c>
    </row>
    <row r="4074" spans="1:2" x14ac:dyDescent="0.25">
      <c r="A4074">
        <f ca="1">35739.5187440164*((RANDBETWEEN(1620,2416)))</f>
        <v>85560407.873175159</v>
      </c>
      <c r="B4074">
        <v>177445965.62816632</v>
      </c>
    </row>
    <row r="4075" spans="1:2" x14ac:dyDescent="0.25">
      <c r="A4075">
        <f ca="1">38169.9109607053*((RANDBETWEEN(1620,2416)))</f>
        <v>77637598.894074544</v>
      </c>
      <c r="B4075">
        <v>152297812.98220202</v>
      </c>
    </row>
    <row r="4076" spans="1:2" x14ac:dyDescent="0.25">
      <c r="A4076">
        <f ca="1">34597.1784704254*((RANDBETWEEN(1620,2416)))</f>
        <v>64350751.954991333</v>
      </c>
      <c r="B4076">
        <v>152653701.96226159</v>
      </c>
    </row>
    <row r="4077" spans="1:2" x14ac:dyDescent="0.25">
      <c r="A4077">
        <f ca="1">31469.4851085537*((RANDBETWEEN(1620,2416)))</f>
        <v>59823491.191360645</v>
      </c>
      <c r="B4077">
        <v>166961296.11807674</v>
      </c>
    </row>
    <row r="4078" spans="1:2" x14ac:dyDescent="0.25">
      <c r="A4078">
        <f ca="1">37345.4108434086*((RANDBETWEEN(1620,2416)))</f>
        <v>63748616.309698522</v>
      </c>
      <c r="B4078">
        <v>189909107.25954938</v>
      </c>
    </row>
    <row r="4079" spans="1:2" x14ac:dyDescent="0.25">
      <c r="A4079">
        <f ca="1">36728.5286010039*((RANDBETWEEN(1620,2416)))</f>
        <v>70335132.270922542</v>
      </c>
      <c r="B4079">
        <v>146050802.49012277</v>
      </c>
    </row>
    <row r="4080" spans="1:2" x14ac:dyDescent="0.25">
      <c r="A4080">
        <f ca="1">31222.4528265202*((RANDBETWEEN(1620,2416)))</f>
        <v>55794523.200991631</v>
      </c>
      <c r="B4080">
        <v>161945349.67479536</v>
      </c>
    </row>
    <row r="4081" spans="1:2" x14ac:dyDescent="0.25">
      <c r="A4081">
        <f ca="1">34103.177625999*((RANDBETWEEN(1620,2416)))</f>
        <v>56167933.550020404</v>
      </c>
      <c r="B4081">
        <v>159177339.13201249</v>
      </c>
    </row>
    <row r="4082" spans="1:2" x14ac:dyDescent="0.25">
      <c r="A4082">
        <f ca="1">29007.8420366444*((RANDBETWEEN(1620,2416)))</f>
        <v>64716495.583753683</v>
      </c>
      <c r="B4082">
        <v>201284147.55513358</v>
      </c>
    </row>
    <row r="4083" spans="1:2" x14ac:dyDescent="0.25">
      <c r="A4083">
        <f ca="1">30117.8305076926*((RANDBETWEEN(1620,2416)))</f>
        <v>53850680.947754361</v>
      </c>
      <c r="B4083">
        <v>196564125.2541005</v>
      </c>
    </row>
    <row r="4084" spans="1:2" x14ac:dyDescent="0.25">
      <c r="A4084">
        <f ca="1">36611.0769745046*((RANDBETWEEN(1620,2416)))</f>
        <v>63373774.242867395</v>
      </c>
      <c r="B4084">
        <v>145259323.07022965</v>
      </c>
    </row>
    <row r="4085" spans="1:2" x14ac:dyDescent="0.25">
      <c r="A4085">
        <f ca="1">37702.2211497912*((RANDBETWEEN(1620,2416)))</f>
        <v>89768988.557652831</v>
      </c>
      <c r="B4085">
        <v>167635615.75774902</v>
      </c>
    </row>
    <row r="4086" spans="1:2" x14ac:dyDescent="0.25">
      <c r="A4086">
        <f ca="1">41924.557835913*((RANDBETWEEN(1620,2416)))</f>
        <v>81710963.222194463</v>
      </c>
      <c r="B4086">
        <v>192016822.51465291</v>
      </c>
    </row>
    <row r="4087" spans="1:2" x14ac:dyDescent="0.25">
      <c r="A4087">
        <f ca="1">33729.8493233989*((RANDBETWEEN(1620,2416)))</f>
        <v>69787058.25011228</v>
      </c>
      <c r="B4087">
        <v>196563328.37943321</v>
      </c>
    </row>
    <row r="4088" spans="1:2" x14ac:dyDescent="0.25">
      <c r="A4088">
        <f ca="1">33047.2111279122*((RANDBETWEEN(1620,2416)))</f>
        <v>56973391.984520577</v>
      </c>
      <c r="B4088">
        <v>150204592.4524312</v>
      </c>
    </row>
    <row r="4089" spans="1:2" x14ac:dyDescent="0.25">
      <c r="A4089">
        <f ca="1">31211.9366037414*((RANDBETWEEN(1620,2416)))</f>
        <v>68229293.415778652</v>
      </c>
      <c r="B4089">
        <v>180811089.29510868</v>
      </c>
    </row>
    <row r="4090" spans="1:2" x14ac:dyDescent="0.25">
      <c r="A4090">
        <f ca="1">30027.386507321*((RANDBETWEEN(1620,2416)))</f>
        <v>72185837.1635997</v>
      </c>
      <c r="B4090">
        <v>177229673.85462227</v>
      </c>
    </row>
    <row r="4091" spans="1:2" x14ac:dyDescent="0.25">
      <c r="A4091">
        <f ca="1">35112.6515523834*((RANDBETWEEN(1620,2416)))</f>
        <v>68364332.572490543</v>
      </c>
      <c r="B4091">
        <v>179237776.52725676</v>
      </c>
    </row>
    <row r="4092" spans="1:2" x14ac:dyDescent="0.25">
      <c r="A4092">
        <f ca="1">27144.8793311086*((RANDBETWEEN(1620,2416)))</f>
        <v>56352769.491381533</v>
      </c>
      <c r="B4092">
        <v>167328913.51829991</v>
      </c>
    </row>
    <row r="4093" spans="1:2" x14ac:dyDescent="0.25">
      <c r="A4093">
        <f ca="1">31724.7577368275*((RANDBETWEEN(1620,2416)))</f>
        <v>52155501.719344333</v>
      </c>
      <c r="B4093">
        <v>159503960.52334964</v>
      </c>
    </row>
    <row r="4094" spans="1:2" x14ac:dyDescent="0.25">
      <c r="A4094">
        <f ca="1">28890.3893915124*((RANDBETWEEN(1620,2416)))</f>
        <v>58069682.676940024</v>
      </c>
      <c r="B4094">
        <v>152216992.55389684</v>
      </c>
    </row>
    <row r="4095" spans="1:2" x14ac:dyDescent="0.25">
      <c r="A4095">
        <f ca="1">30717.5391187174*((RANDBETWEEN(1620,2416)))</f>
        <v>51912641.110632353</v>
      </c>
      <c r="B4095">
        <v>158752574.97199327</v>
      </c>
    </row>
    <row r="4096" spans="1:2" x14ac:dyDescent="0.25">
      <c r="A4096">
        <f ca="1">34099.2915948203*((RANDBETWEEN(1620,2416)))</f>
        <v>68505476.813993931</v>
      </c>
      <c r="B4096">
        <v>146485357.76783502</v>
      </c>
    </row>
    <row r="4097" spans="1:2" x14ac:dyDescent="0.25">
      <c r="A4097">
        <f ca="1">28282.4417970186*((RANDBETWEEN(1620,2416)))</f>
        <v>48334693.031104751</v>
      </c>
      <c r="B4097">
        <v>158804654.28893378</v>
      </c>
    </row>
    <row r="4098" spans="1:2" x14ac:dyDescent="0.25">
      <c r="A4098">
        <f ca="1">33281.7216331214*((RANDBETWEEN(1620,2416)))</f>
        <v>71256166.016512901</v>
      </c>
      <c r="B4098">
        <v>173476818.70450944</v>
      </c>
    </row>
    <row r="4099" spans="1:2" x14ac:dyDescent="0.25">
      <c r="A4099">
        <f ca="1">27917.3092901553*((RANDBETWEEN(1620,2416)))</f>
        <v>51870360.661108598</v>
      </c>
      <c r="B4099">
        <v>156911785.53576753</v>
      </c>
    </row>
    <row r="4100" spans="1:2" x14ac:dyDescent="0.25">
      <c r="A4100">
        <f ca="1">35064.0784559616*((RANDBETWEEN(1620,2416)))</f>
        <v>62834828.593083188</v>
      </c>
      <c r="B4100">
        <v>148422851.14314601</v>
      </c>
    </row>
    <row r="4101" spans="1:2" x14ac:dyDescent="0.25">
      <c r="A4101">
        <f ca="1">39110.1672019112*((RANDBETWEEN(1620,2416)))</f>
        <v>82483342.62883082</v>
      </c>
      <c r="B4101">
        <v>177795656.66228911</v>
      </c>
    </row>
    <row r="4102" spans="1:2" x14ac:dyDescent="0.25">
      <c r="A4102">
        <f ca="1">35520.7086969401*((RANDBETWEEN(1620,2416)))</f>
        <v>81058257.246417418</v>
      </c>
      <c r="B4102">
        <v>197846052.95790756</v>
      </c>
    </row>
    <row r="4103" spans="1:2" x14ac:dyDescent="0.25">
      <c r="A4103">
        <f ca="1">39519.6491442727*((RANDBETWEEN(1620,2416)))</f>
        <v>92910695.138185069</v>
      </c>
      <c r="B4103">
        <v>174612907.83722511</v>
      </c>
    </row>
    <row r="4104" spans="1:2" x14ac:dyDescent="0.25">
      <c r="A4104">
        <f ca="1">33426.1008922843*((RANDBETWEEN(1620,2416)))</f>
        <v>56991502.021344773</v>
      </c>
      <c r="B4104">
        <v>145301664.23247367</v>
      </c>
    </row>
    <row r="4105" spans="1:2" x14ac:dyDescent="0.25">
      <c r="A4105">
        <f ca="1">33481.2871135367*((RANDBETWEEN(1620,2416)))</f>
        <v>75198970.857003391</v>
      </c>
      <c r="B4105">
        <v>148776799.5975562</v>
      </c>
    </row>
    <row r="4106" spans="1:2" x14ac:dyDescent="0.25">
      <c r="A4106">
        <f ca="1">30001.950419032*((RANDBETWEEN(1620,2416)))</f>
        <v>69694530.82341145</v>
      </c>
      <c r="B4106">
        <v>175993625.40750003</v>
      </c>
    </row>
    <row r="4107" spans="1:2" x14ac:dyDescent="0.25">
      <c r="A4107">
        <f ca="1">32420.4220759074*((RANDBETWEEN(1620,2416)))</f>
        <v>56022489.347167939</v>
      </c>
      <c r="B4107">
        <v>170105340.0787954</v>
      </c>
    </row>
    <row r="4108" spans="1:2" x14ac:dyDescent="0.25">
      <c r="A4108">
        <f ca="1">35024.3397845006*((RANDBETWEEN(1620,2416)))</f>
        <v>62693568.214256003</v>
      </c>
      <c r="B4108">
        <v>187675212.67521158</v>
      </c>
    </row>
    <row r="4109" spans="1:2" x14ac:dyDescent="0.25">
      <c r="A4109">
        <f ca="1">38220.9225411806*((RANDBETWEEN(1620,2416)))</f>
        <v>70364718.398313418</v>
      </c>
      <c r="B4109">
        <v>168513719.55855098</v>
      </c>
    </row>
    <row r="4110" spans="1:2" x14ac:dyDescent="0.25">
      <c r="A4110">
        <f ca="1">32123.3554896077*((RANDBETWEEN(1620,2416)))</f>
        <v>57886286.592273138</v>
      </c>
      <c r="B4110">
        <v>176373453.68877921</v>
      </c>
    </row>
    <row r="4111" spans="1:2" x14ac:dyDescent="0.25">
      <c r="A4111">
        <f ca="1">34496.9315877257*((RANDBETWEEN(1620,2416)))</f>
        <v>64957722.17968747</v>
      </c>
      <c r="B4111">
        <v>193008028.39158338</v>
      </c>
    </row>
    <row r="4112" spans="1:2" x14ac:dyDescent="0.25">
      <c r="A4112">
        <f ca="1">38159.4571872824*((RANDBETWEEN(1620,2416)))</f>
        <v>86698286.729505718</v>
      </c>
      <c r="B4112">
        <v>143161654.89476904</v>
      </c>
    </row>
    <row r="4113" spans="1:2" x14ac:dyDescent="0.25">
      <c r="A4113">
        <f ca="1">33178.9648567477*((RANDBETWEEN(1620,2416)))</f>
        <v>78302357.061924547</v>
      </c>
      <c r="B4113">
        <v>161014198.97854137</v>
      </c>
    </row>
    <row r="4114" spans="1:2" x14ac:dyDescent="0.25">
      <c r="A4114">
        <f ca="1">35421.5665971287*((RANDBETWEEN(1620,2416)))</f>
        <v>74739505.519941658</v>
      </c>
      <c r="B4114">
        <v>196187857.62070346</v>
      </c>
    </row>
    <row r="4115" spans="1:2" x14ac:dyDescent="0.25">
      <c r="A4115">
        <f ca="1">31537.1627400032*((RANDBETWEEN(1620,2416)))</f>
        <v>58312213.906265877</v>
      </c>
      <c r="B4115">
        <v>164071418.55869827</v>
      </c>
    </row>
    <row r="4116" spans="1:2" x14ac:dyDescent="0.25">
      <c r="A4116">
        <f ca="1">32366.2224880262*((RANDBETWEEN(1620,2416)))</f>
        <v>75898791.734421372</v>
      </c>
      <c r="B4116">
        <v>191139373.64704984</v>
      </c>
    </row>
    <row r="4117" spans="1:2" x14ac:dyDescent="0.25">
      <c r="A4117">
        <f ca="1">33506.0085273215*((RANDBETWEEN(1620,2416)))</f>
        <v>64599584.440675937</v>
      </c>
      <c r="B4117">
        <v>191655291.90814695</v>
      </c>
    </row>
    <row r="4118" spans="1:2" x14ac:dyDescent="0.25">
      <c r="A4118">
        <f ca="1">38597.7827041639*((RANDBETWEEN(1620,2416)))</f>
        <v>64110917.07161627</v>
      </c>
      <c r="B4118">
        <v>152090986.17593277</v>
      </c>
    </row>
    <row r="4119" spans="1:2" x14ac:dyDescent="0.25">
      <c r="A4119">
        <f ca="1">36503.0350980006*((RANDBETWEEN(1620,2416)))</f>
        <v>70633372.914631233</v>
      </c>
      <c r="B4119">
        <v>151885445.73075628</v>
      </c>
    </row>
    <row r="4120" spans="1:2" x14ac:dyDescent="0.25">
      <c r="A4120">
        <f ca="1">42703.6499944197*((RANDBETWEEN(1620,2416)))</f>
        <v>87371667.888582736</v>
      </c>
      <c r="B4120">
        <v>181601538.83452243</v>
      </c>
    </row>
    <row r="4121" spans="1:2" x14ac:dyDescent="0.25">
      <c r="A4121">
        <f ca="1">38494.8471134319*((RANDBETWEEN(1620,2416)))</f>
        <v>77990560.251812935</v>
      </c>
      <c r="B4121">
        <v>145332326.00000831</v>
      </c>
    </row>
    <row r="4122" spans="1:2" x14ac:dyDescent="0.25">
      <c r="A4122">
        <f ca="1">41699.360721035*((RANDBETWEEN(1620,2416)))</f>
        <v>76017934.594446868</v>
      </c>
      <c r="B4122">
        <v>161250687.56334633</v>
      </c>
    </row>
    <row r="4123" spans="1:2" x14ac:dyDescent="0.25">
      <c r="A4123">
        <f ca="1">30953.0271794337*((RANDBETWEEN(1620,2416)))</f>
        <v>69427639.963469803</v>
      </c>
      <c r="B4123">
        <v>194031423.03648204</v>
      </c>
    </row>
    <row r="4124" spans="1:2" x14ac:dyDescent="0.25">
      <c r="A4124">
        <f ca="1">35721.9939521091*((RANDBETWEEN(1620,2416)))</f>
        <v>61656161.561340243</v>
      </c>
      <c r="B4124">
        <v>149891247.3398945</v>
      </c>
    </row>
    <row r="4125" spans="1:2" x14ac:dyDescent="0.25">
      <c r="A4125">
        <f ca="1">33262.4781518426*((RANDBETWEEN(1620,2416)))</f>
        <v>70316878.812995225</v>
      </c>
      <c r="B4125">
        <v>165676231.51609749</v>
      </c>
    </row>
    <row r="4126" spans="1:2" x14ac:dyDescent="0.25">
      <c r="A4126">
        <f ca="1">28971.309452025*((RANDBETWEEN(1620,2416)))</f>
        <v>55509028.910079896</v>
      </c>
      <c r="B4126">
        <v>183598911.43595982</v>
      </c>
    </row>
    <row r="4127" spans="1:2" x14ac:dyDescent="0.25">
      <c r="A4127">
        <f ca="1">31666.9832785448*((RANDBETWEEN(1620,2416)))</f>
        <v>59533928.56366422</v>
      </c>
      <c r="B4127">
        <v>191200314.30158299</v>
      </c>
    </row>
    <row r="4128" spans="1:2" x14ac:dyDescent="0.25">
      <c r="A4128">
        <f ca="1">30371.8665471782*((RANDBETWEEN(1620,2416)))</f>
        <v>55216053.382769898</v>
      </c>
      <c r="B4128">
        <v>163489913.90395641</v>
      </c>
    </row>
    <row r="4129" spans="1:2" x14ac:dyDescent="0.25">
      <c r="A4129">
        <f ca="1">34135.3218438897*((RANDBETWEEN(1620,2416)))</f>
        <v>69567785.917847142</v>
      </c>
      <c r="B4129">
        <v>169571760.90412781</v>
      </c>
    </row>
    <row r="4130" spans="1:2" x14ac:dyDescent="0.25">
      <c r="A4130">
        <f ca="1">30192.0586970193*((RANDBETWEEN(1620,2416)))</f>
        <v>66694257.661715619</v>
      </c>
      <c r="B4130">
        <v>179708042.84819019</v>
      </c>
    </row>
    <row r="4131" spans="1:2" x14ac:dyDescent="0.25">
      <c r="A4131">
        <f ca="1">31263.8099675833*((RANDBETWEEN(1620,2416)))</f>
        <v>51647814.066447571</v>
      </c>
      <c r="B4131">
        <v>161741840.27905825</v>
      </c>
    </row>
    <row r="4132" spans="1:2" x14ac:dyDescent="0.25">
      <c r="A4132">
        <f ca="1">34360.7848420875*((RANDBETWEEN(1620,2416)))</f>
        <v>59959569.549442768</v>
      </c>
      <c r="B4132">
        <v>150291446.36790675</v>
      </c>
    </row>
    <row r="4133" spans="1:2" x14ac:dyDescent="0.25">
      <c r="A4133">
        <f ca="1">31994.3396304313*((RANDBETWEEN(1620,2416)))</f>
        <v>53942456.616907172</v>
      </c>
      <c r="B4133">
        <v>188471744.57938993</v>
      </c>
    </row>
    <row r="4134" spans="1:2" x14ac:dyDescent="0.25">
      <c r="A4134">
        <f ca="1">40830.0830963182*((RANDBETWEEN(1620,2416)))</f>
        <v>76923876.553463534</v>
      </c>
      <c r="B4134">
        <v>190073996.70732489</v>
      </c>
    </row>
    <row r="4135" spans="1:2" x14ac:dyDescent="0.25">
      <c r="A4135">
        <f ca="1">36361.3167016106*((RANDBETWEEN(1620,2416)))</f>
        <v>87558050.617478281</v>
      </c>
      <c r="B4135">
        <v>150079861.51850334</v>
      </c>
    </row>
    <row r="4136" spans="1:2" x14ac:dyDescent="0.25">
      <c r="A4136">
        <f ca="1">31087.7541958486*((RANDBETWEEN(1620,2416)))</f>
        <v>71626185.667235166</v>
      </c>
      <c r="B4136">
        <v>151201288.86792243</v>
      </c>
    </row>
    <row r="4137" spans="1:2" x14ac:dyDescent="0.25">
      <c r="A4137">
        <f ca="1">32159.2436756796*((RANDBETWEEN(1620,2416)))</f>
        <v>61584951.638926372</v>
      </c>
      <c r="B4137">
        <v>158830508.94175452</v>
      </c>
    </row>
    <row r="4138" spans="1:2" x14ac:dyDescent="0.25">
      <c r="A4138">
        <f ca="1">31657.1108715643*((RANDBETWEEN(1620,2416)))</f>
        <v>70437071.689230666</v>
      </c>
      <c r="B4138">
        <v>145689920.18408626</v>
      </c>
    </row>
    <row r="4139" spans="1:2" x14ac:dyDescent="0.25">
      <c r="A4139">
        <f ca="1">29143.3838298852*((RANDBETWEEN(1620,2416)))</f>
        <v>58170194.124450929</v>
      </c>
      <c r="B4139">
        <v>166528385.51763719</v>
      </c>
    </row>
    <row r="4140" spans="1:2" x14ac:dyDescent="0.25">
      <c r="A4140">
        <f ca="1">37378.9549917414*((RANDBETWEEN(1620,2416)))</f>
        <v>62908781.251100793</v>
      </c>
      <c r="B4140">
        <v>186505042.90941</v>
      </c>
    </row>
    <row r="4141" spans="1:2" x14ac:dyDescent="0.25">
      <c r="A4141">
        <f ca="1">36677.0304934672*((RANDBETWEEN(1620,2416)))</f>
        <v>59893590.795832001</v>
      </c>
      <c r="B4141">
        <v>169202845.511583</v>
      </c>
    </row>
    <row r="4142" spans="1:2" x14ac:dyDescent="0.25">
      <c r="A4142">
        <f ca="1">34812.3358600664*((RANDBETWEEN(1620,2416)))</f>
        <v>58032163.878730677</v>
      </c>
      <c r="B4142">
        <v>154738719.39039403</v>
      </c>
    </row>
    <row r="4143" spans="1:2" x14ac:dyDescent="0.25">
      <c r="A4143">
        <f ca="1">33658.6005865509*((RANDBETWEEN(1620,2416)))</f>
        <v>55873276.973674521</v>
      </c>
      <c r="B4143">
        <v>179819353.99098557</v>
      </c>
    </row>
    <row r="4144" spans="1:2" x14ac:dyDescent="0.25">
      <c r="A4144">
        <f ca="1">37027.1474124535*((RANDBETWEEN(1620,2416)))</f>
        <v>73424833.318895221</v>
      </c>
      <c r="B4144">
        <v>198683084.72018176</v>
      </c>
    </row>
    <row r="4145" spans="1:2" x14ac:dyDescent="0.25">
      <c r="A4145">
        <f ca="1">31339.1167193409*((RANDBETWEEN(1620,2416)))</f>
        <v>68789361.198953301</v>
      </c>
      <c r="B4145">
        <v>192732392.47114995</v>
      </c>
    </row>
    <row r="4146" spans="1:2" x14ac:dyDescent="0.25">
      <c r="A4146">
        <f ca="1">38616.6975727213*((RANDBETWEEN(1620,2416)))</f>
        <v>78584979.560487926</v>
      </c>
      <c r="B4146">
        <v>191377568.91634703</v>
      </c>
    </row>
    <row r="4147" spans="1:2" x14ac:dyDescent="0.25">
      <c r="A4147">
        <f ca="1">33018.7193025373*((RANDBETWEEN(1620,2416)))</f>
        <v>62735566.674820922</v>
      </c>
      <c r="B4147">
        <v>145048668.26382098</v>
      </c>
    </row>
    <row r="4148" spans="1:2" x14ac:dyDescent="0.25">
      <c r="A4148">
        <f ca="1">35374.4973986125*((RANDBETWEEN(1620,2416)))</f>
        <v>69086393.419490129</v>
      </c>
      <c r="B4148">
        <v>183346798.95258892</v>
      </c>
    </row>
    <row r="4149" spans="1:2" x14ac:dyDescent="0.25">
      <c r="A4149">
        <f ca="1">31593.0623754344*((RANDBETWEEN(1620,2416)))</f>
        <v>52697228.042224646</v>
      </c>
      <c r="B4149">
        <v>160670224.60630611</v>
      </c>
    </row>
    <row r="4150" spans="1:2" x14ac:dyDescent="0.25">
      <c r="A4150">
        <f ca="1">28499.2326191735*((RANDBETWEEN(1620,2416)))</f>
        <v>49161176.2680742</v>
      </c>
      <c r="B4150">
        <v>152756790.83132666</v>
      </c>
    </row>
    <row r="4151" spans="1:2" x14ac:dyDescent="0.25">
      <c r="A4151">
        <f ca="1">30198.0844016123*((RANDBETWEEN(1620,2416)))</f>
        <v>55504079.130163491</v>
      </c>
      <c r="B4151">
        <v>156657069.3470338</v>
      </c>
    </row>
    <row r="4152" spans="1:2" x14ac:dyDescent="0.25">
      <c r="A4152">
        <f ca="1">32648.5200451632*((RANDBETWEEN(1620,2416)))</f>
        <v>75679269.46468839</v>
      </c>
      <c r="B4152">
        <v>199388163.51657042</v>
      </c>
    </row>
    <row r="4153" spans="1:2" x14ac:dyDescent="0.25">
      <c r="A4153">
        <f ca="1">27808.2873895411*((RANDBETWEEN(1620,2416)))</f>
        <v>45883674.192742772</v>
      </c>
      <c r="B4153">
        <v>165281633.72096187</v>
      </c>
    </row>
    <row r="4154" spans="1:2" x14ac:dyDescent="0.25">
      <c r="A4154">
        <f ca="1">38630.9706991897*((RANDBETWEEN(1620,2416)))</f>
        <v>68994913.668752864</v>
      </c>
      <c r="B4154">
        <v>167429795.9500964</v>
      </c>
    </row>
    <row r="4155" spans="1:2" x14ac:dyDescent="0.25">
      <c r="A4155">
        <f ca="1">31774.2562989766*((RANDBETWEEN(1620,2416)))</f>
        <v>55763819.804703921</v>
      </c>
      <c r="B4155">
        <v>169014965.35938323</v>
      </c>
    </row>
    <row r="4156" spans="1:2" x14ac:dyDescent="0.25">
      <c r="A4156">
        <f ca="1">28446.7416500268*((RANDBETWEEN(1620,2416)))</f>
        <v>64630997.028860994</v>
      </c>
      <c r="B4156">
        <v>143867533.78386074</v>
      </c>
    </row>
    <row r="4157" spans="1:2" x14ac:dyDescent="0.25">
      <c r="A4157">
        <f ca="1">31076.2555702142*((RANDBETWEEN(1620,2416)))</f>
        <v>51306897.946423598</v>
      </c>
      <c r="B4157">
        <v>151099935.20812184</v>
      </c>
    </row>
    <row r="4158" spans="1:2" x14ac:dyDescent="0.25">
      <c r="A4158">
        <f ca="1">28153.8574142435*((RANDBETWEEN(1620,2416)))</f>
        <v>54449560.239146903</v>
      </c>
      <c r="B4158">
        <v>169841176.92852354</v>
      </c>
    </row>
    <row r="4159" spans="1:2" x14ac:dyDescent="0.25">
      <c r="A4159">
        <f ca="1">29958.9269532906*((RANDBETWEEN(1620,2416)))</f>
        <v>51289682.944033578</v>
      </c>
      <c r="B4159">
        <v>148878735.60249013</v>
      </c>
    </row>
    <row r="4160" spans="1:2" x14ac:dyDescent="0.25">
      <c r="A4160">
        <f ca="1">35500.6467705795*((RANDBETWEEN(1620,2416)))</f>
        <v>72776325.879687935</v>
      </c>
      <c r="B4160">
        <v>153575642.88238448</v>
      </c>
    </row>
    <row r="4161" spans="1:2" x14ac:dyDescent="0.25">
      <c r="A4161">
        <f ca="1">32824.715771669*((RANDBETWEEN(1620,2416)))</f>
        <v>55145522.496404015</v>
      </c>
      <c r="B4161">
        <v>170932677.90114653</v>
      </c>
    </row>
    <row r="4162" spans="1:2" x14ac:dyDescent="0.25">
      <c r="A4162">
        <f ca="1">33887.5240788115*((RANDBETWEEN(1620,2416)))</f>
        <v>56253289.970827051</v>
      </c>
      <c r="B4162">
        <v>169570224.93743947</v>
      </c>
    </row>
    <row r="4163" spans="1:2" x14ac:dyDescent="0.25">
      <c r="A4163">
        <f ca="1">34625.6916030789*((RANDBETWEEN(1620,2416)))</f>
        <v>66896836.17714835</v>
      </c>
      <c r="B4163">
        <v>180897008.19558918</v>
      </c>
    </row>
    <row r="4164" spans="1:2" x14ac:dyDescent="0.25">
      <c r="A4164">
        <f ca="1">31586.8253973158*((RANDBETWEEN(1620,2416)))</f>
        <v>61847004.127944283</v>
      </c>
      <c r="B4164">
        <v>149509863.54301149</v>
      </c>
    </row>
    <row r="4165" spans="1:2" x14ac:dyDescent="0.25">
      <c r="A4165">
        <f ca="1">30962.1447217911*((RANDBETWEEN(1620,2416)))</f>
        <v>74742617.358403802</v>
      </c>
      <c r="B4165">
        <v>150217901.26253521</v>
      </c>
    </row>
    <row r="4166" spans="1:2" x14ac:dyDescent="0.25">
      <c r="A4166">
        <f ca="1">29413.5575135844*((RANDBETWEEN(1620,2416)))</f>
        <v>64945134.989994444</v>
      </c>
      <c r="B4166">
        <v>200335504.55121186</v>
      </c>
    </row>
    <row r="4167" spans="1:2" x14ac:dyDescent="0.25">
      <c r="A4167">
        <f ca="1">35067.3737983201*((RANDBETWEEN(1620,2416)))</f>
        <v>68346311.532925949</v>
      </c>
      <c r="B4167">
        <v>146339744.62147176</v>
      </c>
    </row>
    <row r="4168" spans="1:2" x14ac:dyDescent="0.25">
      <c r="A4168">
        <f ca="1">31285.3274651154*((RANDBETWEEN(1620,2416)))</f>
        <v>59097983.581602938</v>
      </c>
      <c r="B4168">
        <v>155358193.64811748</v>
      </c>
    </row>
    <row r="4169" spans="1:2" x14ac:dyDescent="0.25">
      <c r="A4169">
        <f ca="1">29365.3582109242*((RANDBETWEEN(1620,2416)))</f>
        <v>51007627.212375373</v>
      </c>
      <c r="B4169">
        <v>196389291.64276433</v>
      </c>
    </row>
    <row r="4170" spans="1:2" x14ac:dyDescent="0.25">
      <c r="A4170">
        <f ca="1">38552.3837989932*((RANDBETWEEN(1620,2416)))</f>
        <v>78068577.192961261</v>
      </c>
      <c r="B4170">
        <v>202838451.30788803</v>
      </c>
    </row>
    <row r="4171" spans="1:2" x14ac:dyDescent="0.25">
      <c r="A4171">
        <f ca="1">30553.6850694228*((RANDBETWEEN(1620,2416)))</f>
        <v>61810104.895442411</v>
      </c>
      <c r="B4171">
        <v>151722710.51711139</v>
      </c>
    </row>
    <row r="4172" spans="1:2" x14ac:dyDescent="0.25">
      <c r="A4172">
        <f ca="1">30195.3649778866*((RANDBETWEEN(1620,2416)))</f>
        <v>56374746.413714245</v>
      </c>
      <c r="B4172">
        <v>146038052.49968112</v>
      </c>
    </row>
    <row r="4173" spans="1:2" x14ac:dyDescent="0.25">
      <c r="A4173">
        <f ca="1">36206.4438082013*((RANDBETWEEN(1620,2416)))</f>
        <v>82767930.545548156</v>
      </c>
      <c r="B4173">
        <v>176547673.68901008</v>
      </c>
    </row>
    <row r="4174" spans="1:2" x14ac:dyDescent="0.25">
      <c r="A4174">
        <f ca="1">29944.5568346326*((RANDBETWEEN(1620,2416)))</f>
        <v>62823680.239059106</v>
      </c>
      <c r="B4174">
        <v>189595822.57378557</v>
      </c>
    </row>
    <row r="4175" spans="1:2" x14ac:dyDescent="0.25">
      <c r="A4175">
        <f ca="1">42216.4227942214*((RANDBETWEEN(1620,2416)))</f>
        <v>93762675.02596572</v>
      </c>
      <c r="B4175">
        <v>155984131.09843072</v>
      </c>
    </row>
    <row r="4176" spans="1:2" x14ac:dyDescent="0.25">
      <c r="A4176">
        <f ca="1">32155.5755310255*((RANDBETWEEN(1620,2416)))</f>
        <v>72285733.793745339</v>
      </c>
      <c r="B4176">
        <v>186657517.08810955</v>
      </c>
    </row>
    <row r="4177" spans="1:2" x14ac:dyDescent="0.25">
      <c r="A4177">
        <f ca="1">29723.9722661088*((RANDBETWEEN(1620,2416)))</f>
        <v>52551982.966480359</v>
      </c>
      <c r="B4177">
        <v>159094213.20416889</v>
      </c>
    </row>
    <row r="4178" spans="1:2" x14ac:dyDescent="0.25">
      <c r="A4178">
        <f ca="1">28162.7397116842*((RANDBETWEEN(1620,2416)))</f>
        <v>62493119.420227326</v>
      </c>
      <c r="B4178">
        <v>200162229.26202792</v>
      </c>
    </row>
    <row r="4179" spans="1:2" x14ac:dyDescent="0.25">
      <c r="A4179">
        <f ca="1">30894.8071773086*((RANDBETWEEN(1620,2416)))</f>
        <v>56691971.17036131</v>
      </c>
      <c r="B4179">
        <v>147924381.28108945</v>
      </c>
    </row>
    <row r="4180" spans="1:2" x14ac:dyDescent="0.25">
      <c r="A4180">
        <f ca="1">31069.1872079542*((RANDBETWEEN(1620,2416)))</f>
        <v>68321142.670291275</v>
      </c>
      <c r="B4180">
        <v>150618919.41164958</v>
      </c>
    </row>
    <row r="4181" spans="1:2" x14ac:dyDescent="0.25">
      <c r="A4181">
        <f ca="1">33793.1061170547*((RANDBETWEEN(1620,2416)))</f>
        <v>73939316.184115693</v>
      </c>
      <c r="B4181">
        <v>199552875.17423621</v>
      </c>
    </row>
    <row r="4182" spans="1:2" x14ac:dyDescent="0.25">
      <c r="A4182">
        <f ca="1">35819.5768065003*((RANDBETWEEN(1620,2416)))</f>
        <v>83781990.15040423</v>
      </c>
      <c r="B4182">
        <v>152179809.38091892</v>
      </c>
    </row>
    <row r="4183" spans="1:2" x14ac:dyDescent="0.25">
      <c r="A4183">
        <f ca="1">34916.5021318411*((RANDBETWEEN(1620,2416)))</f>
        <v>74407066.042953283</v>
      </c>
      <c r="B4183">
        <v>165943204.48411277</v>
      </c>
    </row>
    <row r="4184" spans="1:2" x14ac:dyDescent="0.25">
      <c r="A4184">
        <f ca="1">31554.6590546726*((RANDBETWEEN(1620,2416)))</f>
        <v>69420249.920279771</v>
      </c>
      <c r="B4184">
        <v>170667749.07499802</v>
      </c>
    </row>
    <row r="4185" spans="1:2" x14ac:dyDescent="0.25">
      <c r="A4185">
        <f ca="1">38999.1891053041*((RANDBETWEEN(1620,2416)))</f>
        <v>94105043.311099008</v>
      </c>
      <c r="B4185">
        <v>166599279.33990383</v>
      </c>
    </row>
    <row r="4186" spans="1:2" x14ac:dyDescent="0.25">
      <c r="A4186">
        <f ca="1">31560.3565193027*((RANDBETWEEN(1620,2416)))</f>
        <v>76186700.637596771</v>
      </c>
      <c r="B4186">
        <v>166921974.71304414</v>
      </c>
    </row>
    <row r="4187" spans="1:2" x14ac:dyDescent="0.25">
      <c r="A4187">
        <f ca="1">32591.138713125*((RANDBETWEEN(1620,2416)))</f>
        <v>67300701.442603067</v>
      </c>
      <c r="B4187">
        <v>162840723.32106635</v>
      </c>
    </row>
    <row r="4188" spans="1:2" x14ac:dyDescent="0.25">
      <c r="A4188">
        <f ca="1">31478.8531807716*((RANDBETWEEN(1620,2416)))</f>
        <v>67962844.017285973</v>
      </c>
      <c r="B4188">
        <v>165134592.87951261</v>
      </c>
    </row>
    <row r="4189" spans="1:2" x14ac:dyDescent="0.25">
      <c r="A4189">
        <f ca="1">35904.0300984231*((RANDBETWEEN(1620,2416)))</f>
        <v>69797434.511334553</v>
      </c>
      <c r="B4189">
        <v>182847603.2234627</v>
      </c>
    </row>
    <row r="4190" spans="1:2" x14ac:dyDescent="0.25">
      <c r="A4190">
        <f ca="1">32719.9720148231*((RANDBETWEEN(1620,2416)))</f>
        <v>59092269.458770439</v>
      </c>
      <c r="B4190">
        <v>190185241.20875514</v>
      </c>
    </row>
    <row r="4191" spans="1:2" x14ac:dyDescent="0.25">
      <c r="A4191">
        <f ca="1">36225.0265293946*((RANDBETWEEN(1620,2416)))</f>
        <v>77485331.746375054</v>
      </c>
      <c r="B4191">
        <v>161058354.95219207</v>
      </c>
    </row>
    <row r="4192" spans="1:2" x14ac:dyDescent="0.25">
      <c r="A4192">
        <f ca="1">35872.3879415166*((RANDBETWEEN(1620,2416)))</f>
        <v>85663262.404341683</v>
      </c>
      <c r="B4192">
        <v>175940601.48393774</v>
      </c>
    </row>
    <row r="4193" spans="1:2" x14ac:dyDescent="0.25">
      <c r="A4193">
        <f ca="1">35998.0360844815*((RANDBETWEEN(1620,2416)))</f>
        <v>63932512.086039133</v>
      </c>
      <c r="B4193">
        <v>171314499.91112292</v>
      </c>
    </row>
    <row r="4194" spans="1:2" x14ac:dyDescent="0.25">
      <c r="A4194">
        <f ca="1">30658.4713114154*((RANDBETWEEN(1620,2416)))</f>
        <v>61899453.57774768</v>
      </c>
      <c r="B4194">
        <v>189820283.63159162</v>
      </c>
    </row>
    <row r="4195" spans="1:2" x14ac:dyDescent="0.25">
      <c r="A4195">
        <f ca="1">32846.8925768888*((RANDBETWEEN(1620,2416)))</f>
        <v>79062470.432571381</v>
      </c>
      <c r="B4195">
        <v>162184458.95393944</v>
      </c>
    </row>
    <row r="4196" spans="1:2" x14ac:dyDescent="0.25">
      <c r="A4196">
        <f ca="1">30414.0908377983*((RANDBETWEEN(1620,2416)))</f>
        <v>68097149.385830462</v>
      </c>
      <c r="B4196">
        <v>150724200.33052513</v>
      </c>
    </row>
    <row r="4197" spans="1:2" x14ac:dyDescent="0.25">
      <c r="A4197">
        <f ca="1">33207.7091755173*((RANDBETWEEN(1620,2416)))</f>
        <v>76543769.649567366</v>
      </c>
      <c r="B4197">
        <v>177801752.66693407</v>
      </c>
    </row>
    <row r="4198" spans="1:2" x14ac:dyDescent="0.25">
      <c r="A4198">
        <f ca="1">36125.4420182333*((RANDBETWEEN(1620,2416)))</f>
        <v>71709002.406193092</v>
      </c>
      <c r="B4198">
        <v>181267114.23780823</v>
      </c>
    </row>
    <row r="4199" spans="1:2" x14ac:dyDescent="0.25">
      <c r="A4199">
        <f ca="1">32258.7174437625*((RANDBETWEEN(1620,2416)))</f>
        <v>70517556.332064748</v>
      </c>
      <c r="B4199">
        <v>195723526.31856543</v>
      </c>
    </row>
    <row r="4200" spans="1:2" x14ac:dyDescent="0.25">
      <c r="A4200">
        <f ca="1">32522.850610863*((RANDBETWEEN(1620,2416)))</f>
        <v>58280948.294666551</v>
      </c>
      <c r="B4200">
        <v>175074821.10947984</v>
      </c>
    </row>
    <row r="4201" spans="1:2" x14ac:dyDescent="0.25">
      <c r="A4201">
        <f ca="1">34960.8553378907*((RANDBETWEEN(1620,2416)))</f>
        <v>79535945.893701419</v>
      </c>
      <c r="B4201">
        <v>174875098.70955551</v>
      </c>
    </row>
    <row r="4202" spans="1:2" x14ac:dyDescent="0.25">
      <c r="A4202">
        <f ca="1">34448.9581936794*((RANDBETWEEN(1620,2416)))</f>
        <v>56324046.646665789</v>
      </c>
      <c r="B4202">
        <v>148234546.05916938</v>
      </c>
    </row>
    <row r="4203" spans="1:2" x14ac:dyDescent="0.25">
      <c r="A4203">
        <f ca="1">29883.0244691284*((RANDBETWEEN(1620,2416)))</f>
        <v>52922836.33482632</v>
      </c>
      <c r="B4203">
        <v>198764853.42702878</v>
      </c>
    </row>
    <row r="4204" spans="1:2" x14ac:dyDescent="0.25">
      <c r="A4204">
        <f ca="1">32652.8920845501*((RANDBETWEEN(1620,2416)))</f>
        <v>67722098.183356896</v>
      </c>
      <c r="B4204">
        <v>145323509.62972683</v>
      </c>
    </row>
    <row r="4205" spans="1:2" x14ac:dyDescent="0.25">
      <c r="A4205">
        <f ca="1">31145.1080568587*((RANDBETWEEN(1620,2416)))</f>
        <v>74966275.092858955</v>
      </c>
      <c r="B4205">
        <v>159311992.05130261</v>
      </c>
    </row>
    <row r="4206" spans="1:2" x14ac:dyDescent="0.25">
      <c r="A4206">
        <f ca="1">39367.1226580028*((RANDBETWEEN(1620,2416)))</f>
        <v>82907160.317753956</v>
      </c>
      <c r="B4206">
        <v>161009014.67828488</v>
      </c>
    </row>
    <row r="4207" spans="1:2" x14ac:dyDescent="0.25">
      <c r="A4207">
        <f ca="1">35273.4750127149*((RANDBETWEEN(1620,2416)))</f>
        <v>84832707.405579329</v>
      </c>
      <c r="B4207">
        <v>154988617.79097134</v>
      </c>
    </row>
    <row r="4208" spans="1:2" x14ac:dyDescent="0.25">
      <c r="A4208">
        <f ca="1">34236.1900705967*((RANDBETWEEN(1620,2416)))</f>
        <v>61282780.226368167</v>
      </c>
      <c r="B4208">
        <v>190445544.06503975</v>
      </c>
    </row>
    <row r="4209" spans="1:2" x14ac:dyDescent="0.25">
      <c r="A4209">
        <f ca="1">33347.2125544455*((RANDBETWEEN(1620,2416)))</f>
        <v>61825732.075941995</v>
      </c>
      <c r="B4209">
        <v>178589802.36716473</v>
      </c>
    </row>
    <row r="4210" spans="1:2" x14ac:dyDescent="0.25">
      <c r="A4210">
        <f ca="1">34908.9955500333*((RANDBETWEEN(1620,2416)))</f>
        <v>73797616.592770398</v>
      </c>
      <c r="B4210">
        <v>159269805.75195131</v>
      </c>
    </row>
    <row r="4211" spans="1:2" x14ac:dyDescent="0.25">
      <c r="A4211">
        <f ca="1">37975.0840837038*((RANDBETWEEN(1620,2416)))</f>
        <v>84988238.179329023</v>
      </c>
      <c r="B4211">
        <v>183615367.59567162</v>
      </c>
    </row>
    <row r="4212" spans="1:2" x14ac:dyDescent="0.25">
      <c r="A4212">
        <f ca="1">33370.6237671984*((RANDBETWEEN(1620,2416)))</f>
        <v>67575513.12857677</v>
      </c>
      <c r="B4212">
        <v>145976070.82552221</v>
      </c>
    </row>
    <row r="4213" spans="1:2" x14ac:dyDescent="0.25">
      <c r="A4213">
        <f ca="1">39812.6377664307*((RANDBETWEEN(1620,2416)))</f>
        <v>77674456.282306299</v>
      </c>
      <c r="B4213">
        <v>188838961.50610599</v>
      </c>
    </row>
    <row r="4214" spans="1:2" x14ac:dyDescent="0.25">
      <c r="A4214">
        <f ca="1">36902.7523476547*((RANDBETWEEN(1620,2416)))</f>
        <v>84544205.628476813</v>
      </c>
      <c r="B4214">
        <v>200993333.47547543</v>
      </c>
    </row>
    <row r="4215" spans="1:2" x14ac:dyDescent="0.25">
      <c r="A4215">
        <f ca="1">35773.8423079142*((RANDBETWEEN(1620,2416)))</f>
        <v>65537679.108098753</v>
      </c>
      <c r="B4215">
        <v>202456841.0288476</v>
      </c>
    </row>
    <row r="4216" spans="1:2" x14ac:dyDescent="0.25">
      <c r="A4216">
        <f ca="1">39580.647246311*((RANDBETWEEN(1620,2416)))</f>
        <v>78053036.369725212</v>
      </c>
      <c r="B4216">
        <v>177286133.49574319</v>
      </c>
    </row>
    <row r="4217" spans="1:2" x14ac:dyDescent="0.25">
      <c r="A4217">
        <f ca="1">36872.7942034855*((RANDBETWEEN(1620,2416)))</f>
        <v>62499386.174907863</v>
      </c>
      <c r="B4217">
        <v>145720934.52771926</v>
      </c>
    </row>
    <row r="4218" spans="1:2" x14ac:dyDescent="0.25">
      <c r="A4218">
        <f ca="1">35495.2778413142*((RANDBETWEEN(1620,2416)))</f>
        <v>77770153.750319391</v>
      </c>
      <c r="B4218">
        <v>163619696.75546223</v>
      </c>
    </row>
    <row r="4219" spans="1:2" x14ac:dyDescent="0.25">
      <c r="A4219">
        <f ca="1">29813.4835866953*((RANDBETWEEN(1620,2416)))</f>
        <v>50981056.933248885</v>
      </c>
      <c r="B4219">
        <v>149100815.43248808</v>
      </c>
    </row>
    <row r="4220" spans="1:2" x14ac:dyDescent="0.25">
      <c r="A4220">
        <f ca="1">31257.7603837796*((RANDBETWEEN(1620,2416)))</f>
        <v>73580767.943417266</v>
      </c>
      <c r="B4220">
        <v>165276447.66640022</v>
      </c>
    </row>
    <row r="4221" spans="1:2" x14ac:dyDescent="0.25">
      <c r="A4221">
        <f ca="1">30187.3393806425*((RANDBETWEEN(1620,2416)))</f>
        <v>63453787.378110617</v>
      </c>
      <c r="B4221">
        <v>186644926.3217842</v>
      </c>
    </row>
    <row r="4222" spans="1:2" x14ac:dyDescent="0.25">
      <c r="A4222">
        <f ca="1">28270.6969836122*((RANDBETWEEN(1620,2416)))</f>
        <v>64909520.274373569</v>
      </c>
      <c r="B4222">
        <v>188404452.22912991</v>
      </c>
    </row>
    <row r="4223" spans="1:2" x14ac:dyDescent="0.25">
      <c r="A4223">
        <f ca="1">29886.5170795859*((RANDBETWEEN(1620,2416)))</f>
        <v>58936211.680943444</v>
      </c>
      <c r="B4223">
        <v>173341961.18399659</v>
      </c>
    </row>
    <row r="4224" spans="1:2" x14ac:dyDescent="0.25">
      <c r="A4224">
        <f ca="1">32939.0807523453*((RANDBETWEEN(1620,2416)))</f>
        <v>69303825.902934551</v>
      </c>
      <c r="B4224">
        <v>155200215.05397511</v>
      </c>
    </row>
    <row r="4225" spans="1:2" x14ac:dyDescent="0.25">
      <c r="A4225">
        <f ca="1">31901.7212894842*((RANDBETWEEN(1620,2416)))</f>
        <v>69673359.29623355</v>
      </c>
      <c r="B4225">
        <v>202346124.5113261</v>
      </c>
    </row>
    <row r="4226" spans="1:2" x14ac:dyDescent="0.25">
      <c r="A4226">
        <f ca="1">37697.296492019*((RANDBETWEEN(1620,2416)))</f>
        <v>74301371.385769531</v>
      </c>
      <c r="B4226">
        <v>177382687.60942882</v>
      </c>
    </row>
    <row r="4227" spans="1:2" x14ac:dyDescent="0.25">
      <c r="A4227">
        <f ca="1">31923.7930896765*((RANDBETWEEN(1620,2416)))</f>
        <v>58133227.216300875</v>
      </c>
      <c r="B4227">
        <v>166784147.4177984</v>
      </c>
    </row>
    <row r="4228" spans="1:2" x14ac:dyDescent="0.25">
      <c r="A4228">
        <f ca="1">33991.6487155684*((RANDBETWEEN(1620,2416)))</f>
        <v>69546913.272053093</v>
      </c>
      <c r="B4228">
        <v>182515499.75982255</v>
      </c>
    </row>
    <row r="4229" spans="1:2" x14ac:dyDescent="0.25">
      <c r="A4229">
        <f ca="1">33841.3612109917*((RANDBETWEEN(1620,2416)))</f>
        <v>79154943.872509524</v>
      </c>
      <c r="B4229">
        <v>166221605.12365565</v>
      </c>
    </row>
    <row r="4230" spans="1:2" x14ac:dyDescent="0.25">
      <c r="A4230">
        <f ca="1">32468.4281759955*((RANDBETWEEN(1620,2416)))</f>
        <v>57274307.302456111</v>
      </c>
      <c r="B4230">
        <v>156449507.30789155</v>
      </c>
    </row>
    <row r="4231" spans="1:2" x14ac:dyDescent="0.25">
      <c r="A4231">
        <f ca="1">29735.9468973043*((RANDBETWEEN(1620,2416)))</f>
        <v>54297839.034477808</v>
      </c>
      <c r="B4231">
        <v>188590546.83629468</v>
      </c>
    </row>
    <row r="4232" spans="1:2" x14ac:dyDescent="0.25">
      <c r="A4232">
        <f ca="1">28931.9192916635*((RANDBETWEEN(1620,2416)))</f>
        <v>67642827.303909361</v>
      </c>
      <c r="B4232">
        <v>168589821.29487592</v>
      </c>
    </row>
    <row r="4233" spans="1:2" x14ac:dyDescent="0.25">
      <c r="A4233">
        <f ca="1">31524.8626121342*((RANDBETWEEN(1620,2416)))</f>
        <v>68314377.280494854</v>
      </c>
      <c r="B4233">
        <v>156647844.66885251</v>
      </c>
    </row>
    <row r="4234" spans="1:2" x14ac:dyDescent="0.25">
      <c r="A4234">
        <f ca="1">38196.2888467911*((RANDBETWEEN(1620,2416)))</f>
        <v>70548545.500023201</v>
      </c>
      <c r="B4234">
        <v>154932164.68732512</v>
      </c>
    </row>
    <row r="4235" spans="1:2" x14ac:dyDescent="0.25">
      <c r="A4235">
        <f ca="1">32770.9362742219*((RANDBETWEEN(1620,2416)))</f>
        <v>71080160.77878733</v>
      </c>
      <c r="B4235">
        <v>144258278.79549286</v>
      </c>
    </row>
    <row r="4236" spans="1:2" x14ac:dyDescent="0.25">
      <c r="A4236">
        <f ca="1">28513.6595059294*((RANDBETWEEN(1620,2416)))</f>
        <v>47617811.374902017</v>
      </c>
      <c r="B4236">
        <v>157887739.48650655</v>
      </c>
    </row>
    <row r="4237" spans="1:2" x14ac:dyDescent="0.25">
      <c r="A4237">
        <f ca="1">31016.3218617677*((RANDBETWEEN(1620,2416)))</f>
        <v>54402628.545540579</v>
      </c>
      <c r="B4237">
        <v>192477528.47243047</v>
      </c>
    </row>
    <row r="4238" spans="1:2" x14ac:dyDescent="0.25">
      <c r="A4238">
        <f ca="1">28407.4187953254*((RANDBETWEEN(1620,2416)))</f>
        <v>59115838.513072208</v>
      </c>
      <c r="B4238">
        <v>149963542.22066566</v>
      </c>
    </row>
    <row r="4239" spans="1:2" x14ac:dyDescent="0.25">
      <c r="A4239">
        <f ca="1">29981.6778246465*((RANDBETWEEN(1620,2416)))</f>
        <v>64880350.81253501</v>
      </c>
      <c r="B4239">
        <v>193793440.11303252</v>
      </c>
    </row>
    <row r="4240" spans="1:2" x14ac:dyDescent="0.25">
      <c r="A4240">
        <f ca="1">32612.0230485798*((RANDBETWEEN(1620,2416)))</f>
        <v>62158515.930593051</v>
      </c>
      <c r="B4240">
        <v>201774560.24666345</v>
      </c>
    </row>
    <row r="4241" spans="1:2" x14ac:dyDescent="0.25">
      <c r="A4241">
        <f ca="1">31037.4697591498*((RANDBETWEEN(1620,2416)))</f>
        <v>52018799.316335127</v>
      </c>
      <c r="B4241">
        <v>144970082.20828128</v>
      </c>
    </row>
    <row r="4242" spans="1:2" x14ac:dyDescent="0.25">
      <c r="A4242">
        <f ca="1">33856.1842752248*((RANDBETWEEN(1620,2416)))</f>
        <v>59891589.982872628</v>
      </c>
      <c r="B4242">
        <v>156263543.20301726</v>
      </c>
    </row>
    <row r="4243" spans="1:2" x14ac:dyDescent="0.25">
      <c r="A4243">
        <f ca="1">37739.0481310026*((RANDBETWEEN(1620,2416)))</f>
        <v>75289401.02135013</v>
      </c>
      <c r="B4243">
        <v>201699885.33260667</v>
      </c>
    </row>
    <row r="4244" spans="1:2" x14ac:dyDescent="0.25">
      <c r="A4244">
        <f ca="1">34636.3228401559*((RANDBETWEEN(1620,2416)))</f>
        <v>73498277.066810817</v>
      </c>
      <c r="B4244">
        <v>186319403.2276378</v>
      </c>
    </row>
    <row r="4245" spans="1:2" x14ac:dyDescent="0.25">
      <c r="A4245">
        <f ca="1">36569.8666278701*((RANDBETWEEN(1620,2416)))</f>
        <v>69373036.993069634</v>
      </c>
      <c r="B4245">
        <v>164551397.6006496</v>
      </c>
    </row>
    <row r="4246" spans="1:2" x14ac:dyDescent="0.25">
      <c r="A4246">
        <f ca="1">29930.2421184909*((RANDBETWEEN(1620,2416)))</f>
        <v>70036766.557268769</v>
      </c>
      <c r="B4246">
        <v>184301808.32727987</v>
      </c>
    </row>
    <row r="4247" spans="1:2" x14ac:dyDescent="0.25">
      <c r="A4247">
        <f ca="1">29848.1658453009*((RANDBETWEEN(1620,2416)))</f>
        <v>49577803.469044745</v>
      </c>
      <c r="B4247">
        <v>146033752.56596226</v>
      </c>
    </row>
    <row r="4248" spans="1:2" x14ac:dyDescent="0.25">
      <c r="A4248">
        <f ca="1">42795.896029854*((RANDBETWEEN(1620,2416)))</f>
        <v>80884243.496424153</v>
      </c>
      <c r="B4248">
        <v>145526620.22986168</v>
      </c>
    </row>
    <row r="4249" spans="1:2" x14ac:dyDescent="0.25">
      <c r="A4249">
        <f ca="1">33217.4333031231*((RANDBETWEEN(1620,2416)))</f>
        <v>54609460.350334436</v>
      </c>
      <c r="B4249">
        <v>147185267.20667082</v>
      </c>
    </row>
    <row r="4250" spans="1:2" x14ac:dyDescent="0.25">
      <c r="A4250">
        <f ca="1">31061.5112453266*((RANDBETWEEN(1620,2416)))</f>
        <v>63955651.654127434</v>
      </c>
      <c r="B4250">
        <v>187262528.67377332</v>
      </c>
    </row>
    <row r="4251" spans="1:2" x14ac:dyDescent="0.25">
      <c r="A4251">
        <f ca="1">30228.6879094392*((RANDBETWEEN(1620,2416)))</f>
        <v>58945941.423406474</v>
      </c>
      <c r="B4251">
        <v>164875401.72588241</v>
      </c>
    </row>
    <row r="4252" spans="1:2" x14ac:dyDescent="0.25">
      <c r="A4252">
        <f ca="1">28584.5118981011*((RANDBETWEEN(1620,2416)))</f>
        <v>52881347.011487089</v>
      </c>
      <c r="B4252">
        <v>143115596.4562169</v>
      </c>
    </row>
    <row r="4253" spans="1:2" x14ac:dyDescent="0.25">
      <c r="A4253">
        <f ca="1">40322.8044221448*((RANDBETWEEN(1620,2416)))</f>
        <v>68710058.735334799</v>
      </c>
      <c r="B4253">
        <v>149284457.6322875</v>
      </c>
    </row>
    <row r="4254" spans="1:2" x14ac:dyDescent="0.25">
      <c r="A4254">
        <f ca="1">32274.8960043087*((RANDBETWEEN(1620,2416)))</f>
        <v>59740832.503975332</v>
      </c>
      <c r="B4254">
        <v>152531169.71541259</v>
      </c>
    </row>
    <row r="4255" spans="1:2" x14ac:dyDescent="0.25">
      <c r="A4255">
        <f ca="1">28482.2844820193*((RANDBETWEEN(1620,2416)))</f>
        <v>47366039.093598031</v>
      </c>
      <c r="B4255">
        <v>155375870.6084376</v>
      </c>
    </row>
    <row r="4256" spans="1:2" x14ac:dyDescent="0.25">
      <c r="A4256">
        <f ca="1">30454.1392739687*((RANDBETWEEN(1620,2416)))</f>
        <v>55061083.807335377</v>
      </c>
      <c r="B4256">
        <v>160780276.58090782</v>
      </c>
    </row>
    <row r="4257" spans="1:2" x14ac:dyDescent="0.25">
      <c r="A4257">
        <f ca="1">37725.225667161*((RANDBETWEEN(1620,2416)))</f>
        <v>90955519.083525047</v>
      </c>
      <c r="B4257">
        <v>161944918.91893801</v>
      </c>
    </row>
    <row r="4258" spans="1:2" x14ac:dyDescent="0.25">
      <c r="A4258">
        <f ca="1">30440.6936767021*((RANDBETWEEN(1620,2416)))</f>
        <v>53880027.807762794</v>
      </c>
      <c r="B4258">
        <v>195038969.68354481</v>
      </c>
    </row>
    <row r="4259" spans="1:2" x14ac:dyDescent="0.25">
      <c r="A4259">
        <f ca="1">31883.3028558807*((RANDBETWEEN(1620,2416)))</f>
        <v>54488564.580700189</v>
      </c>
      <c r="B4259">
        <v>144798343.47130615</v>
      </c>
    </row>
    <row r="4260" spans="1:2" x14ac:dyDescent="0.25">
      <c r="A4260">
        <f ca="1">34658.4396160625*((RANDBETWEEN(1620,2416)))</f>
        <v>71257751.850624576</v>
      </c>
      <c r="B4260">
        <v>176371226.18170312</v>
      </c>
    </row>
    <row r="4261" spans="1:2" x14ac:dyDescent="0.25">
      <c r="A4261">
        <f ca="1">29232.0019219153*((RANDBETWEEN(1620,2416)))</f>
        <v>52617603.459447488</v>
      </c>
      <c r="B4261">
        <v>172813325.11125797</v>
      </c>
    </row>
    <row r="4262" spans="1:2" x14ac:dyDescent="0.25">
      <c r="A4262">
        <f ca="1">31559.5400418633*((RANDBETWEEN(1620,2416)))</f>
        <v>61762019.861926556</v>
      </c>
      <c r="B4262">
        <v>164272569.46993202</v>
      </c>
    </row>
    <row r="4263" spans="1:2" x14ac:dyDescent="0.25">
      <c r="A4263">
        <f ca="1">29048.7367565899*((RANDBETWEEN(1620,2416)))</f>
        <v>51271020.375381142</v>
      </c>
      <c r="B4263">
        <v>162274200.22269455</v>
      </c>
    </row>
    <row r="4264" spans="1:2" x14ac:dyDescent="0.25">
      <c r="A4264">
        <f ca="1">39806.6557627759*((RANDBETWEEN(1620,2416)))</f>
        <v>65999435.254682384</v>
      </c>
      <c r="B4264">
        <v>186462147.79463938</v>
      </c>
    </row>
    <row r="4265" spans="1:2" x14ac:dyDescent="0.25">
      <c r="A4265">
        <f ca="1">31193.1202312718*((RANDBETWEEN(1620,2416)))</f>
        <v>64257827.676419832</v>
      </c>
      <c r="B4265">
        <v>142904727.27492657</v>
      </c>
    </row>
    <row r="4266" spans="1:2" x14ac:dyDescent="0.25">
      <c r="A4266">
        <f ca="1">34018.8103058472*((RANDBETWEEN(1620,2416)))</f>
        <v>67357244.40557754</v>
      </c>
      <c r="B4266">
        <v>179985682.97949278</v>
      </c>
    </row>
    <row r="4267" spans="1:2" x14ac:dyDescent="0.25">
      <c r="A4267">
        <f ca="1">39576.3106197098*((RANDBETWEEN(1620,2416)))</f>
        <v>87028307.052741766</v>
      </c>
      <c r="B4267">
        <v>201679601.76260173</v>
      </c>
    </row>
    <row r="4268" spans="1:2" x14ac:dyDescent="0.25">
      <c r="A4268">
        <f ca="1">32625.5017603181*((RANDBETWEEN(1620,2416)))</f>
        <v>66686525.598090224</v>
      </c>
      <c r="B4268">
        <v>183351459.65647867</v>
      </c>
    </row>
    <row r="4269" spans="1:2" x14ac:dyDescent="0.25">
      <c r="A4269">
        <f ca="1">34529.7132832377*((RANDBETWEEN(1620,2416)))</f>
        <v>66987643.769481227</v>
      </c>
      <c r="B4269">
        <v>177966949.0918411</v>
      </c>
    </row>
    <row r="4270" spans="1:2" x14ac:dyDescent="0.25">
      <c r="A4270">
        <f ca="1">37781.5022348198*((RANDBETWEEN(1620,2416)))</f>
        <v>82703708.392020643</v>
      </c>
      <c r="B4270">
        <v>199578024.33438802</v>
      </c>
    </row>
    <row r="4271" spans="1:2" x14ac:dyDescent="0.25">
      <c r="A4271">
        <f ca="1">33380.8690496795*((RANDBETWEEN(1620,2416)))</f>
        <v>58716948.658386268</v>
      </c>
      <c r="B4271">
        <v>185090954.01378289</v>
      </c>
    </row>
    <row r="4272" spans="1:2" x14ac:dyDescent="0.25">
      <c r="A4272">
        <f ca="1">39057.7409609628*((RANDBETWEEN(1620,2416)))</f>
        <v>70225818.247811124</v>
      </c>
      <c r="B4272">
        <v>196168887.82768598</v>
      </c>
    </row>
    <row r="4273" spans="1:2" x14ac:dyDescent="0.25">
      <c r="A4273">
        <f ca="1">31180.4518629621*((RANDBETWEEN(1620,2416)))</f>
        <v>66944430.149779685</v>
      </c>
      <c r="B4273">
        <v>189928188.32522619</v>
      </c>
    </row>
    <row r="4274" spans="1:2" x14ac:dyDescent="0.25">
      <c r="A4274">
        <f ca="1">31941.5873732068*((RANDBETWEEN(1620,2416)))</f>
        <v>63915116.333786726</v>
      </c>
      <c r="B4274">
        <v>178310242.7064054</v>
      </c>
    </row>
    <row r="4275" spans="1:2" x14ac:dyDescent="0.25">
      <c r="A4275">
        <f ca="1">32329.1283200067*((RANDBETWEEN(1620,2416)))</f>
        <v>63656053.662093222</v>
      </c>
      <c r="B4275">
        <v>201147979.26708418</v>
      </c>
    </row>
    <row r="4276" spans="1:2" x14ac:dyDescent="0.25">
      <c r="A4276">
        <f ca="1">32952.6623407094*((RANDBETWEEN(1620,2416)))</f>
        <v>79350010.916428208</v>
      </c>
      <c r="B4276">
        <v>164952354.53344637</v>
      </c>
    </row>
    <row r="4277" spans="1:2" x14ac:dyDescent="0.25">
      <c r="A4277">
        <f ca="1">30926.1941111048*((RANDBETWEEN(1620,2416)))</f>
        <v>70759132.126207814</v>
      </c>
      <c r="B4277">
        <v>143961396.24879092</v>
      </c>
    </row>
    <row r="4278" spans="1:2" x14ac:dyDescent="0.25">
      <c r="A4278">
        <f ca="1">36287.169147605*((RANDBETWEEN(1620,2416)))</f>
        <v>59510957.402072251</v>
      </c>
      <c r="B4278">
        <v>159286384.42648089</v>
      </c>
    </row>
    <row r="4279" spans="1:2" x14ac:dyDescent="0.25">
      <c r="A4279">
        <f ca="1">32194.1469987349*((RANDBETWEEN(1620,2416)))</f>
        <v>61265461.738592461</v>
      </c>
      <c r="B4279">
        <v>147355869.4746027</v>
      </c>
    </row>
    <row r="4280" spans="1:2" x14ac:dyDescent="0.25">
      <c r="A4280">
        <f ca="1">33496.3954152032*((RANDBETWEEN(1620,2416)))</f>
        <v>75902832.010850444</v>
      </c>
      <c r="B4280">
        <v>161371142.69106168</v>
      </c>
    </row>
    <row r="4281" spans="1:2" x14ac:dyDescent="0.25">
      <c r="A4281">
        <f ca="1">28752.8711648312*((RANDBETWEEN(1620,2416)))</f>
        <v>58742115.789750241</v>
      </c>
      <c r="B4281">
        <v>177216024.61224577</v>
      </c>
    </row>
    <row r="4282" spans="1:2" x14ac:dyDescent="0.25">
      <c r="A4282">
        <f ca="1">31780.4928770729*((RANDBETWEEN(1620,2416)))</f>
        <v>53264106.061974168</v>
      </c>
      <c r="B4282">
        <v>201532238.3372978</v>
      </c>
    </row>
    <row r="4283" spans="1:2" x14ac:dyDescent="0.25">
      <c r="A4283">
        <f ca="1">32042.2167635672*((RANDBETWEEN(1620,2416)))</f>
        <v>56298174.853587598</v>
      </c>
      <c r="B4283">
        <v>197278404.82758364</v>
      </c>
    </row>
    <row r="4284" spans="1:2" x14ac:dyDescent="0.25">
      <c r="A4284">
        <f ca="1">32622.5557802482*((RANDBETWEEN(1620,2416)))</f>
        <v>77413324.866528958</v>
      </c>
      <c r="B4284">
        <v>170579873.32533324</v>
      </c>
    </row>
    <row r="4285" spans="1:2" x14ac:dyDescent="0.25">
      <c r="A4285">
        <f ca="1">35453.7850134321*((RANDBETWEEN(1620,2416)))</f>
        <v>73105704.697696969</v>
      </c>
      <c r="B4285">
        <v>163013501.54281729</v>
      </c>
    </row>
    <row r="4286" spans="1:2" x14ac:dyDescent="0.25">
      <c r="A4286">
        <f ca="1">37975.6350801374*((RANDBETWEEN(1620,2416)))</f>
        <v>78647540.250964463</v>
      </c>
      <c r="B4286">
        <v>163604990.47837308</v>
      </c>
    </row>
    <row r="4287" spans="1:2" x14ac:dyDescent="0.25">
      <c r="A4287">
        <f ca="1">37533.7673201561*((RANDBETWEEN(1620,2416)))</f>
        <v>81185538.713497743</v>
      </c>
      <c r="B4287">
        <v>157899031.55700228</v>
      </c>
    </row>
    <row r="4288" spans="1:2" x14ac:dyDescent="0.25">
      <c r="A4288">
        <f ca="1">33480.1882790289*((RANDBETWEEN(1620,2416)))</f>
        <v>72585048.188934565</v>
      </c>
      <c r="B4288">
        <v>165240668.62686962</v>
      </c>
    </row>
    <row r="4289" spans="1:2" x14ac:dyDescent="0.25">
      <c r="A4289">
        <f ca="1">32793.0727569521*((RANDBETWEEN(1620,2416)))</f>
        <v>78014720.088789091</v>
      </c>
      <c r="B4289">
        <v>197194226.13153309</v>
      </c>
    </row>
    <row r="4290" spans="1:2" x14ac:dyDescent="0.25">
      <c r="A4290">
        <f ca="1">29076.6452034891*((RANDBETWEEN(1620,2416)))</f>
        <v>70161944.87601915</v>
      </c>
      <c r="B4290">
        <v>150831176.97942492</v>
      </c>
    </row>
    <row r="4291" spans="1:2" x14ac:dyDescent="0.25">
      <c r="A4291">
        <f ca="1">30702.3564054723*((RANDBETWEEN(1620,2416)))</f>
        <v>69111004.268718109</v>
      </c>
      <c r="B4291">
        <v>175578889.9632796</v>
      </c>
    </row>
    <row r="4292" spans="1:2" x14ac:dyDescent="0.25">
      <c r="A4292">
        <f ca="1">32303.2243540702*((RANDBETWEEN(1620,2416)))</f>
        <v>61085397.253546663</v>
      </c>
      <c r="B4292">
        <v>143512556.64638448</v>
      </c>
    </row>
    <row r="4293" spans="1:2" x14ac:dyDescent="0.25">
      <c r="A4293">
        <f ca="1">37257.5720832847*((RANDBETWEEN(1620,2416)))</f>
        <v>88896566.990717351</v>
      </c>
      <c r="B4293">
        <v>161412010.00756338</v>
      </c>
    </row>
    <row r="4294" spans="1:2" x14ac:dyDescent="0.25">
      <c r="A4294">
        <f ca="1">31349.3551140786*((RANDBETWEEN(1620,2416)))</f>
        <v>58153053.736615889</v>
      </c>
      <c r="B4294">
        <v>160362086.52895373</v>
      </c>
    </row>
    <row r="4295" spans="1:2" x14ac:dyDescent="0.25">
      <c r="A4295">
        <f ca="1">37221.9705615228*((RANDBETWEEN(1620,2416)))</f>
        <v>81627781.441419542</v>
      </c>
      <c r="B4295">
        <v>186285750.86250591</v>
      </c>
    </row>
    <row r="4296" spans="1:2" x14ac:dyDescent="0.25">
      <c r="A4296">
        <f ca="1">34129.8544889893*((RANDBETWEEN(1620,2416)))</f>
        <v>61843296.334048696</v>
      </c>
      <c r="B4296">
        <v>164974561.44977722</v>
      </c>
    </row>
    <row r="4297" spans="1:2" x14ac:dyDescent="0.25">
      <c r="A4297">
        <f ca="1">32381.1827078778*((RANDBETWEEN(1620,2416)))</f>
        <v>69457636.908397853</v>
      </c>
      <c r="B4297">
        <v>184957656.71743971</v>
      </c>
    </row>
    <row r="4298" spans="1:2" x14ac:dyDescent="0.25">
      <c r="A4298">
        <f ca="1">39646.3333874675*((RANDBETWEEN(1620,2416)))</f>
        <v>87935567.453402996</v>
      </c>
      <c r="B4298">
        <v>144560060.55691135</v>
      </c>
    </row>
    <row r="4299" spans="1:2" x14ac:dyDescent="0.25">
      <c r="A4299">
        <f ca="1">28854.4310045829*((RANDBETWEEN(1620,2416)))</f>
        <v>53265279.634460099</v>
      </c>
      <c r="B4299">
        <v>201721218.35594162</v>
      </c>
    </row>
    <row r="4300" spans="1:2" x14ac:dyDescent="0.25">
      <c r="A4300">
        <f ca="1">30048.5714392515*((RANDBETWEEN(1620,2416)))</f>
        <v>61779862.879101053</v>
      </c>
      <c r="B4300">
        <v>149218333.83547756</v>
      </c>
    </row>
    <row r="4301" spans="1:2" x14ac:dyDescent="0.25">
      <c r="A4301">
        <f ca="1">32124.9103640306*((RANDBETWEEN(1620,2416)))</f>
        <v>58274587.400351562</v>
      </c>
      <c r="B4301">
        <v>165586989.67112777</v>
      </c>
    </row>
    <row r="4302" spans="1:2" x14ac:dyDescent="0.25">
      <c r="A4302">
        <f ca="1">30995.3463936858*((RANDBETWEEN(1620,2416)))</f>
        <v>51359288.974337317</v>
      </c>
      <c r="B4302">
        <v>155548274.74807173</v>
      </c>
    </row>
    <row r="4303" spans="1:2" x14ac:dyDescent="0.25">
      <c r="A4303">
        <f ca="1">35141.862473206*((RANDBETWEEN(1620,2416)))</f>
        <v>81810255.837623507</v>
      </c>
      <c r="B4303">
        <v>160318517.23669517</v>
      </c>
    </row>
    <row r="4304" spans="1:2" x14ac:dyDescent="0.25">
      <c r="A4304">
        <f ca="1">37755.432978171*((RANDBETWEEN(1620,2416)))</f>
        <v>88876289.230614498</v>
      </c>
      <c r="B4304">
        <v>175214351.23311993</v>
      </c>
    </row>
    <row r="4305" spans="1:2" x14ac:dyDescent="0.25">
      <c r="A4305">
        <f ca="1">31012.862398846*((RANDBETWEEN(1620,2416)))</f>
        <v>69716914.672605708</v>
      </c>
      <c r="B4305">
        <v>173746792.88495287</v>
      </c>
    </row>
    <row r="4306" spans="1:2" x14ac:dyDescent="0.25">
      <c r="A4306">
        <f ca="1">33492.6228721815*((RANDBETWEEN(1620,2416)))</f>
        <v>65377599.846498355</v>
      </c>
      <c r="B4306">
        <v>195338766.50451821</v>
      </c>
    </row>
    <row r="4307" spans="1:2" x14ac:dyDescent="0.25">
      <c r="A4307">
        <f ca="1">31366.014104454*((RANDBETWEEN(1620,2416)))</f>
        <v>64770819.125697494</v>
      </c>
      <c r="B4307">
        <v>144522228.8823739</v>
      </c>
    </row>
    <row r="4308" spans="1:2" x14ac:dyDescent="0.25">
      <c r="A4308">
        <f ca="1">41007.3410915441*((RANDBETWEEN(1620,2416)))</f>
        <v>76642720.500096008</v>
      </c>
      <c r="B4308">
        <v>150802870.68616474</v>
      </c>
    </row>
    <row r="4309" spans="1:2" x14ac:dyDescent="0.25">
      <c r="A4309">
        <f ca="1">39586.6971205999*((RANDBETWEEN(1620,2416)))</f>
        <v>95641460.24336943</v>
      </c>
      <c r="B4309">
        <v>169729655.33318189</v>
      </c>
    </row>
    <row r="4310" spans="1:2" x14ac:dyDescent="0.25">
      <c r="A4310">
        <f ca="1">31678.912674345*((RANDBETWEEN(1620,2416)))</f>
        <v>66810826.830193646</v>
      </c>
      <c r="B4310">
        <v>153095231.11589903</v>
      </c>
    </row>
    <row r="4311" spans="1:2" x14ac:dyDescent="0.25">
      <c r="A4311">
        <f ca="1">35437.3527363454*((RANDBETWEEN(1620,2416)))</f>
        <v>82179220.995585203</v>
      </c>
      <c r="B4311">
        <v>163029484.18976435</v>
      </c>
    </row>
    <row r="4312" spans="1:2" x14ac:dyDescent="0.25">
      <c r="A4312">
        <f ca="1">30088.4968994958*((RANDBETWEEN(1620,2416)))</f>
        <v>62553985.054051749</v>
      </c>
      <c r="B4312">
        <v>182429205.41806254</v>
      </c>
    </row>
    <row r="4313" spans="1:2" x14ac:dyDescent="0.25">
      <c r="A4313">
        <f ca="1">31954.8484632546*((RANDBETWEEN(1620,2416)))</f>
        <v>59212334.202410795</v>
      </c>
      <c r="B4313">
        <v>166277025.20339692</v>
      </c>
    </row>
    <row r="4314" spans="1:2" x14ac:dyDescent="0.25">
      <c r="A4314">
        <f ca="1">30541.4538028262*((RANDBETWEEN(1620,2416)))</f>
        <v>49935276.967620835</v>
      </c>
      <c r="B4314">
        <v>160816119.32902217</v>
      </c>
    </row>
    <row r="4315" spans="1:2" x14ac:dyDescent="0.25">
      <c r="A4315">
        <f ca="1">30870.4519178659*((RANDBETWEEN(1620,2416)))</f>
        <v>54733311.250376195</v>
      </c>
      <c r="B4315">
        <v>177899166.05647644</v>
      </c>
    </row>
    <row r="4316" spans="1:2" x14ac:dyDescent="0.25">
      <c r="A4316">
        <f ca="1">30692.6459969677*((RANDBETWEEN(1620,2416)))</f>
        <v>65743647.725504756</v>
      </c>
      <c r="B4316">
        <v>160901854.28722286</v>
      </c>
    </row>
    <row r="4317" spans="1:2" x14ac:dyDescent="0.25">
      <c r="A4317">
        <f ca="1">31044.7393506712*((RANDBETWEEN(1620,2416)))</f>
        <v>68950366.097840771</v>
      </c>
      <c r="B4317">
        <v>142927491.38638395</v>
      </c>
    </row>
    <row r="4318" spans="1:2" x14ac:dyDescent="0.25">
      <c r="A4318">
        <f ca="1">35953.3704646825*((RANDBETWEEN(1620,2416)))</f>
        <v>70468606.110777676</v>
      </c>
      <c r="B4318">
        <v>152573461.15629941</v>
      </c>
    </row>
    <row r="4319" spans="1:2" x14ac:dyDescent="0.25">
      <c r="A4319">
        <f ca="1">30949.7503512449*((RANDBETWEEN(1620,2416)))</f>
        <v>69265541.286086008</v>
      </c>
      <c r="B4319">
        <v>148817574.57153103</v>
      </c>
    </row>
    <row r="4320" spans="1:2" x14ac:dyDescent="0.25">
      <c r="A4320">
        <f ca="1">33715.6660550824*((RANDBETWEEN(1620,2416)))</f>
        <v>77613463.258799762</v>
      </c>
      <c r="B4320">
        <v>143460202.16090345</v>
      </c>
    </row>
    <row r="4321" spans="1:2" x14ac:dyDescent="0.25">
      <c r="A4321">
        <f ca="1">33575.8267309404*((RANDBETWEEN(1620,2416)))</f>
        <v>76653612.426737025</v>
      </c>
      <c r="B4321">
        <v>189469101.02191788</v>
      </c>
    </row>
    <row r="4322" spans="1:2" x14ac:dyDescent="0.25">
      <c r="A4322">
        <f ca="1">28902.823170727*((RANDBETWEEN(1620,2416)))</f>
        <v>54626335.79267399</v>
      </c>
      <c r="B4322">
        <v>146377356.13839653</v>
      </c>
    </row>
    <row r="4323" spans="1:2" x14ac:dyDescent="0.25">
      <c r="A4323">
        <f ca="1">32294.4444245453*((RANDBETWEEN(1620,2416)))</f>
        <v>65331661.070855096</v>
      </c>
      <c r="B4323">
        <v>189445942.93315822</v>
      </c>
    </row>
    <row r="4324" spans="1:2" x14ac:dyDescent="0.25">
      <c r="A4324">
        <f ca="1">31113.9177332103*((RANDBETWEEN(1620,2416)))</f>
        <v>68108365.917997405</v>
      </c>
      <c r="B4324">
        <v>165728537.26550499</v>
      </c>
    </row>
    <row r="4325" spans="1:2" x14ac:dyDescent="0.25">
      <c r="A4325">
        <f ca="1">33483.5128487767*((RANDBETWEEN(1620,2416)))</f>
        <v>78652771.681776389</v>
      </c>
      <c r="B4325">
        <v>173963536.82338244</v>
      </c>
    </row>
    <row r="4326" spans="1:2" x14ac:dyDescent="0.25">
      <c r="A4326">
        <f ca="1">29665.0684470761*((RANDBETWEEN(1620,2416)))</f>
        <v>66687073.869027153</v>
      </c>
      <c r="B4326">
        <v>143672364.58949786</v>
      </c>
    </row>
    <row r="4327" spans="1:2" x14ac:dyDescent="0.25">
      <c r="A4327">
        <f ca="1">32008.2408282004*((RANDBETWEEN(1620,2416)))</f>
        <v>66577140.92265676</v>
      </c>
      <c r="B4327">
        <v>201478514.26721486</v>
      </c>
    </row>
    <row r="4328" spans="1:2" x14ac:dyDescent="0.25">
      <c r="A4328">
        <f ca="1">31467.2610884821*((RANDBETWEEN(1620,2416)))</f>
        <v>73570456.424871072</v>
      </c>
      <c r="B4328">
        <v>165416570.71664435</v>
      </c>
    </row>
    <row r="4329" spans="1:2" x14ac:dyDescent="0.25">
      <c r="A4329">
        <f ca="1">30050.5566887623*((RANDBETWEEN(1620,2416)))</f>
        <v>63617028.510109745</v>
      </c>
      <c r="B4329">
        <v>173128343.89566863</v>
      </c>
    </row>
    <row r="4330" spans="1:2" x14ac:dyDescent="0.25">
      <c r="A4330">
        <f ca="1">34061.5719930059*((RANDBETWEEN(1620,2416)))</f>
        <v>78886600.735801563</v>
      </c>
      <c r="B4330">
        <v>174465366.3321116</v>
      </c>
    </row>
    <row r="4331" spans="1:2" x14ac:dyDescent="0.25">
      <c r="A4331">
        <f ca="1">32023.8608813958*((RANDBETWEEN(1620,2416)))</f>
        <v>69299634.947340608</v>
      </c>
      <c r="B4331">
        <v>183473220.4206503</v>
      </c>
    </row>
    <row r="4332" spans="1:2" x14ac:dyDescent="0.25">
      <c r="A4332">
        <f ca="1">30614.649999251*((RANDBETWEEN(1620,2416)))</f>
        <v>68301284.14832902</v>
      </c>
      <c r="B4332">
        <v>149027563.3995502</v>
      </c>
    </row>
    <row r="4333" spans="1:2" x14ac:dyDescent="0.25">
      <c r="A4333">
        <f ca="1">40937.8110269386*((RANDBETWEEN(1620,2416)))</f>
        <v>71682107.108169511</v>
      </c>
      <c r="B4333">
        <v>145323666.96957245</v>
      </c>
    </row>
    <row r="4334" spans="1:2" x14ac:dyDescent="0.25">
      <c r="A4334">
        <f ca="1">41100.5763442176*((RANDBETWEEN(1620,2416)))</f>
        <v>80063922.7185359</v>
      </c>
      <c r="B4334">
        <v>182400408.88465911</v>
      </c>
    </row>
    <row r="4335" spans="1:2" x14ac:dyDescent="0.25">
      <c r="A4335">
        <f ca="1">38804.2107227288*((RANDBETWEEN(1620,2416)))</f>
        <v>76483099.334498465</v>
      </c>
      <c r="B4335">
        <v>146457525.58549848</v>
      </c>
    </row>
    <row r="4336" spans="1:2" x14ac:dyDescent="0.25">
      <c r="A4336">
        <f ca="1">30547.5907836913*((RANDBETWEEN(1620,2416)))</f>
        <v>68243317.810766473</v>
      </c>
      <c r="B4336">
        <v>149075163.58978468</v>
      </c>
    </row>
    <row r="4337" spans="1:2" x14ac:dyDescent="0.25">
      <c r="A4337">
        <f ca="1">37915.6174143777*((RANDBETWEEN(1620,2416)))</f>
        <v>91566216.055722252</v>
      </c>
      <c r="B4337">
        <v>161282848.89582142</v>
      </c>
    </row>
    <row r="4338" spans="1:2" x14ac:dyDescent="0.25">
      <c r="A4338">
        <f ca="1">32003.9828877499*((RANDBETWEEN(1620,2416)))</f>
        <v>54150739.046072856</v>
      </c>
      <c r="B4338">
        <v>203394978.69274637</v>
      </c>
    </row>
    <row r="4339" spans="1:2" x14ac:dyDescent="0.25">
      <c r="A4339">
        <f ca="1">35889.2067126157*((RANDBETWEEN(1620,2416)))</f>
        <v>69625061.022474527</v>
      </c>
      <c r="B4339">
        <v>152660734.41309601</v>
      </c>
    </row>
    <row r="4340" spans="1:2" x14ac:dyDescent="0.25">
      <c r="A4340">
        <f ca="1">30623.8276213807*((RANDBETWEEN(1620,2416)))</f>
        <v>68689245.354756817</v>
      </c>
      <c r="B4340">
        <v>168971062.03857911</v>
      </c>
    </row>
    <row r="4341" spans="1:2" x14ac:dyDescent="0.25">
      <c r="A4341">
        <f ca="1">30697.22889539*((RANDBETWEEN(1620,2416)))</f>
        <v>57434515.263274714</v>
      </c>
      <c r="B4341">
        <v>175841301.94002581</v>
      </c>
    </row>
    <row r="4342" spans="1:2" x14ac:dyDescent="0.25">
      <c r="A4342">
        <f ca="1">39131.2395168322*((RANDBETWEEN(1620,2416)))</f>
        <v>92310594.020207107</v>
      </c>
      <c r="B4342">
        <v>172584700.62137339</v>
      </c>
    </row>
    <row r="4343" spans="1:2" x14ac:dyDescent="0.25">
      <c r="A4343">
        <f ca="1">42198.7946789906*((RANDBETWEEN(1620,2416)))</f>
        <v>72750722.026579857</v>
      </c>
      <c r="B4343">
        <v>151144617.14932346</v>
      </c>
    </row>
    <row r="4344" spans="1:2" x14ac:dyDescent="0.25">
      <c r="A4344">
        <f ca="1">34039.3620210336*((RANDBETWEEN(1620,2416)))</f>
        <v>56130907.972684346</v>
      </c>
      <c r="B4344">
        <v>153507582.82748473</v>
      </c>
    </row>
    <row r="4345" spans="1:2" x14ac:dyDescent="0.25">
      <c r="A4345">
        <f ca="1">28336.6419939581*((RANDBETWEEN(1620,2416)))</f>
        <v>65259286.512085497</v>
      </c>
      <c r="B4345">
        <v>151271472.24239624</v>
      </c>
    </row>
    <row r="4346" spans="1:2" x14ac:dyDescent="0.25">
      <c r="A4346">
        <f ca="1">31703.2254049899*((RANDBETWEEN(1620,2416)))</f>
        <v>73488076.488766655</v>
      </c>
      <c r="B4346">
        <v>165128533.86333799</v>
      </c>
    </row>
    <row r="4347" spans="1:2" x14ac:dyDescent="0.25">
      <c r="A4347">
        <f ca="1">33205.2827139047*((RANDBETWEEN(1620,2416)))</f>
        <v>65646843.925389677</v>
      </c>
      <c r="B4347">
        <v>172381632.43175414</v>
      </c>
    </row>
    <row r="4348" spans="1:2" x14ac:dyDescent="0.25">
      <c r="A4348">
        <f ca="1">38292.2334717826*((RANDBETWEEN(1620,2416)))</f>
        <v>66360440.606599249</v>
      </c>
      <c r="B4348">
        <v>196382244.358841</v>
      </c>
    </row>
    <row r="4349" spans="1:2" x14ac:dyDescent="0.25">
      <c r="A4349">
        <f ca="1">29483.7653745704*((RANDBETWEEN(1620,2416)))</f>
        <v>49090469.348659799</v>
      </c>
      <c r="B4349">
        <v>193496610.89592332</v>
      </c>
    </row>
    <row r="4350" spans="1:2" x14ac:dyDescent="0.25">
      <c r="A4350">
        <f ca="1">39235.5244298608*((RANDBETWEEN(1620,2416)))</f>
        <v>90241706.188679934</v>
      </c>
      <c r="B4350">
        <v>183424165.06116793</v>
      </c>
    </row>
    <row r="4351" spans="1:2" x14ac:dyDescent="0.25">
      <c r="A4351">
        <f ca="1">30246.1405186805*((RANDBETWEEN(1620,2416)))</f>
        <v>64908217.553088382</v>
      </c>
      <c r="B4351">
        <v>154481130.64765525</v>
      </c>
    </row>
    <row r="4352" spans="1:2" x14ac:dyDescent="0.25">
      <c r="A4352">
        <f ca="1">29094.4183441589*((RANDBETWEEN(1620,2416)))</f>
        <v>59527179.932149023</v>
      </c>
      <c r="B4352">
        <v>148503749.25815937</v>
      </c>
    </row>
    <row r="4353" spans="1:2" x14ac:dyDescent="0.25">
      <c r="A4353">
        <f ca="1">28330.7739230242*((RANDBETWEEN(1620,2416)))</f>
        <v>66209018.658107638</v>
      </c>
      <c r="B4353">
        <v>149862922.46388212</v>
      </c>
    </row>
    <row r="4354" spans="1:2" x14ac:dyDescent="0.25">
      <c r="A4354">
        <f ca="1">37496.7620174614*((RANDBETWEEN(1620,2416)))</f>
        <v>81517960.625961244</v>
      </c>
      <c r="B4354">
        <v>188782289.21119267</v>
      </c>
    </row>
    <row r="4355" spans="1:2" x14ac:dyDescent="0.25">
      <c r="A4355">
        <f ca="1">29850.8751926441*((RANDBETWEEN(1620,2416)))</f>
        <v>49253944.067862794</v>
      </c>
      <c r="B4355">
        <v>178045114.77013755</v>
      </c>
    </row>
    <row r="4356" spans="1:2" x14ac:dyDescent="0.25">
      <c r="A4356">
        <f ca="1">28707.3587268992*((RANDBETWEEN(1620,2416)))</f>
        <v>63098774.481724523</v>
      </c>
      <c r="B4356">
        <v>146296250.05350965</v>
      </c>
    </row>
    <row r="4357" spans="1:2" x14ac:dyDescent="0.25">
      <c r="A4357">
        <f ca="1">38395.8789578624*((RANDBETWEEN(1620,2416)))</f>
        <v>62354907.427568525</v>
      </c>
      <c r="B4357">
        <v>186175296.69465145</v>
      </c>
    </row>
    <row r="4358" spans="1:2" x14ac:dyDescent="0.25">
      <c r="A4358">
        <f ca="1">34730.2242089781*((RANDBETWEEN(1620,2416)))</f>
        <v>63903612.544519663</v>
      </c>
      <c r="B4358">
        <v>149441067.73120207</v>
      </c>
    </row>
    <row r="4359" spans="1:2" x14ac:dyDescent="0.25">
      <c r="A4359">
        <f ca="1">41654.9791506221*((RANDBETWEEN(1620,2416)))</f>
        <v>71271669.326714456</v>
      </c>
      <c r="B4359">
        <v>181327692.57354808</v>
      </c>
    </row>
    <row r="4360" spans="1:2" x14ac:dyDescent="0.25">
      <c r="A4360">
        <f ca="1">32952.458143857*((RANDBETWEEN(1620,2416)))</f>
        <v>65542439.248131633</v>
      </c>
      <c r="B4360">
        <v>181191037.04208913</v>
      </c>
    </row>
    <row r="4361" spans="1:2" x14ac:dyDescent="0.25">
      <c r="A4361">
        <f ca="1">32630.7134566528*((RANDBETWEEN(1620,2416)))</f>
        <v>54395399.332240231</v>
      </c>
      <c r="B4361">
        <v>178516299.68237782</v>
      </c>
    </row>
    <row r="4362" spans="1:2" x14ac:dyDescent="0.25">
      <c r="A4362">
        <f ca="1">33206.805061397*((RANDBETWEEN(1620,2416)))</f>
        <v>70730494.780775622</v>
      </c>
      <c r="B4362">
        <v>145170858.87142986</v>
      </c>
    </row>
    <row r="4363" spans="1:2" x14ac:dyDescent="0.25">
      <c r="A4363">
        <f ca="1">32541.0071028639*((RANDBETWEEN(1620,2416)))</f>
        <v>73412512.024061024</v>
      </c>
      <c r="B4363">
        <v>191708632.20532632</v>
      </c>
    </row>
    <row r="4364" spans="1:2" x14ac:dyDescent="0.25">
      <c r="A4364">
        <f ca="1">32467.3822208258*((RANDBETWEEN(1620,2416)))</f>
        <v>53733517.575466692</v>
      </c>
      <c r="B4364">
        <v>152536101.16408005</v>
      </c>
    </row>
    <row r="4365" spans="1:2" x14ac:dyDescent="0.25">
      <c r="A4365">
        <f ca="1">32499.6965722782*((RANDBETWEEN(1620,2416)))</f>
        <v>59051948.671829522</v>
      </c>
      <c r="B4365">
        <v>145037113.29293579</v>
      </c>
    </row>
    <row r="4366" spans="1:2" x14ac:dyDescent="0.25">
      <c r="A4366">
        <f ca="1">32851.2180477657*((RANDBETWEEN(1620,2416)))</f>
        <v>75426396.6376701</v>
      </c>
      <c r="B4366">
        <v>196372088.21045777</v>
      </c>
    </row>
    <row r="4367" spans="1:2" x14ac:dyDescent="0.25">
      <c r="A4367">
        <f ca="1">32955.0280366507*((RANDBETWEEN(1620,2416)))</f>
        <v>72138556.372228324</v>
      </c>
      <c r="B4367">
        <v>176077547.26972964</v>
      </c>
    </row>
    <row r="4368" spans="1:2" x14ac:dyDescent="0.25">
      <c r="A4368">
        <f ca="1">34216.6684067439*((RANDBETWEEN(1620,2416)))</f>
        <v>68535986.818707943</v>
      </c>
      <c r="B4368">
        <v>167203054.44279003</v>
      </c>
    </row>
    <row r="4369" spans="1:2" x14ac:dyDescent="0.25">
      <c r="A4369">
        <f ca="1">39341.9783677859*((RANDBETWEEN(1620,2416)))</f>
        <v>70382799.299968973</v>
      </c>
      <c r="B4369">
        <v>169184904.69718996</v>
      </c>
    </row>
    <row r="4370" spans="1:2" x14ac:dyDescent="0.25">
      <c r="A4370">
        <f ca="1">31251.4406839128*((RANDBETWEEN(1620,2416)))</f>
        <v>53689975.094962105</v>
      </c>
      <c r="B4370">
        <v>163784296.81406927</v>
      </c>
    </row>
    <row r="4371" spans="1:2" x14ac:dyDescent="0.25">
      <c r="A4371">
        <f ca="1">28942.4678111565*((RANDBETWEEN(1620,2416)))</f>
        <v>52588464.012871318</v>
      </c>
      <c r="B4371">
        <v>148026156.71223599</v>
      </c>
    </row>
    <row r="4372" spans="1:2" x14ac:dyDescent="0.25">
      <c r="A4372">
        <f ca="1">32287.9614386618*((RANDBETWEEN(1620,2416)))</f>
        <v>54179199.294074483</v>
      </c>
      <c r="B4372">
        <v>153300907.39400902</v>
      </c>
    </row>
    <row r="4373" spans="1:2" x14ac:dyDescent="0.25">
      <c r="A4373">
        <f ca="1">30346.4996746884*((RANDBETWEEN(1620,2416)))</f>
        <v>55928598.900450736</v>
      </c>
      <c r="B4373">
        <v>160051065.16726518</v>
      </c>
    </row>
    <row r="4374" spans="1:2" x14ac:dyDescent="0.25">
      <c r="A4374">
        <f ca="1">34554.664700704*((RANDBETWEEN(1620,2416)))</f>
        <v>63407809.725791745</v>
      </c>
      <c r="B4374">
        <v>193448455.74174792</v>
      </c>
    </row>
    <row r="4375" spans="1:2" x14ac:dyDescent="0.25">
      <c r="A4375">
        <f ca="1">40599.4313171946*((RANDBETWEEN(1620,2416)))</f>
        <v>96017655.065165296</v>
      </c>
      <c r="B4375">
        <v>193913221.89784518</v>
      </c>
    </row>
    <row r="4376" spans="1:2" x14ac:dyDescent="0.25">
      <c r="A4376">
        <f ca="1">31527.0724750074*((RANDBETWEEN(1620,2416)))</f>
        <v>67058083.154340774</v>
      </c>
      <c r="B4376">
        <v>152567049.53645602</v>
      </c>
    </row>
    <row r="4377" spans="1:2" x14ac:dyDescent="0.25">
      <c r="A4377">
        <f ca="1">29868.1684080038*((RANDBETWEEN(1620,2416)))</f>
        <v>52418635.556046732</v>
      </c>
      <c r="B4377">
        <v>153443772.43409142</v>
      </c>
    </row>
    <row r="4378" spans="1:2" x14ac:dyDescent="0.25">
      <c r="A4378">
        <f ca="1">32083.4940507501*((RANDBETWEEN(1620,2416)))</f>
        <v>66894085.095813878</v>
      </c>
      <c r="B4378">
        <v>166090495.00761452</v>
      </c>
    </row>
    <row r="4379" spans="1:2" x14ac:dyDescent="0.25">
      <c r="A4379">
        <f ca="1">30896.2074137956*((RANDBETWEEN(1620,2416)))</f>
        <v>55829446.796728566</v>
      </c>
      <c r="B4379">
        <v>148677988.50876129</v>
      </c>
    </row>
    <row r="4380" spans="1:2" x14ac:dyDescent="0.25">
      <c r="A4380">
        <f ca="1">38220.1530419404*((RANDBETWEEN(1620,2416)))</f>
        <v>77892671.899474591</v>
      </c>
      <c r="B4380">
        <v>188600584.79555357</v>
      </c>
    </row>
    <row r="4381" spans="1:2" x14ac:dyDescent="0.25">
      <c r="A4381">
        <f ca="1">34319.0288473461*((RANDBETWEEN(1620,2416)))</f>
        <v>77698281.310391635</v>
      </c>
      <c r="B4381">
        <v>172717029.64711127</v>
      </c>
    </row>
    <row r="4382" spans="1:2" x14ac:dyDescent="0.25">
      <c r="A4382">
        <f ca="1">28003.163836084*((RANDBETWEEN(1620,2416)))</f>
        <v>61662966.767056882</v>
      </c>
      <c r="B4382">
        <v>187834108.73865837</v>
      </c>
    </row>
    <row r="4383" spans="1:2" x14ac:dyDescent="0.25">
      <c r="A4383">
        <f ca="1">38575.6084348778*((RANDBETWEEN(1620,2416)))</f>
        <v>89225382.309872404</v>
      </c>
      <c r="B4383">
        <v>188186687.92694244</v>
      </c>
    </row>
    <row r="4384" spans="1:2" x14ac:dyDescent="0.25">
      <c r="A4384">
        <f ca="1">36823.2887586941*((RANDBETWEEN(1620,2416)))</f>
        <v>63888405.996334188</v>
      </c>
      <c r="B4384">
        <v>159758937.8011117</v>
      </c>
    </row>
    <row r="4385" spans="1:2" x14ac:dyDescent="0.25">
      <c r="A4385">
        <f ca="1">31359.8748376749*((RANDBETWEEN(1620,2416)))</f>
        <v>71751393.628600061</v>
      </c>
      <c r="B4385">
        <v>160570330.59966525</v>
      </c>
    </row>
    <row r="4386" spans="1:2" x14ac:dyDescent="0.25">
      <c r="A4386">
        <f ca="1">29186.6788442803*((RANDBETWEEN(1620,2416)))</f>
        <v>63305906.413244069</v>
      </c>
      <c r="B4386">
        <v>188111345.87853354</v>
      </c>
    </row>
    <row r="4387" spans="1:2" x14ac:dyDescent="0.25">
      <c r="A4387">
        <f ca="1">29110.0999946878*((RANDBETWEEN(1620,2416)))</f>
        <v>53941015.290156528</v>
      </c>
      <c r="B4387">
        <v>167512578.99244717</v>
      </c>
    </row>
    <row r="4388" spans="1:2" x14ac:dyDescent="0.25">
      <c r="A4388">
        <f ca="1">37051.6052219408*((RANDBETWEEN(1620,2416)))</f>
        <v>85922672.509680733</v>
      </c>
      <c r="B4388">
        <v>191271828.33842576</v>
      </c>
    </row>
    <row r="4389" spans="1:2" x14ac:dyDescent="0.25">
      <c r="A4389">
        <f ca="1">39298.673957436*((RANDBETWEEN(1620,2416)))</f>
        <v>94356116.171803728</v>
      </c>
      <c r="B4389">
        <v>183740089.79856867</v>
      </c>
    </row>
    <row r="4390" spans="1:2" x14ac:dyDescent="0.25">
      <c r="A4390">
        <f ca="1">32807.5342577349*((RANDBETWEEN(1620,2416)))</f>
        <v>73718529.477130353</v>
      </c>
      <c r="B4390">
        <v>183948941.65839723</v>
      </c>
    </row>
    <row r="4391" spans="1:2" x14ac:dyDescent="0.25">
      <c r="A4391">
        <f ca="1">33045.5364120246*((RANDBETWEEN(1620,2416)))</f>
        <v>57664461.038983002</v>
      </c>
      <c r="B4391">
        <v>182180299.41140747</v>
      </c>
    </row>
    <row r="4392" spans="1:2" x14ac:dyDescent="0.25">
      <c r="A4392">
        <f ca="1">36727.329233296*((RANDBETWEEN(1620,2416)))</f>
        <v>75291024.92825678</v>
      </c>
      <c r="B4392">
        <v>184790174.69564924</v>
      </c>
    </row>
    <row r="4393" spans="1:2" x14ac:dyDescent="0.25">
      <c r="A4393">
        <f ca="1">33872.9755385635*((RANDBETWEEN(1620,2416)))</f>
        <v>79093397.882545859</v>
      </c>
      <c r="B4393">
        <v>144535194.91973856</v>
      </c>
    </row>
    <row r="4394" spans="1:2" x14ac:dyDescent="0.25">
      <c r="A4394">
        <f ca="1">38698.7368414086*((RANDBETWEEN(1620,2416)))</f>
        <v>79796795.366984546</v>
      </c>
      <c r="B4394">
        <v>201374067.42770076</v>
      </c>
    </row>
    <row r="4395" spans="1:2" x14ac:dyDescent="0.25">
      <c r="A4395">
        <f ca="1">34292.362000072*((RANDBETWEEN(1620,2416)))</f>
        <v>77706492.292163089</v>
      </c>
      <c r="B4395">
        <v>189893503.91618466</v>
      </c>
    </row>
    <row r="4396" spans="1:2" x14ac:dyDescent="0.25">
      <c r="A4396">
        <f ca="1">38770.9029413929*((RANDBETWEEN(1620,2416)))</f>
        <v>85295986.471064359</v>
      </c>
      <c r="B4396">
        <v>182719018.01041985</v>
      </c>
    </row>
    <row r="4397" spans="1:2" x14ac:dyDescent="0.25">
      <c r="A4397">
        <f ca="1">31062.2120629826*((RANDBETWEEN(1620,2416)))</f>
        <v>55756670.653053805</v>
      </c>
      <c r="B4397">
        <v>194207180.81878313</v>
      </c>
    </row>
    <row r="4398" spans="1:2" x14ac:dyDescent="0.25">
      <c r="A4398">
        <f ca="1">29334.6415106269*((RANDBETWEEN(1620,2416)))</f>
        <v>55677149.587169774</v>
      </c>
      <c r="B4398">
        <v>178391707.47668993</v>
      </c>
    </row>
    <row r="4399" spans="1:2" x14ac:dyDescent="0.25">
      <c r="A4399">
        <f ca="1">32228.6355689387*((RANDBETWEEN(1620,2416)))</f>
        <v>56819084.508039005</v>
      </c>
      <c r="B4399">
        <v>157622338.71684346</v>
      </c>
    </row>
    <row r="4400" spans="1:2" x14ac:dyDescent="0.25">
      <c r="A4400">
        <f ca="1">29774.7667035766*((RANDBETWEEN(1620,2416)))</f>
        <v>51450796.863780446</v>
      </c>
      <c r="B4400">
        <v>144882367.56475079</v>
      </c>
    </row>
    <row r="4401" spans="1:2" x14ac:dyDescent="0.25">
      <c r="A4401">
        <f ca="1">35102.3192768375*((RANDBETWEEN(1620,2416)))</f>
        <v>73574461.204251453</v>
      </c>
      <c r="B4401">
        <v>145189606.86408961</v>
      </c>
    </row>
    <row r="4402" spans="1:2" x14ac:dyDescent="0.25">
      <c r="A4402">
        <f ca="1">29715.9387106641*((RANDBETWEEN(1620,2416)))</f>
        <v>62522335.047237165</v>
      </c>
      <c r="B4402">
        <v>150888754.73211005</v>
      </c>
    </row>
    <row r="4403" spans="1:2" x14ac:dyDescent="0.25">
      <c r="A4403">
        <f ca="1">32614.7970818613*((RANDBETWEEN(1620,2416)))</f>
        <v>78308127.793549076</v>
      </c>
      <c r="B4403">
        <v>179824779.75155947</v>
      </c>
    </row>
    <row r="4404" spans="1:2" x14ac:dyDescent="0.25">
      <c r="A4404">
        <f ca="1">30940.6751040122*((RANDBETWEEN(1620,2416)))</f>
        <v>53682071.305461124</v>
      </c>
      <c r="B4404">
        <v>178134056.22183073</v>
      </c>
    </row>
    <row r="4405" spans="1:2" x14ac:dyDescent="0.25">
      <c r="A4405">
        <f ca="1">29740.7092136586*((RANDBETWEEN(1620,2416)))</f>
        <v>58797382.115403049</v>
      </c>
      <c r="B4405">
        <v>190539223.53234649</v>
      </c>
    </row>
    <row r="4406" spans="1:2" x14ac:dyDescent="0.25">
      <c r="A4406">
        <f ca="1">33368.4875650394*((RANDBETWEEN(1620,2416)))</f>
        <v>80284581.081484765</v>
      </c>
      <c r="B4406">
        <v>193668029.94578296</v>
      </c>
    </row>
    <row r="4407" spans="1:2" x14ac:dyDescent="0.25">
      <c r="A4407">
        <f ca="1">33143.3918875591*((RANDBETWEEN(1620,2416)))</f>
        <v>64364467.045639805</v>
      </c>
      <c r="B4407">
        <v>152789096.2307032</v>
      </c>
    </row>
    <row r="4408" spans="1:2" x14ac:dyDescent="0.25">
      <c r="A4408">
        <f ca="1">41110.1523576917*((RANDBETWEEN(1620,2416)))</f>
        <v>85961328.579933345</v>
      </c>
      <c r="B4408">
        <v>173912123.79671669</v>
      </c>
    </row>
    <row r="4409" spans="1:2" x14ac:dyDescent="0.25">
      <c r="A4409">
        <f ca="1">30503.0551245235*((RANDBETWEEN(1620,2416)))</f>
        <v>54417450.342149951</v>
      </c>
      <c r="B4409">
        <v>180634177.25353724</v>
      </c>
    </row>
    <row r="4410" spans="1:2" x14ac:dyDescent="0.25">
      <c r="A4410">
        <f ca="1">31473.6113414299*((RANDBETWEEN(1620,2416)))</f>
        <v>69776996.343950167</v>
      </c>
      <c r="B4410">
        <v>152240517.27354556</v>
      </c>
    </row>
    <row r="4411" spans="1:2" x14ac:dyDescent="0.25">
      <c r="A4411">
        <f ca="1">32777.5337196225*((RANDBETWEEN(1620,2416)))</f>
        <v>72438349.520365745</v>
      </c>
      <c r="B4411">
        <v>156917975.62259731</v>
      </c>
    </row>
    <row r="4412" spans="1:2" x14ac:dyDescent="0.25">
      <c r="A4412">
        <f ca="1">39491.6818842432*((RANDBETWEEN(1620,2416)))</f>
        <v>81313372.999656707</v>
      </c>
      <c r="B4412">
        <v>166076165.29097784</v>
      </c>
    </row>
    <row r="4413" spans="1:2" x14ac:dyDescent="0.25">
      <c r="A4413">
        <f ca="1">30908.8069257178*((RANDBETWEEN(1620,2416)))</f>
        <v>60024903.049744017</v>
      </c>
      <c r="B4413">
        <v>169637607.63582134</v>
      </c>
    </row>
    <row r="4414" spans="1:2" x14ac:dyDescent="0.25">
      <c r="A4414">
        <f ca="1">30339.6456515006*((RANDBETWEEN(1620,2416)))</f>
        <v>62985104.372515157</v>
      </c>
      <c r="B4414">
        <v>151020051.54256111</v>
      </c>
    </row>
    <row r="4415" spans="1:2" x14ac:dyDescent="0.25">
      <c r="A4415">
        <f ca="1">28305.553931408*((RANDBETWEEN(1620,2416)))</f>
        <v>63545968.576010957</v>
      </c>
      <c r="B4415">
        <v>168083795.89754009</v>
      </c>
    </row>
    <row r="4416" spans="1:2" x14ac:dyDescent="0.25">
      <c r="A4416">
        <f ca="1">29004.7385100028*((RANDBETWEEN(1620,2416)))</f>
        <v>63694405.767966233</v>
      </c>
      <c r="B4416">
        <v>170111758.43693247</v>
      </c>
    </row>
    <row r="4417" spans="1:2" x14ac:dyDescent="0.25">
      <c r="A4417">
        <f ca="1">30647.1983472405*((RANDBETWEEN(1620,2416)))</f>
        <v>55318193.016769089</v>
      </c>
      <c r="B4417">
        <v>157630971.02459863</v>
      </c>
    </row>
    <row r="4418" spans="1:2" x14ac:dyDescent="0.25">
      <c r="A4418">
        <f ca="1">34765.8455363151*((RANDBETWEEN(1620,2416)))</f>
        <v>61535546.599277712</v>
      </c>
      <c r="B4418">
        <v>158074623.89817059</v>
      </c>
    </row>
    <row r="4419" spans="1:2" x14ac:dyDescent="0.25">
      <c r="A4419">
        <f ca="1">32713.3231131344*((RANDBETWEEN(1620,2416)))</f>
        <v>73146990.480968505</v>
      </c>
      <c r="B4419">
        <v>154273401.86621544</v>
      </c>
    </row>
    <row r="4420" spans="1:2" x14ac:dyDescent="0.25">
      <c r="A4420">
        <f ca="1">27712.109911126*((RANDBETWEEN(1620,2416)))</f>
        <v>58943657.780965023</v>
      </c>
      <c r="B4420">
        <v>173433351.38285196</v>
      </c>
    </row>
    <row r="4421" spans="1:2" x14ac:dyDescent="0.25">
      <c r="A4421">
        <f ca="1">30240.9205296002*((RANDBETWEEN(1620,2416)))</f>
        <v>69917008.264435723</v>
      </c>
      <c r="B4421">
        <v>161167712.25413886</v>
      </c>
    </row>
    <row r="4422" spans="1:2" x14ac:dyDescent="0.25">
      <c r="A4422">
        <f ca="1">37061.7258208811*((RANDBETWEEN(1620,2416)))</f>
        <v>74642315.803254455</v>
      </c>
      <c r="B4422">
        <v>182905723.18458861</v>
      </c>
    </row>
    <row r="4423" spans="1:2" x14ac:dyDescent="0.25">
      <c r="A4423">
        <f ca="1">40494.1955321737*((RANDBETWEEN(1620,2416)))</f>
        <v>72282139.02493006</v>
      </c>
      <c r="B4423">
        <v>194658054.36632699</v>
      </c>
    </row>
    <row r="4424" spans="1:2" x14ac:dyDescent="0.25">
      <c r="A4424">
        <f ca="1">33028.2849533817*((RANDBETWEEN(1620,2416)))</f>
        <v>67641927.584525809</v>
      </c>
      <c r="B4424">
        <v>195657528.23392132</v>
      </c>
    </row>
    <row r="4425" spans="1:2" x14ac:dyDescent="0.25">
      <c r="A4425">
        <f ca="1">30193.3305106422*((RANDBETWEEN(1620,2416)))</f>
        <v>49396288.715410709</v>
      </c>
      <c r="B4425">
        <v>201466452.02193767</v>
      </c>
    </row>
    <row r="4426" spans="1:2" x14ac:dyDescent="0.25">
      <c r="A4426">
        <f ca="1">36714.7577980084*((RANDBETWEEN(1620,2416)))</f>
        <v>66563855.887789197</v>
      </c>
      <c r="B4426">
        <v>170502186.05540565</v>
      </c>
    </row>
    <row r="4427" spans="1:2" x14ac:dyDescent="0.25">
      <c r="A4427">
        <f ca="1">32457.5557722402*((RANDBETWEEN(1620,2416)))</f>
        <v>61961473.969206497</v>
      </c>
      <c r="B4427">
        <v>147945650.29261485</v>
      </c>
    </row>
    <row r="4428" spans="1:2" x14ac:dyDescent="0.25">
      <c r="A4428">
        <f ca="1">35267.3117885784*((RANDBETWEEN(1620,2416)))</f>
        <v>77834957.117392465</v>
      </c>
      <c r="B4428">
        <v>143255974.14762133</v>
      </c>
    </row>
    <row r="4429" spans="1:2" x14ac:dyDescent="0.25">
      <c r="A4429">
        <f ca="1">32616.1322817277*((RANDBETWEEN(1620,2416)))</f>
        <v>76093436.613270685</v>
      </c>
      <c r="B4429">
        <v>178078945.32073247</v>
      </c>
    </row>
    <row r="4430" spans="1:2" x14ac:dyDescent="0.25">
      <c r="A4430">
        <f ca="1">29206.0403598509*((RANDBETWEEN(1620,2416)))</f>
        <v>66385329.737941265</v>
      </c>
      <c r="B4430">
        <v>181714378.76013052</v>
      </c>
    </row>
    <row r="4431" spans="1:2" x14ac:dyDescent="0.25">
      <c r="A4431">
        <f ca="1">30108.6761893999*((RANDBETWEEN(1620,2416)))</f>
        <v>57055941.378912859</v>
      </c>
      <c r="B4431">
        <v>194151843.52487418</v>
      </c>
    </row>
    <row r="4432" spans="1:2" x14ac:dyDescent="0.25">
      <c r="A4432">
        <f ca="1">29851.0569250439*((RANDBETWEEN(1620,2416)))</f>
        <v>56000582.791382335</v>
      </c>
      <c r="B4432">
        <v>164322824.60472295</v>
      </c>
    </row>
    <row r="4433" spans="1:2" x14ac:dyDescent="0.25">
      <c r="A4433">
        <f ca="1">34548.2897296161*((RANDBETWEEN(1620,2416)))</f>
        <v>68094679.057073265</v>
      </c>
      <c r="B4433">
        <v>153947605.38501027</v>
      </c>
    </row>
    <row r="4434" spans="1:2" x14ac:dyDescent="0.25">
      <c r="A4434">
        <f ca="1">30483.594083602*((RANDBETWEEN(1620,2416)))</f>
        <v>60692835.820451654</v>
      </c>
      <c r="B4434">
        <v>186004804.30568874</v>
      </c>
    </row>
    <row r="4435" spans="1:2" x14ac:dyDescent="0.25">
      <c r="A4435">
        <f ca="1">34028.5006476599*((RANDBETWEEN(1620,2416)))</f>
        <v>72548763.380810931</v>
      </c>
      <c r="B4435">
        <v>159193038.15631956</v>
      </c>
    </row>
    <row r="4436" spans="1:2" x14ac:dyDescent="0.25">
      <c r="A4436">
        <f ca="1">30757.985807338*((RANDBETWEEN(1620,2416)))</f>
        <v>73204006.221464545</v>
      </c>
      <c r="B4436">
        <v>191450860.32610255</v>
      </c>
    </row>
    <row r="4437" spans="1:2" x14ac:dyDescent="0.25">
      <c r="A4437">
        <f ca="1">29724.0633411534*((RANDBETWEEN(1620,2416)))</f>
        <v>51155113.010125071</v>
      </c>
      <c r="B4437">
        <v>155036501.67815578</v>
      </c>
    </row>
    <row r="4438" spans="1:2" x14ac:dyDescent="0.25">
      <c r="A4438">
        <f ca="1">33419.1792182195*((RANDBETWEEN(1620,2416)))</f>
        <v>55208484.068498552</v>
      </c>
      <c r="B4438">
        <v>153666854.14439967</v>
      </c>
    </row>
    <row r="4439" spans="1:2" x14ac:dyDescent="0.25">
      <c r="A4439">
        <f ca="1">31067.6132517556*((RANDBETWEEN(1620,2416)))</f>
        <v>74096257.605437174</v>
      </c>
      <c r="B4439">
        <v>185806270.38596782</v>
      </c>
    </row>
    <row r="4440" spans="1:2" x14ac:dyDescent="0.25">
      <c r="A4440">
        <f ca="1">28502.5369959359*((RANDBETWEEN(1620,2416)))</f>
        <v>59712815.006485775</v>
      </c>
      <c r="B4440">
        <v>187125451.92680007</v>
      </c>
    </row>
    <row r="4441" spans="1:2" x14ac:dyDescent="0.25">
      <c r="A4441">
        <f ca="1">30754.0988601878*((RANDBETWEEN(1620,2416)))</f>
        <v>73717574.967870086</v>
      </c>
      <c r="B4441">
        <v>183776368.35036668</v>
      </c>
    </row>
    <row r="4442" spans="1:2" x14ac:dyDescent="0.25">
      <c r="A4442">
        <f ca="1">31962.9077550956*((RANDBETWEEN(1620,2416)))</f>
        <v>57373419.420396693</v>
      </c>
      <c r="B4442">
        <v>157127728.84856778</v>
      </c>
    </row>
    <row r="4443" spans="1:2" x14ac:dyDescent="0.25">
      <c r="A4443">
        <f ca="1">33218.9695336001*((RANDBETWEEN(1620,2416)))</f>
        <v>58864014.013539344</v>
      </c>
      <c r="B4443">
        <v>158327543.79267091</v>
      </c>
    </row>
    <row r="4444" spans="1:2" x14ac:dyDescent="0.25">
      <c r="A4444">
        <f ca="1">29959.823199045*((RANDBETWEEN(1620,2416)))</f>
        <v>52699329.007120229</v>
      </c>
      <c r="B4444">
        <v>143018079.78355372</v>
      </c>
    </row>
    <row r="4445" spans="1:2" x14ac:dyDescent="0.25">
      <c r="A4445">
        <f ca="1">41615.8834562934*((RANDBETWEEN(1620,2416)))</f>
        <v>77821702.063268676</v>
      </c>
      <c r="B4445">
        <v>184540964.10285065</v>
      </c>
    </row>
    <row r="4446" spans="1:2" x14ac:dyDescent="0.25">
      <c r="A4446">
        <f ca="1">38023.4788258224*((RANDBETWEEN(1620,2416)))</f>
        <v>83727700.374460861</v>
      </c>
      <c r="B4446">
        <v>148524374.04205215</v>
      </c>
    </row>
    <row r="4447" spans="1:2" x14ac:dyDescent="0.25">
      <c r="A4447">
        <f ca="1">31511.1399398625*((RANDBETWEEN(1620,2416)))</f>
        <v>69135441.028058276</v>
      </c>
      <c r="B4447">
        <v>152611917.79558912</v>
      </c>
    </row>
    <row r="4448" spans="1:2" x14ac:dyDescent="0.25">
      <c r="A4448">
        <f ca="1">39875.2197501562*((RANDBETWEEN(1620,2416)))</f>
        <v>78195305.930056289</v>
      </c>
      <c r="B4448">
        <v>187965385.74108639</v>
      </c>
    </row>
    <row r="4449" spans="1:2" x14ac:dyDescent="0.25">
      <c r="A4449">
        <f ca="1">38613.739358004*((RANDBETWEEN(1620,2416)))</f>
        <v>62901781.414188482</v>
      </c>
      <c r="B4449">
        <v>202181535.82188341</v>
      </c>
    </row>
    <row r="4450" spans="1:2" x14ac:dyDescent="0.25">
      <c r="A4450">
        <f ca="1">31123.9168459303*((RANDBETWEEN(1620,2416)))</f>
        <v>59477805.092572853</v>
      </c>
      <c r="B4450">
        <v>185055730.95707446</v>
      </c>
    </row>
    <row r="4451" spans="1:2" x14ac:dyDescent="0.25">
      <c r="A4451">
        <f ca="1">28580.3802050086*((RANDBETWEEN(1620,2416)))</f>
        <v>67592599.184845418</v>
      </c>
      <c r="B4451">
        <v>166758597.8329947</v>
      </c>
    </row>
    <row r="4452" spans="1:2" x14ac:dyDescent="0.25">
      <c r="A4452">
        <f ca="1">29513.8644961341*((RANDBETWEEN(1620,2416)))</f>
        <v>62539878.867308229</v>
      </c>
      <c r="B4452">
        <v>176323621.62449709</v>
      </c>
    </row>
    <row r="4453" spans="1:2" x14ac:dyDescent="0.25">
      <c r="A4453">
        <f ca="1">34933.0600955738*((RANDBETWEEN(1620,2416)))</f>
        <v>80380971.279915392</v>
      </c>
      <c r="B4453">
        <v>178796668.18360513</v>
      </c>
    </row>
    <row r="4454" spans="1:2" x14ac:dyDescent="0.25">
      <c r="A4454">
        <f ca="1">39587.0204036163*((RANDBETWEEN(1620,2416)))</f>
        <v>70108613.134804547</v>
      </c>
      <c r="B4454">
        <v>181249778.98127085</v>
      </c>
    </row>
    <row r="4455" spans="1:2" x14ac:dyDescent="0.25">
      <c r="A4455">
        <f ca="1">36283.4558990684*((RANDBETWEEN(1620,2416)))</f>
        <v>65237653.706524983</v>
      </c>
      <c r="B4455">
        <v>143846069.97886559</v>
      </c>
    </row>
    <row r="4456" spans="1:2" x14ac:dyDescent="0.25">
      <c r="A4456">
        <f ca="1">32736.2526620821*((RANDBETWEEN(1620,2416)))</f>
        <v>63966637.701708347</v>
      </c>
      <c r="B4456">
        <v>199272807.81074655</v>
      </c>
    </row>
    <row r="4457" spans="1:2" x14ac:dyDescent="0.25">
      <c r="A4457">
        <f ca="1">34372.9019695485*((RANDBETWEEN(1620,2416)))</f>
        <v>58055831.426567473</v>
      </c>
      <c r="B4457">
        <v>162314616.10818556</v>
      </c>
    </row>
    <row r="4458" spans="1:2" x14ac:dyDescent="0.25">
      <c r="A4458">
        <f ca="1">31349.653773736*((RANDBETWEEN(1620,2416)))</f>
        <v>72762546.408841178</v>
      </c>
      <c r="B4458">
        <v>198205604.79806542</v>
      </c>
    </row>
    <row r="4459" spans="1:2" x14ac:dyDescent="0.25">
      <c r="A4459">
        <f ca="1">30373.4937095142*((RANDBETWEEN(1620,2416)))</f>
        <v>61597445.242894799</v>
      </c>
      <c r="B4459">
        <v>157633916.95838171</v>
      </c>
    </row>
    <row r="4460" spans="1:2" x14ac:dyDescent="0.25">
      <c r="A4460">
        <f ca="1">29880.4284005457*((RANDBETWEEN(1620,2416)))</f>
        <v>58595520.093470119</v>
      </c>
      <c r="B4460">
        <v>190491179.21413219</v>
      </c>
    </row>
    <row r="4461" spans="1:2" x14ac:dyDescent="0.25">
      <c r="A4461">
        <f ca="1">39167.5443501732*((RANDBETWEEN(1620,2416)))</f>
        <v>64548113.089085482</v>
      </c>
      <c r="B4461">
        <v>186036561.34336951</v>
      </c>
    </row>
    <row r="4462" spans="1:2" x14ac:dyDescent="0.25">
      <c r="A4462">
        <f ca="1">33032.9436164145*((RANDBETWEEN(1620,2416)))</f>
        <v>60252089.15634013</v>
      </c>
      <c r="B4462">
        <v>144801009.0269568</v>
      </c>
    </row>
    <row r="4463" spans="1:2" x14ac:dyDescent="0.25">
      <c r="A4463">
        <f ca="1">29984.0980917916*((RANDBETWEEN(1620,2416)))</f>
        <v>70702503.300444543</v>
      </c>
      <c r="B4463">
        <v>150404667.94069356</v>
      </c>
    </row>
    <row r="4464" spans="1:2" x14ac:dyDescent="0.25">
      <c r="A4464">
        <f ca="1">28621.6705449878*((RANDBETWEEN(1620,2416)))</f>
        <v>60219994.826654308</v>
      </c>
      <c r="B4464">
        <v>143710084.1982027</v>
      </c>
    </row>
    <row r="4465" spans="1:2" x14ac:dyDescent="0.25">
      <c r="A4465">
        <f ca="1">30192.3153980335*((RANDBETWEEN(1620,2416)))</f>
        <v>55795398.855565913</v>
      </c>
      <c r="B4465">
        <v>173425912.29871291</v>
      </c>
    </row>
    <row r="4466" spans="1:2" x14ac:dyDescent="0.25">
      <c r="A4466">
        <f ca="1">32109.6582150669*((RANDBETWEEN(1620,2416)))</f>
        <v>52724058.789139859</v>
      </c>
      <c r="B4466">
        <v>154415008.21146822</v>
      </c>
    </row>
    <row r="4467" spans="1:2" x14ac:dyDescent="0.25">
      <c r="A4467">
        <f ca="1">34505.8585587163*((RANDBETWEEN(1620,2416)))</f>
        <v>80502168.017485067</v>
      </c>
      <c r="B4467">
        <v>175908092.83375788</v>
      </c>
    </row>
    <row r="4468" spans="1:2" x14ac:dyDescent="0.25">
      <c r="A4468">
        <f ca="1">41815.5528659177*((RANDBETWEEN(1620,2416)))</f>
        <v>71002808.766328231</v>
      </c>
      <c r="B4468">
        <v>149077899.59800011</v>
      </c>
    </row>
    <row r="4469" spans="1:2" x14ac:dyDescent="0.25">
      <c r="A4469">
        <f ca="1">32772.2377188035*((RANDBETWEEN(1620,2416)))</f>
        <v>74032485.006777033</v>
      </c>
      <c r="B4469">
        <v>161870389.53738767</v>
      </c>
    </row>
    <row r="4470" spans="1:2" x14ac:dyDescent="0.25">
      <c r="A4470">
        <f ca="1">30669.1275321056*((RANDBETWEEN(1620,2416)))</f>
        <v>52014840.294451088</v>
      </c>
      <c r="B4470">
        <v>153107701.85326853</v>
      </c>
    </row>
    <row r="4471" spans="1:2" x14ac:dyDescent="0.25">
      <c r="A4471">
        <f ca="1">28847.671534793*((RANDBETWEEN(1620,2416)))</f>
        <v>47223638.302456066</v>
      </c>
      <c r="B4471">
        <v>177744185.46577355</v>
      </c>
    </row>
    <row r="4472" spans="1:2" x14ac:dyDescent="0.25">
      <c r="A4472">
        <f ca="1">40543.4227897492*((RANDBETWEEN(1620,2416)))</f>
        <v>82505865.377139613</v>
      </c>
      <c r="B4472">
        <v>143437559.55273819</v>
      </c>
    </row>
    <row r="4473" spans="1:2" x14ac:dyDescent="0.25">
      <c r="A4473">
        <f ca="1">31514.1031666814*((RANDBETWEEN(1620,2416)))</f>
        <v>60349507.564194866</v>
      </c>
      <c r="B4473">
        <v>157743587.59804025</v>
      </c>
    </row>
    <row r="4474" spans="1:2" x14ac:dyDescent="0.25">
      <c r="A4474">
        <f ca="1">34396.926079011*((RANDBETWEEN(1620,2416)))</f>
        <v>57098897.291158356</v>
      </c>
      <c r="B4474">
        <v>143596345.46777636</v>
      </c>
    </row>
    <row r="4475" spans="1:2" x14ac:dyDescent="0.25">
      <c r="A4475">
        <f ca="1">30776.7231699345*((RANDBETWEEN(1620,2416)))</f>
        <v>62569078.20447693</v>
      </c>
      <c r="B4475">
        <v>178001462.01173964</v>
      </c>
    </row>
    <row r="4476" spans="1:2" x14ac:dyDescent="0.25">
      <c r="A4476">
        <f ca="1">33093.3736811817*((RANDBETWEEN(1620,2416)))</f>
        <v>65127759.404565513</v>
      </c>
      <c r="B4476">
        <v>152824321.94575506</v>
      </c>
    </row>
    <row r="4477" spans="1:2" x14ac:dyDescent="0.25">
      <c r="A4477">
        <f ca="1">31165.4773563702*((RANDBETWEEN(1620,2416)))</f>
        <v>71181950.281949475</v>
      </c>
      <c r="B4477">
        <v>153202640.38117263</v>
      </c>
    </row>
    <row r="4478" spans="1:2" x14ac:dyDescent="0.25">
      <c r="A4478">
        <f ca="1">32230.2690982277*((RANDBETWEEN(1620,2416)))</f>
        <v>54082391.546826109</v>
      </c>
      <c r="B4478">
        <v>156988560.08606178</v>
      </c>
    </row>
    <row r="4479" spans="1:2" x14ac:dyDescent="0.25">
      <c r="A4479">
        <f ca="1">38964.7940198392*((RANDBETWEEN(1620,2416)))</f>
        <v>67058410.508143254</v>
      </c>
      <c r="B4479">
        <v>191195195.01787543</v>
      </c>
    </row>
    <row r="4480" spans="1:2" x14ac:dyDescent="0.25">
      <c r="A4480">
        <f ca="1">33908.2705938403*((RANDBETWEEN(1620,2416)))</f>
        <v>80566050.9309645</v>
      </c>
      <c r="B4480">
        <v>151429321.54928601</v>
      </c>
    </row>
    <row r="4481" spans="1:2" x14ac:dyDescent="0.25">
      <c r="A4481">
        <f ca="1">30028.4540478251*((RANDBETWEEN(1620,2416)))</f>
        <v>53991160.377989531</v>
      </c>
      <c r="B4481">
        <v>176187412.11224097</v>
      </c>
    </row>
    <row r="4482" spans="1:2" x14ac:dyDescent="0.25">
      <c r="A4482">
        <f ca="1">30170.6329997963*((RANDBETWEEN(1620,2416)))</f>
        <v>55212258.389627211</v>
      </c>
      <c r="B4482">
        <v>150374383.05952078</v>
      </c>
    </row>
    <row r="4483" spans="1:2" x14ac:dyDescent="0.25">
      <c r="A4483">
        <f ca="1">30137.3627373875*((RANDBETWEEN(1620,2416)))</f>
        <v>67688516.708172336</v>
      </c>
      <c r="B4483">
        <v>144905403.53593135</v>
      </c>
    </row>
    <row r="4484" spans="1:2" x14ac:dyDescent="0.25">
      <c r="A4484">
        <f ca="1">30903.2434122252*((RANDBETWEEN(1620,2416)))</f>
        <v>60075905.193365715</v>
      </c>
      <c r="B4484">
        <v>169618486.39642423</v>
      </c>
    </row>
    <row r="4485" spans="1:2" x14ac:dyDescent="0.25">
      <c r="A4485">
        <f ca="1">40136.3172876068*((RANDBETWEEN(1620,2416)))</f>
        <v>90065895.993389592</v>
      </c>
      <c r="B4485">
        <v>155587962.95664382</v>
      </c>
    </row>
    <row r="4486" spans="1:2" x14ac:dyDescent="0.25">
      <c r="A4486">
        <f ca="1">31298.3173307624*((RANDBETWEEN(1620,2416)))</f>
        <v>62158458.218894094</v>
      </c>
      <c r="B4486">
        <v>150151124.12595835</v>
      </c>
    </row>
    <row r="4487" spans="1:2" x14ac:dyDescent="0.25">
      <c r="A4487">
        <f ca="1">37065.423955518*((RANDBETWEEN(1620,2416)))</f>
        <v>74204978.758947045</v>
      </c>
      <c r="B4487">
        <v>172957371.24001771</v>
      </c>
    </row>
    <row r="4488" spans="1:2" x14ac:dyDescent="0.25">
      <c r="A4488">
        <f ca="1">37390.2748384621*((RANDBETWEEN(1620,2416)))</f>
        <v>82295994.919455022</v>
      </c>
      <c r="B4488">
        <v>150326615.55906081</v>
      </c>
    </row>
    <row r="4489" spans="1:2" x14ac:dyDescent="0.25">
      <c r="A4489">
        <f ca="1">29847.0129694949*((RANDBETWEEN(1620,2416)))</f>
        <v>71035890.86739783</v>
      </c>
      <c r="B4489">
        <v>164504324.63828576</v>
      </c>
    </row>
    <row r="4490" spans="1:2" x14ac:dyDescent="0.25">
      <c r="A4490">
        <f ca="1">31448.4191672941*((RANDBETWEEN(1620,2416)))</f>
        <v>51543959.015195012</v>
      </c>
      <c r="B4490">
        <v>148694272.54764941</v>
      </c>
    </row>
    <row r="4491" spans="1:2" x14ac:dyDescent="0.25">
      <c r="A4491">
        <f ca="1">30724.6964057788*((RANDBETWEEN(1620,2416)))</f>
        <v>54720684.298691995</v>
      </c>
      <c r="B4491">
        <v>170086079.31446651</v>
      </c>
    </row>
    <row r="4492" spans="1:2" x14ac:dyDescent="0.25">
      <c r="A4492">
        <f ca="1">31147.2052702309*((RANDBETWEEN(1620,2416)))</f>
        <v>58120685.034250766</v>
      </c>
      <c r="B4492">
        <v>174055583.74253327</v>
      </c>
    </row>
    <row r="4493" spans="1:2" x14ac:dyDescent="0.25">
      <c r="A4493">
        <f ca="1">33183.3630158849*((RANDBETWEEN(1620,2416)))</f>
        <v>77980903.087329507</v>
      </c>
      <c r="B4493">
        <v>148559456.52451459</v>
      </c>
    </row>
    <row r="4494" spans="1:2" x14ac:dyDescent="0.25">
      <c r="A4494">
        <f ca="1">28407.346470186*((RANDBETWEEN(1620,2416)))</f>
        <v>49570819.590474576</v>
      </c>
      <c r="B4494">
        <v>185061956.10117114</v>
      </c>
    </row>
    <row r="4495" spans="1:2" x14ac:dyDescent="0.25">
      <c r="A4495">
        <f ca="1">40131.964488072*((RANDBETWEEN(1620,2416)))</f>
        <v>95915395.126492113</v>
      </c>
      <c r="B4495">
        <v>147713914.86043406</v>
      </c>
    </row>
    <row r="4496" spans="1:2" x14ac:dyDescent="0.25">
      <c r="A4496">
        <f ca="1">34326.3849133595*((RANDBETWEEN(1620,2416)))</f>
        <v>72051081.933141544</v>
      </c>
      <c r="B4496">
        <v>162522072.29386809</v>
      </c>
    </row>
    <row r="4497" spans="1:2" x14ac:dyDescent="0.25">
      <c r="A4497">
        <f ca="1">30545.4628536108*((RANDBETWEEN(1620,2416)))</f>
        <v>70804382.894669905</v>
      </c>
      <c r="B4497">
        <v>161115199.924934</v>
      </c>
    </row>
    <row r="4498" spans="1:2" x14ac:dyDescent="0.25">
      <c r="A4498">
        <f ca="1">38932.3480614582*((RANDBETWEEN(1620,2416)))</f>
        <v>88726821.232063279</v>
      </c>
      <c r="B4498">
        <v>182954058.96104854</v>
      </c>
    </row>
    <row r="4499" spans="1:2" x14ac:dyDescent="0.25">
      <c r="A4499">
        <f ca="1">32992.2889464874*((RANDBETWEEN(1620,2416)))</f>
        <v>79280470.338409245</v>
      </c>
      <c r="B4499">
        <v>157265329.19359177</v>
      </c>
    </row>
    <row r="4500" spans="1:2" x14ac:dyDescent="0.25">
      <c r="A4500">
        <f ca="1">37027.3739433856*((RANDBETWEEN(1620,2416)))</f>
        <v>66093862.488943212</v>
      </c>
      <c r="B4500">
        <v>147511940.05937535</v>
      </c>
    </row>
    <row r="4501" spans="1:2" x14ac:dyDescent="0.25">
      <c r="A4501">
        <f ca="1">37787.2886125446*((RANDBETWEEN(1620,2416)))</f>
        <v>64994136.413576625</v>
      </c>
      <c r="B4501">
        <v>145062602.33270007</v>
      </c>
    </row>
    <row r="4502" spans="1:2" x14ac:dyDescent="0.25">
      <c r="A4502">
        <f ca="1">37300.44321674*((RANDBETWEEN(1620,2416)))</f>
        <v>71989855.408308148</v>
      </c>
      <c r="B4502">
        <v>159876121.42122507</v>
      </c>
    </row>
    <row r="4503" spans="1:2" x14ac:dyDescent="0.25">
      <c r="A4503">
        <f ca="1">31392.8692626444*((RANDBETWEEN(1620,2416)))</f>
        <v>66615668.575331457</v>
      </c>
      <c r="B4503">
        <v>173033594.35646874</v>
      </c>
    </row>
    <row r="4504" spans="1:2" x14ac:dyDescent="0.25">
      <c r="A4504">
        <f ca="1">30562.0100963881*((RANDBETWEEN(1620,2416)))</f>
        <v>53330707.6181973</v>
      </c>
      <c r="B4504">
        <v>163758448.87628931</v>
      </c>
    </row>
    <row r="4505" spans="1:2" x14ac:dyDescent="0.25">
      <c r="A4505">
        <f ca="1">31293.184704292*((RANDBETWEEN(1620,2416)))</f>
        <v>51258236.545630328</v>
      </c>
      <c r="B4505">
        <v>172447107.27267233</v>
      </c>
    </row>
    <row r="4506" spans="1:2" x14ac:dyDescent="0.25">
      <c r="A4506">
        <f ca="1">32806.3750876004*((RANDBETWEEN(1620,2416)))</f>
        <v>59609183.534169935</v>
      </c>
      <c r="B4506">
        <v>152778534.858376</v>
      </c>
    </row>
    <row r="4507" spans="1:2" x14ac:dyDescent="0.25">
      <c r="A4507">
        <f ca="1">39234.3458389952*((RANDBETWEEN(1620,2416)))</f>
        <v>80587346.353296086</v>
      </c>
      <c r="B4507">
        <v>143099983.74596056</v>
      </c>
    </row>
    <row r="4508" spans="1:2" x14ac:dyDescent="0.25">
      <c r="A4508">
        <f ca="1">30486.3263700422*((RANDBETWEEN(1620,2416)))</f>
        <v>67435753.930533394</v>
      </c>
      <c r="B4508">
        <v>144241552.62369233</v>
      </c>
    </row>
    <row r="4509" spans="1:2" x14ac:dyDescent="0.25">
      <c r="A4509">
        <f ca="1">30579.6821963644*((RANDBETWEEN(1620,2416)))</f>
        <v>55746760.643972218</v>
      </c>
      <c r="B4509">
        <v>144139903.39999443</v>
      </c>
    </row>
    <row r="4510" spans="1:2" x14ac:dyDescent="0.25">
      <c r="A4510">
        <f ca="1">34834.9997700302*((RANDBETWEEN(1620,2416)))</f>
        <v>63539039.580535069</v>
      </c>
      <c r="B4510">
        <v>148350357.13293907</v>
      </c>
    </row>
    <row r="4511" spans="1:2" x14ac:dyDescent="0.25">
      <c r="A4511">
        <f ca="1">34723.435609452*((RANDBETWEEN(1620,2416)))</f>
        <v>72884491.344239816</v>
      </c>
      <c r="B4511">
        <v>191162036.51088545</v>
      </c>
    </row>
    <row r="4512" spans="1:2" x14ac:dyDescent="0.25">
      <c r="A4512">
        <f ca="1">32244.3176050915*((RANDBETWEEN(1620,2416)))</f>
        <v>70744032.825570717</v>
      </c>
      <c r="B4512">
        <v>150543551.67479372</v>
      </c>
    </row>
    <row r="4513" spans="1:2" x14ac:dyDescent="0.25">
      <c r="A4513">
        <f ca="1">33525.1882879893*((RANDBETWEEN(1620,2416)))</f>
        <v>64535987.454379395</v>
      </c>
      <c r="B4513">
        <v>156454299.3762455</v>
      </c>
    </row>
    <row r="4514" spans="1:2" x14ac:dyDescent="0.25">
      <c r="A4514">
        <f ca="1">31348.749789225*((RANDBETWEEN(1620,2416)))</f>
        <v>67462509.546412289</v>
      </c>
      <c r="B4514">
        <v>158191074.82893938</v>
      </c>
    </row>
    <row r="4515" spans="1:2" x14ac:dyDescent="0.25">
      <c r="A4515">
        <f ca="1">40399.9243978041*((RANDBETWEEN(1620,2416)))</f>
        <v>79789850.685663059</v>
      </c>
      <c r="B4515">
        <v>159335061.0923833</v>
      </c>
    </row>
    <row r="4516" spans="1:2" x14ac:dyDescent="0.25">
      <c r="A4516">
        <f ca="1">38122.185883873*((RANDBETWEEN(1620,2416)))</f>
        <v>64578982.887280896</v>
      </c>
      <c r="B4516">
        <v>192052934.29452133</v>
      </c>
    </row>
    <row r="4517" spans="1:2" x14ac:dyDescent="0.25">
      <c r="A4517">
        <f ca="1">30217.1662829717*((RANDBETWEEN(1620,2416)))</f>
        <v>60706287.062490046</v>
      </c>
      <c r="B4517">
        <v>146027475.94347575</v>
      </c>
    </row>
    <row r="4518" spans="1:2" x14ac:dyDescent="0.25">
      <c r="A4518">
        <f ca="1">27153.2196498384*((RANDBETWEEN(1620,2416)))</f>
        <v>61284816.749685243</v>
      </c>
      <c r="B4518">
        <v>175140283.85580456</v>
      </c>
    </row>
    <row r="4519" spans="1:2" x14ac:dyDescent="0.25">
      <c r="A4519">
        <f ca="1">29826.0589601031*((RANDBETWEEN(1620,2416)))</f>
        <v>67884110.193194643</v>
      </c>
      <c r="B4519">
        <v>145790515.40975869</v>
      </c>
    </row>
    <row r="4520" spans="1:2" x14ac:dyDescent="0.25">
      <c r="A4520">
        <f ca="1">30406.4843957376*((RANDBETWEEN(1620,2416)))</f>
        <v>62637357.855219513</v>
      </c>
      <c r="B4520">
        <v>148785390.08052605</v>
      </c>
    </row>
    <row r="4521" spans="1:2" x14ac:dyDescent="0.25">
      <c r="A4521">
        <f ca="1">40744.1015986845*((RANDBETWEEN(1620,2416)))</f>
        <v>90044464.533092782</v>
      </c>
      <c r="B4521">
        <v>177175815.22438997</v>
      </c>
    </row>
    <row r="4522" spans="1:2" x14ac:dyDescent="0.25">
      <c r="A4522">
        <f ca="1">40159.8026486276*((RANDBETWEEN(1620,2416)))</f>
        <v>70359974.240395471</v>
      </c>
      <c r="B4522">
        <v>148201204.40917769</v>
      </c>
    </row>
    <row r="4523" spans="1:2" x14ac:dyDescent="0.25">
      <c r="A4523">
        <f ca="1">38387.8629128081*((RANDBETWEEN(1620,2416)))</f>
        <v>75931192.841534495</v>
      </c>
      <c r="B4523">
        <v>161463770.44473067</v>
      </c>
    </row>
    <row r="4524" spans="1:2" x14ac:dyDescent="0.25">
      <c r="A4524">
        <f ca="1">41250.9263038617*((RANDBETWEEN(1620,2416)))</f>
        <v>89143251.742645174</v>
      </c>
      <c r="B4524">
        <v>143930996.96277523</v>
      </c>
    </row>
    <row r="4525" spans="1:2" x14ac:dyDescent="0.25">
      <c r="A4525">
        <f ca="1">31043.0135143011*((RANDBETWEEN(1620,2416)))</f>
        <v>53580241.325683616</v>
      </c>
      <c r="B4525">
        <v>145881154.31679285</v>
      </c>
    </row>
    <row r="4526" spans="1:2" x14ac:dyDescent="0.25">
      <c r="A4526">
        <f ca="1">29644.5042750244*((RANDBETWEEN(1620,2416)))</f>
        <v>70731787.200208127</v>
      </c>
      <c r="B4526">
        <v>160359956.70091385</v>
      </c>
    </row>
    <row r="4527" spans="1:2" x14ac:dyDescent="0.25">
      <c r="A4527">
        <f ca="1">28182.7429880422*((RANDBETWEEN(1620,2416)))</f>
        <v>47347008.219910979</v>
      </c>
      <c r="B4527">
        <v>163641388.50803363</v>
      </c>
    </row>
    <row r="4528" spans="1:2" x14ac:dyDescent="0.25">
      <c r="A4528">
        <f ca="1">30175.063205865*((RANDBETWEEN(1620,2416)))</f>
        <v>50301830.364176936</v>
      </c>
      <c r="B4528">
        <v>201421553.69687098</v>
      </c>
    </row>
    <row r="4529" spans="1:2" x14ac:dyDescent="0.25">
      <c r="A4529">
        <f ca="1">35663.2146410716*((RANDBETWEEN(1620,2416)))</f>
        <v>71611734.99927187</v>
      </c>
      <c r="B4529">
        <v>173058184.72622713</v>
      </c>
    </row>
    <row r="4530" spans="1:2" x14ac:dyDescent="0.25">
      <c r="A4530">
        <f ca="1">29025.4081981432*((RANDBETWEEN(1620,2416)))</f>
        <v>61620941.604658097</v>
      </c>
      <c r="B4530">
        <v>159482791.46339071</v>
      </c>
    </row>
    <row r="4531" spans="1:2" x14ac:dyDescent="0.25">
      <c r="A4531">
        <f ca="1">33448.9860168142*((RANDBETWEEN(1620,2416)))</f>
        <v>79642035.706034511</v>
      </c>
      <c r="B4531">
        <v>189247894.87133604</v>
      </c>
    </row>
    <row r="4532" spans="1:2" x14ac:dyDescent="0.25">
      <c r="A4532">
        <f ca="1">29927.7262474635*((RANDBETWEEN(1620,2416)))</f>
        <v>70988566.658983409</v>
      </c>
      <c r="B4532">
        <v>202133804.24897692</v>
      </c>
    </row>
    <row r="4533" spans="1:2" x14ac:dyDescent="0.25">
      <c r="A4533">
        <f ca="1">38070.1554130653*((RANDBETWEEN(1620,2416)))</f>
        <v>85010657.03737472</v>
      </c>
      <c r="B4533">
        <v>180540284.41928819</v>
      </c>
    </row>
    <row r="4534" spans="1:2" x14ac:dyDescent="0.25">
      <c r="A4534">
        <f ca="1">31548.4744937669*((RANDBETWEEN(1620,2416)))</f>
        <v>54168730.705797695</v>
      </c>
      <c r="B4534">
        <v>186634129.30734083</v>
      </c>
    </row>
    <row r="4535" spans="1:2" x14ac:dyDescent="0.25">
      <c r="A4535">
        <f ca="1">31730.2248913889*((RANDBETWEEN(1620,2416)))</f>
        <v>72567024.326606467</v>
      </c>
      <c r="B4535">
        <v>184732280.75758758</v>
      </c>
    </row>
    <row r="4536" spans="1:2" x14ac:dyDescent="0.25">
      <c r="A4536">
        <f ca="1">33231.7993401989*((RANDBETWEEN(1620,2416)))</f>
        <v>74838012.114127994</v>
      </c>
      <c r="B4536">
        <v>148880634.0649389</v>
      </c>
    </row>
    <row r="4537" spans="1:2" x14ac:dyDescent="0.25">
      <c r="A4537">
        <f ca="1">32594.2581768963*((RANDBETWEEN(1620,2416)))</f>
        <v>63623991.961301483</v>
      </c>
      <c r="B4537">
        <v>164971412.09603566</v>
      </c>
    </row>
    <row r="4538" spans="1:2" x14ac:dyDescent="0.25">
      <c r="A4538">
        <f ca="1">35714.9765291943*((RANDBETWEEN(1620,2416)))</f>
        <v>68215605.170761168</v>
      </c>
      <c r="B4538">
        <v>167764690.81287974</v>
      </c>
    </row>
    <row r="4539" spans="1:2" x14ac:dyDescent="0.25">
      <c r="A4539">
        <f ca="1">27140.6774817132*((RANDBETWEEN(1620,2416)))</f>
        <v>62016448.04571455</v>
      </c>
      <c r="B4539">
        <v>165381449.08739778</v>
      </c>
    </row>
    <row r="4540" spans="1:2" x14ac:dyDescent="0.25">
      <c r="A4540">
        <f ca="1">33035.7208634848*((RANDBETWEEN(1620,2416)))</f>
        <v>64518762.84638574</v>
      </c>
      <c r="B4540">
        <v>192469711.2664685</v>
      </c>
    </row>
    <row r="4541" spans="1:2" x14ac:dyDescent="0.25">
      <c r="A4541">
        <f ca="1">30592.919793955*((RANDBETWEEN(1620,2416)))</f>
        <v>54333025.554064028</v>
      </c>
      <c r="B4541">
        <v>191169334.01634157</v>
      </c>
    </row>
    <row r="4542" spans="1:2" x14ac:dyDescent="0.25">
      <c r="A4542">
        <f ca="1">30674.566221192*((RANDBETWEEN(1620,2416)))</f>
        <v>73496260.665975913</v>
      </c>
      <c r="B4542">
        <v>171097213.18262899</v>
      </c>
    </row>
    <row r="4543" spans="1:2" x14ac:dyDescent="0.25">
      <c r="A4543">
        <f ca="1">39422.8779486059*((RANDBETWEEN(1620,2416)))</f>
        <v>69068882.16595751</v>
      </c>
      <c r="B4543">
        <v>158223136.63779062</v>
      </c>
    </row>
    <row r="4544" spans="1:2" x14ac:dyDescent="0.25">
      <c r="A4544">
        <f ca="1">42274.8281010734*((RANDBETWEEN(1620,2416)))</f>
        <v>85987000.357583329</v>
      </c>
      <c r="B4544">
        <v>153055604.83804724</v>
      </c>
    </row>
    <row r="4545" spans="1:2" x14ac:dyDescent="0.25">
      <c r="A4545">
        <f ca="1">29385.0284065005*((RANDBETWEEN(1620,2416)))</f>
        <v>59622222.63678956</v>
      </c>
      <c r="B4545">
        <v>161310890.36035955</v>
      </c>
    </row>
    <row r="4546" spans="1:2" x14ac:dyDescent="0.25">
      <c r="A4546">
        <f ca="1">38750.9221488294*((RANDBETWEEN(1620,2416)))</f>
        <v>69286648.802106917</v>
      </c>
      <c r="B4546">
        <v>176145783.06781277</v>
      </c>
    </row>
    <row r="4547" spans="1:2" x14ac:dyDescent="0.25">
      <c r="A4547">
        <f ca="1">36402.4923523778*((RANDBETWEEN(1620,2416)))</f>
        <v>86637931.79865925</v>
      </c>
      <c r="B4547">
        <v>194869779.15845495</v>
      </c>
    </row>
    <row r="4548" spans="1:2" x14ac:dyDescent="0.25">
      <c r="A4548">
        <f ca="1">30890.4290268978*((RANDBETWEEN(1620,2416)))</f>
        <v>72592508.213209718</v>
      </c>
      <c r="B4548">
        <v>158647373.58149421</v>
      </c>
    </row>
    <row r="4549" spans="1:2" x14ac:dyDescent="0.25">
      <c r="A4549">
        <f ca="1">29869.4259002391*((RANDBETWEEN(1620,2416)))</f>
        <v>51644237.381513409</v>
      </c>
      <c r="B4549">
        <v>144491926.82605636</v>
      </c>
    </row>
    <row r="4550" spans="1:2" x14ac:dyDescent="0.25">
      <c r="A4550">
        <f ca="1">37143.2237397796*((RANDBETWEEN(1620,2416)))</f>
        <v>77926483.406057552</v>
      </c>
      <c r="B4550">
        <v>176533670.78115562</v>
      </c>
    </row>
    <row r="4551" spans="1:2" x14ac:dyDescent="0.25">
      <c r="A4551">
        <f ca="1">34802.1290026941*((RANDBETWEEN(1620,2416)))</f>
        <v>82933473.413420022</v>
      </c>
      <c r="B4551">
        <v>179094411.97748175</v>
      </c>
    </row>
    <row r="4552" spans="1:2" x14ac:dyDescent="0.25">
      <c r="A4552">
        <f ca="1">34735.1894818676*((RANDBETWEEN(1620,2416)))</f>
        <v>62592811.446325377</v>
      </c>
      <c r="B4552">
        <v>153140082.9540233</v>
      </c>
    </row>
    <row r="4553" spans="1:2" x14ac:dyDescent="0.25">
      <c r="A4553">
        <f ca="1">28791.0399103019*((RANDBETWEEN(1620,2416)))</f>
        <v>65298078.516564667</v>
      </c>
      <c r="B4553">
        <v>151922326.00265497</v>
      </c>
    </row>
    <row r="4554" spans="1:2" x14ac:dyDescent="0.25">
      <c r="A4554">
        <f ca="1">37530.4014401098*((RANDBETWEEN(1620,2416)))</f>
        <v>81666153.533678859</v>
      </c>
      <c r="B4554">
        <v>152372200.97166786</v>
      </c>
    </row>
    <row r="4555" spans="1:2" x14ac:dyDescent="0.25">
      <c r="A4555">
        <f ca="1">38962.3685343442*((RANDBETWEEN(1620,2416)))</f>
        <v>66781499.66786588</v>
      </c>
      <c r="B4555">
        <v>182566631.71843758</v>
      </c>
    </row>
    <row r="4556" spans="1:2" x14ac:dyDescent="0.25">
      <c r="A4556">
        <f ca="1">39104.2120519364*((RANDBETWEEN(1620,2416)))</f>
        <v>77387235.650782138</v>
      </c>
      <c r="B4556">
        <v>149409093.03036553</v>
      </c>
    </row>
    <row r="4557" spans="1:2" x14ac:dyDescent="0.25">
      <c r="A4557">
        <f ca="1">28833.1358187307*((RANDBETWEEN(1620,2416)))</f>
        <v>60376586.404422119</v>
      </c>
      <c r="B4557">
        <v>148569446.22658134</v>
      </c>
    </row>
    <row r="4558" spans="1:2" x14ac:dyDescent="0.25">
      <c r="A4558">
        <f ca="1">29883.1165702517*((RANDBETWEEN(1620,2416)))</f>
        <v>50532350.120295666</v>
      </c>
      <c r="B4558">
        <v>183596511.65718001</v>
      </c>
    </row>
    <row r="4559" spans="1:2" x14ac:dyDescent="0.25">
      <c r="A4559">
        <f ca="1">31845.7641684937*((RANDBETWEEN(1620,2416)))</f>
        <v>74232476.276758745</v>
      </c>
      <c r="B4559">
        <v>144388226.45043492</v>
      </c>
    </row>
    <row r="4560" spans="1:2" x14ac:dyDescent="0.25">
      <c r="A4560">
        <f ca="1">42306.8076603111*((RANDBETWEEN(1620,2416)))</f>
        <v>84655922.128282547</v>
      </c>
      <c r="B4560">
        <v>174920236.90997425</v>
      </c>
    </row>
    <row r="4561" spans="1:2" x14ac:dyDescent="0.25">
      <c r="A4561">
        <f ca="1">33870.5063698772*((RANDBETWEEN(1620,2416)))</f>
        <v>70247430.211125389</v>
      </c>
      <c r="B4561">
        <v>201205469.65466645</v>
      </c>
    </row>
    <row r="4562" spans="1:2" x14ac:dyDescent="0.25">
      <c r="A4562">
        <f ca="1">32007.050430565*((RANDBETWEEN(1620,2416)))</f>
        <v>57804733.077600434</v>
      </c>
      <c r="B4562">
        <v>155953084.09871435</v>
      </c>
    </row>
    <row r="4563" spans="1:2" x14ac:dyDescent="0.25">
      <c r="A4563">
        <f ca="1">31381.5203930773*((RANDBETWEEN(1620,2416)))</f>
        <v>54823516.126706079</v>
      </c>
      <c r="B4563">
        <v>178962329.97378388</v>
      </c>
    </row>
    <row r="4564" spans="1:2" x14ac:dyDescent="0.25">
      <c r="A4564">
        <f ca="1">30088.0339631068*((RANDBETWEEN(1620,2416)))</f>
        <v>66434378.990539722</v>
      </c>
      <c r="B4564">
        <v>163797772.9841291</v>
      </c>
    </row>
    <row r="4565" spans="1:2" x14ac:dyDescent="0.25">
      <c r="A4565">
        <f ca="1">39005.2990371021*((RANDBETWEEN(1620,2416)))</f>
        <v>69390426.987004593</v>
      </c>
      <c r="B4565">
        <v>199659270.34747714</v>
      </c>
    </row>
    <row r="4566" spans="1:2" x14ac:dyDescent="0.25">
      <c r="A4566">
        <f ca="1">38469.5939439457*((RANDBETWEEN(1620,2416)))</f>
        <v>75169586.566469833</v>
      </c>
      <c r="B4566">
        <v>166331859.74380669</v>
      </c>
    </row>
    <row r="4567" spans="1:2" x14ac:dyDescent="0.25">
      <c r="A4567">
        <f ca="1">31369.8634992612*((RANDBETWEEN(1620,2416)))</f>
        <v>54081644.672726266</v>
      </c>
      <c r="B4567">
        <v>184629527.20591739</v>
      </c>
    </row>
    <row r="4568" spans="1:2" x14ac:dyDescent="0.25">
      <c r="A4568">
        <f ca="1">32094.5832405867*((RANDBETWEEN(1620,2416)))</f>
        <v>55074304.840846725</v>
      </c>
      <c r="B4568">
        <v>142993988.42374131</v>
      </c>
    </row>
    <row r="4569" spans="1:2" x14ac:dyDescent="0.25">
      <c r="A4569">
        <f ca="1">36562.4843806537*((RANDBETWEEN(1620,2416)))</f>
        <v>62485285.806537181</v>
      </c>
      <c r="B4569">
        <v>160609478.37429005</v>
      </c>
    </row>
    <row r="4570" spans="1:2" x14ac:dyDescent="0.25">
      <c r="A4570">
        <f ca="1">33157.1286776061*((RANDBETWEEN(1620,2416)))</f>
        <v>68867356.263387918</v>
      </c>
      <c r="B4570">
        <v>143882303.65930492</v>
      </c>
    </row>
    <row r="4571" spans="1:2" x14ac:dyDescent="0.25">
      <c r="A4571">
        <f ca="1">41016.8805320783*((RANDBETWEEN(1620,2416)))</f>
        <v>95200179.71495375</v>
      </c>
      <c r="B4571">
        <v>155085734.279836</v>
      </c>
    </row>
    <row r="4572" spans="1:2" x14ac:dyDescent="0.25">
      <c r="A4572">
        <f ca="1">30581.1555490215*((RANDBETWEEN(1620,2416)))</f>
        <v>56269326.210199587</v>
      </c>
      <c r="B4572">
        <v>177536214.7628105</v>
      </c>
    </row>
    <row r="4573" spans="1:2" x14ac:dyDescent="0.25">
      <c r="A4573">
        <f ca="1">30538.4260357699*((RANDBETWEEN(1620,2416)))</f>
        <v>50693787.219378039</v>
      </c>
      <c r="B4573">
        <v>157242483.20609772</v>
      </c>
    </row>
    <row r="4574" spans="1:2" x14ac:dyDescent="0.25">
      <c r="A4574">
        <f ca="1">33104.8220441481*((RANDBETWEEN(1620,2416)))</f>
        <v>57469971.068641044</v>
      </c>
      <c r="B4574">
        <v>146049942.49291646</v>
      </c>
    </row>
    <row r="4575" spans="1:2" x14ac:dyDescent="0.25">
      <c r="A4575">
        <f ca="1">30617.7329606872*((RANDBETWEEN(1620,2416)))</f>
        <v>73941825.100059658</v>
      </c>
      <c r="B4575">
        <v>160983200.54725686</v>
      </c>
    </row>
    <row r="4576" spans="1:2" x14ac:dyDescent="0.25">
      <c r="A4576">
        <f ca="1">34285.415183022*((RANDBETWEEN(1620,2416)))</f>
        <v>66410849.209513582</v>
      </c>
      <c r="B4576">
        <v>175434622.25019246</v>
      </c>
    </row>
    <row r="4577" spans="1:2" x14ac:dyDescent="0.25">
      <c r="A4577">
        <f ca="1">31984.3676299362*((RANDBETWEEN(1620,2416)))</f>
        <v>64768344.450620867</v>
      </c>
      <c r="B4577">
        <v>183537784.35755759</v>
      </c>
    </row>
    <row r="4578" spans="1:2" x14ac:dyDescent="0.25">
      <c r="A4578">
        <f ca="1">38347.4623593918*((RANDBETWEEN(1620,2416)))</f>
        <v>84977976.588412166</v>
      </c>
      <c r="B4578">
        <v>163800049.33320564</v>
      </c>
    </row>
    <row r="4579" spans="1:2" x14ac:dyDescent="0.25">
      <c r="A4579">
        <f ca="1">40027.8916896358*((RANDBETWEEN(1620,2416)))</f>
        <v>92144206.669541582</v>
      </c>
      <c r="B4579">
        <v>144004720.26622361</v>
      </c>
    </row>
    <row r="4580" spans="1:2" x14ac:dyDescent="0.25">
      <c r="A4580">
        <f ca="1">40164.3151233886*((RANDBETWEEN(1620,2416)))</f>
        <v>85630319.843064517</v>
      </c>
      <c r="B4580">
        <v>157468676.74259934</v>
      </c>
    </row>
    <row r="4581" spans="1:2" x14ac:dyDescent="0.25">
      <c r="A4581">
        <f ca="1">32518.4275435103*((RANDBETWEEN(1620,2416)))</f>
        <v>53655405.446792066</v>
      </c>
      <c r="B4581">
        <v>195461009.27336162</v>
      </c>
    </row>
    <row r="4582" spans="1:2" x14ac:dyDescent="0.25">
      <c r="A4582">
        <f ca="1">37616.8972062485*((RANDBETWEEN(1620,2416)))</f>
        <v>68237051.532134742</v>
      </c>
      <c r="B4582">
        <v>149056697.67151555</v>
      </c>
    </row>
    <row r="4583" spans="1:2" x14ac:dyDescent="0.25">
      <c r="A4583">
        <f ca="1">39937.3447435405*((RANDBETWEEN(1620,2416)))</f>
        <v>84986669.614254251</v>
      </c>
      <c r="B4583">
        <v>156311825.27782217</v>
      </c>
    </row>
    <row r="4584" spans="1:2" x14ac:dyDescent="0.25">
      <c r="A4584">
        <f ca="1">32651.5280125163*((RANDBETWEEN(1620,2416)))</f>
        <v>73563892.612199247</v>
      </c>
      <c r="B4584">
        <v>145950391.35195011</v>
      </c>
    </row>
    <row r="4585" spans="1:2" x14ac:dyDescent="0.25">
      <c r="A4585">
        <f ca="1">30074.5680852771*((RANDBETWEEN(1620,2416)))</f>
        <v>72389485.381261915</v>
      </c>
      <c r="B4585">
        <v>178702003.49375027</v>
      </c>
    </row>
    <row r="4586" spans="1:2" x14ac:dyDescent="0.25">
      <c r="A4586">
        <f ca="1">37186.4849182788*((RANDBETWEEN(1620,2416)))</f>
        <v>89061631.379277661</v>
      </c>
      <c r="B4586">
        <v>184389041.34651119</v>
      </c>
    </row>
    <row r="4587" spans="1:2" x14ac:dyDescent="0.25">
      <c r="A4587">
        <f ca="1">32694.0885740716*((RANDBETWEEN(1620,2416)))</f>
        <v>65126624.439550705</v>
      </c>
      <c r="B4587">
        <v>143580524.30426264</v>
      </c>
    </row>
    <row r="4588" spans="1:2" x14ac:dyDescent="0.25">
      <c r="A4588">
        <f ca="1">32561.2561286047*((RANDBETWEEN(1620,2416)))</f>
        <v>53921440.1489693</v>
      </c>
      <c r="B4588">
        <v>154605852.09037146</v>
      </c>
    </row>
    <row r="4589" spans="1:2" x14ac:dyDescent="0.25">
      <c r="A4589">
        <f ca="1">33976.6166552276*((RANDBETWEEN(1620,2416)))</f>
        <v>76549317.324227825</v>
      </c>
      <c r="B4589">
        <v>145245322.38801694</v>
      </c>
    </row>
    <row r="4590" spans="1:2" x14ac:dyDescent="0.25">
      <c r="A4590">
        <f ca="1">32577.2271339447*((RANDBETWEEN(1620,2416)))</f>
        <v>70041038.337981135</v>
      </c>
      <c r="B4590">
        <v>173367005.87773949</v>
      </c>
    </row>
    <row r="4591" spans="1:2" x14ac:dyDescent="0.25">
      <c r="A4591">
        <f ca="1">34392.1240610852*((RANDBETWEEN(1620,2416)))</f>
        <v>76694436.656220078</v>
      </c>
      <c r="B4591">
        <v>147543669.99526986</v>
      </c>
    </row>
    <row r="4592" spans="1:2" x14ac:dyDescent="0.25">
      <c r="A4592">
        <f ca="1">32222.6105376638*((RANDBETWEEN(1620,2416)))</f>
        <v>72855322.425657764</v>
      </c>
      <c r="B4592">
        <v>169353010.36893827</v>
      </c>
    </row>
    <row r="4593" spans="1:2" x14ac:dyDescent="0.25">
      <c r="A4593">
        <f ca="1">31064.4378281235*((RANDBETWEEN(1620,2416)))</f>
        <v>69646469.610653043</v>
      </c>
      <c r="B4593">
        <v>187254925.09618634</v>
      </c>
    </row>
    <row r="4594" spans="1:2" x14ac:dyDescent="0.25">
      <c r="A4594">
        <f ca="1">35446.3442954144*((RANDBETWEEN(1620,2416)))</f>
        <v>71069920.312305853</v>
      </c>
      <c r="B4594">
        <v>188000684.69831285</v>
      </c>
    </row>
    <row r="4595" spans="1:2" x14ac:dyDescent="0.25">
      <c r="A4595">
        <f ca="1">30641.6056952651*((RANDBETWEEN(1620,2416)))</f>
        <v>68330780.700441226</v>
      </c>
      <c r="B4595">
        <v>152416114.30388224</v>
      </c>
    </row>
    <row r="4596" spans="1:2" x14ac:dyDescent="0.25">
      <c r="A4596">
        <f ca="1">29052.0938794446*((RANDBETWEEN(1620,2416)))</f>
        <v>69347348.09023416</v>
      </c>
      <c r="B4596">
        <v>179935836.279365</v>
      </c>
    </row>
    <row r="4597" spans="1:2" x14ac:dyDescent="0.25">
      <c r="A4597">
        <f ca="1">31063.2041480892*((RANDBETWEEN(1620,2416)))</f>
        <v>74613816.36371015</v>
      </c>
      <c r="B4597">
        <v>163590069.03697062</v>
      </c>
    </row>
    <row r="4598" spans="1:2" x14ac:dyDescent="0.25">
      <c r="A4598">
        <f ca="1">34424.5705881936*((RANDBETWEEN(1620,2416)))</f>
        <v>82240299.135194451</v>
      </c>
      <c r="B4598">
        <v>146238743.31691343</v>
      </c>
    </row>
    <row r="4599" spans="1:2" x14ac:dyDescent="0.25">
      <c r="A4599">
        <f ca="1">30490.5355803757*((RANDBETWEEN(1620,2416)))</f>
        <v>70311175.048346356</v>
      </c>
      <c r="B4599">
        <v>185192492.52898091</v>
      </c>
    </row>
    <row r="4600" spans="1:2" x14ac:dyDescent="0.25">
      <c r="A4600">
        <f ca="1">35009.9910539059*((RANDBETWEEN(1620,2416)))</f>
        <v>74501260.962711662</v>
      </c>
      <c r="B4600">
        <v>167561414.85850337</v>
      </c>
    </row>
    <row r="4601" spans="1:2" x14ac:dyDescent="0.25">
      <c r="A4601">
        <f ca="1">33401.0280683019*((RANDBETWEEN(1620,2416)))</f>
        <v>60288855.663284875</v>
      </c>
      <c r="B4601">
        <v>159510521.94893637</v>
      </c>
    </row>
    <row r="4602" spans="1:2" x14ac:dyDescent="0.25">
      <c r="A4602">
        <f ca="1">36027.3940667606*((RANDBETWEEN(1620,2416)))</f>
        <v>77170678.091001257</v>
      </c>
      <c r="B4602">
        <v>200756955.42724866</v>
      </c>
    </row>
    <row r="4603" spans="1:2" x14ac:dyDescent="0.25">
      <c r="A4603">
        <f ca="1">29243.5488206026*((RANDBETWEEN(1620,2416)))</f>
        <v>67903520.361439243</v>
      </c>
      <c r="B4603">
        <v>176491963.98111498</v>
      </c>
    </row>
    <row r="4604" spans="1:2" x14ac:dyDescent="0.25">
      <c r="A4604">
        <f ca="1">31555.4373622076*((RANDBETWEEN(1620,2416)))</f>
        <v>76080159.480282545</v>
      </c>
      <c r="B4604">
        <v>151735653.8550258</v>
      </c>
    </row>
    <row r="4605" spans="1:2" x14ac:dyDescent="0.25">
      <c r="A4605">
        <f ca="1">30577.9728092195*((RANDBETWEEN(1620,2416)))</f>
        <v>66904604.506572276</v>
      </c>
      <c r="B4605">
        <v>157086357.11976779</v>
      </c>
    </row>
    <row r="4606" spans="1:2" x14ac:dyDescent="0.25">
      <c r="A4606">
        <f ca="1">31192.6370703668*((RANDBETWEEN(1620,2416)))</f>
        <v>58829313.514711715</v>
      </c>
      <c r="B4606">
        <v>202831085.79849118</v>
      </c>
    </row>
    <row r="4607" spans="1:2" x14ac:dyDescent="0.25">
      <c r="A4607">
        <f ca="1">32592.9118119277*((RANDBETWEEN(1620,2416)))</f>
        <v>69716238.365713432</v>
      </c>
      <c r="B4607">
        <v>188967829.28546327</v>
      </c>
    </row>
    <row r="4608" spans="1:2" x14ac:dyDescent="0.25">
      <c r="A4608">
        <f ca="1">33696.2970767394*((RANDBETWEEN(1620,2416)))</f>
        <v>61630527.353356324</v>
      </c>
      <c r="B4608">
        <v>187518680.76429048</v>
      </c>
    </row>
    <row r="4609" spans="1:2" x14ac:dyDescent="0.25">
      <c r="A4609">
        <f ca="1">38650.1880232146*((RANDBETWEEN(1620,2416)))</f>
        <v>90673341.102461517</v>
      </c>
      <c r="B4609">
        <v>172882648.87518445</v>
      </c>
    </row>
    <row r="4610" spans="1:2" x14ac:dyDescent="0.25">
      <c r="A4610">
        <f ca="1">33535.4726305988*((RANDBETWEEN(1620,2416)))</f>
        <v>68647112.474835753</v>
      </c>
      <c r="B4610">
        <v>178866488.72760621</v>
      </c>
    </row>
    <row r="4611" spans="1:2" x14ac:dyDescent="0.25">
      <c r="A4611">
        <f ca="1">32050.1536203883*((RANDBETWEEN(1620,2416)))</f>
        <v>55895467.913957164</v>
      </c>
      <c r="B4611">
        <v>172692673.58904442</v>
      </c>
    </row>
    <row r="4612" spans="1:2" x14ac:dyDescent="0.25">
      <c r="A4612">
        <f ca="1">29864.9067378063*((RANDBETWEEN(1620,2416)))</f>
        <v>62865628.683082327</v>
      </c>
      <c r="B4612">
        <v>143251769.3211301</v>
      </c>
    </row>
    <row r="4613" spans="1:2" x14ac:dyDescent="0.25">
      <c r="A4613">
        <f ca="1">31572.116366867*((RANDBETWEEN(1620,2416)))</f>
        <v>74131329.229403675</v>
      </c>
      <c r="B4613">
        <v>200025995.8122406</v>
      </c>
    </row>
    <row r="4614" spans="1:2" x14ac:dyDescent="0.25">
      <c r="A4614">
        <f ca="1">32392.8316161064*((RANDBETWEEN(1620,2416)))</f>
        <v>68737588.68937771</v>
      </c>
      <c r="B4614">
        <v>182560055.28814346</v>
      </c>
    </row>
    <row r="4615" spans="1:2" x14ac:dyDescent="0.25">
      <c r="A4615">
        <f ca="1">32889.1991837837*((RANDBETWEEN(1620,2416)))</f>
        <v>76664723.297399744</v>
      </c>
      <c r="B4615">
        <v>186562511.35206646</v>
      </c>
    </row>
    <row r="4616" spans="1:2" x14ac:dyDescent="0.25">
      <c r="A4616">
        <f ca="1">30876.9103884495*((RANDBETWEEN(1620,2416)))</f>
        <v>68052710.496142596</v>
      </c>
      <c r="B4616">
        <v>169956258.05223823</v>
      </c>
    </row>
    <row r="4617" spans="1:2" x14ac:dyDescent="0.25">
      <c r="A4617">
        <f ca="1">29983.9291612805*((RANDBETWEEN(1620,2416)))</f>
        <v>62216653.00965713</v>
      </c>
      <c r="B4617">
        <v>201393696.85393026</v>
      </c>
    </row>
    <row r="4618" spans="1:2" x14ac:dyDescent="0.25">
      <c r="A4618">
        <f ca="1">38537.266290738*((RANDBETWEEN(1620,2416)))</f>
        <v>73182268.686111525</v>
      </c>
      <c r="B4618">
        <v>171289017.00460726</v>
      </c>
    </row>
    <row r="4619" spans="1:2" x14ac:dyDescent="0.25">
      <c r="A4619">
        <f ca="1">39324.3562415901*((RANDBETWEEN(1620,2416)))</f>
        <v>74519655.077813283</v>
      </c>
      <c r="B4619">
        <v>148996829.33724135</v>
      </c>
    </row>
    <row r="4620" spans="1:2" x14ac:dyDescent="0.25">
      <c r="A4620">
        <f ca="1">39909.068543135*((RANDBETWEEN(1620,2416)))</f>
        <v>75667593.957784012</v>
      </c>
      <c r="B4620">
        <v>177715310.335078</v>
      </c>
    </row>
    <row r="4621" spans="1:2" x14ac:dyDescent="0.25">
      <c r="A4621">
        <f ca="1">35392.0613880523*((RANDBETWEEN(1620,2416)))</f>
        <v>75774403.431819975</v>
      </c>
      <c r="B4621">
        <v>175923888.0445849</v>
      </c>
    </row>
    <row r="4622" spans="1:2" x14ac:dyDescent="0.25">
      <c r="A4622">
        <f ca="1">28797.5050787933*((RANDBETWEEN(1620,2416)))</f>
        <v>61799445.899090394</v>
      </c>
      <c r="B4622">
        <v>151103685.05077744</v>
      </c>
    </row>
    <row r="4623" spans="1:2" x14ac:dyDescent="0.25">
      <c r="A4623">
        <f ca="1">32300.2495442623*((RANDBETWEEN(1620,2416)))</f>
        <v>53909116.489373736</v>
      </c>
      <c r="B4623">
        <v>150127588.36640498</v>
      </c>
    </row>
    <row r="4624" spans="1:2" x14ac:dyDescent="0.25">
      <c r="A4624">
        <f ca="1">41772.4179494815*((RANDBETWEEN(1620,2416)))</f>
        <v>98206954.599231124</v>
      </c>
      <c r="B4624">
        <v>150041859.89150357</v>
      </c>
    </row>
    <row r="4625" spans="1:2" x14ac:dyDescent="0.25">
      <c r="A4625">
        <f ca="1">30543.6009180883*((RANDBETWEEN(1620,2416)))</f>
        <v>69883758.900586039</v>
      </c>
      <c r="B4625">
        <v>166445928.06366903</v>
      </c>
    </row>
    <row r="4626" spans="1:2" x14ac:dyDescent="0.25">
      <c r="A4626">
        <f ca="1">39694.7929080825*((RANDBETWEEN(1620,2416)))</f>
        <v>70537646.997662649</v>
      </c>
      <c r="B4626">
        <v>186294223.71335584</v>
      </c>
    </row>
    <row r="4627" spans="1:2" x14ac:dyDescent="0.25">
      <c r="A4627">
        <f ca="1">30347.1310251572*((RANDBETWEEN(1620,2416)))</f>
        <v>53926851.831704423</v>
      </c>
      <c r="B4627">
        <v>174674569.61644986</v>
      </c>
    </row>
    <row r="4628" spans="1:2" x14ac:dyDescent="0.25">
      <c r="A4628">
        <f ca="1">28686.3234018643*((RANDBETWEEN(1620,2416)))</f>
        <v>58061118.565373361</v>
      </c>
      <c r="B4628">
        <v>144928089.25881326</v>
      </c>
    </row>
    <row r="4629" spans="1:2" x14ac:dyDescent="0.25">
      <c r="A4629">
        <f ca="1">32921.6767350897*((RANDBETWEEN(1620,2416)))</f>
        <v>58205524.46763856</v>
      </c>
      <c r="B4629">
        <v>200028801.58323967</v>
      </c>
    </row>
    <row r="4630" spans="1:2" x14ac:dyDescent="0.25">
      <c r="A4630">
        <f ca="1">30248.597244854*((RANDBETWEEN(1620,2416)))</f>
        <v>65155478.465415485</v>
      </c>
      <c r="B4630">
        <v>164341542.72757784</v>
      </c>
    </row>
    <row r="4631" spans="1:2" x14ac:dyDescent="0.25">
      <c r="A4631">
        <f ca="1">35498.2130592825*((RANDBETWEEN(1620,2416)))</f>
        <v>58217069.417223379</v>
      </c>
      <c r="B4631">
        <v>175375291.5463866</v>
      </c>
    </row>
    <row r="4632" spans="1:2" x14ac:dyDescent="0.25">
      <c r="A4632">
        <f ca="1">38103.8461328401*((RANDBETWEEN(1620,2416)))</f>
        <v>76474419.188610151</v>
      </c>
      <c r="B4632">
        <v>158632895.05298585</v>
      </c>
    </row>
    <row r="4633" spans="1:2" x14ac:dyDescent="0.25">
      <c r="A4633">
        <f ca="1">28663.4228923314*((RANDBETWEEN(1620,2416)))</f>
        <v>55177089.067737952</v>
      </c>
      <c r="B4633">
        <v>170439035.41560778</v>
      </c>
    </row>
    <row r="4634" spans="1:2" x14ac:dyDescent="0.25">
      <c r="A4634">
        <f ca="1">30648.5450011176*((RANDBETWEEN(1620,2416)))</f>
        <v>72943537.102659881</v>
      </c>
      <c r="B4634">
        <v>145384697.36253738</v>
      </c>
    </row>
    <row r="4635" spans="1:2" x14ac:dyDescent="0.25">
      <c r="A4635">
        <f ca="1">29479.3625412752*((RANDBETWEEN(1620,2416)))</f>
        <v>69807130.497739658</v>
      </c>
      <c r="B4635">
        <v>145913367.00178146</v>
      </c>
    </row>
    <row r="4636" spans="1:2" x14ac:dyDescent="0.25">
      <c r="A4636">
        <f ca="1">29510.9314688056*((RANDBETWEEN(1620,2416)))</f>
        <v>56985608.666263625</v>
      </c>
      <c r="B4636">
        <v>166747190.90606481</v>
      </c>
    </row>
    <row r="4637" spans="1:2" x14ac:dyDescent="0.25">
      <c r="A4637">
        <f ca="1">32910.0961994636*((RANDBETWEEN(1620,2416)))</f>
        <v>54071288.055718742</v>
      </c>
      <c r="B4637">
        <v>165019857.19307828</v>
      </c>
    </row>
    <row r="4638" spans="1:2" x14ac:dyDescent="0.25">
      <c r="A4638">
        <f ca="1">40067.7921017476*((RANDBETWEEN(1620,2416)))</f>
        <v>73604534.090910256</v>
      </c>
      <c r="B4638">
        <v>156167090.04808271</v>
      </c>
    </row>
    <row r="4639" spans="1:2" x14ac:dyDescent="0.25">
      <c r="A4639">
        <f ca="1">33539.0310884054*((RANDBETWEEN(1620,2416)))</f>
        <v>59800092.430626914</v>
      </c>
      <c r="B4639">
        <v>143651600.99598989</v>
      </c>
    </row>
    <row r="4640" spans="1:2" x14ac:dyDescent="0.25">
      <c r="A4640">
        <f ca="1">36485.4464472361*((RANDBETWEEN(1620,2416)))</f>
        <v>61696889.942276217</v>
      </c>
      <c r="B4640">
        <v>145805883.33900559</v>
      </c>
    </row>
    <row r="4641" spans="1:2" x14ac:dyDescent="0.25">
      <c r="A4641">
        <f ca="1">37963.2301476253*((RANDBETWEEN(1620,2416)))</f>
        <v>77634805.651893824</v>
      </c>
      <c r="B4641">
        <v>159853120.98997933</v>
      </c>
    </row>
    <row r="4642" spans="1:2" x14ac:dyDescent="0.25">
      <c r="A4642">
        <f ca="1">30840.6729631455*((RANDBETWEEN(1620,2416)))</f>
        <v>70810185.123382032</v>
      </c>
      <c r="B4642">
        <v>184381799.63696319</v>
      </c>
    </row>
    <row r="4643" spans="1:2" x14ac:dyDescent="0.25">
      <c r="A4643">
        <f ca="1">31467.4057973864*((RANDBETWEEN(1620,2416)))</f>
        <v>75427371.696335256</v>
      </c>
      <c r="B4643">
        <v>176637903.42868954</v>
      </c>
    </row>
    <row r="4644" spans="1:2" x14ac:dyDescent="0.25">
      <c r="A4644">
        <f ca="1">37028.9778549418*((RANDBETWEEN(1620,2416)))</f>
        <v>61727306.084187917</v>
      </c>
      <c r="B4644">
        <v>197585364.09338024</v>
      </c>
    </row>
    <row r="4645" spans="1:2" x14ac:dyDescent="0.25">
      <c r="A4645">
        <f ca="1">32563.2258332971*((RANDBETWEEN(1620,2416)))</f>
        <v>78054052.322413161</v>
      </c>
      <c r="B4645">
        <v>160311971.07231194</v>
      </c>
    </row>
    <row r="4646" spans="1:2" x14ac:dyDescent="0.25">
      <c r="A4646">
        <f ca="1">31818.0792634278*((RANDBETWEEN(1620,2416)))</f>
        <v>75217939.37874338</v>
      </c>
      <c r="B4646">
        <v>177716059.06837463</v>
      </c>
    </row>
    <row r="4647" spans="1:2" x14ac:dyDescent="0.25">
      <c r="A4647">
        <f ca="1">30542.8997444353*((RANDBETWEEN(1620,2416)))</f>
        <v>54824505.041261375</v>
      </c>
      <c r="B4647">
        <v>153229051.85672742</v>
      </c>
    </row>
    <row r="4648" spans="1:2" x14ac:dyDescent="0.25">
      <c r="A4648">
        <f ca="1">30676.3645296238*((RANDBETWEEN(1620,2416)))</f>
        <v>58407798.064403713</v>
      </c>
      <c r="B4648">
        <v>147116065.82984444</v>
      </c>
    </row>
    <row r="4649" spans="1:2" x14ac:dyDescent="0.25">
      <c r="A4649">
        <f ca="1">36514.0443740557*((RANDBETWEEN(1620,2416)))</f>
        <v>79089420.114204541</v>
      </c>
      <c r="B4649">
        <v>188260177.40387642</v>
      </c>
    </row>
    <row r="4650" spans="1:2" x14ac:dyDescent="0.25">
      <c r="A4650">
        <f ca="1">29080.8790717635*((RANDBETWEEN(1620,2416)))</f>
        <v>53566979.25018841</v>
      </c>
      <c r="B4650">
        <v>147208013.74555677</v>
      </c>
    </row>
    <row r="4651" spans="1:2" x14ac:dyDescent="0.25">
      <c r="A4651">
        <f ca="1">30086.5676459234*((RANDBETWEEN(1620,2416)))</f>
        <v>66882439.876887769</v>
      </c>
      <c r="B4651">
        <v>189125216.4096083</v>
      </c>
    </row>
    <row r="4652" spans="1:2" x14ac:dyDescent="0.25">
      <c r="A4652">
        <f ca="1">29534.01396857*((RANDBETWEEN(1620,2416)))</f>
        <v>66392463.40134538</v>
      </c>
      <c r="B4652">
        <v>168874438.67088634</v>
      </c>
    </row>
    <row r="4653" spans="1:2" x14ac:dyDescent="0.25">
      <c r="A4653">
        <f ca="1">28188.7992353614*((RANDBETWEEN(1620,2416)))</f>
        <v>64946993.438272573</v>
      </c>
      <c r="B4653">
        <v>170749035.37655842</v>
      </c>
    </row>
    <row r="4654" spans="1:2" x14ac:dyDescent="0.25">
      <c r="A4654">
        <f ca="1">33517.7925635551*((RANDBETWEEN(1620,2416)))</f>
        <v>74778195.209291488</v>
      </c>
      <c r="B4654">
        <v>166362596.51010895</v>
      </c>
    </row>
    <row r="4655" spans="1:2" x14ac:dyDescent="0.25">
      <c r="A4655">
        <f ca="1">35681.8064084313*((RANDBETWEEN(1620,2416)))</f>
        <v>62193388.569895722</v>
      </c>
      <c r="B4655">
        <v>196081013.84621581</v>
      </c>
    </row>
    <row r="4656" spans="1:2" x14ac:dyDescent="0.25">
      <c r="A4656">
        <f ca="1">37759.2808083201*((RANDBETWEEN(1620,2416)))</f>
        <v>80842620.21061337</v>
      </c>
      <c r="B4656">
        <v>157084995.67268562</v>
      </c>
    </row>
    <row r="4657" spans="1:2" x14ac:dyDescent="0.25">
      <c r="A4657">
        <f ca="1">32069.7224452084*((RANDBETWEEN(1620,2416)))</f>
        <v>75460056.913575456</v>
      </c>
      <c r="B4657">
        <v>159357277.68776935</v>
      </c>
    </row>
    <row r="4658" spans="1:2" x14ac:dyDescent="0.25">
      <c r="A4658">
        <f ca="1">37979.331290555*((RANDBETWEEN(1620,2416)))</f>
        <v>83668466.833092719</v>
      </c>
      <c r="B4658">
        <v>163624700.90296882</v>
      </c>
    </row>
    <row r="4659" spans="1:2" x14ac:dyDescent="0.25">
      <c r="A4659">
        <f ca="1">32092.1099510406*((RANDBETWEEN(1620,2416)))</f>
        <v>75255997.835190147</v>
      </c>
      <c r="B4659">
        <v>186437623.33688015</v>
      </c>
    </row>
    <row r="4660" spans="1:2" x14ac:dyDescent="0.25">
      <c r="A4660">
        <f ca="1">32603.0822877627*((RANDBETWEEN(1620,2416)))</f>
        <v>78019175.914616212</v>
      </c>
      <c r="B4660">
        <v>159922896.77707511</v>
      </c>
    </row>
    <row r="4661" spans="1:2" x14ac:dyDescent="0.25">
      <c r="A4661">
        <f ca="1">32157.723336472*((RANDBETWEEN(1620,2416)))</f>
        <v>63222084.079503939</v>
      </c>
      <c r="B4661">
        <v>179451795.6472986</v>
      </c>
    </row>
    <row r="4662" spans="1:2" x14ac:dyDescent="0.25">
      <c r="A4662">
        <f ca="1">38331.8483432919*((RANDBETWEEN(1620,2416)))</f>
        <v>87281618.677675694</v>
      </c>
      <c r="B4662">
        <v>171537204.79051411</v>
      </c>
    </row>
    <row r="4663" spans="1:2" x14ac:dyDescent="0.25">
      <c r="A4663">
        <f ca="1">31793.3676303082*((RANDBETWEEN(1620,2416)))</f>
        <v>69055194.493029371</v>
      </c>
      <c r="B4663">
        <v>148289206.60671836</v>
      </c>
    </row>
    <row r="4664" spans="1:2" x14ac:dyDescent="0.25">
      <c r="A4664">
        <f ca="1">31902.7540849188*((RANDBETWEEN(1620,2416)))</f>
        <v>57169735.320174567</v>
      </c>
      <c r="B4664">
        <v>161549591.45576376</v>
      </c>
    </row>
    <row r="4665" spans="1:2" x14ac:dyDescent="0.25">
      <c r="A4665">
        <f ca="1">32022.295402105*((RANDBETWEEN(1620,2416)))</f>
        <v>72082186.95013833</v>
      </c>
      <c r="B4665">
        <v>166123627.50148058</v>
      </c>
    </row>
    <row r="4666" spans="1:2" x14ac:dyDescent="0.25">
      <c r="A4666">
        <f ca="1">41319.0423033247*((RANDBETWEEN(1620,2416)))</f>
        <v>78712775.587833628</v>
      </c>
      <c r="B4666">
        <v>182635775.51264882</v>
      </c>
    </row>
    <row r="4667" spans="1:2" x14ac:dyDescent="0.25">
      <c r="A4667">
        <f ca="1">39786.5932527564*((RANDBETWEEN(1620,2416)))</f>
        <v>71695441.041466981</v>
      </c>
      <c r="B4667">
        <v>149362021.85971138</v>
      </c>
    </row>
    <row r="4668" spans="1:2" x14ac:dyDescent="0.25">
      <c r="A4668">
        <f ca="1">32033.157609647*((RANDBETWEEN(1620,2416)))</f>
        <v>67269630.980258644</v>
      </c>
      <c r="B4668">
        <v>178617650.63646799</v>
      </c>
    </row>
    <row r="4669" spans="1:2" x14ac:dyDescent="0.25">
      <c r="A4669">
        <f ca="1">34542.0901430221*((RANDBETWEEN(1620,2416)))</f>
        <v>80103107.041668326</v>
      </c>
      <c r="B4669">
        <v>188350905.93755916</v>
      </c>
    </row>
    <row r="4670" spans="1:2" x14ac:dyDescent="0.25">
      <c r="A4670">
        <f ca="1">29989.9036508551*((RANDBETWEEN(1620,2416)))</f>
        <v>67507273.118074909</v>
      </c>
      <c r="B4670">
        <v>159305440.37665752</v>
      </c>
    </row>
    <row r="4671" spans="1:2" x14ac:dyDescent="0.25">
      <c r="A4671">
        <f ca="1">30816.5287000571*((RANDBETWEEN(1620,2416)))</f>
        <v>54391173.155600742</v>
      </c>
      <c r="B4671">
        <v>149020970.52709892</v>
      </c>
    </row>
    <row r="4672" spans="1:2" x14ac:dyDescent="0.25">
      <c r="A4672">
        <f ca="1">30191.1594990655*((RANDBETWEEN(1620,2416)))</f>
        <v>56246130.146759011</v>
      </c>
      <c r="B4672">
        <v>143936216.68941772</v>
      </c>
    </row>
    <row r="4673" spans="1:2" x14ac:dyDescent="0.25">
      <c r="A4673">
        <f ca="1">37088.5888727245*((RANDBETWEEN(1620,2416)))</f>
        <v>76847556.144285187</v>
      </c>
      <c r="B4673">
        <v>154495172.00371307</v>
      </c>
    </row>
    <row r="4674" spans="1:2" x14ac:dyDescent="0.25">
      <c r="A4674">
        <f ca="1">31161.7052183726*((RANDBETWEEN(1620,2416)))</f>
        <v>51915400.893808812</v>
      </c>
      <c r="B4674">
        <v>181169975.3939884</v>
      </c>
    </row>
    <row r="4675" spans="1:2" x14ac:dyDescent="0.25">
      <c r="A4675">
        <f ca="1">28585.6903963072*((RANDBETWEEN(1620,2416)))</f>
        <v>64232046.320502304</v>
      </c>
      <c r="B4675">
        <v>146825848.88500422</v>
      </c>
    </row>
    <row r="4676" spans="1:2" x14ac:dyDescent="0.25">
      <c r="A4676">
        <f ca="1">31041.2105961454*((RANDBETWEEN(1620,2416)))</f>
        <v>58109146.235984102</v>
      </c>
      <c r="B4676">
        <v>192724549.0450812</v>
      </c>
    </row>
    <row r="4677" spans="1:2" x14ac:dyDescent="0.25">
      <c r="A4677">
        <f ca="1">31801.1771325423*((RANDBETWEEN(1620,2416)))</f>
        <v>75018976.855667323</v>
      </c>
      <c r="B4677">
        <v>162853296.27488434</v>
      </c>
    </row>
    <row r="4678" spans="1:2" x14ac:dyDescent="0.25">
      <c r="A4678">
        <f ca="1">30081.8341332129*((RANDBETWEEN(1620,2416)))</f>
        <v>55831884.151243076</v>
      </c>
      <c r="B4678">
        <v>149545551.83198473</v>
      </c>
    </row>
    <row r="4679" spans="1:2" x14ac:dyDescent="0.25">
      <c r="A4679">
        <f ca="1">31945.661847765*((RANDBETWEEN(1620,2416)))</f>
        <v>73858370.192032605</v>
      </c>
      <c r="B4679">
        <v>177583604.47274914</v>
      </c>
    </row>
    <row r="4680" spans="1:2" x14ac:dyDescent="0.25">
      <c r="A4680">
        <f ca="1">32355.4479210927*((RANDBETWEEN(1620,2416)))</f>
        <v>66231601.894476831</v>
      </c>
      <c r="B4680">
        <v>153714745.01310587</v>
      </c>
    </row>
    <row r="4681" spans="1:2" x14ac:dyDescent="0.25">
      <c r="A4681">
        <f ca="1">36001.7087349371*((RANDBETWEEN(1620,2416)))</f>
        <v>77223665.236440167</v>
      </c>
      <c r="B4681">
        <v>176932508.44192851</v>
      </c>
    </row>
    <row r="4682" spans="1:2" x14ac:dyDescent="0.25">
      <c r="A4682">
        <f ca="1">34123.3866070593*((RANDBETWEEN(1620,2416)))</f>
        <v>77050606.958739817</v>
      </c>
      <c r="B4682">
        <v>167857973.46281794</v>
      </c>
    </row>
    <row r="4683" spans="1:2" x14ac:dyDescent="0.25">
      <c r="A4683">
        <f ca="1">32299.5268660955*((RANDBETWEEN(1620,2416)))</f>
        <v>65987933.387433112</v>
      </c>
      <c r="B4683">
        <v>185745412.75007236</v>
      </c>
    </row>
    <row r="4684" spans="1:2" x14ac:dyDescent="0.25">
      <c r="A4684">
        <f ca="1">30245.0516938047*((RANDBETWEEN(1620,2416)))</f>
        <v>66115683.002657279</v>
      </c>
      <c r="B4684">
        <v>149682734.9811821</v>
      </c>
    </row>
    <row r="4685" spans="1:2" x14ac:dyDescent="0.25">
      <c r="A4685">
        <f ca="1">31621.7332201944*((RANDBETWEEN(1620,2416)))</f>
        <v>63369953.37326964</v>
      </c>
      <c r="B4685">
        <v>149712984.27842814</v>
      </c>
    </row>
    <row r="4686" spans="1:2" x14ac:dyDescent="0.25">
      <c r="A4686">
        <f ca="1">30827.8217711301*((RANDBETWEEN(1620,2416)))</f>
        <v>53671237.703537419</v>
      </c>
      <c r="B4686">
        <v>191518242.76620862</v>
      </c>
    </row>
    <row r="4687" spans="1:2" x14ac:dyDescent="0.25">
      <c r="A4687">
        <f ca="1">30966.5158898907*((RANDBETWEEN(1620,2416)))</f>
        <v>56575824.530830234</v>
      </c>
      <c r="B4687">
        <v>158616511.79432365</v>
      </c>
    </row>
    <row r="4688" spans="1:2" x14ac:dyDescent="0.25">
      <c r="A4688">
        <f ca="1">33420.8875249626*((RANDBETWEEN(1620,2416)))</f>
        <v>76065940.006814823</v>
      </c>
      <c r="B4688">
        <v>144981527.64963603</v>
      </c>
    </row>
    <row r="4689" spans="1:2" x14ac:dyDescent="0.25">
      <c r="A4689">
        <f ca="1">31038.9611586521*((RANDBETWEEN(1620,2416)))</f>
        <v>56304675.541794933</v>
      </c>
      <c r="B4689">
        <v>161006096.058853</v>
      </c>
    </row>
    <row r="4690" spans="1:2" x14ac:dyDescent="0.25">
      <c r="A4690">
        <f ca="1">36558.5183083887*((RANDBETWEEN(1620,2416)))</f>
        <v>86497454.317647621</v>
      </c>
      <c r="B4690">
        <v>158801349.92212063</v>
      </c>
    </row>
    <row r="4691" spans="1:2" x14ac:dyDescent="0.25">
      <c r="A4691">
        <f ca="1">33073.3068764469*((RANDBETWEEN(1620,2416)))</f>
        <v>75241773.143916592</v>
      </c>
      <c r="B4691">
        <v>166046849.6002177</v>
      </c>
    </row>
    <row r="4692" spans="1:2" x14ac:dyDescent="0.25">
      <c r="A4692">
        <f ca="1">32068.8564239568*((RANDBETWEEN(1620,2416)))</f>
        <v>56954289.008947209</v>
      </c>
      <c r="B4692">
        <v>148444299.85297632</v>
      </c>
    </row>
    <row r="4693" spans="1:2" x14ac:dyDescent="0.25">
      <c r="A4693">
        <f ca="1">31336.6218762045*((RANDBETWEEN(1620,2416)))</f>
        <v>60009630.892931648</v>
      </c>
      <c r="B4693">
        <v>173337739.64803621</v>
      </c>
    </row>
    <row r="4694" spans="1:2" x14ac:dyDescent="0.25">
      <c r="A4694">
        <f ca="1">36969.0541601715*((RANDBETWEEN(1620,2416)))</f>
        <v>62847392.072291553</v>
      </c>
      <c r="B4694">
        <v>146162864.08857709</v>
      </c>
    </row>
    <row r="4695" spans="1:2" x14ac:dyDescent="0.25">
      <c r="A4695">
        <f ca="1">33392.744664013*((RANDBETWEEN(1620,2416)))</f>
        <v>55164814.18494945</v>
      </c>
      <c r="B4695">
        <v>147347299.41565299</v>
      </c>
    </row>
    <row r="4696" spans="1:2" x14ac:dyDescent="0.25">
      <c r="A4696">
        <f ca="1">41570.2143424979*((RANDBETWEEN(1620,2416)))</f>
        <v>80188943.466678396</v>
      </c>
      <c r="B4696">
        <v>154477616.80132756</v>
      </c>
    </row>
    <row r="4697" spans="1:2" x14ac:dyDescent="0.25">
      <c r="A4697">
        <f ca="1">30365.0420031695*((RANDBETWEEN(1620,2416)))</f>
        <v>57147009.049965031</v>
      </c>
      <c r="B4697">
        <v>178023904.62481162</v>
      </c>
    </row>
    <row r="4698" spans="1:2" x14ac:dyDescent="0.25">
      <c r="A4698">
        <f ca="1">32113.7128697316*((RANDBETWEEN(1620,2416)))</f>
        <v>73989994.451861545</v>
      </c>
      <c r="B4698">
        <v>191687693.94970405</v>
      </c>
    </row>
    <row r="4699" spans="1:2" x14ac:dyDescent="0.25">
      <c r="A4699">
        <f ca="1">32459.3266435895*((RANDBETWEEN(1620,2416)))</f>
        <v>56024797.78683541</v>
      </c>
      <c r="B4699">
        <v>160632213.63568491</v>
      </c>
    </row>
    <row r="4700" spans="1:2" x14ac:dyDescent="0.25">
      <c r="A4700">
        <f ca="1">29969.4186121286*((RANDBETWEEN(1620,2416)))</f>
        <v>56911925.944432244</v>
      </c>
      <c r="B4700">
        <v>165955671.16780627</v>
      </c>
    </row>
    <row r="4701" spans="1:2" x14ac:dyDescent="0.25">
      <c r="A4701">
        <f ca="1">37616.6516007076*((RANDBETWEEN(1620,2416)))</f>
        <v>72938687.453771979</v>
      </c>
      <c r="B4701">
        <v>147947595.49077559</v>
      </c>
    </row>
    <row r="4702" spans="1:2" x14ac:dyDescent="0.25">
      <c r="A4702">
        <f ca="1">29439.6261815858*((RANDBETWEEN(1620,2416)))</f>
        <v>48163228.433074377</v>
      </c>
      <c r="B4702">
        <v>152364096.84541273</v>
      </c>
    </row>
    <row r="4703" spans="1:2" x14ac:dyDescent="0.25">
      <c r="A4703">
        <f ca="1">27815.0755212789*((RANDBETWEEN(1620,2416)))</f>
        <v>47591594.216908172</v>
      </c>
      <c r="B4703">
        <v>154984137.04493886</v>
      </c>
    </row>
    <row r="4704" spans="1:2" x14ac:dyDescent="0.25">
      <c r="A4704">
        <f ca="1">31633.638967197*((RANDBETWEEN(1620,2416)))</f>
        <v>75098258.908125758</v>
      </c>
      <c r="B4704">
        <v>148581332.41940466</v>
      </c>
    </row>
    <row r="4705" spans="1:2" x14ac:dyDescent="0.25">
      <c r="A4705">
        <f ca="1">31235.9092931745*((RANDBETWEEN(1620,2416)))</f>
        <v>58161263.103890903</v>
      </c>
      <c r="B4705">
        <v>171763178.47140634</v>
      </c>
    </row>
    <row r="4706" spans="1:2" x14ac:dyDescent="0.25">
      <c r="A4706">
        <f ca="1">31066.7831536067*((RANDBETWEEN(1620,2416)))</f>
        <v>65923713.851953447</v>
      </c>
      <c r="B4706">
        <v>174792106.30526286</v>
      </c>
    </row>
    <row r="4707" spans="1:2" x14ac:dyDescent="0.25">
      <c r="A4707">
        <f ca="1">30344.2314299072*((RANDBETWEEN(1620,2416)))</f>
        <v>65482851.42573981</v>
      </c>
      <c r="B4707">
        <v>154700696.53438011</v>
      </c>
    </row>
    <row r="4708" spans="1:2" x14ac:dyDescent="0.25">
      <c r="A4708">
        <f ca="1">39167.6057057762*((RANDBETWEEN(1620,2416)))</f>
        <v>63921532.511826761</v>
      </c>
      <c r="B4708">
        <v>179164653.35616374</v>
      </c>
    </row>
    <row r="4709" spans="1:2" x14ac:dyDescent="0.25">
      <c r="A4709">
        <f ca="1">32504.4929533712*((RANDBETWEEN(1620,2416)))</f>
        <v>61303473.710058153</v>
      </c>
      <c r="B4709">
        <v>178931911.43446794</v>
      </c>
    </row>
    <row r="4710" spans="1:2" x14ac:dyDescent="0.25">
      <c r="A4710">
        <f ca="1">33124.4441723726*((RANDBETWEEN(1620,2416)))</f>
        <v>72410034.960806608</v>
      </c>
      <c r="B4710">
        <v>200720965.02525306</v>
      </c>
    </row>
    <row r="4711" spans="1:2" x14ac:dyDescent="0.25">
      <c r="A4711">
        <f ca="1">31649.018584956*((RANDBETWEEN(1620,2416)))</f>
        <v>63171441.095572233</v>
      </c>
      <c r="B4711">
        <v>185368150.60772341</v>
      </c>
    </row>
    <row r="4712" spans="1:2" x14ac:dyDescent="0.25">
      <c r="A4712">
        <f ca="1">32447.4932565259*((RANDBETWEEN(1620,2416)))</f>
        <v>74337207.050700933</v>
      </c>
      <c r="B4712">
        <v>153627431.09919274</v>
      </c>
    </row>
    <row r="4713" spans="1:2" x14ac:dyDescent="0.25">
      <c r="A4713">
        <f ca="1">36883.4159473021*((RANDBETWEEN(1620,2416)))</f>
        <v>61853488.543625683</v>
      </c>
      <c r="B4713">
        <v>160968369.18190891</v>
      </c>
    </row>
    <row r="4714" spans="1:2" x14ac:dyDescent="0.25">
      <c r="A4714">
        <f ca="1">38350.0221550263*((RANDBETWEEN(1620,2416)))</f>
        <v>90506052.285861969</v>
      </c>
      <c r="B4714">
        <v>199212282.22880954</v>
      </c>
    </row>
    <row r="4715" spans="1:2" x14ac:dyDescent="0.25">
      <c r="A4715">
        <f ca="1">40348.4428654065*((RANDBETWEEN(1620,2416)))</f>
        <v>89452497.832606137</v>
      </c>
      <c r="B4715">
        <v>163652307.60068998</v>
      </c>
    </row>
    <row r="4716" spans="1:2" x14ac:dyDescent="0.25">
      <c r="A4716">
        <f ca="1">37016.7096699252*((RANDBETWEEN(1620,2416)))</f>
        <v>75662154.565327033</v>
      </c>
      <c r="B4716">
        <v>183312477.72555977</v>
      </c>
    </row>
    <row r="4717" spans="1:2" x14ac:dyDescent="0.25">
      <c r="A4717">
        <f ca="1">28473.855193087*((RANDBETWEEN(1620,2416)))</f>
        <v>50683462.243694931</v>
      </c>
      <c r="B4717">
        <v>153049131.84767216</v>
      </c>
    </row>
    <row r="4718" spans="1:2" x14ac:dyDescent="0.25">
      <c r="A4718">
        <f ca="1">38704.6394644982*((RANDBETWEEN(1620,2416)))</f>
        <v>86427459.924224526</v>
      </c>
      <c r="B4718">
        <v>160225006.02114585</v>
      </c>
    </row>
    <row r="4719" spans="1:2" x14ac:dyDescent="0.25">
      <c r="A4719">
        <f ca="1">33937.9260141237*((RANDBETWEEN(1620,2416)))</f>
        <v>66178955.727541164</v>
      </c>
      <c r="B4719">
        <v>165942930.67192918</v>
      </c>
    </row>
    <row r="4720" spans="1:2" x14ac:dyDescent="0.25">
      <c r="A4720">
        <f ca="1">26917.2447125668*((RANDBETWEEN(1620,2416)))</f>
        <v>60536883.358562708</v>
      </c>
      <c r="B4720">
        <v>144587099.0566687</v>
      </c>
    </row>
    <row r="4721" spans="1:2" x14ac:dyDescent="0.25">
      <c r="A4721">
        <f ca="1">30902.3127144*((RANDBETWEEN(1620,2416)))</f>
        <v>50463476.662615195</v>
      </c>
      <c r="B4721">
        <v>166732202.37098968</v>
      </c>
    </row>
    <row r="4722" spans="1:2" x14ac:dyDescent="0.25">
      <c r="A4722">
        <f ca="1">33024.461422311*((RANDBETWEEN(1620,2416)))</f>
        <v>66709412.073068231</v>
      </c>
      <c r="B4722">
        <v>185500367.62960413</v>
      </c>
    </row>
    <row r="4723" spans="1:2" x14ac:dyDescent="0.25">
      <c r="A4723">
        <f ca="1">31013.4858579971*((RANDBETWEEN(1620,2416)))</f>
        <v>59297784.96049054</v>
      </c>
      <c r="B4723">
        <v>158124152.09960961</v>
      </c>
    </row>
    <row r="4724" spans="1:2" x14ac:dyDescent="0.25">
      <c r="A4724">
        <f ca="1">32485.7421661711*((RANDBETWEEN(1620,2416)))</f>
        <v>62210196.248217642</v>
      </c>
      <c r="B4724">
        <v>167129918.41579399</v>
      </c>
    </row>
    <row r="4725" spans="1:2" x14ac:dyDescent="0.25">
      <c r="A4725">
        <f ca="1">31141.4182359023*((RANDBETWEEN(1620,2416)))</f>
        <v>57549340.899947412</v>
      </c>
      <c r="B4725">
        <v>160563899.02307451</v>
      </c>
    </row>
    <row r="4726" spans="1:2" x14ac:dyDescent="0.25">
      <c r="A4726">
        <f ca="1">30225.7579061726*((RANDBETWEEN(1620,2416)))</f>
        <v>67131408.309609428</v>
      </c>
      <c r="B4726">
        <v>177623285.7264941</v>
      </c>
    </row>
    <row r="4727" spans="1:2" x14ac:dyDescent="0.25">
      <c r="A4727">
        <f ca="1">30782.3595748902*((RANDBETWEEN(1620,2416)))</f>
        <v>60672030.722108565</v>
      </c>
      <c r="B4727">
        <v>162301799.32229224</v>
      </c>
    </row>
    <row r="4728" spans="1:2" x14ac:dyDescent="0.25">
      <c r="A4728">
        <f ca="1">35875.156534149*((RANDBETWEEN(1620,2416)))</f>
        <v>65508035.831356086</v>
      </c>
      <c r="B4728">
        <v>163669915.36650267</v>
      </c>
    </row>
    <row r="4729" spans="1:2" x14ac:dyDescent="0.25">
      <c r="A4729">
        <f ca="1">26229.3569108812*((RANDBETWEEN(1620,2416)))</f>
        <v>54084933.950236998</v>
      </c>
      <c r="B4729">
        <v>153643253.66030812</v>
      </c>
    </row>
    <row r="4730" spans="1:2" x14ac:dyDescent="0.25">
      <c r="A4730">
        <f ca="1">30172.1177579628*((RANDBETWEEN(1620,2416)))</f>
        <v>72714803.796690419</v>
      </c>
      <c r="B4730">
        <v>176839527.79782119</v>
      </c>
    </row>
    <row r="4731" spans="1:2" x14ac:dyDescent="0.25">
      <c r="A4731">
        <f ca="1">31534.8620247986*((RANDBETWEEN(1620,2416)))</f>
        <v>66380884.562201098</v>
      </c>
      <c r="B4731">
        <v>191622268.86725545</v>
      </c>
    </row>
    <row r="4732" spans="1:2" x14ac:dyDescent="0.25">
      <c r="A4732">
        <f ca="1">35213.4060463819*((RANDBETWEEN(1620,2416)))</f>
        <v>76377877.714602351</v>
      </c>
      <c r="B4732">
        <v>173482912.1137661</v>
      </c>
    </row>
    <row r="4733" spans="1:2" x14ac:dyDescent="0.25">
      <c r="A4733">
        <f ca="1">31382.8480281581*((RANDBETWEEN(1620,2416)))</f>
        <v>62640164.664203539</v>
      </c>
      <c r="B4733">
        <v>150605112.9847663</v>
      </c>
    </row>
    <row r="4734" spans="1:2" x14ac:dyDescent="0.25">
      <c r="A4734">
        <f ca="1">28231.1895716334*((RANDBETWEEN(1620,2416)))</f>
        <v>51098453.124656476</v>
      </c>
      <c r="B4734">
        <v>158118180.35642314</v>
      </c>
    </row>
    <row r="4735" spans="1:2" x14ac:dyDescent="0.25">
      <c r="A4735">
        <f ca="1">30824.5980294847*((RANDBETWEEN(1620,2416)))</f>
        <v>53696449.767362267</v>
      </c>
      <c r="B4735">
        <v>186255741.59488109</v>
      </c>
    </row>
    <row r="4736" spans="1:2" x14ac:dyDescent="0.25">
      <c r="A4736">
        <f ca="1">41216.3544716587*((RANDBETWEEN(1620,2416)))</f>
        <v>86224613.554710016</v>
      </c>
      <c r="B4736">
        <v>157427295.95324504</v>
      </c>
    </row>
    <row r="4737" spans="1:2" x14ac:dyDescent="0.25">
      <c r="A4737">
        <f ca="1">38406.3068184724*((RANDBETWEEN(1620,2416)))</f>
        <v>82996029.034718916</v>
      </c>
      <c r="B4737">
        <v>155591794.93554375</v>
      </c>
    </row>
    <row r="4738" spans="1:2" x14ac:dyDescent="0.25">
      <c r="A4738">
        <f ca="1">36642.0763851339*((RANDBETWEEN(1620,2416)))</f>
        <v>68410756.611045063</v>
      </c>
      <c r="B4738">
        <v>183035919.34535402</v>
      </c>
    </row>
    <row r="4739" spans="1:2" x14ac:dyDescent="0.25">
      <c r="A4739">
        <f ca="1">32880.2081398519*((RANDBETWEEN(1620,2416)))</f>
        <v>75986161.011197805</v>
      </c>
      <c r="B4739">
        <v>159765513.66231123</v>
      </c>
    </row>
    <row r="4740" spans="1:2" x14ac:dyDescent="0.25">
      <c r="A4740">
        <f ca="1">31046.4627322744*((RANDBETWEEN(1620,2416)))</f>
        <v>62372343.629139185</v>
      </c>
      <c r="B4740">
        <v>182647324.27458304</v>
      </c>
    </row>
    <row r="4741" spans="1:2" x14ac:dyDescent="0.25">
      <c r="A4741">
        <f ca="1">31702.4976212292*((RANDBETWEEN(1620,2416)))</f>
        <v>73644901.974115491</v>
      </c>
      <c r="B4741">
        <v>166684891.92955139</v>
      </c>
    </row>
    <row r="4742" spans="1:2" x14ac:dyDescent="0.25">
      <c r="A4742">
        <f ca="1">33215.2826523011*((RANDBETWEEN(1620,2416)))</f>
        <v>66530211.152559124</v>
      </c>
      <c r="B4742">
        <v>144676695.81277412</v>
      </c>
    </row>
    <row r="4743" spans="1:2" x14ac:dyDescent="0.25">
      <c r="A4743">
        <f ca="1">30025.8067819101*((RANDBETWEEN(1620,2416)))</f>
        <v>59150839.360362932</v>
      </c>
      <c r="B4743">
        <v>153354276.69490576</v>
      </c>
    </row>
    <row r="4744" spans="1:2" x14ac:dyDescent="0.25">
      <c r="A4744">
        <f ca="1">29071.5455596742*((RANDBETWEEN(1620,2416)))</f>
        <v>55265008.108940654</v>
      </c>
      <c r="B4744">
        <v>168111415.49281713</v>
      </c>
    </row>
    <row r="4745" spans="1:2" x14ac:dyDescent="0.25">
      <c r="A4745">
        <f ca="1">31303.5490167854*((RANDBETWEEN(1620,2416)))</f>
        <v>72592930.169925228</v>
      </c>
      <c r="B4745">
        <v>143833230.45647067</v>
      </c>
    </row>
    <row r="4746" spans="1:2" x14ac:dyDescent="0.25">
      <c r="A4746">
        <f ca="1">31181.3366446032*((RANDBETWEEN(1620,2416)))</f>
        <v>65917345.666691132</v>
      </c>
      <c r="B4746">
        <v>165778699.49830329</v>
      </c>
    </row>
    <row r="4747" spans="1:2" x14ac:dyDescent="0.25">
      <c r="A4747">
        <f ca="1">38142.0951115026*((RANDBETWEEN(1620,2416)))</f>
        <v>85705287.71554625</v>
      </c>
      <c r="B4747">
        <v>175165868.57140595</v>
      </c>
    </row>
    <row r="4748" spans="1:2" x14ac:dyDescent="0.25">
      <c r="A4748">
        <f ca="1">33592.885928495*((RANDBETWEEN(1620,2416)))</f>
        <v>60702344.872790478</v>
      </c>
      <c r="B4748">
        <v>178831331.79255867</v>
      </c>
    </row>
    <row r="4749" spans="1:2" x14ac:dyDescent="0.25">
      <c r="A4749">
        <f ca="1">42757.9617392029*((RANDBETWEEN(1620,2416)))</f>
        <v>82651140.041879252</v>
      </c>
      <c r="B4749">
        <v>173271648.02266008</v>
      </c>
    </row>
    <row r="4750" spans="1:2" x14ac:dyDescent="0.25">
      <c r="A4750">
        <f ca="1">31402.7129813982*((RANDBETWEEN(1620,2416)))</f>
        <v>51437643.863530211</v>
      </c>
      <c r="B4750">
        <v>179592548.02405941</v>
      </c>
    </row>
    <row r="4751" spans="1:2" x14ac:dyDescent="0.25">
      <c r="A4751">
        <f ca="1">40154.3829288039*((RANDBETWEEN(1620,2416)))</f>
        <v>65973651.152024813</v>
      </c>
      <c r="B4751">
        <v>144684237.17134854</v>
      </c>
    </row>
    <row r="4752" spans="1:2" x14ac:dyDescent="0.25">
      <c r="A4752">
        <f ca="1">34304.666906152*((RANDBETWEEN(1620,2416)))</f>
        <v>65110257.787876569</v>
      </c>
      <c r="B4752">
        <v>177633359.10321414</v>
      </c>
    </row>
    <row r="4753" spans="1:2" x14ac:dyDescent="0.25">
      <c r="A4753">
        <f ca="1">30778.2901085268*((RANDBETWEEN(1620,2416)))</f>
        <v>71005515.280371234</v>
      </c>
      <c r="B4753">
        <v>184892972.478845</v>
      </c>
    </row>
    <row r="4754" spans="1:2" x14ac:dyDescent="0.25">
      <c r="A4754">
        <f ca="1">29961.477114598*((RANDBETWEEN(1620,2416)))</f>
        <v>56567268.792361028</v>
      </c>
      <c r="B4754">
        <v>147321418.59805959</v>
      </c>
    </row>
    <row r="4755" spans="1:2" x14ac:dyDescent="0.25">
      <c r="A4755">
        <f ca="1">36931.8390060726*((RANDBETWEEN(1620,2416)))</f>
        <v>88340958.902525648</v>
      </c>
      <c r="B4755">
        <v>181803841.68460625</v>
      </c>
    </row>
    <row r="4756" spans="1:2" x14ac:dyDescent="0.25">
      <c r="A4756">
        <f ca="1">33553.6265065101*((RANDBETWEEN(1620,2416)))</f>
        <v>77945074.374623075</v>
      </c>
      <c r="B4756">
        <v>185219792.98182666</v>
      </c>
    </row>
    <row r="4757" spans="1:2" x14ac:dyDescent="0.25">
      <c r="A4757">
        <f ca="1">30274.2928972254*((RANDBETWEEN(1620,2416)))</f>
        <v>69994165.178385064</v>
      </c>
      <c r="B4757">
        <v>147372943.26147276</v>
      </c>
    </row>
    <row r="4758" spans="1:2" x14ac:dyDescent="0.25">
      <c r="A4758">
        <f ca="1">27746.8242443998*((RANDBETWEEN(1620,2416)))</f>
        <v>56076331.797931939</v>
      </c>
      <c r="B4758">
        <v>180152066.0497745</v>
      </c>
    </row>
    <row r="4759" spans="1:2" x14ac:dyDescent="0.25">
      <c r="A4759">
        <f ca="1">36152.0795222315*((RANDBETWEEN(1620,2416)))</f>
        <v>58602520.90553733</v>
      </c>
      <c r="B4759">
        <v>179107958.97421923</v>
      </c>
    </row>
    <row r="4760" spans="1:2" x14ac:dyDescent="0.25">
      <c r="A4760">
        <f ca="1">33058.1294179287*((RANDBETWEEN(1620,2416)))</f>
        <v>76760976.508430511</v>
      </c>
      <c r="B4760">
        <v>188921424.00571686</v>
      </c>
    </row>
    <row r="4761" spans="1:2" x14ac:dyDescent="0.25">
      <c r="A4761">
        <f ca="1">30270.9524700248*((RANDBETWEEN(1620,2416)))</f>
        <v>61480304.466620326</v>
      </c>
      <c r="B4761">
        <v>157693012.4440954</v>
      </c>
    </row>
    <row r="4762" spans="1:2" x14ac:dyDescent="0.25">
      <c r="A4762">
        <f ca="1">33787.0291053786*((RANDBETWEEN(1620,2416)))</f>
        <v>64161568.271113932</v>
      </c>
      <c r="B4762">
        <v>148855023.91442114</v>
      </c>
    </row>
    <row r="4763" spans="1:2" x14ac:dyDescent="0.25">
      <c r="A4763">
        <f ca="1">30867.1359339772*((RANDBETWEEN(1620,2416)))</f>
        <v>68741111.724967286</v>
      </c>
      <c r="B4763">
        <v>149121865.05306274</v>
      </c>
    </row>
    <row r="4764" spans="1:2" x14ac:dyDescent="0.25">
      <c r="A4764">
        <f ca="1">40752.3769134615*((RANDBETWEEN(1620,2416)))</f>
        <v>86802562.825672969</v>
      </c>
      <c r="B4764">
        <v>193727448.6103003</v>
      </c>
    </row>
    <row r="4765" spans="1:2" x14ac:dyDescent="0.25">
      <c r="A4765">
        <f ca="1">34952.9490516392*((RANDBETWEEN(1620,2416)))</f>
        <v>79448053.194375902</v>
      </c>
      <c r="B4765">
        <v>168408465.36225244</v>
      </c>
    </row>
    <row r="4766" spans="1:2" x14ac:dyDescent="0.25">
      <c r="A4766">
        <f ca="1">35881.0840154462*((RANDBETWEEN(1620,2416)))</f>
        <v>68568751.553517669</v>
      </c>
      <c r="B4766">
        <v>143085618.89944822</v>
      </c>
    </row>
    <row r="4767" spans="1:2" x14ac:dyDescent="0.25">
      <c r="A4767">
        <f ca="1">29464.081523983*((RANDBETWEEN(1620,2416)))</f>
        <v>65940614.450674005</v>
      </c>
      <c r="B4767">
        <v>194949748.33967417</v>
      </c>
    </row>
    <row r="4768" spans="1:2" x14ac:dyDescent="0.25">
      <c r="A4768">
        <f ca="1">33695.7372357574*((RANDBETWEEN(1620,2416)))</f>
        <v>66111036.456556015</v>
      </c>
      <c r="B4768">
        <v>176425215.31785494</v>
      </c>
    </row>
    <row r="4769" spans="1:2" x14ac:dyDescent="0.25">
      <c r="A4769">
        <f ca="1">31958.0948427994*((RANDBETWEEN(1620,2416)))</f>
        <v>62350243.038301773</v>
      </c>
      <c r="B4769">
        <v>169785492.08216077</v>
      </c>
    </row>
    <row r="4770" spans="1:2" x14ac:dyDescent="0.25">
      <c r="A4770">
        <f ca="1">38397.821206486*((RANDBETWEEN(1620,2416)))</f>
        <v>65468285.157058567</v>
      </c>
      <c r="B4770">
        <v>180073165.45538107</v>
      </c>
    </row>
    <row r="4771" spans="1:2" x14ac:dyDescent="0.25">
      <c r="A4771">
        <f ca="1">33911.831834409*((RANDBETWEEN(1620,2416)))</f>
        <v>81591867.393588111</v>
      </c>
      <c r="B4771">
        <v>156771122.94295454</v>
      </c>
    </row>
    <row r="4772" spans="1:2" x14ac:dyDescent="0.25">
      <c r="A4772">
        <f ca="1">39124.2772222352*((RANDBETWEEN(1620,2416)))</f>
        <v>69132597.851689562</v>
      </c>
      <c r="B4772">
        <v>155103616.59007531</v>
      </c>
    </row>
    <row r="4773" spans="1:2" x14ac:dyDescent="0.25">
      <c r="A4773">
        <f ca="1">30589.8420180702*((RANDBETWEEN(1620,2416)))</f>
        <v>67909449.280115858</v>
      </c>
      <c r="B4773">
        <v>167808835.75844517</v>
      </c>
    </row>
    <row r="4774" spans="1:2" x14ac:dyDescent="0.25">
      <c r="A4774">
        <f ca="1">32611.459553623*((RANDBETWEEN(1620,2416)))</f>
        <v>75136802.811547384</v>
      </c>
      <c r="B4774">
        <v>179945473.62352461</v>
      </c>
    </row>
    <row r="4775" spans="1:2" x14ac:dyDescent="0.25">
      <c r="A4775">
        <f ca="1">34717.7232054797*((RANDBETWEEN(1620,2416)))</f>
        <v>59471459.850986749</v>
      </c>
      <c r="B4775">
        <v>147212079.9491246</v>
      </c>
    </row>
    <row r="4776" spans="1:2" x14ac:dyDescent="0.25">
      <c r="A4776">
        <f ca="1">31609.7861572951*((RANDBETWEEN(1620,2416)))</f>
        <v>67170795.584252059</v>
      </c>
      <c r="B4776">
        <v>157523720.10733151</v>
      </c>
    </row>
    <row r="4777" spans="1:2" x14ac:dyDescent="0.25">
      <c r="A4777">
        <f ca="1">31241.5830155935*((RANDBETWEEN(1620,2416)))</f>
        <v>60327496.803111106</v>
      </c>
      <c r="B4777">
        <v>146880408.05545792</v>
      </c>
    </row>
    <row r="4778" spans="1:2" x14ac:dyDescent="0.25">
      <c r="A4778">
        <f ca="1">36902.9065695404*((RANDBETWEEN(1620,2416)))</f>
        <v>83105345.594604984</v>
      </c>
      <c r="B4778">
        <v>144423116.39719278</v>
      </c>
    </row>
    <row r="4779" spans="1:2" x14ac:dyDescent="0.25">
      <c r="A4779">
        <f ca="1">33792.1412881487*((RANDBETWEEN(1620,2416)))</f>
        <v>66232596.924771503</v>
      </c>
      <c r="B4779">
        <v>167760549.65200919</v>
      </c>
    </row>
    <row r="4780" spans="1:2" x14ac:dyDescent="0.25">
      <c r="A4780">
        <f ca="1">33785.4605190925*((RANDBETWEEN(1620,2416)))</f>
        <v>56894715.514151759</v>
      </c>
      <c r="B4780">
        <v>176664892.84982401</v>
      </c>
    </row>
    <row r="4781" spans="1:2" x14ac:dyDescent="0.25">
      <c r="A4781">
        <f ca="1">32749.3898940028*((RANDBETWEEN(1620,2416)))</f>
        <v>69985446.203484058</v>
      </c>
      <c r="B4781">
        <v>180596794.37443459</v>
      </c>
    </row>
    <row r="4782" spans="1:2" x14ac:dyDescent="0.25">
      <c r="A4782">
        <f ca="1">31304.2488553318*((RANDBETWEEN(1620,2416)))</f>
        <v>72531944.597803667</v>
      </c>
      <c r="B4782">
        <v>165987075.11883953</v>
      </c>
    </row>
    <row r="4783" spans="1:2" x14ac:dyDescent="0.25">
      <c r="A4783">
        <f ca="1">30429.5908532456*((RANDBETWEEN(1620,2416)))</f>
        <v>56446891.032770522</v>
      </c>
      <c r="B4783">
        <v>200722633.58689713</v>
      </c>
    </row>
    <row r="4784" spans="1:2" x14ac:dyDescent="0.25">
      <c r="A4784">
        <f ca="1">27251.0701494768*((RANDBETWEEN(1620,2416)))</f>
        <v>55510429.894484207</v>
      </c>
      <c r="B4784">
        <v>157165170.32133186</v>
      </c>
    </row>
    <row r="4785" spans="1:2" x14ac:dyDescent="0.25">
      <c r="A4785">
        <f ca="1">33900.2571683303*((RANDBETWEEN(1620,2416)))</f>
        <v>75190770.399356559</v>
      </c>
      <c r="B4785">
        <v>168560001.76597577</v>
      </c>
    </row>
    <row r="4786" spans="1:2" x14ac:dyDescent="0.25">
      <c r="A4786">
        <f ca="1">36038.8267739883*((RANDBETWEEN(1620,2416)))</f>
        <v>83285728.674686909</v>
      </c>
      <c r="B4786">
        <v>186249664.24805379</v>
      </c>
    </row>
    <row r="4787" spans="1:2" x14ac:dyDescent="0.25">
      <c r="A4787">
        <f ca="1">37092.3679946855*((RANDBETWEEN(1620,2416)))</f>
        <v>65468029.510619827</v>
      </c>
      <c r="B4787">
        <v>189979981.20276898</v>
      </c>
    </row>
    <row r="4788" spans="1:2" x14ac:dyDescent="0.25">
      <c r="A4788">
        <f ca="1">40057.9697631173*((RANDBETWEEN(1620,2416)))</f>
        <v>66856751.534642778</v>
      </c>
      <c r="B4788">
        <v>189379976.02026486</v>
      </c>
    </row>
    <row r="4789" spans="1:2" x14ac:dyDescent="0.25">
      <c r="A4789">
        <f ca="1">35362.4383907273*((RANDBETWEEN(1620,2416)))</f>
        <v>72280824.070646614</v>
      </c>
      <c r="B4789">
        <v>171777532.81807935</v>
      </c>
    </row>
    <row r="4790" spans="1:2" x14ac:dyDescent="0.25">
      <c r="A4790">
        <f ca="1">36823.2695918468*((RANDBETWEEN(1620,2416)))</f>
        <v>65214010.447160676</v>
      </c>
      <c r="B4790">
        <v>163468738.00579152</v>
      </c>
    </row>
    <row r="4791" spans="1:2" x14ac:dyDescent="0.25">
      <c r="A4791">
        <f ca="1">30336.0546432571*((RANDBETWEEN(1620,2416)))</f>
        <v>61157486.16080635</v>
      </c>
      <c r="B4791">
        <v>174784722.35095823</v>
      </c>
    </row>
    <row r="4792" spans="1:2" x14ac:dyDescent="0.25">
      <c r="A4792">
        <f ca="1">32042.9366733519*((RANDBETWEEN(1620,2416)))</f>
        <v>58670617.048907347</v>
      </c>
      <c r="B4792">
        <v>163224568.9896135</v>
      </c>
    </row>
    <row r="4793" spans="1:2" x14ac:dyDescent="0.25">
      <c r="A4793">
        <f ca="1">29316.0496140019*((RANDBETWEEN(1620,2416)))</f>
        <v>69772198.081324533</v>
      </c>
      <c r="B4793">
        <v>161623122.15290895</v>
      </c>
    </row>
    <row r="4794" spans="1:2" x14ac:dyDescent="0.25">
      <c r="A4794">
        <f ca="1">34371.3888881066*((RANDBETWEEN(1620,2416)))</f>
        <v>57434590.832026049</v>
      </c>
      <c r="B4794">
        <v>174371623.96641394</v>
      </c>
    </row>
    <row r="4795" spans="1:2" x14ac:dyDescent="0.25">
      <c r="A4795">
        <f ca="1">39374.4204769836*((RANDBETWEEN(1620,2416)))</f>
        <v>93711120.735220984</v>
      </c>
      <c r="B4795">
        <v>146605402.60430732</v>
      </c>
    </row>
    <row r="4796" spans="1:2" x14ac:dyDescent="0.25">
      <c r="A4796">
        <f ca="1">31721.4979628799*((RANDBETWEEN(1620,2416)))</f>
        <v>75211671.669988215</v>
      </c>
      <c r="B4796">
        <v>188553953.10448009</v>
      </c>
    </row>
    <row r="4797" spans="1:2" x14ac:dyDescent="0.25">
      <c r="A4797">
        <f ca="1">42315.8000912352*((RANDBETWEEN(1620,2416)))</f>
        <v>83742968.380554378</v>
      </c>
      <c r="B4797">
        <v>159243231.8967362</v>
      </c>
    </row>
    <row r="4798" spans="1:2" x14ac:dyDescent="0.25">
      <c r="A4798">
        <f ca="1">39346.7730289136*((RANDBETWEEN(1620,2416)))</f>
        <v>74640828.43584913</v>
      </c>
      <c r="B4798">
        <v>166977205.66550618</v>
      </c>
    </row>
    <row r="4799" spans="1:2" x14ac:dyDescent="0.25">
      <c r="A4799">
        <f ca="1">30456.2290915185*((RANDBETWEEN(1620,2416)))</f>
        <v>58567328.542990066</v>
      </c>
      <c r="B4799">
        <v>159571216.58847678</v>
      </c>
    </row>
    <row r="4800" spans="1:2" x14ac:dyDescent="0.25">
      <c r="A4800">
        <f ca="1">38470.567739556*((RANDBETWEEN(1620,2416)))</f>
        <v>81442191.904640153</v>
      </c>
      <c r="B4800">
        <v>160694992.75223866</v>
      </c>
    </row>
    <row r="4801" spans="1:2" x14ac:dyDescent="0.25">
      <c r="A4801">
        <f ca="1">30519.4515014627*((RANDBETWEEN(1620,2416)))</f>
        <v>59818124.942866959</v>
      </c>
      <c r="B4801">
        <v>146177196.39595044</v>
      </c>
    </row>
    <row r="4802" spans="1:2" x14ac:dyDescent="0.25">
      <c r="A4802">
        <f ca="1">31059.8708537049*((RANDBETWEEN(1620,2416)))</f>
        <v>73456594.569011986</v>
      </c>
      <c r="B4802">
        <v>179815848.48520455</v>
      </c>
    </row>
    <row r="4803" spans="1:2" x14ac:dyDescent="0.25">
      <c r="A4803">
        <f ca="1">29279.6627485031*((RANDBETWEEN(1620,2416)))</f>
        <v>54430893.049467318</v>
      </c>
      <c r="B4803">
        <v>183585252.67191792</v>
      </c>
    </row>
    <row r="4804" spans="1:2" x14ac:dyDescent="0.25">
      <c r="A4804">
        <f ca="1">30036.2063335891*((RANDBETWEEN(1620,2416)))</f>
        <v>70975555.566271037</v>
      </c>
      <c r="B4804">
        <v>143299337.02193573</v>
      </c>
    </row>
    <row r="4805" spans="1:2" x14ac:dyDescent="0.25">
      <c r="A4805">
        <f ca="1">36367.8715855826*((RANDBETWEEN(1620,2416)))</f>
        <v>64407500.578066759</v>
      </c>
      <c r="B4805">
        <v>197057574.48531178</v>
      </c>
    </row>
    <row r="4806" spans="1:2" x14ac:dyDescent="0.25">
      <c r="A4806">
        <f ca="1">36189.9341029935*((RANDBETWEEN(1620,2416)))</f>
        <v>65395210.924109221</v>
      </c>
      <c r="B4806">
        <v>194821431.95293266</v>
      </c>
    </row>
    <row r="4807" spans="1:2" x14ac:dyDescent="0.25">
      <c r="A4807">
        <f ca="1">31648.9177430234*((RANDBETWEEN(1620,2416)))</f>
        <v>51334544.579183899</v>
      </c>
      <c r="B4807">
        <v>153332438.33136427</v>
      </c>
    </row>
    <row r="4808" spans="1:2" x14ac:dyDescent="0.25">
      <c r="A4808">
        <f ca="1">29345.2722301185*((RANDBETWEEN(1620,2416)))</f>
        <v>64002038.733888425</v>
      </c>
      <c r="B4808">
        <v>163689775.43497312</v>
      </c>
    </row>
    <row r="4809" spans="1:2" x14ac:dyDescent="0.25">
      <c r="A4809">
        <f ca="1">31228.831796586*((RANDBETWEEN(1620,2416)))</f>
        <v>68078853.316557482</v>
      </c>
      <c r="B4809">
        <v>167304098.54917383</v>
      </c>
    </row>
    <row r="4810" spans="1:2" x14ac:dyDescent="0.25">
      <c r="A4810">
        <f ca="1">42705.6620867439*((RANDBETWEEN(1620,2416)))</f>
        <v>86308143.077309355</v>
      </c>
      <c r="B4810">
        <v>177584477.10713649</v>
      </c>
    </row>
    <row r="4811" spans="1:2" x14ac:dyDescent="0.25">
      <c r="A4811">
        <f ca="1">32434.8511988814*((RANDBETWEEN(1620,2416)))</f>
        <v>58123253.348395534</v>
      </c>
      <c r="B4811">
        <v>154032373.83217573</v>
      </c>
    </row>
    <row r="4812" spans="1:2" x14ac:dyDescent="0.25">
      <c r="A4812">
        <f ca="1">30720.261406423*((RANDBETWEEN(1620,2416)))</f>
        <v>54436303.212181598</v>
      </c>
      <c r="B4812">
        <v>146337693.9829334</v>
      </c>
    </row>
    <row r="4813" spans="1:2" x14ac:dyDescent="0.25">
      <c r="A4813">
        <f ca="1">37297.982767193*((RANDBETWEEN(1620,2416)))</f>
        <v>75416521.155264184</v>
      </c>
      <c r="B4813">
        <v>151947913.31299195</v>
      </c>
    </row>
    <row r="4814" spans="1:2" x14ac:dyDescent="0.25">
      <c r="A4814">
        <f ca="1">37813.3120653941*((RANDBETWEEN(1620,2416)))</f>
        <v>70294947.129567668</v>
      </c>
      <c r="B4814">
        <v>158464860.03601792</v>
      </c>
    </row>
    <row r="4815" spans="1:2" x14ac:dyDescent="0.25">
      <c r="A4815">
        <f ca="1">30674.0367699305*((RANDBETWEEN(1620,2416)))</f>
        <v>61409421.613400921</v>
      </c>
      <c r="B4815">
        <v>157714048.48516551</v>
      </c>
    </row>
    <row r="4816" spans="1:2" x14ac:dyDescent="0.25">
      <c r="A4816">
        <f ca="1">29058.131760741*((RANDBETWEEN(1620,2416)))</f>
        <v>53002032.331591547</v>
      </c>
      <c r="B4816">
        <v>157374948.23018643</v>
      </c>
    </row>
    <row r="4817" spans="1:2" x14ac:dyDescent="0.25">
      <c r="A4817">
        <f ca="1">35767.6954520449*((RANDBETWEEN(1620,2416)))</f>
        <v>67171732.058940277</v>
      </c>
      <c r="B4817">
        <v>176827888.87142697</v>
      </c>
    </row>
    <row r="4818" spans="1:2" x14ac:dyDescent="0.25">
      <c r="A4818">
        <f ca="1">38600.769698083*((RANDBETWEEN(1620,2416)))</f>
        <v>63536866.923044547</v>
      </c>
      <c r="B4818">
        <v>151257064.49488595</v>
      </c>
    </row>
    <row r="4819" spans="1:2" x14ac:dyDescent="0.25">
      <c r="A4819">
        <f ca="1">31264.2501637827*((RANDBETWEEN(1620,2416)))</f>
        <v>68843878.860649556</v>
      </c>
      <c r="B4819">
        <v>153308365.04874623</v>
      </c>
    </row>
    <row r="4820" spans="1:2" x14ac:dyDescent="0.25">
      <c r="A4820">
        <f ca="1">34064.5609486317*((RANDBETWEEN(1620,2416)))</f>
        <v>67209378.751650408</v>
      </c>
      <c r="B4820">
        <v>166723000.98730353</v>
      </c>
    </row>
    <row r="4821" spans="1:2" x14ac:dyDescent="0.25">
      <c r="A4821">
        <f ca="1">39522.5744384513*((RANDBETWEEN(1620,2416)))</f>
        <v>78887058.579148725</v>
      </c>
      <c r="B4821">
        <v>192673913.92242354</v>
      </c>
    </row>
    <row r="4822" spans="1:2" x14ac:dyDescent="0.25">
      <c r="A4822">
        <f ca="1">35018.0376143228*((RANDBETWEEN(1620,2416)))</f>
        <v>77459899.202882051</v>
      </c>
      <c r="B4822">
        <v>179365989.11754662</v>
      </c>
    </row>
    <row r="4823" spans="1:2" x14ac:dyDescent="0.25">
      <c r="A4823">
        <f ca="1">33520.0362213264*((RANDBETWEEN(1620,2416)))</f>
        <v>61475746.42991253</v>
      </c>
      <c r="B4823">
        <v>151467785.33312315</v>
      </c>
    </row>
    <row r="4824" spans="1:2" x14ac:dyDescent="0.25">
      <c r="A4824">
        <f ca="1">32882.8458089194*((RANDBETWEEN(1620,2416)))</f>
        <v>61162093.20459009</v>
      </c>
      <c r="B4824">
        <v>160973097.45108673</v>
      </c>
    </row>
    <row r="4825" spans="1:2" x14ac:dyDescent="0.25">
      <c r="A4825">
        <f ca="1">32348.3109703858*((RANDBETWEEN(1620,2416)))</f>
        <v>56383106.021382414</v>
      </c>
      <c r="B4825">
        <v>168476625.81489921</v>
      </c>
    </row>
    <row r="4826" spans="1:2" x14ac:dyDescent="0.25">
      <c r="A4826">
        <f ca="1">37271.1387623299*((RANDBETWEEN(1620,2416)))</f>
        <v>70367909.9832789</v>
      </c>
      <c r="B4826">
        <v>191966057.55038071</v>
      </c>
    </row>
    <row r="4827" spans="1:2" x14ac:dyDescent="0.25">
      <c r="A4827">
        <f ca="1">37951.9849364435*((RANDBETWEEN(1620,2416)))</f>
        <v>89111260.630769446</v>
      </c>
      <c r="B4827">
        <v>173558987.36850142</v>
      </c>
    </row>
    <row r="4828" spans="1:2" x14ac:dyDescent="0.25">
      <c r="A4828">
        <f ca="1">30532.1547342561*((RANDBETWEEN(1620,2416)))</f>
        <v>56118100.40156278</v>
      </c>
      <c r="B4828">
        <v>149490600.59185687</v>
      </c>
    </row>
    <row r="4829" spans="1:2" x14ac:dyDescent="0.25">
      <c r="A4829">
        <f ca="1">31170.0664218711*((RANDBETWEEN(1620,2416)))</f>
        <v>63306404.902820125</v>
      </c>
      <c r="B4829">
        <v>161256405.24514177</v>
      </c>
    </row>
    <row r="4830" spans="1:2" x14ac:dyDescent="0.25">
      <c r="A4830">
        <f ca="1">31113.820604765*((RANDBETWEEN(1620,2416)))</f>
        <v>58525096.55756288</v>
      </c>
      <c r="B4830">
        <v>163026148.31108633</v>
      </c>
    </row>
    <row r="4831" spans="1:2" x14ac:dyDescent="0.25">
      <c r="A4831">
        <f ca="1">31206.5471649275*((RANDBETWEEN(1620,2416)))</f>
        <v>73179353.101755038</v>
      </c>
      <c r="B4831">
        <v>167913305.7085456</v>
      </c>
    </row>
    <row r="4832" spans="1:2" x14ac:dyDescent="0.25">
      <c r="A4832">
        <f ca="1">31686.8649824053*((RANDBETWEEN(1620,2416)))</f>
        <v>55959003.558927767</v>
      </c>
      <c r="B4832">
        <v>194375028.38642648</v>
      </c>
    </row>
    <row r="4833" spans="1:2" x14ac:dyDescent="0.25">
      <c r="A4833">
        <f ca="1">30236.461099793*((RANDBETWEEN(1620,2416)))</f>
        <v>67941328.091234893</v>
      </c>
      <c r="B4833">
        <v>149416281.04505154</v>
      </c>
    </row>
    <row r="4834" spans="1:2" x14ac:dyDescent="0.25">
      <c r="A4834">
        <f ca="1">31767.883985337*((RANDBETWEEN(1620,2416)))</f>
        <v>70048184.187668115</v>
      </c>
      <c r="B4834">
        <v>157181724.05323967</v>
      </c>
    </row>
    <row r="4835" spans="1:2" x14ac:dyDescent="0.25">
      <c r="A4835">
        <f ca="1">31315.8211422994*((RANDBETWEEN(1620,2416)))</f>
        <v>62537694.821171805</v>
      </c>
      <c r="B4835">
        <v>189556987.60897237</v>
      </c>
    </row>
    <row r="4836" spans="1:2" x14ac:dyDescent="0.25">
      <c r="A4836">
        <f ca="1">30831.0029369587*((RANDBETWEEN(1620,2416)))</f>
        <v>63049401.006080471</v>
      </c>
      <c r="B4836">
        <v>162634473.34137964</v>
      </c>
    </row>
    <row r="4837" spans="1:2" x14ac:dyDescent="0.25">
      <c r="A4837">
        <f ca="1">38738.6802370977*((RANDBETWEEN(1620,2416)))</f>
        <v>74998084.93902123</v>
      </c>
      <c r="B4837">
        <v>169497506.03247929</v>
      </c>
    </row>
    <row r="4838" spans="1:2" x14ac:dyDescent="0.25">
      <c r="A4838">
        <f ca="1">38300.9681630941*((RANDBETWEEN(1620,2416)))</f>
        <v>71776014.337638304</v>
      </c>
      <c r="B4838">
        <v>199748607.36850137</v>
      </c>
    </row>
    <row r="4839" spans="1:2" x14ac:dyDescent="0.25">
      <c r="A4839">
        <f ca="1">32472.4695570144*((RANDBETWEEN(1620,2416)))</f>
        <v>77966399.406391472</v>
      </c>
      <c r="B4839">
        <v>159846778.50483191</v>
      </c>
    </row>
    <row r="4840" spans="1:2" x14ac:dyDescent="0.25">
      <c r="A4840">
        <f ca="1">33623.6099978173*((RANDBETWEEN(1620,2416)))</f>
        <v>69298260.205501407</v>
      </c>
      <c r="B4840">
        <v>175604559.14179444</v>
      </c>
    </row>
    <row r="4841" spans="1:2" x14ac:dyDescent="0.25">
      <c r="A4841">
        <f ca="1">31202.8845998873*((RANDBETWEEN(1620,2416)))</f>
        <v>73763619.194133624</v>
      </c>
      <c r="B4841">
        <v>163706559.34625506</v>
      </c>
    </row>
    <row r="4842" spans="1:2" x14ac:dyDescent="0.25">
      <c r="A4842">
        <f ca="1">30331.0776822198*((RANDBETWEEN(1620,2416)))</f>
        <v>59782554.111655146</v>
      </c>
      <c r="B4842">
        <v>183182107.03760341</v>
      </c>
    </row>
    <row r="4843" spans="1:2" x14ac:dyDescent="0.25">
      <c r="A4843">
        <f ca="1">31333.2292780351*((RANDBETWEEN(1620,2416)))</f>
        <v>74573085.68172358</v>
      </c>
      <c r="B4843">
        <v>159092991.42923912</v>
      </c>
    </row>
    <row r="4844" spans="1:2" x14ac:dyDescent="0.25">
      <c r="A4844">
        <f ca="1">31272.8598850542*((RANDBETWEEN(1620,2416)))</f>
        <v>56416239.232637703</v>
      </c>
      <c r="B4844">
        <v>150357874.03266191</v>
      </c>
    </row>
    <row r="4845" spans="1:2" x14ac:dyDescent="0.25">
      <c r="A4845">
        <f ca="1">33097.7595055296*((RANDBETWEEN(1620,2416)))</f>
        <v>59013305.198359281</v>
      </c>
      <c r="B4845">
        <v>150383306.20410791</v>
      </c>
    </row>
    <row r="4846" spans="1:2" x14ac:dyDescent="0.25">
      <c r="A4846">
        <f ca="1">30438.3834628373*((RANDBETWEEN(1620,2416)))</f>
        <v>64255427.490049459</v>
      </c>
      <c r="B4846">
        <v>177389869.94986746</v>
      </c>
    </row>
    <row r="4847" spans="1:2" x14ac:dyDescent="0.25">
      <c r="A4847">
        <f ca="1">28962.0709309688*((RANDBETWEEN(1620,2416)))</f>
        <v>65685976.871437311</v>
      </c>
      <c r="B4847">
        <v>151213173.12308604</v>
      </c>
    </row>
    <row r="4848" spans="1:2" x14ac:dyDescent="0.25">
      <c r="A4848">
        <f ca="1">30355.8111832447*((RANDBETWEEN(1620,2416)))</f>
        <v>72702167.783871129</v>
      </c>
      <c r="B4848">
        <v>169653955.94367525</v>
      </c>
    </row>
    <row r="4849" spans="1:2" x14ac:dyDescent="0.25">
      <c r="A4849">
        <f ca="1">34708.3840717726*((RANDBETWEEN(1620,2416)))</f>
        <v>79725158.212861657</v>
      </c>
      <c r="B4849">
        <v>194007489.97336119</v>
      </c>
    </row>
    <row r="4850" spans="1:2" x14ac:dyDescent="0.25">
      <c r="A4850">
        <f ca="1">29729.1113320615*((RANDBETWEEN(1620,2416)))</f>
        <v>69001267.401714683</v>
      </c>
      <c r="B4850">
        <v>148611650.64698285</v>
      </c>
    </row>
    <row r="4851" spans="1:2" x14ac:dyDescent="0.25">
      <c r="A4851">
        <f ca="1">39344.294152556*((RANDBETWEEN(1620,2416)))</f>
        <v>68852514.766972944</v>
      </c>
      <c r="B4851">
        <v>148334532.31766981</v>
      </c>
    </row>
    <row r="4852" spans="1:2" x14ac:dyDescent="0.25">
      <c r="A4852">
        <f ca="1">30942.6412067855*((RANDBETWEEN(1620,2416)))</f>
        <v>62411307.314086415</v>
      </c>
      <c r="B4852">
        <v>175715329.64244184</v>
      </c>
    </row>
    <row r="4853" spans="1:2" x14ac:dyDescent="0.25">
      <c r="A4853">
        <f ca="1">30040.164707258*((RANDBETWEEN(1620,2416)))</f>
        <v>71345391.179737836</v>
      </c>
      <c r="B4853">
        <v>191194869.53348318</v>
      </c>
    </row>
    <row r="4854" spans="1:2" x14ac:dyDescent="0.25">
      <c r="A4854">
        <f ca="1">29240.7295877317*((RANDBETWEEN(1620,2416)))</f>
        <v>50118610.513372116</v>
      </c>
      <c r="B4854">
        <v>158732955.18836284</v>
      </c>
    </row>
    <row r="4855" spans="1:2" x14ac:dyDescent="0.25">
      <c r="A4855">
        <f ca="1">31480.420306677*((RANDBETWEEN(1620,2416)))</f>
        <v>51879732.665403716</v>
      </c>
      <c r="B4855">
        <v>157178936.86799455</v>
      </c>
    </row>
    <row r="4856" spans="1:2" x14ac:dyDescent="0.25">
      <c r="A4856">
        <f ca="1">31431.3563773822*((RANDBETWEEN(1620,2416)))</f>
        <v>56230696.559136689</v>
      </c>
      <c r="B4856">
        <v>196916522.67697179</v>
      </c>
    </row>
    <row r="4857" spans="1:2" x14ac:dyDescent="0.25">
      <c r="A4857">
        <f ca="1">41736.4051975802*((RANDBETWEEN(1620,2416)))</f>
        <v>82095509.0236402</v>
      </c>
      <c r="B4857">
        <v>167821506.61757463</v>
      </c>
    </row>
    <row r="4858" spans="1:2" x14ac:dyDescent="0.25">
      <c r="A4858">
        <f ca="1">30712.4116779861*((RANDBETWEEN(1620,2416)))</f>
        <v>52856060.497814104</v>
      </c>
      <c r="B4858">
        <v>146188537.62934342</v>
      </c>
    </row>
    <row r="4859" spans="1:2" x14ac:dyDescent="0.25">
      <c r="A4859">
        <f ca="1">34010.5969452849*((RANDBETWEEN(1620,2416)))</f>
        <v>76387800.739109859</v>
      </c>
      <c r="B4859">
        <v>183286462.8357963</v>
      </c>
    </row>
    <row r="4860" spans="1:2" x14ac:dyDescent="0.25">
      <c r="A4860">
        <f ca="1">36923.52169654*((RANDBETWEEN(1620,2416)))</f>
        <v>68530056.26877819</v>
      </c>
      <c r="B4860">
        <v>166108361.34401953</v>
      </c>
    </row>
    <row r="4861" spans="1:2" x14ac:dyDescent="0.25">
      <c r="A4861">
        <f ca="1">30572.6067531015*((RANDBETWEEN(1620,2416)))</f>
        <v>52860037.076112427</v>
      </c>
      <c r="B4861">
        <v>170146593.80394191</v>
      </c>
    </row>
    <row r="4862" spans="1:2" x14ac:dyDescent="0.25">
      <c r="A4862">
        <f ca="1">32552.6338998975*((RANDBETWEEN(1620,2416)))</f>
        <v>62175530.748804219</v>
      </c>
      <c r="B4862">
        <v>182399152.18185425</v>
      </c>
    </row>
    <row r="4863" spans="1:2" x14ac:dyDescent="0.25">
      <c r="A4863">
        <f ca="1">31803.3946244853*((RANDBETWEEN(1620,2416)))</f>
        <v>76550770.861136079</v>
      </c>
      <c r="B4863">
        <v>148223138.43625098</v>
      </c>
    </row>
    <row r="4864" spans="1:2" x14ac:dyDescent="0.25">
      <c r="A4864">
        <f ca="1">32104.3865283107*((RANDBETWEEN(1620,2416)))</f>
        <v>70372815.270057142</v>
      </c>
      <c r="B4864">
        <v>177336764.07564169</v>
      </c>
    </row>
    <row r="4865" spans="1:2" x14ac:dyDescent="0.25">
      <c r="A4865">
        <f ca="1">31315.1302419731*((RANDBETWEEN(1620,2416)))</f>
        <v>66983063.587580398</v>
      </c>
      <c r="B4865">
        <v>167506896.87288356</v>
      </c>
    </row>
    <row r="4866" spans="1:2" x14ac:dyDescent="0.25">
      <c r="A4866">
        <f ca="1">36900.7186464895*((RANDBETWEEN(1620,2416)))</f>
        <v>85240660.073390678</v>
      </c>
      <c r="B4866">
        <v>187023091.95336375</v>
      </c>
    </row>
    <row r="4867" spans="1:2" x14ac:dyDescent="0.25">
      <c r="A4867">
        <f ca="1">31468.4374391928*((RANDBETWEEN(1620,2416)))</f>
        <v>61269047.694108456</v>
      </c>
      <c r="B4867">
        <v>147298476.4469637</v>
      </c>
    </row>
    <row r="4868" spans="1:2" x14ac:dyDescent="0.25">
      <c r="A4868">
        <f ca="1">32505.8747182788*((RANDBETWEEN(1620,2416)))</f>
        <v>66962101.919654392</v>
      </c>
      <c r="B4868">
        <v>176723624.3966915</v>
      </c>
    </row>
    <row r="4869" spans="1:2" x14ac:dyDescent="0.25">
      <c r="A4869">
        <f ca="1">28429.2160723736*((RANDBETWEEN(1620,2416)))</f>
        <v>62515846.143149607</v>
      </c>
      <c r="B4869">
        <v>145990467.16589212</v>
      </c>
    </row>
    <row r="4870" spans="1:2" x14ac:dyDescent="0.25">
      <c r="A4870">
        <f ca="1">29626.4093629023*((RANDBETWEEN(1620,2416)))</f>
        <v>52646129.437877327</v>
      </c>
      <c r="B4870">
        <v>147481528.87660125</v>
      </c>
    </row>
    <row r="4871" spans="1:2" x14ac:dyDescent="0.25">
      <c r="A4871">
        <f ca="1">30029.61613183*((RANDBETWEEN(1620,2416)))</f>
        <v>70929953.303382561</v>
      </c>
      <c r="B4871">
        <v>164363277.77396855</v>
      </c>
    </row>
    <row r="4872" spans="1:2" x14ac:dyDescent="0.25">
      <c r="A4872">
        <f ca="1">39379.8678271087*((RANDBETWEEN(1620,2416)))</f>
        <v>90928114.812793896</v>
      </c>
      <c r="B4872">
        <v>155252402.77471918</v>
      </c>
    </row>
    <row r="4873" spans="1:2" x14ac:dyDescent="0.25">
      <c r="A4873">
        <f ca="1">28914.1061902618*((RANDBETWEEN(1620,2416)))</f>
        <v>55659654.416253917</v>
      </c>
      <c r="B4873">
        <v>162321066.31395069</v>
      </c>
    </row>
    <row r="4874" spans="1:2" x14ac:dyDescent="0.25">
      <c r="A4874">
        <f ca="1">37247.8710703757*((RANDBETWEEN(1620,2416)))</f>
        <v>84738906.685104683</v>
      </c>
      <c r="B4874">
        <v>153411327.69204438</v>
      </c>
    </row>
    <row r="4875" spans="1:2" x14ac:dyDescent="0.25">
      <c r="A4875">
        <f ca="1">30361.1651738873*((RANDBETWEEN(1620,2416)))</f>
        <v>52555176.915998995</v>
      </c>
      <c r="B4875">
        <v>163035535.90015826</v>
      </c>
    </row>
    <row r="4876" spans="1:2" x14ac:dyDescent="0.25">
      <c r="A4876">
        <f ca="1">32099.3310583269*((RANDBETWEEN(1620,2416)))</f>
        <v>67729588.53306967</v>
      </c>
      <c r="B4876">
        <v>144265670.43726501</v>
      </c>
    </row>
    <row r="4877" spans="1:2" x14ac:dyDescent="0.25">
      <c r="A4877">
        <f ca="1">31439.8924411498*((RANDBETWEEN(1620,2416)))</f>
        <v>53793655.966807254</v>
      </c>
      <c r="B4877">
        <v>192011650.98936394</v>
      </c>
    </row>
    <row r="4878" spans="1:2" x14ac:dyDescent="0.25">
      <c r="A4878">
        <f ca="1">34317.6125916728*((RANDBETWEEN(1620,2416)))</f>
        <v>82499540.670381367</v>
      </c>
      <c r="B4878">
        <v>195953434.42586979</v>
      </c>
    </row>
    <row r="4879" spans="1:2" x14ac:dyDescent="0.25">
      <c r="A4879">
        <f ca="1">32715.5628881061*((RANDBETWEEN(1620,2416)))</f>
        <v>66870610.543288931</v>
      </c>
      <c r="B4879">
        <v>150787897.37076634</v>
      </c>
    </row>
    <row r="4880" spans="1:2" x14ac:dyDescent="0.25">
      <c r="A4880">
        <f ca="1">41492.6884323088*((RANDBETWEEN(1620,2416)))</f>
        <v>88835845.933573052</v>
      </c>
      <c r="B4880">
        <v>150534506.31484309</v>
      </c>
    </row>
    <row r="4881" spans="1:2" x14ac:dyDescent="0.25">
      <c r="A4881">
        <f ca="1">35875.2316668089*((RANDBETWEEN(1620,2416)))</f>
        <v>83481664.088664249</v>
      </c>
      <c r="B4881">
        <v>179478064.52891901</v>
      </c>
    </row>
    <row r="4882" spans="1:2" x14ac:dyDescent="0.25">
      <c r="A4882">
        <f ca="1">37358.3513594277*((RANDBETWEEN(1620,2416)))</f>
        <v>89697401.613985971</v>
      </c>
      <c r="B4882">
        <v>154277419.90271524</v>
      </c>
    </row>
    <row r="4883" spans="1:2" x14ac:dyDescent="0.25">
      <c r="A4883">
        <f ca="1">30254.3616698299*((RANDBETWEEN(1620,2416)))</f>
        <v>64502299.080077305</v>
      </c>
      <c r="B4883">
        <v>161155359.65028432</v>
      </c>
    </row>
    <row r="4884" spans="1:2" x14ac:dyDescent="0.25">
      <c r="A4884">
        <f ca="1">32930.9110880213*((RANDBETWEEN(1620,2416)))</f>
        <v>68463364.15199621</v>
      </c>
      <c r="B4884">
        <v>192637472.1010589</v>
      </c>
    </row>
    <row r="4885" spans="1:2" x14ac:dyDescent="0.25">
      <c r="A4885">
        <f ca="1">30918.8299815859*((RANDBETWEEN(1620,2416)))</f>
        <v>57756374.405602545</v>
      </c>
      <c r="B4885">
        <v>150596102.64684802</v>
      </c>
    </row>
    <row r="4886" spans="1:2" x14ac:dyDescent="0.25">
      <c r="A4886">
        <f ca="1">30720.6439423655*((RANDBETWEEN(1620,2416)))</f>
        <v>50689062.50490313</v>
      </c>
      <c r="B4886">
        <v>145342341.28185302</v>
      </c>
    </row>
    <row r="4887" spans="1:2" x14ac:dyDescent="0.25">
      <c r="A4887">
        <f ca="1">32598.1279662048*((RANDBETWEEN(1620,2416)))</f>
        <v>78105114.607026726</v>
      </c>
      <c r="B4887">
        <v>148088390.83867136</v>
      </c>
    </row>
    <row r="4888" spans="1:2" x14ac:dyDescent="0.25">
      <c r="A4888">
        <f ca="1">35186.7521083271*((RANDBETWEEN(1620,2416)))</f>
        <v>68438232.850696191</v>
      </c>
      <c r="B4888">
        <v>155667439.90735584</v>
      </c>
    </row>
    <row r="4889" spans="1:2" x14ac:dyDescent="0.25">
      <c r="A4889">
        <f ca="1">30513.2699364942*((RANDBETWEEN(1620,2416)))</f>
        <v>59256770.21667172</v>
      </c>
      <c r="B4889">
        <v>145569493.70677447</v>
      </c>
    </row>
    <row r="4890" spans="1:2" x14ac:dyDescent="0.25">
      <c r="A4890">
        <f ca="1">31444.6755017626*((RANDBETWEEN(1620,2416)))</f>
        <v>57732424.22123614</v>
      </c>
      <c r="B4890">
        <v>182852537.52039972</v>
      </c>
    </row>
    <row r="4891" spans="1:2" x14ac:dyDescent="0.25">
      <c r="A4891">
        <f ca="1">35786.9999676361*((RANDBETWEEN(1620,2416)))</f>
        <v>61875722.944042824</v>
      </c>
      <c r="B4891">
        <v>173337811.2997078</v>
      </c>
    </row>
    <row r="4892" spans="1:2" x14ac:dyDescent="0.25">
      <c r="A4892">
        <f ca="1">41054.2274381667*((RANDBETWEEN(1620,2416)))</f>
        <v>81369478.782446414</v>
      </c>
      <c r="B4892">
        <v>164168886.07627583</v>
      </c>
    </row>
    <row r="4893" spans="1:2" x14ac:dyDescent="0.25">
      <c r="A4893">
        <f ca="1">39050.5471146291*((RANDBETWEEN(1620,2416)))</f>
        <v>65019160.945857525</v>
      </c>
      <c r="B4893">
        <v>157224789.9702737</v>
      </c>
    </row>
    <row r="4894" spans="1:2" x14ac:dyDescent="0.25">
      <c r="A4894">
        <f ca="1">31114.0021805754*((RANDBETWEEN(1620,2416)))</f>
        <v>72651195.091643527</v>
      </c>
      <c r="B4894">
        <v>158930072.52842286</v>
      </c>
    </row>
    <row r="4895" spans="1:2" x14ac:dyDescent="0.25">
      <c r="A4895">
        <f ca="1">33420.8146268639*((RANDBETWEEN(1620,2416)))</f>
        <v>66440579.478205428</v>
      </c>
      <c r="B4895">
        <v>166887374.89482534</v>
      </c>
    </row>
    <row r="4896" spans="1:2" x14ac:dyDescent="0.25">
      <c r="A4896">
        <f ca="1">33983.4469865665*((RANDBETWEEN(1620,2416)))</f>
        <v>68102827.761079267</v>
      </c>
      <c r="B4896">
        <v>170323499.67539814</v>
      </c>
    </row>
    <row r="4897" spans="1:2" x14ac:dyDescent="0.25">
      <c r="A4897">
        <f ca="1">32256.4494887878*((RANDBETWEEN(1620,2416)))</f>
        <v>68964289.007028237</v>
      </c>
      <c r="B4897">
        <v>175875758.52027395</v>
      </c>
    </row>
    <row r="4898" spans="1:2" x14ac:dyDescent="0.25">
      <c r="A4898">
        <f ca="1">38963.7219317151*((RANDBETWEEN(1620,2416)))</f>
        <v>84707131.479548633</v>
      </c>
      <c r="B4898">
        <v>176025350.11261317</v>
      </c>
    </row>
    <row r="4899" spans="1:2" x14ac:dyDescent="0.25">
      <c r="A4899">
        <f ca="1">32064.822471131*((RANDBETWEEN(1620,2416)))</f>
        <v>56498217.19413282</v>
      </c>
      <c r="B4899">
        <v>175330586.67660779</v>
      </c>
    </row>
    <row r="4900" spans="1:2" x14ac:dyDescent="0.25">
      <c r="A4900">
        <f ca="1">41028.1873597033*((RANDBETWEEN(1620,2416)))</f>
        <v>80004965.35142149</v>
      </c>
      <c r="B4900">
        <v>146211355.75368294</v>
      </c>
    </row>
    <row r="4901" spans="1:2" x14ac:dyDescent="0.25">
      <c r="A4901">
        <f ca="1">36766.1891378185*((RANDBETWEEN(1620,2416)))</f>
        <v>88238853.930764481</v>
      </c>
      <c r="B4901">
        <v>154680124.02478749</v>
      </c>
    </row>
    <row r="4902" spans="1:2" x14ac:dyDescent="0.25">
      <c r="A4902">
        <f ca="1">38083.5122054837*((RANDBETWEEN(1620,2416)))</f>
        <v>91095761.195516929</v>
      </c>
      <c r="B4902">
        <v>195903527.5763391</v>
      </c>
    </row>
    <row r="4903" spans="1:2" x14ac:dyDescent="0.25">
      <c r="A4903">
        <f ca="1">30823.9468896284*((RANDBETWEEN(1620,2416)))</f>
        <v>53756963.375511847</v>
      </c>
      <c r="B4903">
        <v>175270312.82889327</v>
      </c>
    </row>
    <row r="4904" spans="1:2" x14ac:dyDescent="0.25">
      <c r="A4904">
        <f ca="1">32164.195695626*((RANDBETWEEN(1620,2416)))</f>
        <v>61658763.148514986</v>
      </c>
      <c r="B4904">
        <v>146292923.92921281</v>
      </c>
    </row>
    <row r="4905" spans="1:2" x14ac:dyDescent="0.25">
      <c r="A4905">
        <f ca="1">31261.4042464567*((RANDBETWEEN(1620,2416)))</f>
        <v>61616227.769766085</v>
      </c>
      <c r="B4905">
        <v>176360033.99495143</v>
      </c>
    </row>
    <row r="4906" spans="1:2" x14ac:dyDescent="0.25">
      <c r="A4906">
        <f ca="1">31077.3314335637*((RANDBETWEEN(1620,2416)))</f>
        <v>60538641.632582121</v>
      </c>
      <c r="B4906">
        <v>149237367.55519429</v>
      </c>
    </row>
    <row r="4907" spans="1:2" x14ac:dyDescent="0.25">
      <c r="A4907">
        <f ca="1">32084.9838743751*((RANDBETWEEN(1620,2416)))</f>
        <v>69560245.039645284</v>
      </c>
      <c r="B4907">
        <v>181015844.84128052</v>
      </c>
    </row>
    <row r="4908" spans="1:2" x14ac:dyDescent="0.25">
      <c r="A4908">
        <f ca="1">39725.1311376855*((RANDBETWEEN(1620,2416)))</f>
        <v>75636649.686153173</v>
      </c>
      <c r="B4908">
        <v>145667968.22365212</v>
      </c>
    </row>
    <row r="4909" spans="1:2" x14ac:dyDescent="0.25">
      <c r="A4909">
        <f ca="1">31620.2215186394*((RANDBETWEEN(1620,2416)))</f>
        <v>74781823.891582206</v>
      </c>
      <c r="B4909">
        <v>179061138.71624658</v>
      </c>
    </row>
    <row r="4910" spans="1:2" x14ac:dyDescent="0.25">
      <c r="A4910">
        <f ca="1">31495.7157047831*((RANDBETWEEN(1620,2416)))</f>
        <v>62204038.516946688</v>
      </c>
      <c r="B4910">
        <v>156031255.59304819</v>
      </c>
    </row>
    <row r="4911" spans="1:2" x14ac:dyDescent="0.25">
      <c r="A4911">
        <f ca="1">30946.6702143265*((RANDBETWEEN(1620,2416)))</f>
        <v>70620301.429093048</v>
      </c>
      <c r="B4911">
        <v>154329263.48504117</v>
      </c>
    </row>
    <row r="4912" spans="1:2" x14ac:dyDescent="0.25">
      <c r="A4912">
        <f ca="1">32020.9546005344*((RANDBETWEEN(1620,2416)))</f>
        <v>65130621.657487012</v>
      </c>
      <c r="B4912">
        <v>154255773.86435491</v>
      </c>
    </row>
    <row r="4913" spans="1:2" x14ac:dyDescent="0.25">
      <c r="A4913">
        <f ca="1">34054.9381979144*((RANDBETWEEN(1620,2416)))</f>
        <v>66202799.856745623</v>
      </c>
      <c r="B4913">
        <v>152138691.93427002</v>
      </c>
    </row>
    <row r="4914" spans="1:2" x14ac:dyDescent="0.25">
      <c r="A4914">
        <f ca="1">32078.2150578039*((RANDBETWEEN(1620,2416)))</f>
        <v>60948608.609827474</v>
      </c>
      <c r="B4914">
        <v>144530299.3567653</v>
      </c>
    </row>
    <row r="4915" spans="1:2" x14ac:dyDescent="0.25">
      <c r="A4915">
        <f ca="1">32654.6256256448*((RANDBETWEEN(1620,2416)))</f>
        <v>57014976.342375793</v>
      </c>
      <c r="B4915">
        <v>150400217.62221116</v>
      </c>
    </row>
    <row r="4916" spans="1:2" x14ac:dyDescent="0.25">
      <c r="A4916">
        <f ca="1">36335.4784564052*((RANDBETWEEN(1620,2416)))</f>
        <v>59263165.362396829</v>
      </c>
      <c r="B4916">
        <v>158504815.83949134</v>
      </c>
    </row>
    <row r="4917" spans="1:2" x14ac:dyDescent="0.25">
      <c r="A4917">
        <f ca="1">29647.3886023851*((RANDBETWEEN(1620,2416)))</f>
        <v>70649727.039483681</v>
      </c>
      <c r="B4917">
        <v>194481977.64025816</v>
      </c>
    </row>
    <row r="4918" spans="1:2" x14ac:dyDescent="0.25">
      <c r="A4918">
        <f ca="1">27377.4866203795*((RANDBETWEEN(1620,2416)))</f>
        <v>56644019.817565255</v>
      </c>
      <c r="B4918">
        <v>162667977.86276731</v>
      </c>
    </row>
    <row r="4919" spans="1:2" x14ac:dyDescent="0.25">
      <c r="A4919">
        <f ca="1">34450.6257318314*((RANDBETWEEN(1620,2416)))</f>
        <v>80235507.329435334</v>
      </c>
      <c r="B4919">
        <v>158978316.78504246</v>
      </c>
    </row>
    <row r="4920" spans="1:2" x14ac:dyDescent="0.25">
      <c r="A4920">
        <f ca="1">30196.9700267952*((RANDBETWEEN(1620,2416)))</f>
        <v>58249955.181687959</v>
      </c>
      <c r="B4920">
        <v>165648294.67092189</v>
      </c>
    </row>
    <row r="4921" spans="1:2" x14ac:dyDescent="0.25">
      <c r="A4921">
        <f ca="1">40155.5600096693*((RANDBETWEEN(1620,2416)))</f>
        <v>86093520.660730988</v>
      </c>
      <c r="B4921">
        <v>187865141.18009636</v>
      </c>
    </row>
    <row r="4922" spans="1:2" x14ac:dyDescent="0.25">
      <c r="A4922">
        <f ca="1">32405.2532609959*((RANDBETWEEN(1620,2416)))</f>
        <v>59625666.000232518</v>
      </c>
      <c r="B4922">
        <v>184739352.70887908</v>
      </c>
    </row>
    <row r="4923" spans="1:2" x14ac:dyDescent="0.25">
      <c r="A4923">
        <f ca="1">38108.493885495*((RANDBETWEEN(1620,2416)))</f>
        <v>85439243.291279778</v>
      </c>
      <c r="B4923">
        <v>196800416.14079928</v>
      </c>
    </row>
    <row r="4924" spans="1:2" x14ac:dyDescent="0.25">
      <c r="A4924">
        <f ca="1">35963.8915424866*((RANDBETWEEN(1620,2416)))</f>
        <v>71568144.169548258</v>
      </c>
      <c r="B4924">
        <v>163561391.99121237</v>
      </c>
    </row>
    <row r="4925" spans="1:2" x14ac:dyDescent="0.25">
      <c r="A4925">
        <f ca="1">34703.4604690984*((RANDBETWEEN(1620,2416)))</f>
        <v>74022481.180586785</v>
      </c>
      <c r="B4925">
        <v>182073117.02295589</v>
      </c>
    </row>
    <row r="4926" spans="1:2" x14ac:dyDescent="0.25">
      <c r="A4926">
        <f ca="1">31798.6434168588*((RANDBETWEEN(1620,2416)))</f>
        <v>52435962.994400144</v>
      </c>
      <c r="B4926">
        <v>148904679.71296084</v>
      </c>
    </row>
    <row r="4927" spans="1:2" x14ac:dyDescent="0.25">
      <c r="A4927">
        <f ca="1">28541.145227209*((RANDBETWEEN(1620,2416)))</f>
        <v>56711255.566464305</v>
      </c>
      <c r="B4927">
        <v>144707800.67954803</v>
      </c>
    </row>
    <row r="4928" spans="1:2" x14ac:dyDescent="0.25">
      <c r="A4928">
        <f ca="1">34503.2735369587*((RANDBETWEEN(1620,2416)))</f>
        <v>68281978.329641253</v>
      </c>
      <c r="B4928">
        <v>143369980.79015625</v>
      </c>
    </row>
    <row r="4929" spans="1:2" x14ac:dyDescent="0.25">
      <c r="A4929">
        <f ca="1">32902.0655998093*((RANDBETWEEN(1620,2416)))</f>
        <v>60210780.047650993</v>
      </c>
      <c r="B4929">
        <v>154726683.89738345</v>
      </c>
    </row>
    <row r="4930" spans="1:2" x14ac:dyDescent="0.25">
      <c r="A4930">
        <f ca="1">27912.8551938246*((RANDBETWEEN(1620,2416)))</f>
        <v>50968873.583923802</v>
      </c>
      <c r="B4930">
        <v>160131333.66013375</v>
      </c>
    </row>
    <row r="4931" spans="1:2" x14ac:dyDescent="0.25">
      <c r="A4931">
        <f ca="1">32082.2364255435*((RANDBETWEEN(1620,2416)))</f>
        <v>70163851.06266357</v>
      </c>
      <c r="B4931">
        <v>168526069.60348603</v>
      </c>
    </row>
    <row r="4932" spans="1:2" x14ac:dyDescent="0.25">
      <c r="A4932">
        <f ca="1">36057.12053591*((RANDBETWEEN(1620,2416)))</f>
        <v>83364062.679023936</v>
      </c>
      <c r="B4932">
        <v>197142034.61318004</v>
      </c>
    </row>
    <row r="4933" spans="1:2" x14ac:dyDescent="0.25">
      <c r="A4933">
        <f ca="1">33512.4731884909*((RANDBETWEEN(1620,2416)))</f>
        <v>76374926.396570668</v>
      </c>
      <c r="B4933">
        <v>182187188.91376787</v>
      </c>
    </row>
    <row r="4934" spans="1:2" x14ac:dyDescent="0.25">
      <c r="A4934">
        <f ca="1">31527.0546585008*((RANDBETWEEN(1620,2416)))</f>
        <v>51105355.601429813</v>
      </c>
      <c r="B4934">
        <v>167821929.51617539</v>
      </c>
    </row>
    <row r="4935" spans="1:2" x14ac:dyDescent="0.25">
      <c r="A4935">
        <f ca="1">39321.0618901386*((RANDBETWEEN(1620,2416)))</f>
        <v>85562630.672941536</v>
      </c>
      <c r="B4935">
        <v>177672030.71063879</v>
      </c>
    </row>
    <row r="4936" spans="1:2" x14ac:dyDescent="0.25">
      <c r="A4936">
        <f ca="1">27445.5905621727*((RANDBETWEEN(1620,2416)))</f>
        <v>53052326.556679778</v>
      </c>
      <c r="B4936">
        <v>168350099.93559372</v>
      </c>
    </row>
    <row r="4937" spans="1:2" x14ac:dyDescent="0.25">
      <c r="A4937">
        <f ca="1">29635.8763658973*((RANDBETWEEN(1620,2416)))</f>
        <v>67273439.350586921</v>
      </c>
      <c r="B4937">
        <v>155556243.23530221</v>
      </c>
    </row>
    <row r="4938" spans="1:2" x14ac:dyDescent="0.25">
      <c r="A4938">
        <f ca="1">39714.1233751521*((RANDBETWEEN(1620,2416)))</f>
        <v>86656217.204581931</v>
      </c>
      <c r="B4938">
        <v>182508078.6313726</v>
      </c>
    </row>
    <row r="4939" spans="1:2" x14ac:dyDescent="0.25">
      <c r="A4939">
        <f ca="1">33200.7412990555*((RANDBETWEEN(1620,2416)))</f>
        <v>71879604.912455246</v>
      </c>
      <c r="B4939">
        <v>151880197.71406516</v>
      </c>
    </row>
    <row r="4940" spans="1:2" x14ac:dyDescent="0.25">
      <c r="A4940">
        <f ca="1">37612.8470115884*((RANDBETWEEN(1620,2416)))</f>
        <v>68192091.632009774</v>
      </c>
      <c r="B4940">
        <v>153418503.69539589</v>
      </c>
    </row>
    <row r="4941" spans="1:2" x14ac:dyDescent="0.25">
      <c r="A4941">
        <f ca="1">35672.6508996019*((RANDBETWEEN(1620,2416)))</f>
        <v>85721380.111743405</v>
      </c>
      <c r="B4941">
        <v>198053264.39415267</v>
      </c>
    </row>
    <row r="4942" spans="1:2" x14ac:dyDescent="0.25">
      <c r="A4942">
        <f ca="1">34028.8806521483*((RANDBETWEEN(1620,2416)))</f>
        <v>64825017.642342478</v>
      </c>
      <c r="B4942">
        <v>161178441.04413423</v>
      </c>
    </row>
    <row r="4943" spans="1:2" x14ac:dyDescent="0.25">
      <c r="A4943">
        <f ca="1">35046.2938936684*((RANDBETWEEN(1620,2416)))</f>
        <v>67884671.272035778</v>
      </c>
      <c r="B4943">
        <v>143340110.61177981</v>
      </c>
    </row>
    <row r="4944" spans="1:2" x14ac:dyDescent="0.25">
      <c r="A4944">
        <f ca="1">38908.5717934762*((RANDBETWEEN(1620,2416)))</f>
        <v>72681212.110213488</v>
      </c>
      <c r="B4944">
        <v>145243063.80875683</v>
      </c>
    </row>
    <row r="4945" spans="1:2" x14ac:dyDescent="0.25">
      <c r="A4945">
        <f ca="1">30839.1003772021*((RANDBETWEEN(1620,2416)))</f>
        <v>69973918.755871609</v>
      </c>
      <c r="B4945">
        <v>149883704.65369266</v>
      </c>
    </row>
    <row r="4946" spans="1:2" x14ac:dyDescent="0.25">
      <c r="A4946">
        <f ca="1">30886.8014725917*((RANDBETWEEN(1620,2416)))</f>
        <v>68661359.673571318</v>
      </c>
      <c r="B4946">
        <v>143816408.49217567</v>
      </c>
    </row>
    <row r="4947" spans="1:2" x14ac:dyDescent="0.25">
      <c r="A4947">
        <f ca="1">38316.7319564882*((RANDBETWEEN(1620,2416)))</f>
        <v>82304340.242536679</v>
      </c>
      <c r="B4947">
        <v>200643073.93158937</v>
      </c>
    </row>
    <row r="4948" spans="1:2" x14ac:dyDescent="0.25">
      <c r="A4948">
        <f ca="1">32261.1811871678*((RANDBETWEEN(1620,2416)))</f>
        <v>54037478.488506019</v>
      </c>
      <c r="B4948">
        <v>187914783.58083755</v>
      </c>
    </row>
    <row r="4949" spans="1:2" x14ac:dyDescent="0.25">
      <c r="A4949">
        <f ca="1">32333.8404655413*((RANDBETWEEN(1620,2416)))</f>
        <v>53092166.044418834</v>
      </c>
      <c r="B4949">
        <v>171884163.19401976</v>
      </c>
    </row>
    <row r="4950" spans="1:2" x14ac:dyDescent="0.25">
      <c r="A4950">
        <f ca="1">27937.9925532347*((RANDBETWEEN(1620,2416)))</f>
        <v>50791270.4617806</v>
      </c>
      <c r="B4950">
        <v>184406910.94866145</v>
      </c>
    </row>
    <row r="4951" spans="1:2" x14ac:dyDescent="0.25">
      <c r="A4951">
        <f ca="1">30738.5161448305*((RANDBETWEEN(1620,2416)))</f>
        <v>70083816.810213476</v>
      </c>
      <c r="B4951">
        <v>152882769.61778039</v>
      </c>
    </row>
    <row r="4952" spans="1:2" x14ac:dyDescent="0.25">
      <c r="A4952">
        <f ca="1">31519.1363925708*((RANDBETWEEN(1620,2416)))</f>
        <v>61399277.692727923</v>
      </c>
      <c r="B4952">
        <v>182808454.26633495</v>
      </c>
    </row>
    <row r="4953" spans="1:2" x14ac:dyDescent="0.25">
      <c r="A4953">
        <f ca="1">33542.0616615074*((RANDBETWEEN(1620,2416)))</f>
        <v>75972769.663314238</v>
      </c>
      <c r="B4953">
        <v>192670964.50879902</v>
      </c>
    </row>
    <row r="4954" spans="1:2" x14ac:dyDescent="0.25">
      <c r="A4954">
        <f ca="1">32206.2227599616*((RANDBETWEEN(1620,2416)))</f>
        <v>53204679.999456599</v>
      </c>
      <c r="B4954">
        <v>172141391.16005969</v>
      </c>
    </row>
    <row r="4955" spans="1:2" x14ac:dyDescent="0.25">
      <c r="A4955">
        <f ca="1">31696.0447211368*((RANDBETWEEN(1620,2416)))</f>
        <v>69604514.207616463</v>
      </c>
      <c r="B4955">
        <v>187759289.95446855</v>
      </c>
    </row>
    <row r="4956" spans="1:2" x14ac:dyDescent="0.25">
      <c r="A4956">
        <f ca="1">31033.2868401435*((RANDBETWEEN(1620,2416)))</f>
        <v>54463418.404451884</v>
      </c>
      <c r="B4956">
        <v>145310184.18320283</v>
      </c>
    </row>
    <row r="4957" spans="1:2" x14ac:dyDescent="0.25">
      <c r="A4957">
        <f ca="1">42492.6301099468*((RANDBETWEEN(1620,2416)))</f>
        <v>81585849.811097845</v>
      </c>
      <c r="B4957">
        <v>167015447.22383654</v>
      </c>
    </row>
    <row r="4958" spans="1:2" x14ac:dyDescent="0.25">
      <c r="A4958">
        <f ca="1">31991.6581493035*((RANDBETWEEN(1620,2416)))</f>
        <v>71629322.596290514</v>
      </c>
      <c r="B4958">
        <v>160753356.22043732</v>
      </c>
    </row>
    <row r="4959" spans="1:2" x14ac:dyDescent="0.25">
      <c r="A4959">
        <f ca="1">30486.506668181*((RANDBETWEEN(1620,2416)))</f>
        <v>60058418.136316568</v>
      </c>
      <c r="B4959">
        <v>154119756.37851977</v>
      </c>
    </row>
    <row r="4960" spans="1:2" x14ac:dyDescent="0.25">
      <c r="A4960">
        <f ca="1">31977.7454564279*((RANDBETWEEN(1620,2416)))</f>
        <v>62260670.403665081</v>
      </c>
      <c r="B4960">
        <v>148577599.49630678</v>
      </c>
    </row>
    <row r="4961" spans="1:2" x14ac:dyDescent="0.25">
      <c r="A4961">
        <f ca="1">41137.85871236*((RANDBETWEEN(1620,2416)))</f>
        <v>70962806.278821036</v>
      </c>
      <c r="B4961">
        <v>146818691.24552375</v>
      </c>
    </row>
    <row r="4962" spans="1:2" x14ac:dyDescent="0.25">
      <c r="A4962">
        <f ca="1">35881.4214054169*((RANDBETWEEN(1620,2416)))</f>
        <v>76786241.807592228</v>
      </c>
      <c r="B4962">
        <v>194545954.44967714</v>
      </c>
    </row>
    <row r="4963" spans="1:2" x14ac:dyDescent="0.25">
      <c r="A4963">
        <f ca="1">39420.7879514017*((RANDBETWEEN(1620,2416)))</f>
        <v>75530229.714885741</v>
      </c>
      <c r="B4963">
        <v>143317270.35792375</v>
      </c>
    </row>
    <row r="4964" spans="1:2" x14ac:dyDescent="0.25">
      <c r="A4964">
        <f ca="1">37929.6515898631*((RANDBETWEEN(1620,2416)))</f>
        <v>72749071.749357343</v>
      </c>
      <c r="B4964">
        <v>159181979.25444669</v>
      </c>
    </row>
    <row r="4965" spans="1:2" x14ac:dyDescent="0.25">
      <c r="A4965">
        <f ca="1">41109.1478198339*((RANDBETWEEN(1620,2416)))</f>
        <v>72310991.015087858</v>
      </c>
      <c r="B4965">
        <v>165325393.34605017</v>
      </c>
    </row>
    <row r="4966" spans="1:2" x14ac:dyDescent="0.25">
      <c r="A4966">
        <f ca="1">32588.4897488428*((RANDBETWEEN(1620,2416)))</f>
        <v>74497287.565854728</v>
      </c>
      <c r="B4966">
        <v>164762400.90483707</v>
      </c>
    </row>
    <row r="4967" spans="1:2" x14ac:dyDescent="0.25">
      <c r="A4967">
        <f ca="1">35565.9206094951*((RANDBETWEEN(1620,2416)))</f>
        <v>64836673.271109581</v>
      </c>
      <c r="B4967">
        <v>177362808.14835232</v>
      </c>
    </row>
    <row r="4968" spans="1:2" x14ac:dyDescent="0.25">
      <c r="A4968">
        <f ca="1">31232.6166926305*((RANDBETWEEN(1620,2416)))</f>
        <v>60684974.233781122</v>
      </c>
      <c r="B4968">
        <v>172071064.09743357</v>
      </c>
    </row>
    <row r="4969" spans="1:2" x14ac:dyDescent="0.25">
      <c r="A4969">
        <f ca="1">30561.9831533632*((RANDBETWEEN(1620,2416)))</f>
        <v>56081239.086421385</v>
      </c>
      <c r="B4969">
        <v>145210789.90633053</v>
      </c>
    </row>
    <row r="4970" spans="1:2" x14ac:dyDescent="0.25">
      <c r="A4970">
        <f ca="1">33156.7281496964*((RANDBETWEEN(1620,2416)))</f>
        <v>73044272.113781229</v>
      </c>
      <c r="B4970">
        <v>144775420.36422044</v>
      </c>
    </row>
    <row r="4971" spans="1:2" x14ac:dyDescent="0.25">
      <c r="A4971">
        <f ca="1">33316.557489182*((RANDBETWEEN(1620,2416)))</f>
        <v>66666431.53585311</v>
      </c>
      <c r="B4971">
        <v>148057861.77712494</v>
      </c>
    </row>
    <row r="4972" spans="1:2" x14ac:dyDescent="0.25">
      <c r="A4972">
        <f ca="1">31965.9368155731*((RANDBETWEEN(1620,2416)))</f>
        <v>54310126.649658673</v>
      </c>
      <c r="B4972">
        <v>153557902.63043034</v>
      </c>
    </row>
    <row r="4973" spans="1:2" x14ac:dyDescent="0.25">
      <c r="A4973">
        <f ca="1">31602.6723867568*((RANDBETWEEN(1620,2416)))</f>
        <v>59033792.018461823</v>
      </c>
      <c r="B4973">
        <v>190790240.88676256</v>
      </c>
    </row>
    <row r="4974" spans="1:2" x14ac:dyDescent="0.25">
      <c r="A4974">
        <f ca="1">29737.3099195279*((RANDBETWEEN(1620,2416)))</f>
        <v>49215247.916818783</v>
      </c>
      <c r="B4974">
        <v>148523625.02107131</v>
      </c>
    </row>
    <row r="4975" spans="1:2" x14ac:dyDescent="0.25">
      <c r="A4975">
        <f ca="1">31647.9956711033*((RANDBETWEEN(1620,2416)))</f>
        <v>53991480.614902161</v>
      </c>
      <c r="B4975">
        <v>155183846.63845536</v>
      </c>
    </row>
    <row r="4976" spans="1:2" x14ac:dyDescent="0.25">
      <c r="A4976">
        <f ca="1">34839.6834668612*((RANDBETWEEN(1620,2416)))</f>
        <v>77483456.030299276</v>
      </c>
      <c r="B4976">
        <v>195948930.91284323</v>
      </c>
    </row>
    <row r="4977" spans="1:2" x14ac:dyDescent="0.25">
      <c r="A4977">
        <f ca="1">33280.6747786966*((RANDBETWEEN(1620,2416)))</f>
        <v>62334703.860498682</v>
      </c>
      <c r="B4977">
        <v>147623231.33217773</v>
      </c>
    </row>
    <row r="4978" spans="1:2" x14ac:dyDescent="0.25">
      <c r="A4978">
        <f ca="1">33303.9698981456*((RANDBETWEEN(1620,2416)))</f>
        <v>65175869.090670973</v>
      </c>
      <c r="B4978">
        <v>169050235.80581436</v>
      </c>
    </row>
    <row r="4979" spans="1:2" x14ac:dyDescent="0.25">
      <c r="A4979">
        <f ca="1">38910.1162481613*((RANDBETWEEN(1620,2416)))</f>
        <v>79220996.681256339</v>
      </c>
      <c r="B4979">
        <v>145224494.94460884</v>
      </c>
    </row>
    <row r="4980" spans="1:2" x14ac:dyDescent="0.25">
      <c r="A4980">
        <f ca="1">35826.1950747911*((RANDBETWEEN(1620,2416)))</f>
        <v>82256943.891720325</v>
      </c>
      <c r="B4980">
        <v>159170909.59990445</v>
      </c>
    </row>
    <row r="4981" spans="1:2" x14ac:dyDescent="0.25">
      <c r="A4981">
        <f ca="1">35713.7157462756*((RANDBETWEEN(1620,2416)))</f>
        <v>75855932.245089382</v>
      </c>
      <c r="B4981">
        <v>188545251.81329742</v>
      </c>
    </row>
    <row r="4982" spans="1:2" x14ac:dyDescent="0.25">
      <c r="A4982">
        <f ca="1">32009.3277603423*((RANDBETWEEN(1620,2416)))</f>
        <v>53647633.326333635</v>
      </c>
      <c r="B4982">
        <v>183031291.52136928</v>
      </c>
    </row>
    <row r="4983" spans="1:2" x14ac:dyDescent="0.25">
      <c r="A4983">
        <f ca="1">32339.752179897*((RANDBETWEEN(1620,2416)))</f>
        <v>63191875.75951881</v>
      </c>
      <c r="B4983">
        <v>162697574.39290187</v>
      </c>
    </row>
    <row r="4984" spans="1:2" x14ac:dyDescent="0.25">
      <c r="A4984">
        <f ca="1">32003.4732180867*((RANDBETWEEN(1620,2416)))</f>
        <v>74408075.232051507</v>
      </c>
      <c r="B4984">
        <v>149972831.37264562</v>
      </c>
    </row>
    <row r="4985" spans="1:2" x14ac:dyDescent="0.25">
      <c r="A4985">
        <f ca="1">28992.7414362193*((RANDBETWEEN(1620,2416)))</f>
        <v>65639566.611600503</v>
      </c>
      <c r="B4985">
        <v>144480303.44780552</v>
      </c>
    </row>
    <row r="4986" spans="1:2" x14ac:dyDescent="0.25">
      <c r="A4986">
        <f ca="1">30729.8668118759*((RANDBETWEEN(1620,2416)))</f>
        <v>72829784.34414576</v>
      </c>
      <c r="B4986">
        <v>184162663.92811021</v>
      </c>
    </row>
    <row r="4987" spans="1:2" x14ac:dyDescent="0.25">
      <c r="A4987">
        <f ca="1">37109.9315113075*((RANDBETWEEN(1620,2416)))</f>
        <v>61639596.240281709</v>
      </c>
      <c r="B4987">
        <v>145035159.47687197</v>
      </c>
    </row>
    <row r="4988" spans="1:2" x14ac:dyDescent="0.25">
      <c r="A4988">
        <f ca="1">29488.1030676279*((RANDBETWEEN(1620,2416)))</f>
        <v>66289255.696027577</v>
      </c>
      <c r="B4988">
        <v>147688595.31662184</v>
      </c>
    </row>
    <row r="4989" spans="1:2" x14ac:dyDescent="0.25">
      <c r="A4989">
        <f ca="1">29445.7927536128*((RANDBETWEEN(1620,2416)))</f>
        <v>57419295.869545065</v>
      </c>
      <c r="B4989">
        <v>201544753.58675671</v>
      </c>
    </row>
    <row r="4990" spans="1:2" x14ac:dyDescent="0.25">
      <c r="A4990">
        <f ca="1">29430.8090603307*((RANDBETWEEN(1620,2416)))</f>
        <v>70486787.699492127</v>
      </c>
      <c r="B4990">
        <v>147762782.40662986</v>
      </c>
    </row>
    <row r="4991" spans="1:2" x14ac:dyDescent="0.25">
      <c r="A4991">
        <f ca="1">31949.1056602373*((RANDBETWEEN(1620,2416)))</f>
        <v>53993988.565801002</v>
      </c>
      <c r="B4991">
        <v>163936459.84285367</v>
      </c>
    </row>
    <row r="4992" spans="1:2" x14ac:dyDescent="0.25">
      <c r="A4992">
        <f ca="1">29749.9335509006*((RANDBETWEEN(1620,2416)))</f>
        <v>63575607.998274498</v>
      </c>
      <c r="B4992">
        <v>154386879.4494428</v>
      </c>
    </row>
    <row r="4993" spans="1:2" x14ac:dyDescent="0.25">
      <c r="A4993">
        <f ca="1">34273.5575180567*((RANDBETWEEN(1620,2416)))</f>
        <v>58813424.700985216</v>
      </c>
      <c r="B4993">
        <v>194790346.26541454</v>
      </c>
    </row>
    <row r="4994" spans="1:2" x14ac:dyDescent="0.25">
      <c r="A4994">
        <f ca="1">33205.0464990886*((RANDBETWEEN(1620,2416)))</f>
        <v>69431752.229594171</v>
      </c>
      <c r="B4994">
        <v>145424060.08958289</v>
      </c>
    </row>
    <row r="4995" spans="1:2" x14ac:dyDescent="0.25">
      <c r="A4995">
        <f ca="1">41083.5927795239*((RANDBETWEEN(1620,2416)))</f>
        <v>74361302.930938184</v>
      </c>
      <c r="B4995">
        <v>165558626.54777184</v>
      </c>
    </row>
    <row r="4996" spans="1:2" x14ac:dyDescent="0.25">
      <c r="A4996">
        <f ca="1">28565.3904709262*((RANDBETWEEN(1620,2416)))</f>
        <v>64529217.073822357</v>
      </c>
      <c r="B4996">
        <v>149390578.09606913</v>
      </c>
    </row>
    <row r="4997" spans="1:2" x14ac:dyDescent="0.25">
      <c r="A4997">
        <f ca="1">33923.8766300247*((RANDBETWEEN(1620,2416)))</f>
        <v>76057331.404515311</v>
      </c>
      <c r="B4997">
        <v>160967749.50196144</v>
      </c>
    </row>
    <row r="4998" spans="1:2" x14ac:dyDescent="0.25">
      <c r="A4998">
        <f ca="1">32060.2621416532*((RANDBETWEEN(1620,2416)))</f>
        <v>70917299.857336819</v>
      </c>
      <c r="B4998">
        <v>151474601.77612746</v>
      </c>
    </row>
    <row r="4999" spans="1:2" x14ac:dyDescent="0.25">
      <c r="A4999">
        <f ca="1">30887.1276618131*((RANDBETWEEN(1620,2416)))</f>
        <v>50716663.620697059</v>
      </c>
      <c r="B4999">
        <v>187567137.38369489</v>
      </c>
    </row>
    <row r="5000" spans="1:2" x14ac:dyDescent="0.25">
      <c r="A5000">
        <f ca="1">35794.9537592784*((RANDBETWEEN(1620,2416)))</f>
        <v>74131349.235465497</v>
      </c>
      <c r="B5000">
        <v>179925358.85781372</v>
      </c>
    </row>
    <row r="5001" spans="1:2" x14ac:dyDescent="0.25">
      <c r="A5001">
        <f ca="1">30432.9200147153*((RANDBETWEEN(1620,2416)))</f>
        <v>66891558.192344144</v>
      </c>
      <c r="B5001">
        <v>158902871.05021352</v>
      </c>
    </row>
    <row r="5002" spans="1:2" x14ac:dyDescent="0.25">
      <c r="A5002">
        <f ca="1">36619.5306179773*((RANDBETWEEN(1620,2416)))</f>
        <v>73312300.297190577</v>
      </c>
      <c r="B5002">
        <v>157160002.94422853</v>
      </c>
    </row>
    <row r="5003" spans="1:2" x14ac:dyDescent="0.25">
      <c r="A5003">
        <f ca="1">31535.3624602041*((RANDBETWEEN(1620,2416)))</f>
        <v>54366964.88139192</v>
      </c>
      <c r="B5003">
        <v>161275204.53344738</v>
      </c>
    </row>
    <row r="5004" spans="1:2" x14ac:dyDescent="0.25">
      <c r="A5004">
        <f ca="1">35518.4236394078*((RANDBETWEEN(1620,2416)))</f>
        <v>75156984.420986921</v>
      </c>
      <c r="B5004">
        <v>190932118.83220476</v>
      </c>
    </row>
    <row r="5005" spans="1:2" x14ac:dyDescent="0.25">
      <c r="A5005">
        <f ca="1">30875.744423318*((RANDBETWEEN(1620,2416)))</f>
        <v>59281429.292770572</v>
      </c>
      <c r="B5005">
        <v>169773519.17216241</v>
      </c>
    </row>
    <row r="5006" spans="1:2" x14ac:dyDescent="0.25">
      <c r="A5006">
        <f ca="1">38995.6216051443*((RANDBETWEEN(1620,2416)))</f>
        <v>93901456.825187415</v>
      </c>
      <c r="B5006">
        <v>158369813.34218216</v>
      </c>
    </row>
    <row r="5007" spans="1:2" x14ac:dyDescent="0.25">
      <c r="A5007">
        <f ca="1">39558.0718403268*((RANDBETWEEN(1620,2416)))</f>
        <v>85761899.749828577</v>
      </c>
      <c r="B5007">
        <v>195853380.74301338</v>
      </c>
    </row>
    <row r="5008" spans="1:2" x14ac:dyDescent="0.25">
      <c r="A5008">
        <f ca="1">39454.0387649782*((RANDBETWEEN(1620,2416)))</f>
        <v>92440812.826344028</v>
      </c>
      <c r="B5008">
        <v>156270108.56429821</v>
      </c>
    </row>
    <row r="5009" spans="1:2" x14ac:dyDescent="0.25">
      <c r="A5009">
        <f ca="1">34814.5281900926*((RANDBETWEEN(1620,2416)))</f>
        <v>81361552.38024646</v>
      </c>
      <c r="B5009">
        <v>156691443.55982226</v>
      </c>
    </row>
    <row r="5010" spans="1:2" x14ac:dyDescent="0.25">
      <c r="A5010">
        <f ca="1">30422.7308819401*((RANDBETWEEN(1620,2416)))</f>
        <v>54517533.740436703</v>
      </c>
      <c r="B5010">
        <v>192834374.2350693</v>
      </c>
    </row>
    <row r="5011" spans="1:2" x14ac:dyDescent="0.25">
      <c r="A5011">
        <f ca="1">33444.9839644033*((RANDBETWEEN(1620,2416)))</f>
        <v>66689298.02502016</v>
      </c>
      <c r="B5011">
        <v>146879487.57124794</v>
      </c>
    </row>
    <row r="5012" spans="1:2" x14ac:dyDescent="0.25">
      <c r="A5012">
        <f ca="1">31438.9683581551*((RANDBETWEEN(1620,2416)))</f>
        <v>52125809.537821159</v>
      </c>
      <c r="B5012">
        <v>180817931.57438275</v>
      </c>
    </row>
    <row r="5013" spans="1:2" x14ac:dyDescent="0.25">
      <c r="A5013">
        <f ca="1">32266.1001989524*((RANDBETWEEN(1620,2416)))</f>
        <v>57853117.656721689</v>
      </c>
      <c r="B5013">
        <v>173081207.22530186</v>
      </c>
    </row>
    <row r="5014" spans="1:2" x14ac:dyDescent="0.25">
      <c r="A5014">
        <f ca="1">32983.9231312028*((RANDBETWEEN(1620,2416)))</f>
        <v>62174695.102317251</v>
      </c>
      <c r="B5014">
        <v>196039355.44418958</v>
      </c>
    </row>
    <row r="5015" spans="1:2" x14ac:dyDescent="0.25">
      <c r="A5015">
        <f ca="1">33489.136071616*((RANDBETWEEN(1620,2416)))</f>
        <v>63160510.631067865</v>
      </c>
      <c r="B5015">
        <v>177921574.21948081</v>
      </c>
    </row>
    <row r="5016" spans="1:2" x14ac:dyDescent="0.25">
      <c r="A5016">
        <f ca="1">40051.8122540613*((RANDBETWEEN(1620,2416)))</f>
        <v>86992536.215821043</v>
      </c>
      <c r="B5016">
        <v>170681217.95158827</v>
      </c>
    </row>
    <row r="5017" spans="1:2" x14ac:dyDescent="0.25">
      <c r="A5017">
        <f ca="1">30634.3338939746*((RANDBETWEEN(1620,2416)))</f>
        <v>52752322.965424217</v>
      </c>
      <c r="B5017">
        <v>197794181.53965577</v>
      </c>
    </row>
    <row r="5018" spans="1:2" x14ac:dyDescent="0.25">
      <c r="A5018">
        <f ca="1">28469.659283089*((RANDBETWEEN(1620,2416)))</f>
        <v>58078104.937501527</v>
      </c>
      <c r="B5018">
        <v>185595474.38518065</v>
      </c>
    </row>
    <row r="5019" spans="1:2" x14ac:dyDescent="0.25">
      <c r="A5019">
        <f ca="1">36003.3264261767*((RANDBETWEEN(1620,2416)))</f>
        <v>60269568.437419854</v>
      </c>
      <c r="B5019">
        <v>158438793.69978729</v>
      </c>
    </row>
    <row r="5020" spans="1:2" x14ac:dyDescent="0.25">
      <c r="A5020">
        <f ca="1">35656.242073385*((RANDBETWEEN(1620,2416)))</f>
        <v>63539423.374772049</v>
      </c>
      <c r="B5020">
        <v>177436621.48582608</v>
      </c>
    </row>
    <row r="5021" spans="1:2" x14ac:dyDescent="0.25">
      <c r="A5021">
        <f ca="1">37015.8642960183*((RANDBETWEEN(1620,2416)))</f>
        <v>74253823.777812734</v>
      </c>
      <c r="B5021">
        <v>175525551.52786484</v>
      </c>
    </row>
    <row r="5022" spans="1:2" x14ac:dyDescent="0.25">
      <c r="A5022">
        <f ca="1">38491.1119558889*((RANDBETWEEN(1620,2416)))</f>
        <v>82178524.025822818</v>
      </c>
      <c r="B5022">
        <v>188227115.39606553</v>
      </c>
    </row>
    <row r="5023" spans="1:2" x14ac:dyDescent="0.25">
      <c r="A5023">
        <f ca="1">40215.607045177*((RANDBETWEEN(1620,2416)))</f>
        <v>80431214.090353906</v>
      </c>
      <c r="B5023">
        <v>152843208.37845391</v>
      </c>
    </row>
    <row r="5024" spans="1:2" x14ac:dyDescent="0.25">
      <c r="A5024">
        <f ca="1">31017.0395828256*((RANDBETWEEN(1620,2416)))</f>
        <v>60080005.671933226</v>
      </c>
      <c r="B5024">
        <v>173750036.51561329</v>
      </c>
    </row>
    <row r="5025" spans="1:2" x14ac:dyDescent="0.25">
      <c r="A5025">
        <f ca="1">39624.4165618626*((RANDBETWEEN(1620,2416)))</f>
        <v>71125827.728543386</v>
      </c>
      <c r="B5025">
        <v>200080139.34450534</v>
      </c>
    </row>
    <row r="5026" spans="1:2" x14ac:dyDescent="0.25">
      <c r="A5026">
        <f ca="1">30978.9953626463*((RANDBETWEEN(1620,2416)))</f>
        <v>73327282.023383826</v>
      </c>
      <c r="B5026">
        <v>203075171.29793453</v>
      </c>
    </row>
    <row r="5027" spans="1:2" x14ac:dyDescent="0.25">
      <c r="A5027">
        <f ca="1">35047.4632944023*((RANDBETWEEN(1620,2416)))</f>
        <v>66625227.722658768</v>
      </c>
      <c r="B5027">
        <v>149142969.28023922</v>
      </c>
    </row>
    <row r="5028" spans="1:2" x14ac:dyDescent="0.25">
      <c r="A5028">
        <f ca="1">39516.9213005956*((RANDBETWEEN(1620,2416)))</f>
        <v>78322538.017780408</v>
      </c>
      <c r="B5028">
        <v>165034190.8575505</v>
      </c>
    </row>
    <row r="5029" spans="1:2" x14ac:dyDescent="0.25">
      <c r="A5029">
        <f ca="1">31104.3960761668*((RANDBETWEEN(1620,2416)))</f>
        <v>58818412.980031371</v>
      </c>
      <c r="B5029">
        <v>164158254.20978725</v>
      </c>
    </row>
    <row r="5030" spans="1:2" x14ac:dyDescent="0.25">
      <c r="A5030">
        <f ca="1">39596.405887588*((RANDBETWEEN(1620,2416)))</f>
        <v>78994829.74573797</v>
      </c>
      <c r="B5030">
        <v>158613046.89641643</v>
      </c>
    </row>
    <row r="5031" spans="1:2" x14ac:dyDescent="0.25">
      <c r="A5031">
        <f ca="1">31039.4238212259*((RANDBETWEEN(1620,2416)))</f>
        <v>54505228.23007267</v>
      </c>
      <c r="B5031">
        <v>197923146.86029243</v>
      </c>
    </row>
    <row r="5032" spans="1:2" x14ac:dyDescent="0.25">
      <c r="A5032">
        <f ca="1">38716.3247758629*((RANDBETWEEN(1620,2416)))</f>
        <v>66553362.289708264</v>
      </c>
      <c r="B5032">
        <v>146501238.85799283</v>
      </c>
    </row>
    <row r="5033" spans="1:2" x14ac:dyDescent="0.25">
      <c r="A5033">
        <f ca="1">39766.2852996242*((RANDBETWEEN(1620,2416)))</f>
        <v>76391034.060578153</v>
      </c>
      <c r="B5033">
        <v>193408814.55924103</v>
      </c>
    </row>
    <row r="5034" spans="1:2" x14ac:dyDescent="0.25">
      <c r="A5034">
        <f ca="1">38964.0901680004*((RANDBETWEEN(1620,2416)))</f>
        <v>89071910.124048948</v>
      </c>
      <c r="B5034">
        <v>198063730.85227412</v>
      </c>
    </row>
    <row r="5035" spans="1:2" x14ac:dyDescent="0.25">
      <c r="A5035">
        <f ca="1">36355.4637825971*((RANDBETWEEN(1620,2416)))</f>
        <v>68166494.592369616</v>
      </c>
      <c r="B5035">
        <v>176181799.13614008</v>
      </c>
    </row>
    <row r="5036" spans="1:2" x14ac:dyDescent="0.25">
      <c r="A5036">
        <f ca="1">32707.8319013858*((RANDBETWEEN(1620,2416)))</f>
        <v>72218892.838259891</v>
      </c>
      <c r="B5036">
        <v>195822394.47678742</v>
      </c>
    </row>
    <row r="5037" spans="1:2" x14ac:dyDescent="0.25">
      <c r="A5037">
        <f ca="1">30964.1159074478*((RANDBETWEEN(1620,2416)))</f>
        <v>52453212.347216651</v>
      </c>
      <c r="B5037">
        <v>152443670.28172445</v>
      </c>
    </row>
    <row r="5038" spans="1:2" x14ac:dyDescent="0.25">
      <c r="A5038">
        <f ca="1">31120.4797204295*((RANDBETWEEN(1620,2416)))</f>
        <v>55238851.503762297</v>
      </c>
      <c r="B5038">
        <v>185465072.34976652</v>
      </c>
    </row>
    <row r="5039" spans="1:2" x14ac:dyDescent="0.25">
      <c r="A5039">
        <f ca="1">30780.0830764008*((RANDBETWEEN(1620,2416)))</f>
        <v>50848697.242214151</v>
      </c>
      <c r="B5039">
        <v>145622115.57184446</v>
      </c>
    </row>
    <row r="5040" spans="1:2" x14ac:dyDescent="0.25">
      <c r="A5040">
        <f ca="1">31312.2434093701*((RANDBETWEEN(1620,2416)))</f>
        <v>53481311.743204132</v>
      </c>
      <c r="B5040">
        <v>148977886.55803359</v>
      </c>
    </row>
    <row r="5041" spans="1:2" x14ac:dyDescent="0.25">
      <c r="A5041">
        <f ca="1">30439.1455897175*((RANDBETWEEN(1620,2416)))</f>
        <v>56708128.233643711</v>
      </c>
      <c r="B5041">
        <v>153771398.5951871</v>
      </c>
    </row>
    <row r="5042" spans="1:2" x14ac:dyDescent="0.25">
      <c r="A5042">
        <f ca="1">34372.1770893613*((RANDBETWEEN(1620,2416)))</f>
        <v>57882746.218484461</v>
      </c>
      <c r="B5042">
        <v>172613053.98027223</v>
      </c>
    </row>
    <row r="5043" spans="1:2" x14ac:dyDescent="0.25">
      <c r="A5043">
        <f ca="1">30837.306853586*((RANDBETWEEN(1620,2416)))</f>
        <v>69198916.579446882</v>
      </c>
      <c r="B5043">
        <v>192166699.78792483</v>
      </c>
    </row>
    <row r="5044" spans="1:2" x14ac:dyDescent="0.25">
      <c r="A5044">
        <f ca="1">29622.971601057*((RANDBETWEEN(1620,2416)))</f>
        <v>49322247.715759881</v>
      </c>
      <c r="B5044">
        <v>149255080.05539367</v>
      </c>
    </row>
    <row r="5045" spans="1:2" x14ac:dyDescent="0.25">
      <c r="A5045">
        <f ca="1">31671.4708939241*((RANDBETWEEN(1620,2416)))</f>
        <v>75124728.960387856</v>
      </c>
      <c r="B5045">
        <v>145169771.59392691</v>
      </c>
    </row>
    <row r="5046" spans="1:2" x14ac:dyDescent="0.25">
      <c r="A5046">
        <f ca="1">30402.0507529457*((RANDBETWEEN(1620,2416)))</f>
        <v>49798559.1333251</v>
      </c>
      <c r="B5046">
        <v>149360393.59658301</v>
      </c>
    </row>
    <row r="5047" spans="1:2" x14ac:dyDescent="0.25">
      <c r="A5047">
        <f ca="1">32767.6299447738*((RANDBETWEEN(1620,2416)))</f>
        <v>64650533.881038636</v>
      </c>
      <c r="B5047">
        <v>168978730.00234872</v>
      </c>
    </row>
    <row r="5048" spans="1:2" x14ac:dyDescent="0.25">
      <c r="A5048">
        <f ca="1">36219.400170326*((RANDBETWEEN(1620,2416)))</f>
        <v>82145599.586299405</v>
      </c>
      <c r="B5048">
        <v>195882340.93140846</v>
      </c>
    </row>
    <row r="5049" spans="1:2" x14ac:dyDescent="0.25">
      <c r="A5049">
        <f ca="1">39418.5373916825*((RANDBETWEEN(1620,2416)))</f>
        <v>72648364.412870854</v>
      </c>
      <c r="B5049">
        <v>189762637.26064056</v>
      </c>
    </row>
    <row r="5050" spans="1:2" x14ac:dyDescent="0.25">
      <c r="A5050">
        <f ca="1">35585.3322211672*((RANDBETWEEN(1620,2416)))</f>
        <v>65975205.938044026</v>
      </c>
      <c r="B5050">
        <v>174560423.89822024</v>
      </c>
    </row>
    <row r="5051" spans="1:2" x14ac:dyDescent="0.25">
      <c r="A5051">
        <f ca="1">35576.1148798314*((RANDBETWEEN(1620,2416)))</f>
        <v>66740791.514563642</v>
      </c>
      <c r="B5051">
        <v>152320098.36790448</v>
      </c>
    </row>
    <row r="5052" spans="1:2" x14ac:dyDescent="0.25">
      <c r="A5052">
        <f ca="1">36807.0847538993*((RANDBETWEEN(1620,2416)))</f>
        <v>67283350.930128053</v>
      </c>
      <c r="B5052">
        <v>153242714.83613786</v>
      </c>
    </row>
    <row r="5053" spans="1:2" x14ac:dyDescent="0.25">
      <c r="A5053">
        <f ca="1">34294.6180995786*((RANDBETWEEN(1620,2416)))</f>
        <v>72807474.22540547</v>
      </c>
      <c r="B5053">
        <v>160646572.89796865</v>
      </c>
    </row>
    <row r="5054" spans="1:2" x14ac:dyDescent="0.25">
      <c r="A5054">
        <f ca="1">32960.8577312019*((RANDBETWEEN(1620,2416)))</f>
        <v>64965850.588198997</v>
      </c>
      <c r="B5054">
        <v>182313026.12110794</v>
      </c>
    </row>
    <row r="5055" spans="1:2" x14ac:dyDescent="0.25">
      <c r="A5055">
        <f ca="1">30279.7895753389*((RANDBETWEEN(1620,2416)))</f>
        <v>57561879.982719302</v>
      </c>
      <c r="B5055">
        <v>148069777.05773777</v>
      </c>
    </row>
    <row r="5056" spans="1:2" x14ac:dyDescent="0.25">
      <c r="A5056">
        <f ca="1">31281.2626625317*((RANDBETWEEN(1620,2416)))</f>
        <v>51207426.978564441</v>
      </c>
      <c r="B5056">
        <v>164432028.79319569</v>
      </c>
    </row>
    <row r="5057" spans="1:2" x14ac:dyDescent="0.25">
      <c r="A5057">
        <f ca="1">34734.9094958148*((RANDBETWEEN(1620,2416)))</f>
        <v>73846417.588102281</v>
      </c>
      <c r="B5057">
        <v>170313696.33812779</v>
      </c>
    </row>
    <row r="5058" spans="1:2" x14ac:dyDescent="0.25">
      <c r="A5058">
        <f ca="1">27157.9726866704*((RANDBETWEEN(1620,2416)))</f>
        <v>48314033.409586698</v>
      </c>
      <c r="B5058">
        <v>197533508.79287222</v>
      </c>
    </row>
    <row r="5059" spans="1:2" x14ac:dyDescent="0.25">
      <c r="A5059">
        <f ca="1">36291.0603615475*((RANDBETWEEN(1620,2416)))</f>
        <v>74650711.163703144</v>
      </c>
      <c r="B5059">
        <v>171131114.37923053</v>
      </c>
    </row>
    <row r="5060" spans="1:2" x14ac:dyDescent="0.25">
      <c r="A5060">
        <f ca="1">35439.7274879907*((RANDBETWEEN(1620,2416)))</f>
        <v>79455869.028075114</v>
      </c>
      <c r="B5060">
        <v>146225319.04503757</v>
      </c>
    </row>
    <row r="5061" spans="1:2" x14ac:dyDescent="0.25">
      <c r="A5061">
        <f ca="1">30824.0862699037*((RANDBETWEEN(1620,2416)))</f>
        <v>70556333.471809477</v>
      </c>
      <c r="B5061">
        <v>165091973.23465553</v>
      </c>
    </row>
    <row r="5062" spans="1:2" x14ac:dyDescent="0.25">
      <c r="A5062">
        <f ca="1">30946.8372961562*((RANDBETWEEN(1620,2416)))</f>
        <v>62265036.63986627</v>
      </c>
      <c r="B5062">
        <v>152120305.92013747</v>
      </c>
    </row>
    <row r="5063" spans="1:2" x14ac:dyDescent="0.25">
      <c r="A5063">
        <f ca="1">41514.2842464016*((RANDBETWEEN(1620,2416)))</f>
        <v>79582882.900351942</v>
      </c>
      <c r="B5063">
        <v>198411996.8775126</v>
      </c>
    </row>
    <row r="5064" spans="1:2" x14ac:dyDescent="0.25">
      <c r="A5064">
        <f ca="1">30366.3126876699*((RANDBETWEEN(1620,2416)))</f>
        <v>68536767.736070946</v>
      </c>
      <c r="B5064">
        <v>153476113.28347328</v>
      </c>
    </row>
    <row r="5065" spans="1:2" x14ac:dyDescent="0.25">
      <c r="A5065">
        <f ca="1">30657.6738752158*((RANDBETWEEN(1620,2416)))</f>
        <v>57483138.516029574</v>
      </c>
      <c r="B5065">
        <v>196810823.52893272</v>
      </c>
    </row>
    <row r="5066" spans="1:2" x14ac:dyDescent="0.25">
      <c r="A5066">
        <f ca="1">32018.6610767778*((RANDBETWEEN(1620,2416)))</f>
        <v>63428967.593096882</v>
      </c>
      <c r="B5066">
        <v>192564168.76644292</v>
      </c>
    </row>
    <row r="5067" spans="1:2" x14ac:dyDescent="0.25">
      <c r="A5067">
        <f ca="1">30829.065690647*((RANDBETWEEN(1620,2416)))</f>
        <v>69396226.869646505</v>
      </c>
      <c r="B5067">
        <v>187277804.17173126</v>
      </c>
    </row>
    <row r="5068" spans="1:2" x14ac:dyDescent="0.25">
      <c r="A5068">
        <f ca="1">31363.4906234351*((RANDBETWEEN(1620,2416)))</f>
        <v>66396509.649812117</v>
      </c>
      <c r="B5068">
        <v>164343426.16357341</v>
      </c>
    </row>
    <row r="5069" spans="1:2" x14ac:dyDescent="0.25">
      <c r="A5069">
        <f ca="1">34176.4912746068*((RANDBETWEEN(1620,2416)))</f>
        <v>75735104.664528579</v>
      </c>
      <c r="B5069">
        <v>151050760.04076141</v>
      </c>
    </row>
    <row r="5070" spans="1:2" x14ac:dyDescent="0.25">
      <c r="A5070">
        <f ca="1">30594.2757171057*((RANDBETWEEN(1620,2416)))</f>
        <v>64523327.487375937</v>
      </c>
      <c r="B5070">
        <v>180748004.88508582</v>
      </c>
    </row>
    <row r="5071" spans="1:2" x14ac:dyDescent="0.25">
      <c r="A5071">
        <f ca="1">34844.6056280568*((RANDBETWEEN(1620,2416)))</f>
        <v>63486871.454319514</v>
      </c>
      <c r="B5071">
        <v>143128781.48954499</v>
      </c>
    </row>
    <row r="5072" spans="1:2" x14ac:dyDescent="0.25">
      <c r="A5072">
        <f ca="1">38647.8241415946*((RANDBETWEEN(1620,2416)))</f>
        <v>79769109.028251261</v>
      </c>
      <c r="B5072">
        <v>188015775.39356714</v>
      </c>
    </row>
    <row r="5073" spans="1:2" x14ac:dyDescent="0.25">
      <c r="A5073">
        <f ca="1">28812.1845211964*((RANDBETWEEN(1620,2416)))</f>
        <v>53273729.179692067</v>
      </c>
      <c r="B5073">
        <v>155476234.06736642</v>
      </c>
    </row>
    <row r="5074" spans="1:2" x14ac:dyDescent="0.25">
      <c r="A5074">
        <f ca="1">28152.3387197008*((RANDBETWEEN(1620,2416)))</f>
        <v>47127015.016779214</v>
      </c>
      <c r="B5074">
        <v>152519706.84617239</v>
      </c>
    </row>
    <row r="5075" spans="1:2" x14ac:dyDescent="0.25">
      <c r="A5075">
        <f ca="1">40178.4562329614*((RANDBETWEEN(1620,2416)))</f>
        <v>74330144.03097862</v>
      </c>
      <c r="B5075">
        <v>193408860.60977256</v>
      </c>
    </row>
    <row r="5076" spans="1:2" x14ac:dyDescent="0.25">
      <c r="A5076">
        <f ca="1">30079.6986045434*((RANDBETWEEN(1620,2416)))</f>
        <v>57692861.923514314</v>
      </c>
      <c r="B5076">
        <v>143484174.40746805</v>
      </c>
    </row>
    <row r="5077" spans="1:2" x14ac:dyDescent="0.25">
      <c r="A5077">
        <f ca="1">33123.435214627*((RANDBETWEEN(1620,2416)))</f>
        <v>72341582.508745342</v>
      </c>
      <c r="B5077">
        <v>182450985.89188781</v>
      </c>
    </row>
    <row r="5078" spans="1:2" x14ac:dyDescent="0.25">
      <c r="A5078">
        <f ca="1">31044.730888189*((RANDBETWEEN(1620,2416)))</f>
        <v>64262592.938551143</v>
      </c>
      <c r="B5078">
        <v>165236033.83611315</v>
      </c>
    </row>
    <row r="5079" spans="1:2" x14ac:dyDescent="0.25">
      <c r="A5079">
        <f ca="1">38102.7808560537*((RANDBETWEEN(1620,2416)))</f>
        <v>69613780.624010026</v>
      </c>
      <c r="B5079">
        <v>185209822.57879585</v>
      </c>
    </row>
    <row r="5080" spans="1:2" x14ac:dyDescent="0.25">
      <c r="A5080">
        <f ca="1">30701.3283875883*((RANDBETWEEN(1620,2416)))</f>
        <v>72639342.965034008</v>
      </c>
      <c r="B5080">
        <v>171242325.59236747</v>
      </c>
    </row>
    <row r="5081" spans="1:2" x14ac:dyDescent="0.25">
      <c r="A5081">
        <f ca="1">32258.0070246557*((RANDBETWEEN(1620,2416)))</f>
        <v>71451485.559612483</v>
      </c>
      <c r="B5081">
        <v>162783368.67547557</v>
      </c>
    </row>
    <row r="5082" spans="1:2" x14ac:dyDescent="0.25">
      <c r="A5082">
        <f ca="1">29461.2082305164*((RANDBETWEEN(1620,2416)))</f>
        <v>52794485.149085328</v>
      </c>
      <c r="B5082">
        <v>144031543.58652207</v>
      </c>
    </row>
    <row r="5083" spans="1:2" x14ac:dyDescent="0.25">
      <c r="A5083">
        <f ca="1">31614.1067190558*((RANDBETWEEN(1620,2416)))</f>
        <v>64271478.959840454</v>
      </c>
      <c r="B5083">
        <v>147410234.00856498</v>
      </c>
    </row>
    <row r="5084" spans="1:2" x14ac:dyDescent="0.25">
      <c r="A5084">
        <f ca="1">31500.2257057334*((RANDBETWEEN(1620,2416)))</f>
        <v>53739385.053981245</v>
      </c>
      <c r="B5084">
        <v>180251742.78687692</v>
      </c>
    </row>
    <row r="5085" spans="1:2" x14ac:dyDescent="0.25">
      <c r="A5085">
        <f ca="1">37929.5022205223*((RANDBETWEEN(1620,2416)))</f>
        <v>63987070.246021159</v>
      </c>
      <c r="B5085">
        <v>161625794.61617023</v>
      </c>
    </row>
    <row r="5086" spans="1:2" x14ac:dyDescent="0.25">
      <c r="A5086">
        <f ca="1">27781.4557117613*((RANDBETWEEN(1620,2416)))</f>
        <v>60591354.907351404</v>
      </c>
      <c r="B5086">
        <v>155175017.45650223</v>
      </c>
    </row>
    <row r="5087" spans="1:2" x14ac:dyDescent="0.25">
      <c r="A5087">
        <f ca="1">30916.8156443542*((RANDBETWEEN(1620,2416)))</f>
        <v>52960505.198778778</v>
      </c>
      <c r="B5087">
        <v>192202346.44671544</v>
      </c>
    </row>
    <row r="5088" spans="1:2" x14ac:dyDescent="0.25">
      <c r="A5088">
        <f ca="1">39715.6973808743*((RANDBETWEEN(1620,2416)))</f>
        <v>77763335.471751913</v>
      </c>
      <c r="B5088">
        <v>168683080.67896685</v>
      </c>
    </row>
    <row r="5089" spans="1:2" x14ac:dyDescent="0.25">
      <c r="A5089">
        <f ca="1">39824.9532271707*((RANDBETWEEN(1620,2416)))</f>
        <v>68498919.550733626</v>
      </c>
      <c r="B5089">
        <v>165665165.22400621</v>
      </c>
    </row>
    <row r="5090" spans="1:2" x14ac:dyDescent="0.25">
      <c r="A5090">
        <f ca="1">31815.696348091*((RANDBETWEEN(1620,2416)))</f>
        <v>59940771.91980347</v>
      </c>
      <c r="B5090">
        <v>175063523.32238376</v>
      </c>
    </row>
    <row r="5091" spans="1:2" x14ac:dyDescent="0.25">
      <c r="A5091">
        <f ca="1">31862.4223843306*((RANDBETWEEN(1620,2416)))</f>
        <v>63374358.122433588</v>
      </c>
      <c r="B5091">
        <v>185728263.90489033</v>
      </c>
    </row>
    <row r="5092" spans="1:2" x14ac:dyDescent="0.25">
      <c r="A5092">
        <f ca="1">32413.3520280745*((RANDBETWEEN(1620,2416)))</f>
        <v>64048783.607475296</v>
      </c>
      <c r="B5092">
        <v>183460640.67815542</v>
      </c>
    </row>
    <row r="5093" spans="1:2" x14ac:dyDescent="0.25">
      <c r="A5093">
        <f ca="1">32852.4123312029*((RANDBETWEEN(1620,2416)))</f>
        <v>55224905.128751993</v>
      </c>
      <c r="B5093">
        <v>177187589.03894052</v>
      </c>
    </row>
    <row r="5094" spans="1:2" x14ac:dyDescent="0.25">
      <c r="A5094">
        <f ca="1">40578.3892686697*((RANDBETWEEN(1620,2416)))</f>
        <v>70565818.938216627</v>
      </c>
      <c r="B5094">
        <v>154131414.40094882</v>
      </c>
    </row>
    <row r="5095" spans="1:2" x14ac:dyDescent="0.25">
      <c r="A5095">
        <f ca="1">31256.9154425481*((RANDBETWEEN(1620,2416)))</f>
        <v>73610035.867200732</v>
      </c>
      <c r="B5095">
        <v>157534855.66662079</v>
      </c>
    </row>
    <row r="5096" spans="1:2" x14ac:dyDescent="0.25">
      <c r="A5096">
        <f ca="1">40905.7078332523*((RANDBETWEEN(1620,2416)))</f>
        <v>67126266.554366976</v>
      </c>
      <c r="B5096">
        <v>185949259.39956757</v>
      </c>
    </row>
    <row r="5097" spans="1:2" x14ac:dyDescent="0.25">
      <c r="A5097">
        <f ca="1">30316.3729804389*((RANDBETWEEN(1620,2416)))</f>
        <v>60299265.858092926</v>
      </c>
      <c r="B5097">
        <v>144096522.35862765</v>
      </c>
    </row>
    <row r="5098" spans="1:2" x14ac:dyDescent="0.25">
      <c r="A5098">
        <f ca="1">40030.6876113267*((RANDBETWEEN(1620,2416)))</f>
        <v>87707236.556416839</v>
      </c>
      <c r="B5098">
        <v>146692386.19084713</v>
      </c>
    </row>
    <row r="5099" spans="1:2" x14ac:dyDescent="0.25">
      <c r="A5099">
        <f ca="1">35632.7375009616*((RANDBETWEEN(1620,2416)))</f>
        <v>58615853.189081877</v>
      </c>
      <c r="B5099">
        <v>184366178.4633787</v>
      </c>
    </row>
    <row r="5100" spans="1:2" x14ac:dyDescent="0.25">
      <c r="A5100">
        <f ca="1">29909.0035418544*((RANDBETWEEN(1620,2416)))</f>
        <v>69717887.256062716</v>
      </c>
      <c r="B5100">
        <v>160686000.96541387</v>
      </c>
    </row>
    <row r="5101" spans="1:2" x14ac:dyDescent="0.25">
      <c r="A5101">
        <f ca="1">29069.5427226818*((RANDBETWEEN(1620,2416)))</f>
        <v>61104178.803077146</v>
      </c>
      <c r="B5101">
        <v>175763589.19663247</v>
      </c>
    </row>
    <row r="5102" spans="1:2" x14ac:dyDescent="0.25">
      <c r="A5102">
        <f ca="1">35699.2757733735*((RANDBETWEEN(1620,2416)))</f>
        <v>84821479.237535477</v>
      </c>
      <c r="B5102">
        <v>169770389.38388562</v>
      </c>
    </row>
    <row r="5103" spans="1:2" x14ac:dyDescent="0.25">
      <c r="A5103">
        <f ca="1">30739.5139215199*((RANDBETWEEN(1620,2416)))</f>
        <v>59942052.146963842</v>
      </c>
      <c r="B5103">
        <v>159051974.68414259</v>
      </c>
    </row>
    <row r="5104" spans="1:2" x14ac:dyDescent="0.25">
      <c r="A5104">
        <f ca="1">31461.0924693006*((RANDBETWEEN(1620,2416)))</f>
        <v>61128902.66785109</v>
      </c>
      <c r="B5104">
        <v>194797515.61310759</v>
      </c>
    </row>
    <row r="5105" spans="1:2" x14ac:dyDescent="0.25">
      <c r="A5105">
        <f ca="1">34658.6503696856*((RANDBETWEEN(1620,2416)))</f>
        <v>68034930.675692856</v>
      </c>
      <c r="B5105">
        <v>182929573.81577355</v>
      </c>
    </row>
    <row r="5106" spans="1:2" x14ac:dyDescent="0.25">
      <c r="A5106">
        <f ca="1">29403.0006246177*((RANDBETWEEN(1620,2416)))</f>
        <v>70949440.507202744</v>
      </c>
      <c r="B5106">
        <v>190453674.71538985</v>
      </c>
    </row>
    <row r="5107" spans="1:2" x14ac:dyDescent="0.25">
      <c r="A5107">
        <f ca="1">30357.3182280916*((RANDBETWEEN(1620,2416)))</f>
        <v>68334323.331434131</v>
      </c>
      <c r="B5107">
        <v>176650706.47584975</v>
      </c>
    </row>
    <row r="5108" spans="1:2" x14ac:dyDescent="0.25">
      <c r="A5108">
        <f ca="1">33159.6815587235*((RANDBETWEEN(1620,2416)))</f>
        <v>65689329.167831205</v>
      </c>
      <c r="B5108">
        <v>149521534.83683923</v>
      </c>
    </row>
    <row r="5109" spans="1:2" x14ac:dyDescent="0.25">
      <c r="A5109">
        <f ca="1">32331.5392678977*((RANDBETWEEN(1620,2416)))</f>
        <v>63951784.671901733</v>
      </c>
      <c r="B5109">
        <v>184127156.64655185</v>
      </c>
    </row>
    <row r="5110" spans="1:2" x14ac:dyDescent="0.25">
      <c r="A5110">
        <f ca="1">38865.9059144311*((RANDBETWEEN(1620,2416)))</f>
        <v>66382967.301848337</v>
      </c>
      <c r="B5110">
        <v>186456951.84316146</v>
      </c>
    </row>
    <row r="5111" spans="1:2" x14ac:dyDescent="0.25">
      <c r="A5111">
        <f ca="1">39815.0096752488*((RANDBETWEEN(1620,2416)))</f>
        <v>77838343.915111467</v>
      </c>
      <c r="B5111">
        <v>155248363.16431576</v>
      </c>
    </row>
    <row r="5112" spans="1:2" x14ac:dyDescent="0.25">
      <c r="A5112">
        <f ca="1">38122.1250839099*((RANDBETWEEN(1620,2416)))</f>
        <v>91912443.577306688</v>
      </c>
      <c r="B5112">
        <v>149082125.27954811</v>
      </c>
    </row>
    <row r="5113" spans="1:2" x14ac:dyDescent="0.25">
      <c r="A5113">
        <f ca="1">31542.803969845*((RANDBETWEEN(1620,2416)))</f>
        <v>74346388.956924662</v>
      </c>
      <c r="B5113">
        <v>144411990.91423365</v>
      </c>
    </row>
    <row r="5114" spans="1:2" x14ac:dyDescent="0.25">
      <c r="A5114">
        <f ca="1">33211.2017139199*((RANDBETWEEN(1620,2416)))</f>
        <v>76252919.135160178</v>
      </c>
      <c r="B5114">
        <v>203288855.84641194</v>
      </c>
    </row>
    <row r="5115" spans="1:2" x14ac:dyDescent="0.25">
      <c r="A5115">
        <f ca="1">31986.4181437119*((RANDBETWEEN(1620,2416)))</f>
        <v>52361766.501256324</v>
      </c>
      <c r="B5115">
        <v>171215200.03831688</v>
      </c>
    </row>
    <row r="5116" spans="1:2" x14ac:dyDescent="0.25">
      <c r="A5116">
        <f ca="1">32472.0794418196*((RANDBETWEEN(1620,2416)))</f>
        <v>61989199.654433608</v>
      </c>
      <c r="B5116">
        <v>179494329.90042585</v>
      </c>
    </row>
    <row r="5117" spans="1:2" x14ac:dyDescent="0.25">
      <c r="A5117">
        <f ca="1">35989.0844803174*((RANDBETWEEN(1620,2416)))</f>
        <v>85474075.640753835</v>
      </c>
      <c r="B5117">
        <v>153308677.43093187</v>
      </c>
    </row>
    <row r="5118" spans="1:2" x14ac:dyDescent="0.25">
      <c r="A5118">
        <f ca="1">31648.6630563967*((RANDBETWEEN(1620,2416)))</f>
        <v>61619946.970804282</v>
      </c>
      <c r="B5118">
        <v>172128557.01592374</v>
      </c>
    </row>
    <row r="5119" spans="1:2" x14ac:dyDescent="0.25">
      <c r="A5119">
        <f ca="1">32623.1701474889*((RANDBETWEEN(1620,2416)))</f>
        <v>55948736.802943431</v>
      </c>
      <c r="B5119">
        <v>160782789.93185434</v>
      </c>
    </row>
    <row r="5120" spans="1:2" x14ac:dyDescent="0.25">
      <c r="A5120">
        <f ca="1">30538.8716503554*((RANDBETWEEN(1620,2416)))</f>
        <v>62024448.321871899</v>
      </c>
      <c r="B5120">
        <v>157174789.46917939</v>
      </c>
    </row>
    <row r="5121" spans="1:2" x14ac:dyDescent="0.25">
      <c r="A5121">
        <f ca="1">39649.5649735289*((RANDBETWEEN(1620,2416)))</f>
        <v>66888816.110343173</v>
      </c>
      <c r="B5121">
        <v>167023330.6927188</v>
      </c>
    </row>
    <row r="5122" spans="1:2" x14ac:dyDescent="0.25">
      <c r="A5122">
        <f ca="1">30631.481304649*((RANDBETWEEN(1620,2416)))</f>
        <v>66500945.912392944</v>
      </c>
      <c r="B5122">
        <v>192801445.25420621</v>
      </c>
    </row>
    <row r="5123" spans="1:2" x14ac:dyDescent="0.25">
      <c r="A5123">
        <f ca="1">34744.9261182304*((RANDBETWEEN(1620,2416)))</f>
        <v>78071848.987663716</v>
      </c>
      <c r="B5123">
        <v>173308201.87237456</v>
      </c>
    </row>
    <row r="5124" spans="1:2" x14ac:dyDescent="0.25">
      <c r="A5124">
        <f ca="1">30345.1901597899*((RANDBETWEEN(1620,2416)))</f>
        <v>65029742.512429863</v>
      </c>
      <c r="B5124">
        <v>151442750.12325865</v>
      </c>
    </row>
    <row r="5125" spans="1:2" x14ac:dyDescent="0.25">
      <c r="A5125">
        <f ca="1">30132.9784043838*((RANDBETWEEN(1620,2416)))</f>
        <v>65569361.007939138</v>
      </c>
      <c r="B5125">
        <v>155228204.77763319</v>
      </c>
    </row>
    <row r="5126" spans="1:2" x14ac:dyDescent="0.25">
      <c r="A5126">
        <f ca="1">35744.7855138176*((RANDBETWEEN(1620,2416)))</f>
        <v>85179823.879427299</v>
      </c>
      <c r="B5126">
        <v>149172875.04882938</v>
      </c>
    </row>
    <row r="5127" spans="1:2" x14ac:dyDescent="0.25">
      <c r="A5127">
        <f ca="1">38889.4717884923*((RANDBETWEEN(1620,2416)))</f>
        <v>80151201.356082723</v>
      </c>
      <c r="B5127">
        <v>144881256.97900748</v>
      </c>
    </row>
    <row r="5128" spans="1:2" x14ac:dyDescent="0.25">
      <c r="A5128">
        <f ca="1">30555.1727382117*((RANDBETWEEN(1620,2416)))</f>
        <v>51607686.754839636</v>
      </c>
      <c r="B5128">
        <v>159025847.90981153</v>
      </c>
    </row>
    <row r="5129" spans="1:2" x14ac:dyDescent="0.25">
      <c r="A5129">
        <f ca="1">32321.5513709243*((RANDBETWEEN(1620,2416)))</f>
        <v>56498071.796375684</v>
      </c>
      <c r="B5129">
        <v>162699577.23382613</v>
      </c>
    </row>
    <row r="5130" spans="1:2" x14ac:dyDescent="0.25">
      <c r="A5130">
        <f ca="1">31467.8588992563*((RANDBETWEEN(1620,2416)))</f>
        <v>60921774.82896018</v>
      </c>
      <c r="B5130">
        <v>166410144.9320018</v>
      </c>
    </row>
    <row r="5131" spans="1:2" x14ac:dyDescent="0.25">
      <c r="A5131">
        <f ca="1">33461.9731035185*((RANDBETWEEN(1620,2416)))</f>
        <v>67860881.453935713</v>
      </c>
      <c r="B5131">
        <v>174327431.43778193</v>
      </c>
    </row>
    <row r="5132" spans="1:2" x14ac:dyDescent="0.25">
      <c r="A5132">
        <f ca="1">30565.8732845902*((RANDBETWEEN(1620,2416)))</f>
        <v>58014027.494152285</v>
      </c>
      <c r="B5132">
        <v>157915249.47586966</v>
      </c>
    </row>
    <row r="5133" spans="1:2" x14ac:dyDescent="0.25">
      <c r="A5133">
        <f ca="1">31207.9085234875*((RANDBETWEEN(1620,2416)))</f>
        <v>62134945.870263591</v>
      </c>
      <c r="B5133">
        <v>181181733.90670624</v>
      </c>
    </row>
    <row r="5134" spans="1:2" x14ac:dyDescent="0.25">
      <c r="A5134">
        <f ca="1">43221.973624235*((RANDBETWEEN(1620,2416)))</f>
        <v>99324095.388492107</v>
      </c>
      <c r="B5134">
        <v>155717478.29561281</v>
      </c>
    </row>
    <row r="5135" spans="1:2" x14ac:dyDescent="0.25">
      <c r="A5135">
        <f ca="1">29638.1128793176*((RANDBETWEEN(1620,2416)))</f>
        <v>52637288.473668054</v>
      </c>
      <c r="B5135">
        <v>173358230.13834208</v>
      </c>
    </row>
    <row r="5136" spans="1:2" x14ac:dyDescent="0.25">
      <c r="A5136">
        <f ca="1">34160.0303723304*((RANDBETWEEN(1620,2416)))</f>
        <v>59404292.817482479</v>
      </c>
      <c r="B5136">
        <v>153768191.70143715</v>
      </c>
    </row>
    <row r="5137" spans="1:2" x14ac:dyDescent="0.25">
      <c r="A5137">
        <f ca="1">28888.4056348716*((RANDBETWEEN(1620,2416)))</f>
        <v>57892364.892282732</v>
      </c>
      <c r="B5137">
        <v>169762511.6343759</v>
      </c>
    </row>
    <row r="5138" spans="1:2" x14ac:dyDescent="0.25">
      <c r="A5138">
        <f ca="1">29836.7760179813*((RANDBETWEEN(1620,2416)))</f>
        <v>60240450.780304186</v>
      </c>
      <c r="B5138">
        <v>171754503.87973794</v>
      </c>
    </row>
    <row r="5139" spans="1:2" x14ac:dyDescent="0.25">
      <c r="A5139">
        <f ca="1">29144.582310862*((RANDBETWEEN(1620,2416)))</f>
        <v>57735417.557817526</v>
      </c>
      <c r="B5139">
        <v>151646471.57626987</v>
      </c>
    </row>
    <row r="5140" spans="1:2" x14ac:dyDescent="0.25">
      <c r="A5140">
        <f ca="1">32221.6689335771*((RANDBETWEEN(1620,2416)))</f>
        <v>69341031.545058012</v>
      </c>
      <c r="B5140">
        <v>188140663.78971547</v>
      </c>
    </row>
    <row r="5141" spans="1:2" x14ac:dyDescent="0.25">
      <c r="A5141">
        <f ca="1">31965.5863852046*((RANDBETWEEN(1620,2416)))</f>
        <v>57410193.147827424</v>
      </c>
      <c r="B5141">
        <v>151953675.8714076</v>
      </c>
    </row>
    <row r="5142" spans="1:2" x14ac:dyDescent="0.25">
      <c r="A5142">
        <f ca="1">31193.6808770815*((RANDBETWEEN(1620,2416)))</f>
        <v>64882856.224329695</v>
      </c>
      <c r="B5142">
        <v>153882278.66836587</v>
      </c>
    </row>
    <row r="5143" spans="1:2" x14ac:dyDescent="0.25">
      <c r="A5143">
        <f ca="1">32486.0972168478*((RANDBETWEEN(1620,2416)))</f>
        <v>73645982.390594035</v>
      </c>
      <c r="B5143">
        <v>201848548.10022652</v>
      </c>
    </row>
    <row r="5144" spans="1:2" x14ac:dyDescent="0.25">
      <c r="A5144">
        <f ca="1">36366.844577055*((RANDBETWEEN(1620,2416)))</f>
        <v>62732806.895419881</v>
      </c>
      <c r="B5144">
        <v>160392117.38531333</v>
      </c>
    </row>
    <row r="5145" spans="1:2" x14ac:dyDescent="0.25">
      <c r="A5145">
        <f ca="1">36147.8002535638*((RANDBETWEEN(1620,2416)))</f>
        <v>70741245.096224323</v>
      </c>
      <c r="B5145">
        <v>187677525.58962181</v>
      </c>
    </row>
    <row r="5146" spans="1:2" x14ac:dyDescent="0.25">
      <c r="A5146">
        <f ca="1">40876.3679252717*((RANDBETWEEN(1620,2416)))</f>
        <v>91358682.312982261</v>
      </c>
      <c r="B5146">
        <v>176789074.62082663</v>
      </c>
    </row>
    <row r="5147" spans="1:2" x14ac:dyDescent="0.25">
      <c r="A5147">
        <f ca="1">37956.069980354*((RANDBETWEEN(1620,2416)))</f>
        <v>83389485.746837825</v>
      </c>
      <c r="B5147">
        <v>201548517.99150956</v>
      </c>
    </row>
    <row r="5148" spans="1:2" x14ac:dyDescent="0.25">
      <c r="A5148">
        <f ca="1">31672.9872831267*((RANDBETWEEN(1620,2416)))</f>
        <v>54920959.948941745</v>
      </c>
      <c r="B5148">
        <v>169461766.14881352</v>
      </c>
    </row>
    <row r="5149" spans="1:2" x14ac:dyDescent="0.25">
      <c r="A5149">
        <f ca="1">40149.2516954687*((RANDBETWEEN(1620,2416)))</f>
        <v>66968951.828041747</v>
      </c>
      <c r="B5149">
        <v>202234725.02353692</v>
      </c>
    </row>
    <row r="5150" spans="1:2" x14ac:dyDescent="0.25">
      <c r="A5150">
        <f ca="1">33284.2245701263*((RANDBETWEEN(1620,2416)))</f>
        <v>70795545.660658672</v>
      </c>
      <c r="B5150">
        <v>156850242.0930512</v>
      </c>
    </row>
    <row r="5151" spans="1:2" x14ac:dyDescent="0.25">
      <c r="A5151">
        <f ca="1">30292.8992289666*((RANDBETWEEN(1620,2416)))</f>
        <v>65311490.737651892</v>
      </c>
      <c r="B5151">
        <v>174783339.09127212</v>
      </c>
    </row>
    <row r="5152" spans="1:2" x14ac:dyDescent="0.25">
      <c r="A5152">
        <f ca="1">26952.9270901919*((RANDBETWEEN(1620,2416)))</f>
        <v>56628099.816493094</v>
      </c>
      <c r="B5152">
        <v>146833464.20650423</v>
      </c>
    </row>
    <row r="5153" spans="1:2" x14ac:dyDescent="0.25">
      <c r="A5153">
        <f ca="1">35016.6612966581*((RANDBETWEEN(1620,2416)))</f>
        <v>62959957.011391237</v>
      </c>
      <c r="B5153">
        <v>156865454.16370878</v>
      </c>
    </row>
    <row r="5154" spans="1:2" x14ac:dyDescent="0.25">
      <c r="A5154">
        <f ca="1">35125.0842927001*((RANDBETWEEN(1620,2416)))</f>
        <v>64103278.834177598</v>
      </c>
      <c r="B5154">
        <v>160145214.1525704</v>
      </c>
    </row>
    <row r="5155" spans="1:2" x14ac:dyDescent="0.25">
      <c r="A5155">
        <f ca="1">30695.3200782933*((RANDBETWEEN(1620,2416)))</f>
        <v>66455367.969505019</v>
      </c>
      <c r="B5155">
        <v>175015327.34609479</v>
      </c>
    </row>
    <row r="5156" spans="1:2" x14ac:dyDescent="0.25">
      <c r="A5156">
        <f ca="1">39009.460844158*((RANDBETWEEN(1620,2416)))</f>
        <v>77589817.619030178</v>
      </c>
      <c r="B5156">
        <v>193044733.64812523</v>
      </c>
    </row>
    <row r="5157" spans="1:2" x14ac:dyDescent="0.25">
      <c r="A5157">
        <f ca="1">39399.9103805247*((RANDBETWEEN(1620,2416)))</f>
        <v>91919990.917764187</v>
      </c>
      <c r="B5157">
        <v>160045692.69711673</v>
      </c>
    </row>
    <row r="5158" spans="1:2" x14ac:dyDescent="0.25">
      <c r="A5158">
        <f ca="1">35790.3885601169*((RANDBETWEEN(1620,2416)))</f>
        <v>82783168.739550486</v>
      </c>
      <c r="B5158">
        <v>177423440.48631817</v>
      </c>
    </row>
    <row r="5159" spans="1:2" x14ac:dyDescent="0.25">
      <c r="A5159">
        <f ca="1">40702.9448674705*((RANDBETWEEN(1620,2416)))</f>
        <v>80673236.727326572</v>
      </c>
      <c r="B5159">
        <v>188158225.1867837</v>
      </c>
    </row>
    <row r="5160" spans="1:2" x14ac:dyDescent="0.25">
      <c r="A5160">
        <f ca="1">31238.6181886207*((RANDBETWEEN(1620,2416)))</f>
        <v>57104194.048798673</v>
      </c>
      <c r="B5160">
        <v>159996654.49437526</v>
      </c>
    </row>
    <row r="5161" spans="1:2" x14ac:dyDescent="0.25">
      <c r="A5161">
        <f ca="1">31340.433502833*((RANDBETWEEN(1620,2416)))</f>
        <v>63056952.207699902</v>
      </c>
      <c r="B5161">
        <v>160473191.63559476</v>
      </c>
    </row>
    <row r="5162" spans="1:2" x14ac:dyDescent="0.25">
      <c r="A5162">
        <f ca="1">33600.0242267725*((RANDBETWEEN(1620,2416)))</f>
        <v>56112040.458710022</v>
      </c>
      <c r="B5162">
        <v>172021176.84648401</v>
      </c>
    </row>
    <row r="5163" spans="1:2" x14ac:dyDescent="0.25">
      <c r="A5163">
        <f ca="1">30803.1497768666*((RANDBETWEEN(1620,2416)))</f>
        <v>56554582.99032715</v>
      </c>
      <c r="B5163">
        <v>161214584.99947283</v>
      </c>
    </row>
    <row r="5164" spans="1:2" x14ac:dyDescent="0.25">
      <c r="A5164">
        <f ca="1">33956.2921254135*((RANDBETWEEN(1620,2416)))</f>
        <v>68897316.722463965</v>
      </c>
      <c r="B5164">
        <v>163816570.13712734</v>
      </c>
    </row>
    <row r="5165" spans="1:2" x14ac:dyDescent="0.25">
      <c r="A5165">
        <f ca="1">34425.950847785*((RANDBETWEEN(1620,2416)))</f>
        <v>71674829.665088281</v>
      </c>
      <c r="B5165">
        <v>183474194.60568601</v>
      </c>
    </row>
    <row r="5166" spans="1:2" x14ac:dyDescent="0.25">
      <c r="A5166">
        <f ca="1">38987.5272287284*((RANDBETWEEN(1620,2416)))</f>
        <v>80002405.873350695</v>
      </c>
      <c r="B5166">
        <v>156327371.69130713</v>
      </c>
    </row>
    <row r="5167" spans="1:2" x14ac:dyDescent="0.25">
      <c r="A5167">
        <f ca="1">35408.6731351496*((RANDBETWEEN(1620,2416)))</f>
        <v>77438768.146572143</v>
      </c>
      <c r="B5167">
        <v>144526934.90132713</v>
      </c>
    </row>
    <row r="5168" spans="1:2" x14ac:dyDescent="0.25">
      <c r="A5168">
        <f ca="1">40019.2657745859*((RANDBETWEEN(1620,2416)))</f>
        <v>81359167.319733128</v>
      </c>
      <c r="B5168">
        <v>155704325.32773781</v>
      </c>
    </row>
    <row r="5169" spans="1:2" x14ac:dyDescent="0.25">
      <c r="A5169">
        <f ca="1">41733.6991526086*((RANDBETWEEN(1620,2416)))</f>
        <v>72449701.728928566</v>
      </c>
      <c r="B5169">
        <v>197730689.02930054</v>
      </c>
    </row>
    <row r="5170" spans="1:2" x14ac:dyDescent="0.25">
      <c r="A5170">
        <f ca="1">30686.1859957201*((RANDBETWEEN(1620,2416)))</f>
        <v>67110688.772639751</v>
      </c>
      <c r="B5170">
        <v>157108964.4105317</v>
      </c>
    </row>
    <row r="5171" spans="1:2" x14ac:dyDescent="0.25">
      <c r="A5171">
        <f ca="1">36897.7455314778*((RANDBETWEEN(1620,2416)))</f>
        <v>81912995.079880714</v>
      </c>
      <c r="B5171">
        <v>188523015.47538835</v>
      </c>
    </row>
    <row r="5172" spans="1:2" x14ac:dyDescent="0.25">
      <c r="A5172">
        <f ca="1">32634.2778685099*((RANDBETWEEN(1620,2416)))</f>
        <v>53977095.594515383</v>
      </c>
      <c r="B5172">
        <v>161818094.13892031</v>
      </c>
    </row>
    <row r="5173" spans="1:2" x14ac:dyDescent="0.25">
      <c r="A5173">
        <f ca="1">28772.3473770437*((RANDBETWEEN(1620,2416)))</f>
        <v>65255683.851135135</v>
      </c>
      <c r="B5173">
        <v>202704335.51528275</v>
      </c>
    </row>
    <row r="5174" spans="1:2" x14ac:dyDescent="0.25">
      <c r="A5174">
        <f ca="1">39350.5757217035*((RANDBETWEEN(1620,2416)))</f>
        <v>64220139.577820048</v>
      </c>
      <c r="B5174">
        <v>143146172.7889241</v>
      </c>
    </row>
    <row r="5175" spans="1:2" x14ac:dyDescent="0.25">
      <c r="A5175">
        <f ca="1">39289.5109642256*((RANDBETWEEN(1620,2416)))</f>
        <v>77911100.24205929</v>
      </c>
      <c r="B5175">
        <v>161661174.38596416</v>
      </c>
    </row>
    <row r="5176" spans="1:2" x14ac:dyDescent="0.25">
      <c r="A5176">
        <f ca="1">33562.4041215234*((RANDBETWEEN(1620,2416)))</f>
        <v>67292620.263654426</v>
      </c>
      <c r="B5176">
        <v>186582651.09737411</v>
      </c>
    </row>
    <row r="5177" spans="1:2" x14ac:dyDescent="0.25">
      <c r="A5177">
        <f ca="1">30943.9414953454*((RANDBETWEEN(1620,2416)))</f>
        <v>69438204.715554982</v>
      </c>
      <c r="B5177">
        <v>173212250.20708567</v>
      </c>
    </row>
    <row r="5178" spans="1:2" x14ac:dyDescent="0.25">
      <c r="A5178">
        <f ca="1">31946.5970734833*((RANDBETWEEN(1620,2416)))</f>
        <v>52104899.826851234</v>
      </c>
      <c r="B5178">
        <v>144363410.53764725</v>
      </c>
    </row>
    <row r="5179" spans="1:2" x14ac:dyDescent="0.25">
      <c r="A5179">
        <f ca="1">31777.5709084963*((RANDBETWEEN(1620,2416)))</f>
        <v>64603801.656972885</v>
      </c>
      <c r="B5179">
        <v>165752083.78803939</v>
      </c>
    </row>
    <row r="5180" spans="1:2" x14ac:dyDescent="0.25">
      <c r="A5180">
        <f ca="1">30238.187809376*((RANDBETWEEN(1620,2416)))</f>
        <v>53823974.30068934</v>
      </c>
      <c r="B5180">
        <v>181557140.14103377</v>
      </c>
    </row>
    <row r="5181" spans="1:2" x14ac:dyDescent="0.25">
      <c r="A5181">
        <f ca="1">37490.1645195418*((RANDBETWEEN(1620,2416)))</f>
        <v>86264868.559465691</v>
      </c>
      <c r="B5181">
        <v>146989502.90899223</v>
      </c>
    </row>
    <row r="5182" spans="1:2" x14ac:dyDescent="0.25">
      <c r="A5182">
        <f ca="1">35520.9653300257*((RANDBETWEEN(1620,2416)))</f>
        <v>71539224.174671739</v>
      </c>
      <c r="B5182">
        <v>147643718.25871503</v>
      </c>
    </row>
    <row r="5183" spans="1:2" x14ac:dyDescent="0.25">
      <c r="A5183">
        <f ca="1">29469.1534927058*((RANDBETWEEN(1620,2416)))</f>
        <v>66099311.284139156</v>
      </c>
      <c r="B5183">
        <v>172611820.56496546</v>
      </c>
    </row>
    <row r="5184" spans="1:2" x14ac:dyDescent="0.25">
      <c r="A5184">
        <f ca="1">31662.1184366023*((RANDBETWEEN(1620,2416)))</f>
        <v>61677806.714501254</v>
      </c>
      <c r="B5184">
        <v>183865768.84433249</v>
      </c>
    </row>
    <row r="5185" spans="1:2" x14ac:dyDescent="0.25">
      <c r="A5185">
        <f ca="1">39580.0363913841*((RANDBETWEEN(1620,2416)))</f>
        <v>85611618.714563787</v>
      </c>
      <c r="B5185">
        <v>191328159.40758142</v>
      </c>
    </row>
    <row r="5186" spans="1:2" x14ac:dyDescent="0.25">
      <c r="A5186">
        <f ca="1">32741.66132316*((RANDBETWEEN(1620,2416)))</f>
        <v>76124362.576347053</v>
      </c>
      <c r="B5186">
        <v>186105167.01026738</v>
      </c>
    </row>
    <row r="5187" spans="1:2" x14ac:dyDescent="0.25">
      <c r="A5187">
        <f ca="1">29176.4944251449*((RANDBETWEEN(1620,2416)))</f>
        <v>58615577.300116003</v>
      </c>
      <c r="B5187">
        <v>177184513.67322057</v>
      </c>
    </row>
    <row r="5188" spans="1:2" x14ac:dyDescent="0.25">
      <c r="A5188">
        <f ca="1">31898.4438682811*((RANDBETWEEN(1620,2416)))</f>
        <v>64339161.282323033</v>
      </c>
      <c r="B5188">
        <v>165163151.40083101</v>
      </c>
    </row>
    <row r="5189" spans="1:2" x14ac:dyDescent="0.25">
      <c r="A5189">
        <f ca="1">34944.1677499545*((RANDBETWEEN(1620,2416)))</f>
        <v>62375339.433668844</v>
      </c>
      <c r="B5189">
        <v>167700610.00887245</v>
      </c>
    </row>
    <row r="5190" spans="1:2" x14ac:dyDescent="0.25">
      <c r="A5190">
        <f ca="1">31446.7198707063*((RANDBETWEEN(1620,2416)))</f>
        <v>55723587.610891514</v>
      </c>
      <c r="B5190">
        <v>160271470.29660207</v>
      </c>
    </row>
    <row r="5191" spans="1:2" x14ac:dyDescent="0.25">
      <c r="A5191">
        <f ca="1">29759.7355619382*((RANDBETWEEN(1620,2416)))</f>
        <v>63953671.722605169</v>
      </c>
      <c r="B5191">
        <v>194781015.42785752</v>
      </c>
    </row>
    <row r="5192" spans="1:2" x14ac:dyDescent="0.25">
      <c r="A5192">
        <f ca="1">40100.8692444641*((RANDBETWEEN(1620,2416)))</f>
        <v>75590138.525814876</v>
      </c>
      <c r="B5192">
        <v>145186467.0942373</v>
      </c>
    </row>
    <row r="5193" spans="1:2" x14ac:dyDescent="0.25">
      <c r="A5193">
        <f ca="1">34684.2034149174*((RANDBETWEEN(1620,2416)))</f>
        <v>83415509.212876305</v>
      </c>
      <c r="B5193">
        <v>191600260.90963814</v>
      </c>
    </row>
    <row r="5194" spans="1:2" x14ac:dyDescent="0.25">
      <c r="A5194">
        <f ca="1">37648.0830331599*((RANDBETWEEN(1620,2416)))</f>
        <v>76500904.723380953</v>
      </c>
      <c r="B5194">
        <v>188482477.19773048</v>
      </c>
    </row>
    <row r="5195" spans="1:2" x14ac:dyDescent="0.25">
      <c r="A5195">
        <f ca="1">36477.7588212683*((RANDBETWEEN(1620,2416)))</f>
        <v>82403257.177245125</v>
      </c>
      <c r="B5195">
        <v>162446777.90370071</v>
      </c>
    </row>
    <row r="5196" spans="1:2" x14ac:dyDescent="0.25">
      <c r="A5196">
        <f ca="1">31594.9870858308*((RANDBETWEEN(1620,2416)))</f>
        <v>51689398.872419178</v>
      </c>
      <c r="B5196">
        <v>156326003.12909806</v>
      </c>
    </row>
    <row r="5197" spans="1:2" x14ac:dyDescent="0.25">
      <c r="A5197">
        <f ca="1">32429.3896358234*((RANDBETWEEN(1620,2416)))</f>
        <v>70177199.171921879</v>
      </c>
      <c r="B5197">
        <v>192940788.13024369</v>
      </c>
    </row>
    <row r="5198" spans="1:2" x14ac:dyDescent="0.25">
      <c r="A5198">
        <f ca="1">35844.0643336406*((RANDBETWEEN(1620,2416)))</f>
        <v>71688128.667281181</v>
      </c>
      <c r="B5198">
        <v>177139886.39728615</v>
      </c>
    </row>
    <row r="5199" spans="1:2" x14ac:dyDescent="0.25">
      <c r="A5199">
        <f ca="1">30740.4744895503*((RANDBETWEEN(1620,2416)))</f>
        <v>56531732.586282961</v>
      </c>
      <c r="B5199">
        <v>144996528.69666833</v>
      </c>
    </row>
    <row r="5200" spans="1:2" x14ac:dyDescent="0.25">
      <c r="A5200">
        <f ca="1">30922.0676796251*((RANDBETWEEN(1620,2416)))</f>
        <v>51485242.686575718</v>
      </c>
      <c r="B5200">
        <v>155492453.08938739</v>
      </c>
    </row>
    <row r="5201" spans="1:2" x14ac:dyDescent="0.25">
      <c r="A5201">
        <f ca="1">29028.4136155608*((RANDBETWEEN(1620,2416)))</f>
        <v>64907532.844393872</v>
      </c>
      <c r="B5201">
        <v>150444235.42168427</v>
      </c>
    </row>
    <row r="5202" spans="1:2" x14ac:dyDescent="0.25">
      <c r="A5202">
        <f ca="1">32136.7962559256*((RANDBETWEEN(1620,2416)))</f>
        <v>58071190.834457479</v>
      </c>
      <c r="B5202">
        <v>166412074.92287421</v>
      </c>
    </row>
    <row r="5203" spans="1:2" x14ac:dyDescent="0.25">
      <c r="A5203">
        <f ca="1">37659.9335395829*((RANDBETWEEN(1620,2416)))</f>
        <v>64963385.355780445</v>
      </c>
      <c r="B5203">
        <v>192655142.81266659</v>
      </c>
    </row>
    <row r="5204" spans="1:2" x14ac:dyDescent="0.25">
      <c r="A5204">
        <f ca="1">37518.5077157185*((RANDBETWEEN(1620,2416)))</f>
        <v>88468641.193664312</v>
      </c>
      <c r="B5204">
        <v>144910514.4744139</v>
      </c>
    </row>
    <row r="5205" spans="1:2" x14ac:dyDescent="0.25">
      <c r="A5205">
        <f ca="1">36251.3355843831*((RANDBETWEEN(1620,2416)))</f>
        <v>80695473.010836869</v>
      </c>
      <c r="B5205">
        <v>198556683.6988883</v>
      </c>
    </row>
    <row r="5206" spans="1:2" x14ac:dyDescent="0.25">
      <c r="A5206">
        <f ca="1">36330.324501422*((RANDBETWEEN(1620,2416)))</f>
        <v>60962284.513386033</v>
      </c>
      <c r="B5206">
        <v>182428039.1030845</v>
      </c>
    </row>
    <row r="5207" spans="1:2" x14ac:dyDescent="0.25">
      <c r="A5207">
        <f ca="1">32841.0373786477*((RANDBETWEEN(1620,2416)))</f>
        <v>70049932.728655547</v>
      </c>
      <c r="B5207">
        <v>203613661.64132643</v>
      </c>
    </row>
    <row r="5208" spans="1:2" x14ac:dyDescent="0.25">
      <c r="A5208">
        <f ca="1">39502.373424679*((RANDBETWEEN(1620,2416)))</f>
        <v>69405670.107161075</v>
      </c>
      <c r="B5208">
        <v>198493886.36812225</v>
      </c>
    </row>
    <row r="5209" spans="1:2" x14ac:dyDescent="0.25">
      <c r="A5209">
        <f ca="1">32136.4503692234*((RANDBETWEEN(1620,2416)))</f>
        <v>75231430.314351946</v>
      </c>
      <c r="B5209">
        <v>163586678.78669709</v>
      </c>
    </row>
    <row r="5210" spans="1:2" x14ac:dyDescent="0.25">
      <c r="A5210">
        <f ca="1">31106.0929141069*((RANDBETWEEN(1620,2416)))</f>
        <v>72819363.511924177</v>
      </c>
      <c r="B5210">
        <v>150101330.66980416</v>
      </c>
    </row>
    <row r="5211" spans="1:2" x14ac:dyDescent="0.25">
      <c r="A5211">
        <f ca="1">32707.6910961231*((RANDBETWEEN(1620,2416)))</f>
        <v>73461474.20189254</v>
      </c>
      <c r="B5211">
        <v>175299447.97189295</v>
      </c>
    </row>
    <row r="5212" spans="1:2" x14ac:dyDescent="0.25">
      <c r="A5212">
        <f ca="1">39789.2583847605*((RANDBETWEEN(1620,2416)))</f>
        <v>86581426.245238766</v>
      </c>
      <c r="B5212">
        <v>188967624.14289737</v>
      </c>
    </row>
    <row r="5213" spans="1:2" x14ac:dyDescent="0.25">
      <c r="A5213">
        <f ca="1">37553.9942887885*((RANDBETWEEN(1620,2416)))</f>
        <v>63766682.302362807</v>
      </c>
      <c r="B5213">
        <v>202787866.44479978</v>
      </c>
    </row>
    <row r="5214" spans="1:2" x14ac:dyDescent="0.25">
      <c r="A5214">
        <f ca="1">30993.3806738672*((RANDBETWEEN(1620,2416)))</f>
        <v>61893781.205712885</v>
      </c>
      <c r="B5214">
        <v>176312760.46469548</v>
      </c>
    </row>
    <row r="5215" spans="1:2" x14ac:dyDescent="0.25">
      <c r="A5215">
        <f ca="1">34458.5912422455*((RANDBETWEEN(1620,2416)))</f>
        <v>61026165.090016834</v>
      </c>
      <c r="B5215">
        <v>145392510.9908821</v>
      </c>
    </row>
    <row r="5216" spans="1:2" x14ac:dyDescent="0.25">
      <c r="A5216">
        <f ca="1">31249.7385707815*((RANDBETWEEN(1620,2416)))</f>
        <v>59187004.853060164</v>
      </c>
      <c r="B5216">
        <v>154169105.60361952</v>
      </c>
    </row>
    <row r="5217" spans="1:2" x14ac:dyDescent="0.25">
      <c r="A5217">
        <f ca="1">30228.6399018594*((RANDBETWEEN(1620,2416)))</f>
        <v>59852707.005681679</v>
      </c>
      <c r="B5217">
        <v>146344963.32264975</v>
      </c>
    </row>
    <row r="5218" spans="1:2" x14ac:dyDescent="0.25">
      <c r="A5218">
        <f ca="1">30566.0961755619*((RANDBETWEEN(1620,2416)))</f>
        <v>62385402.294321842</v>
      </c>
      <c r="B5218">
        <v>183600323.10026315</v>
      </c>
    </row>
    <row r="5219" spans="1:2" x14ac:dyDescent="0.25">
      <c r="A5219">
        <f ca="1">35682.3720626661*((RANDBETWEEN(1620,2416)))</f>
        <v>63657351.759796403</v>
      </c>
      <c r="B5219">
        <v>203489981.29858053</v>
      </c>
    </row>
    <row r="5220" spans="1:2" x14ac:dyDescent="0.25">
      <c r="A5220">
        <f ca="1">41914.2291610524*((RANDBETWEEN(1620,2416)))</f>
        <v>81439347.259924859</v>
      </c>
      <c r="B5220">
        <v>143078395.11213195</v>
      </c>
    </row>
    <row r="5221" spans="1:2" x14ac:dyDescent="0.25">
      <c r="A5221">
        <f ca="1">36496.3055983782*((RANDBETWEEN(1620,2416)))</f>
        <v>64525468.297932714</v>
      </c>
      <c r="B5221">
        <v>173179140.63710165</v>
      </c>
    </row>
    <row r="5222" spans="1:2" x14ac:dyDescent="0.25">
      <c r="A5222">
        <f ca="1">36241.4944699124*((RANDBETWEEN(1620,2416)))</f>
        <v>73606475.268392116</v>
      </c>
      <c r="B5222">
        <v>174149738.13456666</v>
      </c>
    </row>
    <row r="5223" spans="1:2" x14ac:dyDescent="0.25">
      <c r="A5223">
        <f ca="1">39171.8896942045*((RANDBETWEEN(1620,2416)))</f>
        <v>74034871.522046462</v>
      </c>
      <c r="B5223">
        <v>148606639.28721124</v>
      </c>
    </row>
    <row r="5224" spans="1:2" x14ac:dyDescent="0.25">
      <c r="A5224">
        <f ca="1">31650.3351197412*((RANDBETWEEN(1620,2416)))</f>
        <v>75612650.601061672</v>
      </c>
      <c r="B5224">
        <v>160368249.45198861</v>
      </c>
    </row>
    <row r="5225" spans="1:2" x14ac:dyDescent="0.25">
      <c r="A5225">
        <f ca="1">28775.4825285701*((RANDBETWEEN(1620,2416)))</f>
        <v>52026072.411654815</v>
      </c>
      <c r="B5225">
        <v>185494414.05964351</v>
      </c>
    </row>
    <row r="5226" spans="1:2" x14ac:dyDescent="0.25">
      <c r="A5226">
        <f ca="1">29006.0459298096*((RANDBETWEEN(1620,2416)))</f>
        <v>60709654.131091394</v>
      </c>
      <c r="B5226">
        <v>160076275.78466129</v>
      </c>
    </row>
    <row r="5227" spans="1:2" x14ac:dyDescent="0.25">
      <c r="A5227">
        <f ca="1">34934.6292395302*((RANDBETWEEN(1620,2416)))</f>
        <v>64174913.913016982</v>
      </c>
      <c r="B5227">
        <v>170273916.86364686</v>
      </c>
    </row>
    <row r="5228" spans="1:2" x14ac:dyDescent="0.25">
      <c r="A5228">
        <f ca="1">35402.6385529547*((RANDBETWEEN(1620,2416)))</f>
        <v>84470695.587349921</v>
      </c>
      <c r="B5228">
        <v>146072212.74340677</v>
      </c>
    </row>
    <row r="5229" spans="1:2" x14ac:dyDescent="0.25">
      <c r="A5229">
        <f ca="1">30719.9450383734*((RANDBETWEEN(1620,2416)))</f>
        <v>73451388.586750701</v>
      </c>
      <c r="B5229">
        <v>162489934.98471308</v>
      </c>
    </row>
    <row r="5230" spans="1:2" x14ac:dyDescent="0.25">
      <c r="A5230">
        <f ca="1">32115.6479711438*((RANDBETWEEN(1620,2416)))</f>
        <v>63781676.870691501</v>
      </c>
      <c r="B5230">
        <v>153129866.71832132</v>
      </c>
    </row>
    <row r="5231" spans="1:2" x14ac:dyDescent="0.25">
      <c r="A5231">
        <f ca="1">36804.8127461246*((RANDBETWEEN(1620,2416)))</f>
        <v>69818729.779398367</v>
      </c>
      <c r="B5231">
        <v>197808647.13032767</v>
      </c>
    </row>
    <row r="5232" spans="1:2" x14ac:dyDescent="0.25">
      <c r="A5232">
        <f ca="1">38559.8032867442*((RANDBETWEEN(1620,2416)))</f>
        <v>65628785.194038607</v>
      </c>
      <c r="B5232">
        <v>147569812.69788691</v>
      </c>
    </row>
    <row r="5233" spans="1:2" x14ac:dyDescent="0.25">
      <c r="A5233">
        <f ca="1">31887.768879483*((RANDBETWEEN(1620,2416)))</f>
        <v>68877580.779683307</v>
      </c>
      <c r="B5233">
        <v>184266926.45891321</v>
      </c>
    </row>
    <row r="5234" spans="1:2" x14ac:dyDescent="0.25">
      <c r="A5234">
        <f ca="1">32059.7038737428*((RANDBETWEEN(1620,2416)))</f>
        <v>54341198.065994069</v>
      </c>
      <c r="B5234">
        <v>180923019.57831618</v>
      </c>
    </row>
    <row r="5235" spans="1:2" x14ac:dyDescent="0.25">
      <c r="A5235">
        <f ca="1">30685.1528158152*((RANDBETWEEN(1620,2416)))</f>
        <v>74012588.591746315</v>
      </c>
      <c r="B5235">
        <v>159325099.91164935</v>
      </c>
    </row>
    <row r="5236" spans="1:2" x14ac:dyDescent="0.25">
      <c r="A5236">
        <f ca="1">37505.0910346286*((RANDBETWEEN(1620,2416)))</f>
        <v>63796159.849903308</v>
      </c>
      <c r="B5236">
        <v>160842922.86886808</v>
      </c>
    </row>
    <row r="5237" spans="1:2" x14ac:dyDescent="0.25">
      <c r="A5237">
        <f ca="1">31494.763638286*((RANDBETWEEN(1620,2416)))</f>
        <v>63115506.331125081</v>
      </c>
      <c r="B5237">
        <v>150726442.21431151</v>
      </c>
    </row>
    <row r="5238" spans="1:2" x14ac:dyDescent="0.25">
      <c r="A5238">
        <f ca="1">28800.1899587604*((RANDBETWEEN(1620,2416)))</f>
        <v>62496412.210510157</v>
      </c>
      <c r="B5238">
        <v>174247435.54415739</v>
      </c>
    </row>
    <row r="5239" spans="1:2" x14ac:dyDescent="0.25">
      <c r="A5239">
        <f ca="1">36734.0427432662*((RANDBETWEEN(1620,2416)))</f>
        <v>67260032.262920335</v>
      </c>
      <c r="B5239">
        <v>186683324.4857724</v>
      </c>
    </row>
    <row r="5240" spans="1:2" x14ac:dyDescent="0.25">
      <c r="A5240">
        <f ca="1">37711.2286623461*((RANDBETWEEN(1620,2416)))</f>
        <v>76138970.669276714</v>
      </c>
      <c r="B5240">
        <v>187951766.20682371</v>
      </c>
    </row>
    <row r="5241" spans="1:2" x14ac:dyDescent="0.25">
      <c r="A5241">
        <f ca="1">38938.4530615208*((RANDBETWEEN(1620,2416)))</f>
        <v>67947600.592353791</v>
      </c>
      <c r="B5241">
        <v>148930096.62544972</v>
      </c>
    </row>
    <row r="5242" spans="1:2" x14ac:dyDescent="0.25">
      <c r="A5242">
        <f ca="1">38698.1270931427*((RANDBETWEEN(1620,2416)))</f>
        <v>73526441.47697106</v>
      </c>
      <c r="B5242">
        <v>170399312.80910894</v>
      </c>
    </row>
    <row r="5243" spans="1:2" x14ac:dyDescent="0.25">
      <c r="A5243">
        <f ca="1">35923.3593308288*((RANDBETWEEN(1620,2416)))</f>
        <v>67931072.494597316</v>
      </c>
      <c r="B5243">
        <v>180757951.38241309</v>
      </c>
    </row>
    <row r="5244" spans="1:2" x14ac:dyDescent="0.25">
      <c r="A5244">
        <f ca="1">40806.3954557444*((RANDBETWEEN(1620,2416)))</f>
        <v>91528745.007234693</v>
      </c>
      <c r="B5244">
        <v>183919629.31813753</v>
      </c>
    </row>
    <row r="5245" spans="1:2" x14ac:dyDescent="0.25">
      <c r="A5245">
        <f ca="1">30075.1364051417*((RANDBETWEEN(1620,2416)))</f>
        <v>49533749.659268402</v>
      </c>
      <c r="B5245">
        <v>167235087.91886199</v>
      </c>
    </row>
    <row r="5246" spans="1:2" x14ac:dyDescent="0.25">
      <c r="A5246">
        <f ca="1">37421.9294250484*((RANDBETWEEN(1620,2416)))</f>
        <v>63430170.375457093</v>
      </c>
      <c r="B5246">
        <v>170475644.71024567</v>
      </c>
    </row>
    <row r="5247" spans="1:2" x14ac:dyDescent="0.25">
      <c r="A5247">
        <f ca="1">30706.6813649578*((RANDBETWEEN(1620,2416)))</f>
        <v>60553575.651696868</v>
      </c>
      <c r="B5247">
        <v>187720527.25963181</v>
      </c>
    </row>
    <row r="5248" spans="1:2" x14ac:dyDescent="0.25">
      <c r="A5248">
        <f ca="1">34949.9723924293*((RANDBETWEEN(1620,2416)))</f>
        <v>61966301.051777266</v>
      </c>
      <c r="B5248">
        <v>174930503.75481635</v>
      </c>
    </row>
    <row r="5249" spans="1:2" x14ac:dyDescent="0.25">
      <c r="A5249">
        <f ca="1">34994.1997451176*((RANDBETWEEN(1620,2416)))</f>
        <v>57915400.578169592</v>
      </c>
      <c r="B5249">
        <v>162296596.11018017</v>
      </c>
    </row>
    <row r="5250" spans="1:2" x14ac:dyDescent="0.25">
      <c r="A5250">
        <f ca="1">33229.1262669743*((RANDBETWEEN(1620,2416)))</f>
        <v>78487196.242593363</v>
      </c>
      <c r="B5250">
        <v>156320086.41090029</v>
      </c>
    </row>
    <row r="5251" spans="1:2" x14ac:dyDescent="0.25">
      <c r="A5251">
        <f ca="1">37930.7529848433*((RANDBETWEEN(1620,2416)))</f>
        <v>69716723.986142009</v>
      </c>
      <c r="B5251">
        <v>182131786.635957</v>
      </c>
    </row>
    <row r="5252" spans="1:2" x14ac:dyDescent="0.25">
      <c r="A5252">
        <f ca="1">36253.0935500455*((RANDBETWEEN(1620,2416)))</f>
        <v>81569460.487602443</v>
      </c>
      <c r="B5252">
        <v>182931259.41348621</v>
      </c>
    </row>
    <row r="5253" spans="1:2" x14ac:dyDescent="0.25">
      <c r="A5253">
        <f ca="1">33921.6493511463*((RANDBETWEEN(1620,2416)))</f>
        <v>77307438.871262342</v>
      </c>
      <c r="B5253">
        <v>157356477.61097875</v>
      </c>
    </row>
    <row r="5254" spans="1:2" x14ac:dyDescent="0.25">
      <c r="A5254">
        <f ca="1">34703.9178935373*((RANDBETWEEN(1620,2416)))</f>
        <v>71732998.285941646</v>
      </c>
      <c r="B5254">
        <v>155784052.77909428</v>
      </c>
    </row>
    <row r="5255" spans="1:2" x14ac:dyDescent="0.25">
      <c r="A5255">
        <f ca="1">32138.9286811459*((RANDBETWEEN(1620,2416)))</f>
        <v>56178847.334643073</v>
      </c>
      <c r="B5255">
        <v>165284626.78430083</v>
      </c>
    </row>
    <row r="5256" spans="1:2" x14ac:dyDescent="0.25">
      <c r="A5256">
        <f ca="1">39652.8517860776*((RANDBETWEEN(1620,2416)))</f>
        <v>76133475.429269075</v>
      </c>
      <c r="B5256">
        <v>158238440.25677767</v>
      </c>
    </row>
    <row r="5257" spans="1:2" x14ac:dyDescent="0.25">
      <c r="A5257">
        <f ca="1">35458.8910196806*((RANDBETWEEN(1620,2416)))</f>
        <v>82122791.601580247</v>
      </c>
      <c r="B5257">
        <v>187044103.46501881</v>
      </c>
    </row>
    <row r="5258" spans="1:2" x14ac:dyDescent="0.25">
      <c r="A5258">
        <f ca="1">33153.8833631621*((RANDBETWEEN(1620,2416)))</f>
        <v>67003998.27695059</v>
      </c>
      <c r="B5258">
        <v>188444773.95449698</v>
      </c>
    </row>
    <row r="5259" spans="1:2" x14ac:dyDescent="0.25">
      <c r="A5259">
        <f ca="1">31577.3188693544*((RANDBETWEEN(1620,2416)))</f>
        <v>62775709.912276477</v>
      </c>
      <c r="B5259">
        <v>167384523.21674189</v>
      </c>
    </row>
    <row r="5260" spans="1:2" x14ac:dyDescent="0.25">
      <c r="A5260">
        <f ca="1">26394.0044345207*((RANDBETWEEN(1620,2416)))</f>
        <v>63635944.69162935</v>
      </c>
      <c r="B5260">
        <v>143002802.18255645</v>
      </c>
    </row>
    <row r="5261" spans="1:2" x14ac:dyDescent="0.25">
      <c r="A5261">
        <f ca="1">31219.0763504057*((RANDBETWEEN(1620,2416)))</f>
        <v>54851917.147662893</v>
      </c>
      <c r="B5261">
        <v>160381364.80614212</v>
      </c>
    </row>
    <row r="5262" spans="1:2" x14ac:dyDescent="0.25">
      <c r="A5262">
        <f ca="1">30024.9274699536*((RANDBETWEEN(1620,2416)))</f>
        <v>63682871.163771585</v>
      </c>
      <c r="B5262">
        <v>176774920.92052007</v>
      </c>
    </row>
    <row r="5263" spans="1:2" x14ac:dyDescent="0.25">
      <c r="A5263">
        <f ca="1">33380.5560791863*((RANDBETWEEN(1620,2416)))</f>
        <v>56212856.437349662</v>
      </c>
      <c r="B5263">
        <v>177972621.03041857</v>
      </c>
    </row>
    <row r="5264" spans="1:2" x14ac:dyDescent="0.25">
      <c r="A5264">
        <f ca="1">38736.0846764425*((RANDBETWEEN(1620,2416)))</f>
        <v>71971645.328830212</v>
      </c>
      <c r="B5264">
        <v>180429684.06706542</v>
      </c>
    </row>
    <row r="5265" spans="1:2" x14ac:dyDescent="0.25">
      <c r="A5265">
        <f ca="1">30177.7781292136*((RANDBETWEEN(1620,2416)))</f>
        <v>69801200.812870994</v>
      </c>
      <c r="B5265">
        <v>179468951.67261469</v>
      </c>
    </row>
    <row r="5266" spans="1:2" x14ac:dyDescent="0.25">
      <c r="A5266">
        <f ca="1">32890.2428537946*((RANDBETWEEN(1620,2416)))</f>
        <v>78180107.263469756</v>
      </c>
      <c r="B5266">
        <v>171912913.19520843</v>
      </c>
    </row>
    <row r="5267" spans="1:2" x14ac:dyDescent="0.25">
      <c r="A5267">
        <f ca="1">31142.5184904356*((RANDBETWEEN(1620,2416)))</f>
        <v>63188170.017093778</v>
      </c>
      <c r="B5267">
        <v>153269929.95645288</v>
      </c>
    </row>
    <row r="5268" spans="1:2" x14ac:dyDescent="0.25">
      <c r="A5268">
        <f ca="1">30406.8861537557*((RANDBETWEEN(1620,2416)))</f>
        <v>61209061.827510238</v>
      </c>
      <c r="B5268">
        <v>183908932.06519163</v>
      </c>
    </row>
    <row r="5269" spans="1:2" x14ac:dyDescent="0.25">
      <c r="A5269">
        <f ca="1">39078.9007311744*((RANDBETWEEN(1620,2416)))</f>
        <v>86090818.310777217</v>
      </c>
      <c r="B5269">
        <v>149667017.47280046</v>
      </c>
    </row>
    <row r="5270" spans="1:2" x14ac:dyDescent="0.25">
      <c r="A5270">
        <f ca="1">31106.4456237133*((RANDBETWEEN(1620,2416)))</f>
        <v>70953802.467689961</v>
      </c>
      <c r="B5270">
        <v>143657415.92642719</v>
      </c>
    </row>
    <row r="5271" spans="1:2" x14ac:dyDescent="0.25">
      <c r="A5271">
        <f ca="1">34071.4845956174*((RANDBETWEEN(1620,2416)))</f>
        <v>60851671.487772658</v>
      </c>
      <c r="B5271">
        <v>149269095.12608105</v>
      </c>
    </row>
    <row r="5272" spans="1:2" x14ac:dyDescent="0.25">
      <c r="A5272">
        <f ca="1">30667.1990756732*((RANDBETWEEN(1620,2416)))</f>
        <v>51827566.43788778</v>
      </c>
      <c r="B5272">
        <v>155563108.71661726</v>
      </c>
    </row>
    <row r="5273" spans="1:2" x14ac:dyDescent="0.25">
      <c r="A5273">
        <f ca="1">37214.9600950742*((RANDBETWEEN(1620,2416)))</f>
        <v>61441899.116967566</v>
      </c>
      <c r="B5273">
        <v>150055438.39319098</v>
      </c>
    </row>
    <row r="5274" spans="1:2" x14ac:dyDescent="0.25">
      <c r="A5274">
        <f ca="1">27763.0128154222*((RANDBETWEEN(1620,2416)))</f>
        <v>58913113.194325916</v>
      </c>
      <c r="B5274">
        <v>151595223.64075106</v>
      </c>
    </row>
    <row r="5275" spans="1:2" x14ac:dyDescent="0.25">
      <c r="A5275">
        <f ca="1">31316.3142480162*((RANDBETWEEN(1620,2416)))</f>
        <v>67705871.404211104</v>
      </c>
      <c r="B5275">
        <v>201764418.6522837</v>
      </c>
    </row>
    <row r="5276" spans="1:2" x14ac:dyDescent="0.25">
      <c r="A5276">
        <f ca="1">37701.4904891941*((RANDBETWEEN(1620,2416)))</f>
        <v>68239697.785441414</v>
      </c>
      <c r="B5276">
        <v>148179944.78611141</v>
      </c>
    </row>
    <row r="5277" spans="1:2" x14ac:dyDescent="0.25">
      <c r="A5277">
        <f ca="1">36450.5575467687*((RANDBETWEEN(1620,2416)))</f>
        <v>66011959.717198156</v>
      </c>
      <c r="B5277">
        <v>202870948.01741344</v>
      </c>
    </row>
    <row r="5278" spans="1:2" x14ac:dyDescent="0.25">
      <c r="A5278">
        <f ca="1">31812.2157566478*((RANDBETWEEN(1620,2416)))</f>
        <v>57548298.303775832</v>
      </c>
      <c r="B5278">
        <v>147943492.33199978</v>
      </c>
    </row>
    <row r="5279" spans="1:2" x14ac:dyDescent="0.25">
      <c r="A5279">
        <f ca="1">30983.2186835567*((RANDBETWEEN(1620,2416)))</f>
        <v>68813728.696179405</v>
      </c>
      <c r="B5279">
        <v>148546786.16744459</v>
      </c>
    </row>
    <row r="5280" spans="1:2" x14ac:dyDescent="0.25">
      <c r="A5280">
        <f ca="1">31969.7650411545*((RANDBETWEEN(1620,2416)))</f>
        <v>72187729.462926835</v>
      </c>
      <c r="B5280">
        <v>171038508.34231922</v>
      </c>
    </row>
    <row r="5281" spans="1:2" x14ac:dyDescent="0.25">
      <c r="A5281">
        <f ca="1">35426.9332112363*((RANDBETWEEN(1620,2416)))</f>
        <v>83111585.313560352</v>
      </c>
      <c r="B5281">
        <v>200042108.38489637</v>
      </c>
    </row>
    <row r="5282" spans="1:2" x14ac:dyDescent="0.25">
      <c r="A5282">
        <f ca="1">30705.1236626083*((RANDBETWEEN(1620,2416)))</f>
        <v>54501594.501129717</v>
      </c>
      <c r="B5282">
        <v>176970815.62468141</v>
      </c>
    </row>
    <row r="5283" spans="1:2" x14ac:dyDescent="0.25">
      <c r="A5283">
        <f ca="1">28977.1538666795*((RANDBETWEEN(1620,2416)))</f>
        <v>63199172.583228037</v>
      </c>
      <c r="B5283">
        <v>148333233.3169601</v>
      </c>
    </row>
    <row r="5284" spans="1:2" x14ac:dyDescent="0.25">
      <c r="A5284">
        <f ca="1">34734.4201335089*((RANDBETWEEN(1620,2416)))</f>
        <v>80896464.490942284</v>
      </c>
      <c r="B5284">
        <v>174312462.9663395</v>
      </c>
    </row>
    <row r="5285" spans="1:2" x14ac:dyDescent="0.25">
      <c r="A5285">
        <f ca="1">30991.7999877495*((RANDBETWEEN(1620,2416)))</f>
        <v>64215009.574616984</v>
      </c>
      <c r="B5285">
        <v>150314027.57540929</v>
      </c>
    </row>
    <row r="5286" spans="1:2" x14ac:dyDescent="0.25">
      <c r="A5286">
        <f ca="1">33556.6337847787*((RANDBETWEEN(1620,2416)))</f>
        <v>65099869.542470649</v>
      </c>
      <c r="B5286">
        <v>166929014.0895392</v>
      </c>
    </row>
    <row r="5287" spans="1:2" x14ac:dyDescent="0.25">
      <c r="A5287">
        <f ca="1">41231.8687206124*((RANDBETWEEN(1620,2416)))</f>
        <v>84855185.827020407</v>
      </c>
      <c r="B5287">
        <v>156467074.81905323</v>
      </c>
    </row>
    <row r="5288" spans="1:2" x14ac:dyDescent="0.25">
      <c r="A5288">
        <f ca="1">30893.1116293227*((RANDBETWEEN(1620,2416)))</f>
        <v>72907743.44520162</v>
      </c>
      <c r="B5288">
        <v>177860896.17676961</v>
      </c>
    </row>
    <row r="5289" spans="1:2" x14ac:dyDescent="0.25">
      <c r="A5289">
        <f ca="1">36322.2191146786*((RANDBETWEEN(1620,2416)))</f>
        <v>68358416.373825163</v>
      </c>
      <c r="B5289">
        <v>174701459.22959739</v>
      </c>
    </row>
    <row r="5290" spans="1:2" x14ac:dyDescent="0.25">
      <c r="A5290">
        <f ca="1">29190.7946938502*((RANDBETWEEN(1620,2416)))</f>
        <v>66905301.438304558</v>
      </c>
      <c r="B5290">
        <v>144410260.40644813</v>
      </c>
    </row>
    <row r="5291" spans="1:2" x14ac:dyDescent="0.25">
      <c r="A5291">
        <f ca="1">37294.4969218733*((RANDBETWEEN(1620,2416)))</f>
        <v>66197732.036325112</v>
      </c>
      <c r="B5291">
        <v>166460819.26089847</v>
      </c>
    </row>
    <row r="5292" spans="1:2" x14ac:dyDescent="0.25">
      <c r="A5292">
        <f ca="1">31139.9205863326*((RANDBETWEEN(1620,2416)))</f>
        <v>64085956.566672429</v>
      </c>
      <c r="B5292">
        <v>148605884.13846105</v>
      </c>
    </row>
    <row r="5293" spans="1:2" x14ac:dyDescent="0.25">
      <c r="A5293">
        <f ca="1">31105.9291995146*((RANDBETWEEN(1620,2416)))</f>
        <v>75120819.016827658</v>
      </c>
      <c r="B5293">
        <v>200560313.10867161</v>
      </c>
    </row>
    <row r="5294" spans="1:2" x14ac:dyDescent="0.25">
      <c r="A5294">
        <f ca="1">29892.2563035051*((RANDBETWEEN(1620,2416)))</f>
        <v>68363590.166116193</v>
      </c>
      <c r="B5294">
        <v>145129016.04133981</v>
      </c>
    </row>
    <row r="5295" spans="1:2" x14ac:dyDescent="0.25">
      <c r="A5295">
        <f ca="1">40901.7096859584*((RANDBETWEEN(1620,2416)))</f>
        <v>66956098.755913883</v>
      </c>
      <c r="B5295">
        <v>185465799.95323008</v>
      </c>
    </row>
    <row r="5296" spans="1:2" x14ac:dyDescent="0.25">
      <c r="A5296">
        <f ca="1">29467.9209161127*((RANDBETWEEN(1620,2416)))</f>
        <v>53336936.858163983</v>
      </c>
      <c r="B5296">
        <v>160947097.55413026</v>
      </c>
    </row>
    <row r="5297" spans="1:2" x14ac:dyDescent="0.25">
      <c r="A5297">
        <f ca="1">30117.0912381467*((RANDBETWEEN(1620,2416)))</f>
        <v>68847670.570403352</v>
      </c>
      <c r="B5297">
        <v>157324334.58791566</v>
      </c>
    </row>
    <row r="5298" spans="1:2" x14ac:dyDescent="0.25">
      <c r="A5298">
        <f ca="1">38860.4059326062*((RANDBETWEEN(1620,2416)))</f>
        <v>64935738.313384935</v>
      </c>
      <c r="B5298">
        <v>170535899.13224334</v>
      </c>
    </row>
    <row r="5299" spans="1:2" x14ac:dyDescent="0.25">
      <c r="A5299">
        <f ca="1">31183.8603815253*((RANDBETWEEN(1620,2416)))</f>
        <v>62835478.668773465</v>
      </c>
      <c r="B5299">
        <v>194197873.23864436</v>
      </c>
    </row>
    <row r="5300" spans="1:2" x14ac:dyDescent="0.25">
      <c r="A5300">
        <f ca="1">31777.8335734212*((RANDBETWEEN(1620,2416)))</f>
        <v>59678771.450884975</v>
      </c>
      <c r="B5300">
        <v>183865731.31174392</v>
      </c>
    </row>
    <row r="5301" spans="1:2" x14ac:dyDescent="0.25">
      <c r="A5301">
        <f ca="1">30071.3921878836*((RANDBETWEEN(1620,2416)))</f>
        <v>58158072.491366893</v>
      </c>
      <c r="B5301">
        <v>201641521.92755786</v>
      </c>
    </row>
    <row r="5302" spans="1:2" x14ac:dyDescent="0.25">
      <c r="A5302">
        <f ca="1">31875.3693433404*((RANDBETWEEN(1620,2416)))</f>
        <v>54570632.315798782</v>
      </c>
      <c r="B5302">
        <v>160660499.87127143</v>
      </c>
    </row>
    <row r="5303" spans="1:2" x14ac:dyDescent="0.25">
      <c r="A5303">
        <f ca="1">35393.2658668035*((RANDBETWEEN(1620,2416)))</f>
        <v>68804508.845065966</v>
      </c>
      <c r="B5303">
        <v>193404601.51018256</v>
      </c>
    </row>
    <row r="5304" spans="1:2" x14ac:dyDescent="0.25">
      <c r="A5304">
        <f ca="1">29411.7564901014*((RANDBETWEEN(1620,2416)))</f>
        <v>52676455.873771548</v>
      </c>
      <c r="B5304">
        <v>154084998.22598302</v>
      </c>
    </row>
    <row r="5305" spans="1:2" x14ac:dyDescent="0.25">
      <c r="A5305">
        <f ca="1">32327.3181718101*((RANDBETWEEN(1620,2416)))</f>
        <v>61260267.935580142</v>
      </c>
      <c r="B5305">
        <v>171132894.3903448</v>
      </c>
    </row>
    <row r="5306" spans="1:2" x14ac:dyDescent="0.25">
      <c r="A5306">
        <f ca="1">34816.4379781366*((RANDBETWEEN(1620,2416)))</f>
        <v>57690837.729772374</v>
      </c>
      <c r="B5306">
        <v>145951107.29069889</v>
      </c>
    </row>
    <row r="5307" spans="1:2" x14ac:dyDescent="0.25">
      <c r="A5307">
        <f ca="1">31012.687990073*((RANDBETWEEN(1620,2416)))</f>
        <v>55760813.006151177</v>
      </c>
      <c r="B5307">
        <v>201515332.45894986</v>
      </c>
    </row>
    <row r="5308" spans="1:2" x14ac:dyDescent="0.25">
      <c r="A5308">
        <f ca="1">28848.3359880299*((RANDBETWEEN(1620,2416)))</f>
        <v>63899064.213486128</v>
      </c>
      <c r="B5308">
        <v>186876937.86217013</v>
      </c>
    </row>
    <row r="5309" spans="1:2" x14ac:dyDescent="0.25">
      <c r="A5309">
        <f ca="1">30922.1610404241*((RANDBETWEEN(1620,2416)))</f>
        <v>53897326.693459287</v>
      </c>
      <c r="B5309">
        <v>146659236.70312333</v>
      </c>
    </row>
    <row r="5310" spans="1:2" x14ac:dyDescent="0.25">
      <c r="A5310">
        <f ca="1">31566.655004853*((RANDBETWEEN(1620,2416)))</f>
        <v>58051078.553924717</v>
      </c>
      <c r="B5310">
        <v>157650561.26395008</v>
      </c>
    </row>
    <row r="5311" spans="1:2" x14ac:dyDescent="0.25">
      <c r="A5311">
        <f ca="1">29845.5120922225*((RANDBETWEEN(1620,2416)))</f>
        <v>50677679.532593742</v>
      </c>
      <c r="B5311">
        <v>164614434.31528306</v>
      </c>
    </row>
    <row r="5312" spans="1:2" x14ac:dyDescent="0.25">
      <c r="A5312">
        <f ca="1">32182.0090810345*((RANDBETWEEN(1620,2416)))</f>
        <v>58764348.581969</v>
      </c>
      <c r="B5312">
        <v>171275133.30761391</v>
      </c>
    </row>
    <row r="5313" spans="1:2" x14ac:dyDescent="0.25">
      <c r="A5313">
        <f ca="1">31579.9556524818*((RANDBETWEEN(1620,2416)))</f>
        <v>51222688.06832546</v>
      </c>
      <c r="B5313">
        <v>158333223.18327188</v>
      </c>
    </row>
    <row r="5314" spans="1:2" x14ac:dyDescent="0.25">
      <c r="A5314">
        <f ca="1">38388.7572502662*((RANDBETWEEN(1620,2416)))</f>
        <v>69982704.467235357</v>
      </c>
      <c r="B5314">
        <v>153680333.91248709</v>
      </c>
    </row>
    <row r="5315" spans="1:2" x14ac:dyDescent="0.25">
      <c r="A5315">
        <f ca="1">32655.026180053*((RANDBETWEEN(1620,2416)))</f>
        <v>67955109.480690256</v>
      </c>
      <c r="B5315">
        <v>165350774.92049485</v>
      </c>
    </row>
    <row r="5316" spans="1:2" x14ac:dyDescent="0.25">
      <c r="A5316">
        <f ca="1">31204.2228305816*((RANDBETWEEN(1620,2416)))</f>
        <v>62845304.780791432</v>
      </c>
      <c r="B5316">
        <v>153701355.823291</v>
      </c>
    </row>
    <row r="5317" spans="1:2" x14ac:dyDescent="0.25">
      <c r="A5317">
        <f ca="1">38977.4074043714*((RANDBETWEEN(1620,2416)))</f>
        <v>80254481.845600769</v>
      </c>
      <c r="B5317">
        <v>202946561.16166946</v>
      </c>
    </row>
    <row r="5318" spans="1:2" x14ac:dyDescent="0.25">
      <c r="A5318">
        <f ca="1">40836.2343358049*((RANDBETWEEN(1620,2416)))</f>
        <v>92616579.473605588</v>
      </c>
      <c r="B5318">
        <v>192697900.58923066</v>
      </c>
    </row>
    <row r="5319" spans="1:2" x14ac:dyDescent="0.25">
      <c r="A5319">
        <f ca="1">31081.7519737137*((RANDBETWEEN(1620,2416)))</f>
        <v>60049944.813214839</v>
      </c>
      <c r="B5319">
        <v>162120914.14267558</v>
      </c>
    </row>
    <row r="5320" spans="1:2" x14ac:dyDescent="0.25">
      <c r="A5320">
        <f ca="1">35723.3231371202*((RANDBETWEEN(1620,2416)))</f>
        <v>79520117.303229645</v>
      </c>
      <c r="B5320">
        <v>162338731.57783177</v>
      </c>
    </row>
    <row r="5321" spans="1:2" x14ac:dyDescent="0.25">
      <c r="A5321">
        <f ca="1">38320.620504634*((RANDBETWEEN(1620,2416)))</f>
        <v>76641241.009268031</v>
      </c>
      <c r="B5321">
        <v>194021995.16622496</v>
      </c>
    </row>
    <row r="5322" spans="1:2" x14ac:dyDescent="0.25">
      <c r="A5322">
        <f ca="1">31143.8736569676*((RANDBETWEEN(1620,2416)))</f>
        <v>68859104.655555367</v>
      </c>
      <c r="B5322">
        <v>143180848.17351174</v>
      </c>
    </row>
    <row r="5323" spans="1:2" x14ac:dyDescent="0.25">
      <c r="A5323">
        <f ca="1">31424.3500887438*((RANDBETWEEN(1620,2416)))</f>
        <v>53767063.001840562</v>
      </c>
      <c r="B5323">
        <v>183078928.6357967</v>
      </c>
    </row>
    <row r="5324" spans="1:2" x14ac:dyDescent="0.25">
      <c r="A5324">
        <f ca="1">30679.8857971826*((RANDBETWEEN(1620,2416)))</f>
        <v>65010678.004229993</v>
      </c>
      <c r="B5324">
        <v>185014403.19105074</v>
      </c>
    </row>
    <row r="5325" spans="1:2" x14ac:dyDescent="0.25">
      <c r="A5325">
        <f ca="1">39561.6921835176*((RANDBETWEEN(1620,2416)))</f>
        <v>93602963.706202611</v>
      </c>
      <c r="B5325">
        <v>147945861.48519054</v>
      </c>
    </row>
    <row r="5326" spans="1:2" x14ac:dyDescent="0.25">
      <c r="A5326">
        <f ca="1">36800.108824245*((RANDBETWEEN(1620,2416)))</f>
        <v>65467393.598331891</v>
      </c>
      <c r="B5326">
        <v>195475836.61633444</v>
      </c>
    </row>
    <row r="5327" spans="1:2" x14ac:dyDescent="0.25">
      <c r="A5327">
        <f ca="1">32714.0596113519*((RANDBETWEEN(1620,2416)))</f>
        <v>65199120.80542428</v>
      </c>
      <c r="B5327">
        <v>149355653.9661921</v>
      </c>
    </row>
    <row r="5328" spans="1:2" x14ac:dyDescent="0.25">
      <c r="A5328">
        <f ca="1">33106.3576602946*((RANDBETWEEN(1620,2416)))</f>
        <v>79488364.742367253</v>
      </c>
      <c r="B5328">
        <v>175467169.08780712</v>
      </c>
    </row>
    <row r="5329" spans="1:2" x14ac:dyDescent="0.25">
      <c r="A5329">
        <f ca="1">33290.7688327*((RANDBETWEEN(1620,2416)))</f>
        <v>60689071.582012057</v>
      </c>
      <c r="B5329">
        <v>166021023.37193346</v>
      </c>
    </row>
    <row r="5330" spans="1:2" x14ac:dyDescent="0.25">
      <c r="A5330">
        <f ca="1">33285.3411136449*((RANDBETWEEN(1620,2416)))</f>
        <v>74991873.52904205</v>
      </c>
      <c r="B5330">
        <v>151021140.02585375</v>
      </c>
    </row>
    <row r="5331" spans="1:2" x14ac:dyDescent="0.25">
      <c r="A5331">
        <f ca="1">33083.2938314774*((RANDBETWEEN(1620,2416)))</f>
        <v>76455492.044544369</v>
      </c>
      <c r="B5331">
        <v>170723139.97709864</v>
      </c>
    </row>
    <row r="5332" spans="1:2" x14ac:dyDescent="0.25">
      <c r="A5332">
        <f ca="1">39464.5456365392*((RANDBETWEEN(1620,2416)))</f>
        <v>94004547.706236273</v>
      </c>
      <c r="B5332">
        <v>160791557.07204679</v>
      </c>
    </row>
    <row r="5333" spans="1:2" x14ac:dyDescent="0.25">
      <c r="A5333">
        <f ca="1">32648.9756150498*((RANDBETWEEN(1620,2416)))</f>
        <v>63469608.595656835</v>
      </c>
      <c r="B5333">
        <v>149925522.01670015</v>
      </c>
    </row>
    <row r="5334" spans="1:2" x14ac:dyDescent="0.25">
      <c r="A5334">
        <f ca="1">36131.7742372034*((RANDBETWEEN(1620,2416)))</f>
        <v>84729010.586242005</v>
      </c>
      <c r="B5334">
        <v>183381179.06370959</v>
      </c>
    </row>
    <row r="5335" spans="1:2" x14ac:dyDescent="0.25">
      <c r="A5335">
        <f ca="1">35236.1160913661*((RANDBETWEEN(1620,2416)))</f>
        <v>71494079.549381807</v>
      </c>
      <c r="B5335">
        <v>155737556.4159821</v>
      </c>
    </row>
    <row r="5336" spans="1:2" x14ac:dyDescent="0.25">
      <c r="A5336">
        <f ca="1">31771.632292585*((RANDBETWEEN(1620,2416)))</f>
        <v>65258932.728969559</v>
      </c>
      <c r="B5336">
        <v>157300903.00386691</v>
      </c>
    </row>
    <row r="5337" spans="1:2" x14ac:dyDescent="0.25">
      <c r="A5337">
        <f ca="1">33551.2977353821*((RANDBETWEEN(1620,2416)))</f>
        <v>59050284.014272414</v>
      </c>
      <c r="B5337">
        <v>152830485.91010618</v>
      </c>
    </row>
    <row r="5338" spans="1:2" x14ac:dyDescent="0.25">
      <c r="A5338">
        <f ca="1">29372.5949717981*((RANDBETWEEN(1620,2416)))</f>
        <v>58333973.613990963</v>
      </c>
      <c r="B5338">
        <v>143862783.4024078</v>
      </c>
    </row>
    <row r="5339" spans="1:2" x14ac:dyDescent="0.25">
      <c r="A5339">
        <f ca="1">32072.3257566903*((RANDBETWEEN(1620,2416)))</f>
        <v>60809129.634684727</v>
      </c>
      <c r="B5339">
        <v>202053355.40061486</v>
      </c>
    </row>
    <row r="5340" spans="1:2" x14ac:dyDescent="0.25">
      <c r="A5340">
        <f ca="1">36597.3017909279*((RANDBETWEEN(1620,2416)))</f>
        <v>87870121.600017875</v>
      </c>
      <c r="B5340">
        <v>193065974.20305407</v>
      </c>
    </row>
    <row r="5341" spans="1:2" x14ac:dyDescent="0.25">
      <c r="A5341">
        <f ca="1">39008.0234720895*((RANDBETWEEN(1620,2416)))</f>
        <v>89562421.891917378</v>
      </c>
      <c r="B5341">
        <v>165822214.00023624</v>
      </c>
    </row>
    <row r="5342" spans="1:2" x14ac:dyDescent="0.25">
      <c r="A5342">
        <f ca="1">39949.0330555489*((RANDBETWEEN(1620,2416)))</f>
        <v>79698320.945820063</v>
      </c>
      <c r="B5342">
        <v>191420938.88078335</v>
      </c>
    </row>
    <row r="5343" spans="1:2" x14ac:dyDescent="0.25">
      <c r="A5343">
        <f ca="1">31449.7259050373*((RANDBETWEEN(1620,2416)))</f>
        <v>60131875.930431254</v>
      </c>
      <c r="B5343">
        <v>190292358.39438185</v>
      </c>
    </row>
    <row r="5344" spans="1:2" x14ac:dyDescent="0.25">
      <c r="A5344">
        <f ca="1">28402.2891081961*((RANDBETWEEN(1620,2416)))</f>
        <v>48766730.398772679</v>
      </c>
      <c r="B5344">
        <v>178910654.56925279</v>
      </c>
    </row>
    <row r="5345" spans="1:2" x14ac:dyDescent="0.25">
      <c r="A5345">
        <f ca="1">32296.75422756*((RANDBETWEEN(1620,2416)))</f>
        <v>61396129.786591582</v>
      </c>
      <c r="B5345">
        <v>163177391.78250152</v>
      </c>
    </row>
    <row r="5346" spans="1:2" x14ac:dyDescent="0.25">
      <c r="A5346">
        <f ca="1">31655.8070973045*((RANDBETWEEN(1620,2416)))</f>
        <v>62710153.85976027</v>
      </c>
      <c r="B5346">
        <v>196820218.90750372</v>
      </c>
    </row>
    <row r="5347" spans="1:2" x14ac:dyDescent="0.25">
      <c r="A5347">
        <f ca="1">32172.5167774979*((RANDBETWEEN(1620,2416)))</f>
        <v>52537719.897654079</v>
      </c>
      <c r="B5347">
        <v>142951418.68038437</v>
      </c>
    </row>
    <row r="5348" spans="1:2" x14ac:dyDescent="0.25">
      <c r="A5348">
        <f ca="1">29190.1374058499*((RANDBETWEEN(1620,2416)))</f>
        <v>68013020.155630484</v>
      </c>
      <c r="B5348">
        <v>183824568.22525689</v>
      </c>
    </row>
    <row r="5349" spans="1:2" x14ac:dyDescent="0.25">
      <c r="A5349">
        <f ca="1">28497.5200463529*((RANDBETWEEN(1620,2416)))</f>
        <v>46821425.436157785</v>
      </c>
      <c r="B5349">
        <v>161802561.94394746</v>
      </c>
    </row>
    <row r="5350" spans="1:2" x14ac:dyDescent="0.25">
      <c r="A5350">
        <f ca="1">33790.975355387*((RANDBETWEEN(1620,2416)))</f>
        <v>64236644.150590733</v>
      </c>
      <c r="B5350">
        <v>167627315.44674394</v>
      </c>
    </row>
    <row r="5351" spans="1:2" x14ac:dyDescent="0.25">
      <c r="A5351">
        <f ca="1">28836.6589809006*((RANDBETWEEN(1620,2416)))</f>
        <v>61941143.490974531</v>
      </c>
      <c r="B5351">
        <v>201737562.06419018</v>
      </c>
    </row>
    <row r="5352" spans="1:2" x14ac:dyDescent="0.25">
      <c r="A5352">
        <f ca="1">33952.9236276133*((RANDBETWEEN(1620,2416)))</f>
        <v>57855781.861453064</v>
      </c>
      <c r="B5352">
        <v>175529685.51039207</v>
      </c>
    </row>
    <row r="5353" spans="1:2" x14ac:dyDescent="0.25">
      <c r="A5353">
        <f ca="1">30264.7514788446*((RANDBETWEEN(1620,2416)))</f>
        <v>67278542.537471458</v>
      </c>
      <c r="B5353">
        <v>202574725.62058872</v>
      </c>
    </row>
    <row r="5354" spans="1:2" x14ac:dyDescent="0.25">
      <c r="A5354">
        <f ca="1">27722.4633220551*((RANDBETWEEN(1620,2416)))</f>
        <v>51619226.705666535</v>
      </c>
      <c r="B5354">
        <v>192711512.40120038</v>
      </c>
    </row>
    <row r="5355" spans="1:2" x14ac:dyDescent="0.25">
      <c r="A5355">
        <f ca="1">32895.5270197294*((RANDBETWEEN(1620,2416)))</f>
        <v>61086993.675637484</v>
      </c>
      <c r="B5355">
        <v>173742432.6375294</v>
      </c>
    </row>
    <row r="5356" spans="1:2" x14ac:dyDescent="0.25">
      <c r="A5356">
        <f ca="1">30874.1093185727*((RANDBETWEEN(1620,2416)))</f>
        <v>54245810.072732225</v>
      </c>
      <c r="B5356">
        <v>149629005.92737687</v>
      </c>
    </row>
    <row r="5357" spans="1:2" x14ac:dyDescent="0.25">
      <c r="A5357">
        <f ca="1">31672.5208880443*((RANDBETWEEN(1620,2416)))</f>
        <v>56788829.952263489</v>
      </c>
      <c r="B5357">
        <v>171388239.97850278</v>
      </c>
    </row>
    <row r="5358" spans="1:2" x14ac:dyDescent="0.25">
      <c r="A5358">
        <f ca="1">38431.200378605*((RANDBETWEEN(1620,2416)))</f>
        <v>70213803.091711417</v>
      </c>
      <c r="B5358">
        <v>165303111.11938807</v>
      </c>
    </row>
    <row r="5359" spans="1:2" x14ac:dyDescent="0.25">
      <c r="A5359">
        <f ca="1">34153.9761207976*((RANDBETWEEN(1620,2416)))</f>
        <v>81867080.761551738</v>
      </c>
      <c r="B5359">
        <v>152574143.0622524</v>
      </c>
    </row>
    <row r="5360" spans="1:2" x14ac:dyDescent="0.25">
      <c r="A5360">
        <f ca="1">34846.9072896875*((RANDBETWEEN(1620,2416)))</f>
        <v>58054947.544619314</v>
      </c>
      <c r="B5360">
        <v>147364514.45189613</v>
      </c>
    </row>
    <row r="5361" spans="1:2" x14ac:dyDescent="0.25">
      <c r="A5361">
        <f ca="1">35407.1806971097*((RANDBETWEEN(1620,2416)))</f>
        <v>69114816.72075808</v>
      </c>
      <c r="B5361">
        <v>156464122.51479602</v>
      </c>
    </row>
    <row r="5362" spans="1:2" x14ac:dyDescent="0.25">
      <c r="A5362">
        <f ca="1">31050.9092129571*((RANDBETWEEN(1620,2416)))</f>
        <v>71541294.826653048</v>
      </c>
      <c r="B5362">
        <v>164557056.6680316</v>
      </c>
    </row>
    <row r="5363" spans="1:2" x14ac:dyDescent="0.25">
      <c r="A5363">
        <f ca="1">34969.9125836754*((RANDBETWEEN(1620,2416)))</f>
        <v>65079007.31821987</v>
      </c>
      <c r="B5363">
        <v>200366365.35619098</v>
      </c>
    </row>
    <row r="5364" spans="1:2" x14ac:dyDescent="0.25">
      <c r="A5364">
        <f ca="1">37230.3535414032*((RANDBETWEEN(1620,2416)))</f>
        <v>89092236.024577856</v>
      </c>
      <c r="B5364">
        <v>158068075.52890244</v>
      </c>
    </row>
    <row r="5365" spans="1:2" x14ac:dyDescent="0.25">
      <c r="A5365">
        <f ca="1">33019.4664556857*((RANDBETWEEN(1620,2416)))</f>
        <v>64189842.789853089</v>
      </c>
      <c r="B5365">
        <v>182380132.06467819</v>
      </c>
    </row>
    <row r="5366" spans="1:2" x14ac:dyDescent="0.25">
      <c r="A5366">
        <f ca="1">31606.577725699*((RANDBETWEEN(1620,2416)))</f>
        <v>60052497.678828023</v>
      </c>
      <c r="B5366">
        <v>144576645.43559465</v>
      </c>
    </row>
    <row r="5367" spans="1:2" x14ac:dyDescent="0.25">
      <c r="A5367">
        <f ca="1">30898.6598500543*((RANDBETWEEN(1620,2416)))</f>
        <v>58645656.395403139</v>
      </c>
      <c r="B5367">
        <v>150037383.80751467</v>
      </c>
    </row>
    <row r="5368" spans="1:2" x14ac:dyDescent="0.25">
      <c r="A5368">
        <f ca="1">35153.3909716638*((RANDBETWEEN(1620,2416)))</f>
        <v>77478073.701547176</v>
      </c>
      <c r="B5368">
        <v>150130524.55405077</v>
      </c>
    </row>
    <row r="5369" spans="1:2" x14ac:dyDescent="0.25">
      <c r="A5369">
        <f ca="1">40373.1176542757*((RANDBETWEEN(1620,2416)))</f>
        <v>83854965.367930561</v>
      </c>
      <c r="B5369">
        <v>180414413.79697922</v>
      </c>
    </row>
    <row r="5370" spans="1:2" x14ac:dyDescent="0.25">
      <c r="A5370">
        <f ca="1">37937.3218566116*((RANDBETWEEN(1620,2416)))</f>
        <v>65252193.593371958</v>
      </c>
      <c r="B5370">
        <v>178436527.97594279</v>
      </c>
    </row>
    <row r="5371" spans="1:2" x14ac:dyDescent="0.25">
      <c r="A5371">
        <f ca="1">30387.1106525103*((RANDBETWEEN(1620,2416)))</f>
        <v>61685834.624595895</v>
      </c>
      <c r="B5371">
        <v>144634054.90659624</v>
      </c>
    </row>
    <row r="5372" spans="1:2" x14ac:dyDescent="0.25">
      <c r="A5372">
        <f ca="1">31142.3647906578*((RANDBETWEEN(1620,2416)))</f>
        <v>58827927.089552507</v>
      </c>
      <c r="B5372">
        <v>148458874.33998048</v>
      </c>
    </row>
    <row r="5373" spans="1:2" x14ac:dyDescent="0.25">
      <c r="A5373">
        <f ca="1">34614.3490766431*((RANDBETWEEN(1620,2416)))</f>
        <v>81412949.028264463</v>
      </c>
      <c r="B5373">
        <v>162882745.71704528</v>
      </c>
    </row>
    <row r="5374" spans="1:2" x14ac:dyDescent="0.25">
      <c r="A5374">
        <f ca="1">40888.525559265*((RANDBETWEEN(1620,2416)))</f>
        <v>91753851.354990587</v>
      </c>
      <c r="B5374">
        <v>148447757.22087488</v>
      </c>
    </row>
    <row r="5375" spans="1:2" x14ac:dyDescent="0.25">
      <c r="A5375">
        <f ca="1">35698.0694151094*((RANDBETWEEN(1620,2416)))</f>
        <v>62578715.684686713</v>
      </c>
      <c r="B5375">
        <v>186937099.62097436</v>
      </c>
    </row>
    <row r="5376" spans="1:2" x14ac:dyDescent="0.25">
      <c r="A5376">
        <f ca="1">27550.2902954165*((RANDBETWEEN(1620,2416)))</f>
        <v>55844438.428809278</v>
      </c>
      <c r="B5376">
        <v>147262111.58491969</v>
      </c>
    </row>
    <row r="5377" spans="1:2" x14ac:dyDescent="0.25">
      <c r="A5377">
        <f ca="1">40858.6100266253*((RANDBETWEEN(1620,2416)))</f>
        <v>85435353.56567353</v>
      </c>
      <c r="B5377">
        <v>169813515.5567475</v>
      </c>
    </row>
    <row r="5378" spans="1:2" x14ac:dyDescent="0.25">
      <c r="A5378">
        <f ca="1">36474.1319800509*((RANDBETWEEN(1620,2416)))</f>
        <v>85787158.417079657</v>
      </c>
      <c r="B5378">
        <v>159779871.51440984</v>
      </c>
    </row>
    <row r="5379" spans="1:2" x14ac:dyDescent="0.25">
      <c r="A5379">
        <f ca="1">30120.0785984368*((RANDBETWEEN(1620,2416)))</f>
        <v>62469043.013157926</v>
      </c>
      <c r="B5379">
        <v>147603008.60835963</v>
      </c>
    </row>
    <row r="5380" spans="1:2" x14ac:dyDescent="0.25">
      <c r="A5380">
        <f ca="1">32375.7913542758*((RANDBETWEEN(1620,2416)))</f>
        <v>67341646.016893744</v>
      </c>
      <c r="B5380">
        <v>171405660.46377718</v>
      </c>
    </row>
    <row r="5381" spans="1:2" x14ac:dyDescent="0.25">
      <c r="A5381">
        <f ca="1">30803.431407934*((RANDBETWEEN(1620,2416)))</f>
        <v>64533188.799621761</v>
      </c>
      <c r="B5381">
        <v>156508814.99849835</v>
      </c>
    </row>
    <row r="5382" spans="1:2" x14ac:dyDescent="0.25">
      <c r="A5382">
        <f ca="1">35352.2817683119*((RANDBETWEEN(1620,2416)))</f>
        <v>64022982.282412902</v>
      </c>
      <c r="B5382">
        <v>143962880.54556215</v>
      </c>
    </row>
    <row r="5383" spans="1:2" x14ac:dyDescent="0.25">
      <c r="A5383">
        <f ca="1">42073.3593871549*((RANDBETWEEN(1620,2416)))</f>
        <v>72534471.583454967</v>
      </c>
      <c r="B5383">
        <v>144559320.1958499</v>
      </c>
    </row>
    <row r="5384" spans="1:2" x14ac:dyDescent="0.25">
      <c r="A5384">
        <f ca="1">38099.5013895471*((RANDBETWEEN(1620,2416)))</f>
        <v>86981161.672336087</v>
      </c>
      <c r="B5384">
        <v>175815979.53242946</v>
      </c>
    </row>
    <row r="5385" spans="1:2" x14ac:dyDescent="0.25">
      <c r="A5385">
        <f ca="1">30308.5352063391*((RANDBETWEEN(1620,2416)))</f>
        <v>49645380.667983457</v>
      </c>
      <c r="B5385">
        <v>142901153.48766965</v>
      </c>
    </row>
    <row r="5386" spans="1:2" x14ac:dyDescent="0.25">
      <c r="A5386">
        <f ca="1">31652.8277762477*((RANDBETWEEN(1620,2416)))</f>
        <v>72200100.157621011</v>
      </c>
      <c r="B5386">
        <v>154159239.44313258</v>
      </c>
    </row>
    <row r="5387" spans="1:2" x14ac:dyDescent="0.25">
      <c r="A5387">
        <f ca="1">36975.1653070636*((RANDBETWEEN(1620,2416)))</f>
        <v>62968706.517929241</v>
      </c>
      <c r="B5387">
        <v>146584464.86816776</v>
      </c>
    </row>
    <row r="5388" spans="1:2" x14ac:dyDescent="0.25">
      <c r="A5388">
        <f ca="1">30171.1481373159*((RANDBETWEEN(1620,2416)))</f>
        <v>50204790.500493638</v>
      </c>
      <c r="B5388">
        <v>202278049.90779409</v>
      </c>
    </row>
    <row r="5389" spans="1:2" x14ac:dyDescent="0.25">
      <c r="A5389">
        <f ca="1">29436.6343208247*((RANDBETWEEN(1620,2416)))</f>
        <v>69823696.608996242</v>
      </c>
      <c r="B5389">
        <v>184765365.95409697</v>
      </c>
    </row>
    <row r="5390" spans="1:2" x14ac:dyDescent="0.25">
      <c r="A5390">
        <f ca="1">33353.6587444634*((RANDBETWEEN(1620,2416)))</f>
        <v>79481768.788056403</v>
      </c>
      <c r="B5390">
        <v>162028738.87180912</v>
      </c>
    </row>
    <row r="5391" spans="1:2" x14ac:dyDescent="0.25">
      <c r="A5391">
        <f ca="1">39359.0476108146*((RANDBETWEEN(1620,2416)))</f>
        <v>73011033.318061009</v>
      </c>
      <c r="B5391">
        <v>166966540.75325525</v>
      </c>
    </row>
    <row r="5392" spans="1:2" x14ac:dyDescent="0.25">
      <c r="A5392">
        <f ca="1">31516.522793138*((RANDBETWEEN(1620,2416)))</f>
        <v>62371198.60762015</v>
      </c>
      <c r="B5392">
        <v>169173215.66491312</v>
      </c>
    </row>
    <row r="5393" spans="1:2" x14ac:dyDescent="0.25">
      <c r="A5393">
        <f ca="1">32706.7434304428*((RANDBETWEEN(1620,2416)))</f>
        <v>71398820.908656567</v>
      </c>
      <c r="B5393">
        <v>202902524.75331664</v>
      </c>
    </row>
    <row r="5394" spans="1:2" x14ac:dyDescent="0.25">
      <c r="A5394">
        <f ca="1">33030.8811854294*((RANDBETWEEN(1620,2416)))</f>
        <v>66557225.58864025</v>
      </c>
      <c r="B5394">
        <v>179145336.52950147</v>
      </c>
    </row>
    <row r="5395" spans="1:2" x14ac:dyDescent="0.25">
      <c r="A5395">
        <f ca="1">37680.6028925123*((RANDBETWEEN(1620,2416)))</f>
        <v>72082993.33337608</v>
      </c>
      <c r="B5395">
        <v>191866496.58440685</v>
      </c>
    </row>
    <row r="5396" spans="1:2" x14ac:dyDescent="0.25">
      <c r="A5396">
        <f ca="1">42463.6930095148*((RANDBETWEEN(1620,2416)))</f>
        <v>74481317.538688898</v>
      </c>
      <c r="B5396">
        <v>184186331.79498392</v>
      </c>
    </row>
    <row r="5397" spans="1:2" x14ac:dyDescent="0.25">
      <c r="A5397">
        <f ca="1">30095.342024011*((RANDBETWEEN(1620,2416)))</f>
        <v>50229125.838074356</v>
      </c>
      <c r="B5397">
        <v>175267316.7232756</v>
      </c>
    </row>
    <row r="5398" spans="1:2" x14ac:dyDescent="0.25">
      <c r="A5398">
        <f ca="1">32941.3982665075*((RANDBETWEEN(1620,2416)))</f>
        <v>53990951.758805737</v>
      </c>
      <c r="B5398">
        <v>185042556.76408911</v>
      </c>
    </row>
    <row r="5399" spans="1:2" x14ac:dyDescent="0.25">
      <c r="A5399">
        <f ca="1">36098.3494723849*((RANDBETWEEN(1620,2416)))</f>
        <v>67323421.765997887</v>
      </c>
      <c r="B5399">
        <v>188767618.17646194</v>
      </c>
    </row>
    <row r="5400" spans="1:2" x14ac:dyDescent="0.25">
      <c r="A5400">
        <f ca="1">38461.6128644233*((RANDBETWEEN(1620,2416)))</f>
        <v>92807871.841853321</v>
      </c>
      <c r="B5400">
        <v>191688467.26332992</v>
      </c>
    </row>
    <row r="5401" spans="1:2" x14ac:dyDescent="0.25">
      <c r="A5401">
        <f ca="1">38600.0363617466*((RANDBETWEEN(1620,2416)))</f>
        <v>78049273.523451686</v>
      </c>
      <c r="B5401">
        <v>174080994.48611727</v>
      </c>
    </row>
    <row r="5402" spans="1:2" x14ac:dyDescent="0.25">
      <c r="A5402">
        <f ca="1">28531.9686785588*((RANDBETWEEN(1620,2416)))</f>
        <v>67934617.423648521</v>
      </c>
      <c r="B5402">
        <v>156685629.79843062</v>
      </c>
    </row>
    <row r="5403" spans="1:2" x14ac:dyDescent="0.25">
      <c r="A5403">
        <f ca="1">30004.9574363348*((RANDBETWEEN(1620,2416)))</f>
        <v>55629191.086964682</v>
      </c>
      <c r="B5403">
        <v>164877766.41202962</v>
      </c>
    </row>
    <row r="5404" spans="1:2" x14ac:dyDescent="0.25">
      <c r="A5404">
        <f ca="1">27723.5085318599*((RANDBETWEEN(1620,2416)))</f>
        <v>61823424.026047617</v>
      </c>
      <c r="B5404">
        <v>165751470.85125062</v>
      </c>
    </row>
    <row r="5405" spans="1:2" x14ac:dyDescent="0.25">
      <c r="A5405">
        <f ca="1">32112.1400225885*((RANDBETWEEN(1620,2416)))</f>
        <v>64352728.60526745</v>
      </c>
      <c r="B5405">
        <v>145256618.79190269</v>
      </c>
    </row>
    <row r="5406" spans="1:2" x14ac:dyDescent="0.25">
      <c r="A5406">
        <f ca="1">31411.7377998871*((RANDBETWEEN(1620,2416)))</f>
        <v>73283584.287136689</v>
      </c>
      <c r="B5406">
        <v>144582290.21340522</v>
      </c>
    </row>
    <row r="5407" spans="1:2" x14ac:dyDescent="0.25">
      <c r="A5407">
        <f ca="1">31841.4369170267*((RANDBETWEEN(1620,2416)))</f>
        <v>76101034.231693909</v>
      </c>
      <c r="B5407">
        <v>153088668.15786231</v>
      </c>
    </row>
    <row r="5408" spans="1:2" x14ac:dyDescent="0.25">
      <c r="A5408">
        <f ca="1">31316.1312148564*((RANDBETWEEN(1620,2416)))</f>
        <v>66484146.569140136</v>
      </c>
      <c r="B5408">
        <v>182890094.94671682</v>
      </c>
    </row>
    <row r="5409" spans="1:2" x14ac:dyDescent="0.25">
      <c r="A5409">
        <f ca="1">32613.6563590261*((RANDBETWEEN(1620,2416)))</f>
        <v>55019238.277677059</v>
      </c>
      <c r="B5409">
        <v>181819220.14464712</v>
      </c>
    </row>
    <row r="5410" spans="1:2" x14ac:dyDescent="0.25">
      <c r="A5410">
        <f ca="1">35680.3377641878*((RANDBETWEEN(1620,2416)))</f>
        <v>60442492.172534138</v>
      </c>
      <c r="B5410">
        <v>155875740.55572641</v>
      </c>
    </row>
    <row r="5411" spans="1:2" x14ac:dyDescent="0.25">
      <c r="A5411">
        <f ca="1">28447.7935670595*((RANDBETWEEN(1620,2416)))</f>
        <v>64604939.190792263</v>
      </c>
      <c r="B5411">
        <v>188514911.2582944</v>
      </c>
    </row>
    <row r="5412" spans="1:2" x14ac:dyDescent="0.25">
      <c r="A5412">
        <f ca="1">30458.3826707565*((RANDBETWEEN(1620,2416)))</f>
        <v>54886005.572703257</v>
      </c>
      <c r="B5412">
        <v>167241358.25477794</v>
      </c>
    </row>
    <row r="5413" spans="1:2" x14ac:dyDescent="0.25">
      <c r="A5413">
        <f ca="1">32801.6355689821*((RANDBETWEEN(1620,2416)))</f>
        <v>71343557.362536028</v>
      </c>
      <c r="B5413">
        <v>194596880.31655902</v>
      </c>
    </row>
    <row r="5414" spans="1:2" x14ac:dyDescent="0.25">
      <c r="A5414">
        <f ca="1">32890.7261275463*((RANDBETWEEN(1620,2416)))</f>
        <v>71504438.601285741</v>
      </c>
      <c r="B5414">
        <v>172242691.74626565</v>
      </c>
    </row>
    <row r="5415" spans="1:2" x14ac:dyDescent="0.25">
      <c r="A5415">
        <f ca="1">37955.6446079396*((RANDBETWEEN(1620,2416)))</f>
        <v>89347587.40708974</v>
      </c>
      <c r="B5415">
        <v>190393253.70806298</v>
      </c>
    </row>
    <row r="5416" spans="1:2" x14ac:dyDescent="0.25">
      <c r="A5416">
        <f ca="1">41495.429102677*((RANDBETWEEN(1620,2416)))</f>
        <v>99589029.846424714</v>
      </c>
      <c r="B5416">
        <v>177208123.93107495</v>
      </c>
    </row>
    <row r="5417" spans="1:2" x14ac:dyDescent="0.25">
      <c r="A5417">
        <f ca="1">40862.7703465789*((RANDBETWEEN(1620,2416)))</f>
        <v>68772042.493292227</v>
      </c>
      <c r="B5417">
        <v>158032868.96860057</v>
      </c>
    </row>
    <row r="5418" spans="1:2" x14ac:dyDescent="0.25">
      <c r="A5418">
        <f ca="1">32799.7100714106*((RANDBETWEEN(1620,2416)))</f>
        <v>54545917.848755851</v>
      </c>
      <c r="B5418">
        <v>154760253.17773592</v>
      </c>
    </row>
    <row r="5419" spans="1:2" x14ac:dyDescent="0.25">
      <c r="A5419">
        <f ca="1">31667.0309257515*((RANDBETWEEN(1620,2416)))</f>
        <v>53548949.295445807</v>
      </c>
      <c r="B5419">
        <v>149648256.26450792</v>
      </c>
    </row>
    <row r="5420" spans="1:2" x14ac:dyDescent="0.25">
      <c r="A5420">
        <f ca="1">38233.8526132728*((RANDBETWEEN(1620,2416)))</f>
        <v>65571057.231762931</v>
      </c>
      <c r="B5420">
        <v>152426700.89644128</v>
      </c>
    </row>
    <row r="5421" spans="1:2" x14ac:dyDescent="0.25">
      <c r="A5421">
        <f ca="1">32468.2105302405*((RANDBETWEEN(1620,2416)))</f>
        <v>67566346.11343053</v>
      </c>
      <c r="B5421">
        <v>144681771.48479384</v>
      </c>
    </row>
    <row r="5422" spans="1:2" x14ac:dyDescent="0.25">
      <c r="A5422">
        <f ca="1">31258.6957180425*((RANDBETWEEN(1620,2416)))</f>
        <v>51983210.979104646</v>
      </c>
      <c r="B5422">
        <v>167853327.71274763</v>
      </c>
    </row>
    <row r="5423" spans="1:2" x14ac:dyDescent="0.25">
      <c r="A5423">
        <f ca="1">36030.5879960609*((RANDBETWEEN(1620,2416)))</f>
        <v>75375990.087759465</v>
      </c>
      <c r="B5423">
        <v>177168473.33906478</v>
      </c>
    </row>
    <row r="5424" spans="1:2" x14ac:dyDescent="0.25">
      <c r="A5424">
        <f ca="1">30933.0297869316*((RANDBETWEEN(1620,2416)))</f>
        <v>71671830.016320497</v>
      </c>
      <c r="B5424">
        <v>150326858.0362637</v>
      </c>
    </row>
    <row r="5425" spans="1:2" x14ac:dyDescent="0.25">
      <c r="A5425">
        <f ca="1">28042.6358822006*((RANDBETWEEN(1620,2416)))</f>
        <v>54627054.698526807</v>
      </c>
      <c r="B5425">
        <v>154024581.47736856</v>
      </c>
    </row>
    <row r="5426" spans="1:2" x14ac:dyDescent="0.25">
      <c r="A5426">
        <f ca="1">32924.0188474065*((RANDBETWEEN(1620,2416)))</f>
        <v>58966917.755704992</v>
      </c>
      <c r="B5426">
        <v>164934096.66898701</v>
      </c>
    </row>
    <row r="5427" spans="1:2" x14ac:dyDescent="0.25">
      <c r="A5427">
        <f ca="1">32562.3458542054*((RANDBETWEEN(1620,2416)))</f>
        <v>56625919.440463156</v>
      </c>
      <c r="B5427">
        <v>154019511.87232682</v>
      </c>
    </row>
    <row r="5428" spans="1:2" x14ac:dyDescent="0.25">
      <c r="A5428">
        <f ca="1">36918.0825676545*((RANDBETWEEN(1620,2416)))</f>
        <v>62539231.869606771</v>
      </c>
      <c r="B5428">
        <v>190506929.7893762</v>
      </c>
    </row>
    <row r="5429" spans="1:2" x14ac:dyDescent="0.25">
      <c r="A5429">
        <f ca="1">39991.5567491179*((RANDBETWEEN(1620,2416)))</f>
        <v>65986068.636044599</v>
      </c>
      <c r="B5429">
        <v>183850820.15102085</v>
      </c>
    </row>
    <row r="5430" spans="1:2" x14ac:dyDescent="0.25">
      <c r="A5430">
        <f ca="1">29948.9820876078*((RANDBETWEEN(1620,2416)))</f>
        <v>71548118.20729503</v>
      </c>
      <c r="B5430">
        <v>193701881.66331184</v>
      </c>
    </row>
    <row r="5431" spans="1:2" x14ac:dyDescent="0.25">
      <c r="A5431">
        <f ca="1">38881.9022580913*((RANDBETWEEN(1620,2416)))</f>
        <v>77258339.786827445</v>
      </c>
      <c r="B5431">
        <v>192792997.17127424</v>
      </c>
    </row>
    <row r="5432" spans="1:2" x14ac:dyDescent="0.25">
      <c r="A5432">
        <f ca="1">34644.1262145427*((RANDBETWEEN(1620,2416)))</f>
        <v>69496117.186372697</v>
      </c>
      <c r="B5432">
        <v>158099537.29172641</v>
      </c>
    </row>
    <row r="5433" spans="1:2" x14ac:dyDescent="0.25">
      <c r="A5433">
        <f ca="1">32252.0100751929*((RANDBETWEEN(1620,2416)))</f>
        <v>60924047.032039478</v>
      </c>
      <c r="B5433">
        <v>172422827.00061646</v>
      </c>
    </row>
    <row r="5434" spans="1:2" x14ac:dyDescent="0.25">
      <c r="A5434">
        <f ca="1">29464.5131873623*((RANDBETWEEN(1620,2416)))</f>
        <v>60549574.600029565</v>
      </c>
      <c r="B5434">
        <v>177114805.16571289</v>
      </c>
    </row>
    <row r="5435" spans="1:2" x14ac:dyDescent="0.25">
      <c r="A5435">
        <f ca="1">31697.8971569763*((RANDBETWEEN(1620,2416)))</f>
        <v>52967186.149307407</v>
      </c>
      <c r="B5435">
        <v>164298354.67051339</v>
      </c>
    </row>
    <row r="5436" spans="1:2" x14ac:dyDescent="0.25">
      <c r="A5436">
        <f ca="1">31459.0484994237*((RANDBETWEEN(1620,2416)))</f>
        <v>55305007.261986785</v>
      </c>
      <c r="B5436">
        <v>163127827.23305655</v>
      </c>
    </row>
    <row r="5437" spans="1:2" x14ac:dyDescent="0.25">
      <c r="A5437">
        <f ca="1">27992.6859534013*((RANDBETWEEN(1620,2416)))</f>
        <v>53633986.286716968</v>
      </c>
      <c r="B5437">
        <v>179536185.72336072</v>
      </c>
    </row>
    <row r="5438" spans="1:2" x14ac:dyDescent="0.25">
      <c r="A5438">
        <f ca="1">30333.6730963933*((RANDBETWEEN(1620,2416)))</f>
        <v>68311431.813077807</v>
      </c>
      <c r="B5438">
        <v>145501096.87061462</v>
      </c>
    </row>
    <row r="5439" spans="1:2" x14ac:dyDescent="0.25">
      <c r="A5439">
        <f ca="1">29833.7109657172*((RANDBETWEEN(1620,2416)))</f>
        <v>57250891.343211345</v>
      </c>
      <c r="B5439">
        <v>170423821.86527443</v>
      </c>
    </row>
    <row r="5440" spans="1:2" x14ac:dyDescent="0.25">
      <c r="A5440">
        <f ca="1">33647.4382621372*((RANDBETWEEN(1620,2416)))</f>
        <v>76749806.67593497</v>
      </c>
      <c r="B5440">
        <v>154364718.70891413</v>
      </c>
    </row>
    <row r="5441" spans="1:2" x14ac:dyDescent="0.25">
      <c r="A5441">
        <f ca="1">37023.9626024271*((RANDBETWEEN(1620,2416)))</f>
        <v>85414281.723799378</v>
      </c>
      <c r="B5441">
        <v>160651668.94978973</v>
      </c>
    </row>
    <row r="5442" spans="1:2" x14ac:dyDescent="0.25">
      <c r="A5442">
        <f ca="1">29679.4025738423*((RANDBETWEEN(1620,2416)))</f>
        <v>57043811.746924825</v>
      </c>
      <c r="B5442">
        <v>153041070.08913237</v>
      </c>
    </row>
    <row r="5443" spans="1:2" x14ac:dyDescent="0.25">
      <c r="A5443">
        <f ca="1">33024.299580716*((RANDBETWEEN(1620,2416)))</f>
        <v>60632614.030194692</v>
      </c>
      <c r="B5443">
        <v>195978079.03588361</v>
      </c>
    </row>
    <row r="5444" spans="1:2" x14ac:dyDescent="0.25">
      <c r="A5444">
        <f ca="1">32125.3040536235*((RANDBETWEEN(1620,2416)))</f>
        <v>74434329.492245629</v>
      </c>
      <c r="B5444">
        <v>191684190.12522933</v>
      </c>
    </row>
    <row r="5445" spans="1:2" x14ac:dyDescent="0.25">
      <c r="A5445">
        <f ca="1">29212.4290056466*((RANDBETWEEN(1620,2416)))</f>
        <v>63128059.081202306</v>
      </c>
      <c r="B5445">
        <v>148452620.52978945</v>
      </c>
    </row>
    <row r="5446" spans="1:2" x14ac:dyDescent="0.25">
      <c r="A5446">
        <f ca="1">31224.9023700374*((RANDBETWEEN(1620,2416)))</f>
        <v>57922193.896419436</v>
      </c>
      <c r="B5446">
        <v>173307119.10941342</v>
      </c>
    </row>
    <row r="5447" spans="1:2" x14ac:dyDescent="0.25">
      <c r="A5447">
        <f ca="1">29851.9946522391*((RANDBETWEEN(1620,2416)))</f>
        <v>49703571.095978037</v>
      </c>
      <c r="B5447">
        <v>149749711.93444383</v>
      </c>
    </row>
    <row r="5448" spans="1:2" x14ac:dyDescent="0.25">
      <c r="A5448">
        <f ca="1">36833.9942080368*((RANDBETWEEN(1620,2416)))</f>
        <v>88622590.064536631</v>
      </c>
      <c r="B5448">
        <v>169918627.14929026</v>
      </c>
    </row>
    <row r="5449" spans="1:2" x14ac:dyDescent="0.25">
      <c r="A5449">
        <f ca="1">38385.1144176068*((RANDBETWEEN(1620,2416)))</f>
        <v>72854947.164617792</v>
      </c>
      <c r="B5449">
        <v>165403840.6150468</v>
      </c>
    </row>
    <row r="5450" spans="1:2" x14ac:dyDescent="0.25">
      <c r="A5450">
        <f ca="1">42117.9154481711*((RANDBETWEEN(1620,2416)))</f>
        <v>68567966.349622518</v>
      </c>
      <c r="B5450">
        <v>200209230.4159475</v>
      </c>
    </row>
    <row r="5451" spans="1:2" x14ac:dyDescent="0.25">
      <c r="A5451">
        <f ca="1">30933.4083312045*((RANDBETWEEN(1620,2416)))</f>
        <v>72662576.169999376</v>
      </c>
      <c r="B5451">
        <v>158137592.559255</v>
      </c>
    </row>
    <row r="5452" spans="1:2" x14ac:dyDescent="0.25">
      <c r="A5452">
        <f ca="1">29969.9355697199*((RANDBETWEEN(1620,2416)))</f>
        <v>66862926.256045185</v>
      </c>
      <c r="B5452">
        <v>160134068.06859833</v>
      </c>
    </row>
    <row r="5453" spans="1:2" x14ac:dyDescent="0.25">
      <c r="A5453">
        <f ca="1">42365.4848810665*((RANDBETWEEN(1620,2416)))</f>
        <v>91721274.767509013</v>
      </c>
      <c r="B5453">
        <v>187926584.87119704</v>
      </c>
    </row>
    <row r="5454" spans="1:2" x14ac:dyDescent="0.25">
      <c r="A5454">
        <f ca="1">31602.4841309341*((RANDBETWEEN(1620,2416)))</f>
        <v>65195924.762117073</v>
      </c>
      <c r="B5454">
        <v>164709266.67317402</v>
      </c>
    </row>
    <row r="5455" spans="1:2" x14ac:dyDescent="0.25">
      <c r="A5455">
        <f ca="1">31603.1181047733*((RANDBETWEEN(1620,2416)))</f>
        <v>64723185.878575772</v>
      </c>
      <c r="B5455">
        <v>185156354.8062959</v>
      </c>
    </row>
    <row r="5456" spans="1:2" x14ac:dyDescent="0.25">
      <c r="A5456">
        <f ca="1">32383.965327715*((RANDBETWEEN(1620,2416)))</f>
        <v>76393774.208079636</v>
      </c>
      <c r="B5456">
        <v>145426589.94836706</v>
      </c>
    </row>
    <row r="5457" spans="1:2" x14ac:dyDescent="0.25">
      <c r="A5457">
        <f ca="1">34503.3131372935*((RANDBETWEEN(1620,2416)))</f>
        <v>74906692.821064159</v>
      </c>
      <c r="B5457">
        <v>167359208.96286634</v>
      </c>
    </row>
    <row r="5458" spans="1:2" x14ac:dyDescent="0.25">
      <c r="A5458">
        <f ca="1">31124.8121639302*((RANDBETWEEN(1620,2416)))</f>
        <v>74917422.878580004</v>
      </c>
      <c r="B5458">
        <v>176100181.50041342</v>
      </c>
    </row>
    <row r="5459" spans="1:2" x14ac:dyDescent="0.25">
      <c r="A5459">
        <f ca="1">35897.9432339699*((RANDBETWEEN(1620,2416)))</f>
        <v>71113825.546494335</v>
      </c>
      <c r="B5459">
        <v>162390298.44282752</v>
      </c>
    </row>
    <row r="5460" spans="1:2" x14ac:dyDescent="0.25">
      <c r="A5460">
        <f ca="1">27873.2597415758*((RANDBETWEEN(1620,2416)))</f>
        <v>46018751.833341569</v>
      </c>
      <c r="B5460">
        <v>189349313.93888324</v>
      </c>
    </row>
    <row r="5461" spans="1:2" x14ac:dyDescent="0.25">
      <c r="A5461">
        <f ca="1">29741.5330679367*((RANDBETWEEN(1620,2416)))</f>
        <v>55140802.307954669</v>
      </c>
      <c r="B5461">
        <v>143615540.45594031</v>
      </c>
    </row>
    <row r="5462" spans="1:2" x14ac:dyDescent="0.25">
      <c r="A5462">
        <f ca="1">29907.5310614786*((RANDBETWEEN(1620,2416)))</f>
        <v>50184837.121161073</v>
      </c>
      <c r="B5462">
        <v>166110907.31694901</v>
      </c>
    </row>
    <row r="5463" spans="1:2" x14ac:dyDescent="0.25">
      <c r="A5463">
        <f ca="1">32346.2149325668*((RANDBETWEEN(1620,2416)))</f>
        <v>69803131.824479207</v>
      </c>
      <c r="B5463">
        <v>179599688.2437017</v>
      </c>
    </row>
    <row r="5464" spans="1:2" x14ac:dyDescent="0.25">
      <c r="A5464">
        <f ca="1">30258.8607569191*((RANDBETWEEN(1620,2416)))</f>
        <v>71592464.550870597</v>
      </c>
      <c r="B5464">
        <v>176944415.33363792</v>
      </c>
    </row>
    <row r="5465" spans="1:2" x14ac:dyDescent="0.25">
      <c r="A5465">
        <f ca="1">40310.5044604152*((RANDBETWEEN(1620,2416)))</f>
        <v>85982306.014065549</v>
      </c>
      <c r="B5465">
        <v>186642521.3317489</v>
      </c>
    </row>
    <row r="5466" spans="1:2" x14ac:dyDescent="0.25">
      <c r="A5466">
        <f ca="1">29641.4136724068*((RANDBETWEEN(1620,2416)))</f>
        <v>61683781.852278568</v>
      </c>
      <c r="B5466">
        <v>149311527.03548649</v>
      </c>
    </row>
    <row r="5467" spans="1:2" x14ac:dyDescent="0.25">
      <c r="A5467">
        <f ca="1">33894.4423694072*((RANDBETWEEN(1620,2416)))</f>
        <v>73347573.287397146</v>
      </c>
      <c r="B5467">
        <v>148443953.79135191</v>
      </c>
    </row>
    <row r="5468" spans="1:2" x14ac:dyDescent="0.25">
      <c r="A5468">
        <f ca="1">33770.5866903057*((RANDBETWEEN(1620,2416)))</f>
        <v>81285802.16356571</v>
      </c>
      <c r="B5468">
        <v>186811204.33032507</v>
      </c>
    </row>
    <row r="5469" spans="1:2" x14ac:dyDescent="0.25">
      <c r="A5469">
        <f ca="1">39968.4800301226*((RANDBETWEEN(1620,2416)))</f>
        <v>90368733.348107383</v>
      </c>
      <c r="B5469">
        <v>196911301.57570642</v>
      </c>
    </row>
    <row r="5470" spans="1:2" x14ac:dyDescent="0.25">
      <c r="A5470">
        <f ca="1">30830.2674925682*((RANDBETWEEN(1620,2416)))</f>
        <v>56851013.2562958</v>
      </c>
      <c r="B5470">
        <v>168905309.34583843</v>
      </c>
    </row>
    <row r="5471" spans="1:2" x14ac:dyDescent="0.25">
      <c r="A5471">
        <f ca="1">28814.7868727888*((RANDBETWEEN(1620,2416)))</f>
        <v>67455416.069198549</v>
      </c>
      <c r="B5471">
        <v>164002399.22098601</v>
      </c>
    </row>
    <row r="5472" spans="1:2" x14ac:dyDescent="0.25">
      <c r="A5472">
        <f ca="1">31167.6332807061*((RANDBETWEEN(1620,2416)))</f>
        <v>50647404.081147343</v>
      </c>
      <c r="B5472">
        <v>175374714.22798824</v>
      </c>
    </row>
    <row r="5473" spans="1:2" x14ac:dyDescent="0.25">
      <c r="A5473">
        <f ca="1">30175.0135018286*((RANDBETWEEN(1620,2416)))</f>
        <v>67380805.14958325</v>
      </c>
      <c r="B5473">
        <v>198789867.06503439</v>
      </c>
    </row>
    <row r="5474" spans="1:2" x14ac:dyDescent="0.25">
      <c r="A5474">
        <f ca="1">31797.5966017041*((RANDBETWEEN(1620,2416)))</f>
        <v>67569892.778621167</v>
      </c>
      <c r="B5474">
        <v>197740078.12682885</v>
      </c>
    </row>
    <row r="5475" spans="1:2" x14ac:dyDescent="0.25">
      <c r="A5475">
        <f ca="1">32706.1337870776*((RANDBETWEEN(1620,2416)))</f>
        <v>53605353.277020171</v>
      </c>
      <c r="B5475">
        <v>182762800.7301532</v>
      </c>
    </row>
    <row r="5476" spans="1:2" x14ac:dyDescent="0.25">
      <c r="A5476">
        <f ca="1">30355.448311261*((RANDBETWEEN(1620,2416)))</f>
        <v>59253835.103581429</v>
      </c>
      <c r="B5476">
        <v>148997885.51204553</v>
      </c>
    </row>
    <row r="5477" spans="1:2" x14ac:dyDescent="0.25">
      <c r="A5477">
        <f ca="1">33410.814787624*((RANDBETWEEN(1620,2416)))</f>
        <v>69527905.573045626</v>
      </c>
      <c r="B5477">
        <v>152077647.77111521</v>
      </c>
    </row>
    <row r="5478" spans="1:2" x14ac:dyDescent="0.25">
      <c r="A5478">
        <f ca="1">39681.9373457128*((RANDBETWEEN(1620,2416)))</f>
        <v>70554484.600677282</v>
      </c>
      <c r="B5478">
        <v>160274019.20807964</v>
      </c>
    </row>
    <row r="5479" spans="1:2" x14ac:dyDescent="0.25">
      <c r="A5479">
        <f ca="1">36360.4692353132*((RANDBETWEEN(1620,2416)))</f>
        <v>75847938.824863285</v>
      </c>
      <c r="B5479">
        <v>199122152.70725146</v>
      </c>
    </row>
    <row r="5480" spans="1:2" x14ac:dyDescent="0.25">
      <c r="A5480">
        <f ca="1">33623.023008311*((RANDBETWEEN(1620,2416)))</f>
        <v>63312152.324649684</v>
      </c>
      <c r="B5480">
        <v>143980091.21190575</v>
      </c>
    </row>
    <row r="5481" spans="1:2" x14ac:dyDescent="0.25">
      <c r="A5481">
        <f ca="1">31856.544093977*((RANDBETWEEN(1620,2416)))</f>
        <v>73939038.842120573</v>
      </c>
      <c r="B5481">
        <v>146508596.23410666</v>
      </c>
    </row>
    <row r="5482" spans="1:2" x14ac:dyDescent="0.25">
      <c r="A5482">
        <f ca="1">31385.9979795687*((RANDBETWEEN(1620,2416)))</f>
        <v>59978642.138955727</v>
      </c>
      <c r="B5482">
        <v>162046142.47395843</v>
      </c>
    </row>
    <row r="5483" spans="1:2" x14ac:dyDescent="0.25">
      <c r="A5483">
        <f ca="1">29754.4654708842*((RANDBETWEEN(1620,2416)))</f>
        <v>55640850.430553541</v>
      </c>
      <c r="B5483">
        <v>155308484.81821394</v>
      </c>
    </row>
    <row r="5484" spans="1:2" x14ac:dyDescent="0.25">
      <c r="A5484">
        <f ca="1">33865.8811741642*((RANDBETWEEN(1620,2416)))</f>
        <v>80499199.550988421</v>
      </c>
      <c r="B5484">
        <v>166120629.07528725</v>
      </c>
    </row>
    <row r="5485" spans="1:2" x14ac:dyDescent="0.25">
      <c r="A5485">
        <f ca="1">33305.3346514778*((RANDBETWEEN(1620,2416)))</f>
        <v>63380051.841762245</v>
      </c>
      <c r="B5485">
        <v>184666528.77852145</v>
      </c>
    </row>
    <row r="5486" spans="1:2" x14ac:dyDescent="0.25">
      <c r="A5486">
        <f ca="1">38578.7181407904*((RANDBETWEEN(1620,2416)))</f>
        <v>63037625.442051575</v>
      </c>
      <c r="B5486">
        <v>183886400.00621879</v>
      </c>
    </row>
    <row r="5487" spans="1:2" x14ac:dyDescent="0.25">
      <c r="A5487">
        <f ca="1">37133.7416961472*((RANDBETWEEN(1620,2416)))</f>
        <v>71036847.864729509</v>
      </c>
      <c r="B5487">
        <v>152661587.26323915</v>
      </c>
    </row>
    <row r="5488" spans="1:2" x14ac:dyDescent="0.25">
      <c r="A5488">
        <f ca="1">28921.3261811296*((RANDBETWEEN(1620,2416)))</f>
        <v>54863755.765602879</v>
      </c>
      <c r="B5488">
        <v>197787814.61650053</v>
      </c>
    </row>
    <row r="5489" spans="1:2" x14ac:dyDescent="0.25">
      <c r="A5489">
        <f ca="1">35892.2087631734*((RANDBETWEEN(1620,2416)))</f>
        <v>85818271.152747691</v>
      </c>
      <c r="B5489">
        <v>153343129.58195618</v>
      </c>
    </row>
    <row r="5490" spans="1:2" x14ac:dyDescent="0.25">
      <c r="A5490">
        <f ca="1">42601.1990367934*((RANDBETWEEN(1620,2416)))</f>
        <v>76426551.072007388</v>
      </c>
      <c r="B5490">
        <v>199132888.33875358</v>
      </c>
    </row>
    <row r="5491" spans="1:2" x14ac:dyDescent="0.25">
      <c r="A5491">
        <f ca="1">30562.1288274744*((RANDBETWEEN(1620,2416)))</f>
        <v>57517926.453306772</v>
      </c>
      <c r="B5491">
        <v>160105299.45741439</v>
      </c>
    </row>
    <row r="5492" spans="1:2" x14ac:dyDescent="0.25">
      <c r="A5492">
        <f ca="1">35223.1489604499*((RANDBETWEEN(1620,2416)))</f>
        <v>68051123.791589275</v>
      </c>
      <c r="B5492">
        <v>156275592.88489068</v>
      </c>
    </row>
    <row r="5493" spans="1:2" x14ac:dyDescent="0.25">
      <c r="A5493">
        <f ca="1">29536.2821579498*((RANDBETWEEN(1620,2416)))</f>
        <v>52249683.137413107</v>
      </c>
      <c r="B5493">
        <v>163686514.94767147</v>
      </c>
    </row>
    <row r="5494" spans="1:2" x14ac:dyDescent="0.25">
      <c r="A5494">
        <f ca="1">31316.5477791705*((RANDBETWEEN(1620,2416)))</f>
        <v>58123512.678140432</v>
      </c>
      <c r="B5494">
        <v>146646938.51630554</v>
      </c>
    </row>
    <row r="5495" spans="1:2" x14ac:dyDescent="0.25">
      <c r="A5495">
        <f ca="1">30758.5353569045*((RANDBETWEEN(1620,2416)))</f>
        <v>54073505.15743807</v>
      </c>
      <c r="B5495">
        <v>195894419.22210056</v>
      </c>
    </row>
    <row r="5496" spans="1:2" x14ac:dyDescent="0.25">
      <c r="A5496">
        <f ca="1">33767.0786508613*((RANDBETWEEN(1620,2416)))</f>
        <v>59936564.605278865</v>
      </c>
      <c r="B5496">
        <v>174986159.08721587</v>
      </c>
    </row>
    <row r="5497" spans="1:2" x14ac:dyDescent="0.25">
      <c r="A5497">
        <f ca="1">30277.5968505924*((RANDBETWEEN(1620,2416)))</f>
        <v>64400448.501209982</v>
      </c>
      <c r="B5497">
        <v>201935144.05586198</v>
      </c>
    </row>
    <row r="5498" spans="1:2" x14ac:dyDescent="0.25">
      <c r="A5498">
        <f ca="1">30509.948615702*((RANDBETWEEN(1620,2416)))</f>
        <v>51500793.263304971</v>
      </c>
      <c r="B5498">
        <v>152177296.23560771</v>
      </c>
    </row>
    <row r="5499" spans="1:2" x14ac:dyDescent="0.25">
      <c r="A5499">
        <f ca="1">33335.0928095606*((RANDBETWEEN(1620,2416)))</f>
        <v>77937446.988752723</v>
      </c>
      <c r="B5499">
        <v>149991644.71503639</v>
      </c>
    </row>
    <row r="5500" spans="1:2" x14ac:dyDescent="0.25">
      <c r="A5500">
        <f ca="1">34460.8765119081*((RANDBETWEEN(1620,2416)))</f>
        <v>80155998.766698286</v>
      </c>
      <c r="B5500">
        <v>159990995.51825565</v>
      </c>
    </row>
    <row r="5501" spans="1:2" x14ac:dyDescent="0.25">
      <c r="A5501">
        <f ca="1">31352.153678826*((RANDBETWEEN(1620,2416)))</f>
        <v>67469834.716833502</v>
      </c>
      <c r="B5501">
        <v>166278648.40436408</v>
      </c>
    </row>
    <row r="5502" spans="1:2" x14ac:dyDescent="0.25">
      <c r="A5502">
        <f ca="1">39806.9763033792*((RANDBETWEEN(1620,2416)))</f>
        <v>74279817.78210564</v>
      </c>
      <c r="B5502">
        <v>180342979.79635802</v>
      </c>
    </row>
    <row r="5503" spans="1:2" x14ac:dyDescent="0.25">
      <c r="A5503">
        <f ca="1">35430.1322651003*((RANDBETWEEN(1620,2416)))</f>
        <v>74934729.740687072</v>
      </c>
      <c r="B5503">
        <v>202882618.0764659</v>
      </c>
    </row>
    <row r="5504" spans="1:2" x14ac:dyDescent="0.25">
      <c r="A5504">
        <f ca="1">33763.3990853185*((RANDBETWEEN(1620,2416)))</f>
        <v>80154309.428545997</v>
      </c>
      <c r="B5504">
        <v>154110453.54406402</v>
      </c>
    </row>
    <row r="5505" spans="1:2" x14ac:dyDescent="0.25">
      <c r="A5505">
        <f ca="1">35614.4112387699*((RANDBETWEEN(1620,2416)))</f>
        <v>76321683.284683943</v>
      </c>
      <c r="B5505">
        <v>193565594.90032619</v>
      </c>
    </row>
    <row r="5506" spans="1:2" x14ac:dyDescent="0.25">
      <c r="A5506">
        <f ca="1">30504.5748774253*((RANDBETWEEN(1620,2416)))</f>
        <v>58355251.740514629</v>
      </c>
      <c r="B5506">
        <v>146385657.80918998</v>
      </c>
    </row>
    <row r="5507" spans="1:2" x14ac:dyDescent="0.25">
      <c r="A5507">
        <f ca="1">30560.531233707*((RANDBETWEEN(1620,2416)))</f>
        <v>49905347.50464353</v>
      </c>
      <c r="B5507">
        <v>160787687.987086</v>
      </c>
    </row>
    <row r="5508" spans="1:2" x14ac:dyDescent="0.25">
      <c r="A5508">
        <f ca="1">33932.935572685*((RANDBETWEEN(1620,2416)))</f>
        <v>71327030.573783845</v>
      </c>
      <c r="B5508">
        <v>175666373.29257998</v>
      </c>
    </row>
    <row r="5509" spans="1:2" x14ac:dyDescent="0.25">
      <c r="A5509">
        <f ca="1">30558.7887023068*((RANDBETWEEN(1620,2416)))</f>
        <v>60170254.954842061</v>
      </c>
      <c r="B5509">
        <v>144572349.14827603</v>
      </c>
    </row>
    <row r="5510" spans="1:2" x14ac:dyDescent="0.25">
      <c r="A5510">
        <f ca="1">30010.2205979903*((RANDBETWEEN(1620,2416)))</f>
        <v>66502648.845146425</v>
      </c>
      <c r="B5510">
        <v>155227292.6156708</v>
      </c>
    </row>
    <row r="5511" spans="1:2" x14ac:dyDescent="0.25">
      <c r="A5511">
        <f ca="1">36306.8423971486*((RANDBETWEEN(1620,2416)))</f>
        <v>60196744.694472447</v>
      </c>
      <c r="B5511">
        <v>183685116.90787241</v>
      </c>
    </row>
    <row r="5512" spans="1:2" x14ac:dyDescent="0.25">
      <c r="A5512">
        <f ca="1">35145.6642744806*((RANDBETWEEN(1620,2416)))</f>
        <v>60907436.18767491</v>
      </c>
      <c r="B5512">
        <v>180409960.13570279</v>
      </c>
    </row>
    <row r="5513" spans="1:2" x14ac:dyDescent="0.25">
      <c r="A5513">
        <f ca="1">30541.1699797171*((RANDBETWEEN(1620,2416)))</f>
        <v>72932313.911564529</v>
      </c>
      <c r="B5513">
        <v>143861000.38530958</v>
      </c>
    </row>
    <row r="5514" spans="1:2" x14ac:dyDescent="0.25">
      <c r="A5514">
        <f ca="1">31891.885929077*((RANDBETWEEN(1620,2416)))</f>
        <v>64357825.804877423</v>
      </c>
      <c r="B5514">
        <v>169936774.58802438</v>
      </c>
    </row>
    <row r="5515" spans="1:2" x14ac:dyDescent="0.25">
      <c r="A5515">
        <f ca="1">29552.4303516585*((RANDBETWEEN(1620,2416)))</f>
        <v>52780640.608062088</v>
      </c>
      <c r="B5515">
        <v>151449857.92915666</v>
      </c>
    </row>
    <row r="5516" spans="1:2" x14ac:dyDescent="0.25">
      <c r="A5516">
        <f ca="1">29925.24439167*((RANDBETWEEN(1620,2416)))</f>
        <v>51621046.575630695</v>
      </c>
      <c r="B5516">
        <v>159870318.5566954</v>
      </c>
    </row>
    <row r="5517" spans="1:2" x14ac:dyDescent="0.25">
      <c r="A5517">
        <f ca="1">32330.6900384829*((RANDBETWEEN(1620,2416)))</f>
        <v>56675699.637460493</v>
      </c>
      <c r="B5517">
        <v>162696045.33097392</v>
      </c>
    </row>
    <row r="5518" spans="1:2" x14ac:dyDescent="0.25">
      <c r="A5518">
        <f ca="1">32572.9921504552*((RANDBETWEEN(1620,2416)))</f>
        <v>60390327.446944021</v>
      </c>
      <c r="B5518">
        <v>198866340.80088785</v>
      </c>
    </row>
    <row r="5519" spans="1:2" x14ac:dyDescent="0.25">
      <c r="A5519">
        <f ca="1">30984.8044691766*((RANDBETWEEN(1620,2416)))</f>
        <v>67887706.591965929</v>
      </c>
      <c r="B5519">
        <v>162478979.163486</v>
      </c>
    </row>
    <row r="5520" spans="1:2" x14ac:dyDescent="0.25">
      <c r="A5520">
        <f ca="1">27169.8117155026*((RANDBETWEEN(1620,2416)))</f>
        <v>59719246.150674649</v>
      </c>
      <c r="B5520">
        <v>175894859.87014142</v>
      </c>
    </row>
    <row r="5521" spans="1:2" x14ac:dyDescent="0.25">
      <c r="A5521">
        <f ca="1">29985.9532889675*((RANDBETWEEN(1620,2416)))</f>
        <v>66808703.927819535</v>
      </c>
      <c r="B5521">
        <v>145681723.19427383</v>
      </c>
    </row>
    <row r="5522" spans="1:2" x14ac:dyDescent="0.25">
      <c r="A5522">
        <f ca="1">29200.9851963156*((RANDBETWEEN(1620,2416)))</f>
        <v>67074662.995936915</v>
      </c>
      <c r="B5522">
        <v>161699935.18143696</v>
      </c>
    </row>
    <row r="5523" spans="1:2" x14ac:dyDescent="0.25">
      <c r="A5523">
        <f ca="1">30110.4528899255*((RANDBETWEEN(1620,2416)))</f>
        <v>52121193.952461019</v>
      </c>
      <c r="B5523">
        <v>172227606.67046171</v>
      </c>
    </row>
    <row r="5524" spans="1:2" x14ac:dyDescent="0.25">
      <c r="A5524">
        <f ca="1">41607.0998679443*((RANDBETWEEN(1620,2416)))</f>
        <v>84628841.131398618</v>
      </c>
      <c r="B5524">
        <v>156206391.37890315</v>
      </c>
    </row>
    <row r="5525" spans="1:2" x14ac:dyDescent="0.25">
      <c r="A5525">
        <f ca="1">35992.6338445566*((RANDBETWEEN(1620,2416)))</f>
        <v>84690667.436241686</v>
      </c>
      <c r="B5525">
        <v>194789853.9816469</v>
      </c>
    </row>
    <row r="5526" spans="1:2" x14ac:dyDescent="0.25">
      <c r="A5526">
        <f ca="1">29539.0505378584*((RANDBETWEEN(1620,2416)))</f>
        <v>63804349.161774114</v>
      </c>
      <c r="B5526">
        <v>172078499.07002622</v>
      </c>
    </row>
    <row r="5527" spans="1:2" x14ac:dyDescent="0.25">
      <c r="A5527">
        <f ca="1">38407.2764435416*((RANDBETWEEN(1620,2416)))</f>
        <v>70899832.314777851</v>
      </c>
      <c r="B5527">
        <v>162947635.37688911</v>
      </c>
    </row>
    <row r="5528" spans="1:2" x14ac:dyDescent="0.25">
      <c r="A5528">
        <f ca="1">37104.6519494993*((RANDBETWEEN(1620,2416)))</f>
        <v>74060885.291200593</v>
      </c>
      <c r="B5528">
        <v>172335700.83647227</v>
      </c>
    </row>
    <row r="5529" spans="1:2" x14ac:dyDescent="0.25">
      <c r="A5529">
        <f ca="1">30202.992127018*((RANDBETWEEN(1620,2416)))</f>
        <v>68077544.254298463</v>
      </c>
      <c r="B5529">
        <v>170327735.39485544</v>
      </c>
    </row>
    <row r="5530" spans="1:2" x14ac:dyDescent="0.25">
      <c r="A5530">
        <f ca="1">38323.214822684*((RANDBETWEEN(1620,2416)))</f>
        <v>62735102.664733663</v>
      </c>
      <c r="B5530">
        <v>164937984.67205942</v>
      </c>
    </row>
    <row r="5531" spans="1:2" x14ac:dyDescent="0.25">
      <c r="A5531">
        <f ca="1">33322.8594218179*((RANDBETWEEN(1620,2416)))</f>
        <v>70144619.082926631</v>
      </c>
      <c r="B5531">
        <v>199194162.55854583</v>
      </c>
    </row>
    <row r="5532" spans="1:2" x14ac:dyDescent="0.25">
      <c r="A5532">
        <f ca="1">31061.7893742636*((RANDBETWEEN(1620,2416)))</f>
        <v>58551472.970486969</v>
      </c>
      <c r="B5532">
        <v>199414278.09602192</v>
      </c>
    </row>
    <row r="5533" spans="1:2" x14ac:dyDescent="0.25">
      <c r="A5533">
        <f ca="1">37344.8972638289*((RANDBETWEEN(1620,2416)))</f>
        <v>85893263.706806526</v>
      </c>
      <c r="B5533">
        <v>191678794.26827824</v>
      </c>
    </row>
    <row r="5534" spans="1:2" x14ac:dyDescent="0.25">
      <c r="A5534">
        <f ca="1">27231.6542959518*((RANDBETWEEN(1620,2416)))</f>
        <v>57295400.638682604</v>
      </c>
      <c r="B5534">
        <v>152835817.24829668</v>
      </c>
    </row>
    <row r="5535" spans="1:2" x14ac:dyDescent="0.25">
      <c r="A5535">
        <f ca="1">32257.4677305352*((RANDBETWEEN(1620,2416)))</f>
        <v>76611485.860021055</v>
      </c>
      <c r="B5535">
        <v>183103268.76203936</v>
      </c>
    </row>
    <row r="5536" spans="1:2" x14ac:dyDescent="0.25">
      <c r="A5536">
        <f ca="1">38703.8762356225*((RANDBETWEEN(1620,2416)))</f>
        <v>82671479.639289737</v>
      </c>
      <c r="B5536">
        <v>198007861.19351372</v>
      </c>
    </row>
    <row r="5537" spans="1:2" x14ac:dyDescent="0.25">
      <c r="A5537">
        <f ca="1">34216.6300100658*((RANDBETWEEN(1620,2416)))</f>
        <v>79895831.073503569</v>
      </c>
      <c r="B5537">
        <v>162497119.44887549</v>
      </c>
    </row>
    <row r="5538" spans="1:2" x14ac:dyDescent="0.25">
      <c r="A5538">
        <f ca="1">30815.4629642017*((RANDBETWEEN(1620,2416)))</f>
        <v>61908265.095081285</v>
      </c>
      <c r="B5538">
        <v>190072431.00665426</v>
      </c>
    </row>
    <row r="5539" spans="1:2" x14ac:dyDescent="0.25">
      <c r="A5539">
        <f ca="1">29079.4240447491*((RANDBETWEEN(1620,2416)))</f>
        <v>52517439.82481683</v>
      </c>
      <c r="B5539">
        <v>148294892.71283367</v>
      </c>
    </row>
    <row r="5540" spans="1:2" x14ac:dyDescent="0.25">
      <c r="A5540">
        <f ca="1">30183.888748622*((RANDBETWEEN(1620,2416)))</f>
        <v>55236516.409978345</v>
      </c>
      <c r="B5540">
        <v>158743220.46436813</v>
      </c>
    </row>
    <row r="5541" spans="1:2" x14ac:dyDescent="0.25">
      <c r="A5541">
        <f ca="1">39339.6343128931*((RANDBETWEEN(1620,2416)))</f>
        <v>85367006.458978131</v>
      </c>
      <c r="B5541">
        <v>168356322.89488596</v>
      </c>
    </row>
    <row r="5542" spans="1:2" x14ac:dyDescent="0.25">
      <c r="A5542">
        <f ca="1">29814.3158699659*((RANDBETWEEN(1620,2416)))</f>
        <v>66843696.180463552</v>
      </c>
      <c r="B5542">
        <v>160754225.01326329</v>
      </c>
    </row>
    <row r="5543" spans="1:2" x14ac:dyDescent="0.25">
      <c r="A5543">
        <f ca="1">31615.0794563348*((RANDBETWEEN(1620,2416)))</f>
        <v>59910575.569754399</v>
      </c>
      <c r="B5543">
        <v>159458974.19660878</v>
      </c>
    </row>
    <row r="5544" spans="1:2" x14ac:dyDescent="0.25">
      <c r="A5544">
        <f ca="1">31845.4419770284*((RANDBETWEEN(1620,2416)))</f>
        <v>66429591.964081191</v>
      </c>
      <c r="B5544">
        <v>154336610.66657436</v>
      </c>
    </row>
    <row r="5545" spans="1:2" x14ac:dyDescent="0.25">
      <c r="A5545">
        <f ca="1">35708.2901616032*((RANDBETWEEN(1620,2416)))</f>
        <v>65346170.99573382</v>
      </c>
      <c r="B5545">
        <v>167401685.44663674</v>
      </c>
    </row>
    <row r="5546" spans="1:2" x14ac:dyDescent="0.25">
      <c r="A5546">
        <f ca="1">33823.760122941*((RANDBETWEEN(1620,2416)))</f>
        <v>66294569.840964399</v>
      </c>
      <c r="B5546">
        <v>203555020.49099115</v>
      </c>
    </row>
    <row r="5547" spans="1:2" x14ac:dyDescent="0.25">
      <c r="A5547">
        <f ca="1">29287.8239813614*((RANDBETWEEN(1620,2416)))</f>
        <v>48559212.161097236</v>
      </c>
      <c r="B5547">
        <v>149962791.81223032</v>
      </c>
    </row>
    <row r="5548" spans="1:2" x14ac:dyDescent="0.25">
      <c r="A5548">
        <f ca="1">29982.065893911*((RANDBETWEEN(1620,2416)))</f>
        <v>70008123.862282112</v>
      </c>
      <c r="B5548">
        <v>144437875.54943499</v>
      </c>
    </row>
    <row r="5549" spans="1:2" x14ac:dyDescent="0.25">
      <c r="A5549">
        <f ca="1">29254.9688904327*((RANDBETWEEN(1620,2416)))</f>
        <v>52249374.438312791</v>
      </c>
      <c r="B5549">
        <v>173589789.10551605</v>
      </c>
    </row>
    <row r="5550" spans="1:2" x14ac:dyDescent="0.25">
      <c r="A5550">
        <f ca="1">35505.2697084837*((RANDBETWEEN(1620,2416)))</f>
        <v>76691382.570324734</v>
      </c>
      <c r="B5550">
        <v>151324990.55467731</v>
      </c>
    </row>
    <row r="5551" spans="1:2" x14ac:dyDescent="0.25">
      <c r="A5551">
        <f ca="1">30013.0786560015*((RANDBETWEEN(1620,2416)))</f>
        <v>71491153.358595669</v>
      </c>
      <c r="B5551">
        <v>156583035.84229016</v>
      </c>
    </row>
    <row r="5552" spans="1:2" x14ac:dyDescent="0.25">
      <c r="A5552">
        <f ca="1">35599.3603768777*((RANDBETWEEN(1620,2416)))</f>
        <v>63082066.587827265</v>
      </c>
      <c r="B5552">
        <v>166353305.31503209</v>
      </c>
    </row>
    <row r="5553" spans="1:2" x14ac:dyDescent="0.25">
      <c r="A5553">
        <f ca="1">31270.2414365465*((RANDBETWEEN(1620,2416)))</f>
        <v>71327420.716762498</v>
      </c>
      <c r="B5553">
        <v>144927978.86843812</v>
      </c>
    </row>
    <row r="5554" spans="1:2" x14ac:dyDescent="0.25">
      <c r="A5554">
        <f ca="1">30312.5458052481*((RANDBETWEEN(1620,2416)))</f>
        <v>61595093.076264121</v>
      </c>
      <c r="B5554">
        <v>176517194.11331555</v>
      </c>
    </row>
    <row r="5555" spans="1:2" x14ac:dyDescent="0.25">
      <c r="A5555">
        <f ca="1">39551.4920518183*((RANDBETWEEN(1620,2416)))</f>
        <v>81041007.214175656</v>
      </c>
      <c r="B5555">
        <v>198453617.99245864</v>
      </c>
    </row>
    <row r="5556" spans="1:2" x14ac:dyDescent="0.25">
      <c r="A5556">
        <f ca="1">33416.7099540563*((RANDBETWEEN(1620,2416)))</f>
        <v>79398102.850837797</v>
      </c>
      <c r="B5556">
        <v>148410364.63837999</v>
      </c>
    </row>
    <row r="5557" spans="1:2" x14ac:dyDescent="0.25">
      <c r="A5557">
        <f ca="1">34356.2420792741*((RANDBETWEEN(1620,2416)))</f>
        <v>70670789.957066849</v>
      </c>
      <c r="B5557">
        <v>156480589.99453321</v>
      </c>
    </row>
    <row r="5558" spans="1:2" x14ac:dyDescent="0.25">
      <c r="A5558">
        <f ca="1">32577.9307437458*((RANDBETWEEN(1620,2416)))</f>
        <v>69293258.691947281</v>
      </c>
      <c r="B5558">
        <v>202263477.79498687</v>
      </c>
    </row>
    <row r="5559" spans="1:2" x14ac:dyDescent="0.25">
      <c r="A5559">
        <f ca="1">36200.5182772431*((RANDBETWEEN(1620,2416)))</f>
        <v>85216020.024630353</v>
      </c>
      <c r="B5559">
        <v>150974248.34943059</v>
      </c>
    </row>
    <row r="5560" spans="1:2" x14ac:dyDescent="0.25">
      <c r="A5560">
        <f ca="1">31238.764719118*((RANDBETWEEN(1620,2416)))</f>
        <v>67850596.969924256</v>
      </c>
      <c r="B5560">
        <v>171081103.3338483</v>
      </c>
    </row>
    <row r="5561" spans="1:2" x14ac:dyDescent="0.25">
      <c r="A5561">
        <f ca="1">38765.0841932324*((RANDBETWEEN(1620,2416)))</f>
        <v>89973760.412492409</v>
      </c>
      <c r="B5561">
        <v>156931453.83095026</v>
      </c>
    </row>
    <row r="5562" spans="1:2" x14ac:dyDescent="0.25">
      <c r="A5562">
        <f ca="1">29243.5313804615*((RANDBETWEEN(1620,2416)))</f>
        <v>69307169.37169376</v>
      </c>
      <c r="B5562">
        <v>144377000.42232966</v>
      </c>
    </row>
    <row r="5563" spans="1:2" x14ac:dyDescent="0.25">
      <c r="A5563">
        <f ca="1">31755.7683718605*((RANDBETWEEN(1620,2416)))</f>
        <v>58684659.951198235</v>
      </c>
      <c r="B5563">
        <v>170377269.6007539</v>
      </c>
    </row>
    <row r="5564" spans="1:2" x14ac:dyDescent="0.25">
      <c r="A5564">
        <f ca="1">30655.1705232404*((RANDBETWEEN(1620,2416)))</f>
        <v>56558789.615378559</v>
      </c>
      <c r="B5564">
        <v>154164883.92798632</v>
      </c>
    </row>
    <row r="5565" spans="1:2" x14ac:dyDescent="0.25">
      <c r="A5565">
        <f ca="1">34157.866311611*((RANDBETWEEN(1620,2416)))</f>
        <v>66471207.842395015</v>
      </c>
      <c r="B5565">
        <v>177887276.96261454</v>
      </c>
    </row>
    <row r="5566" spans="1:2" x14ac:dyDescent="0.25">
      <c r="A5566">
        <f ca="1">33380.5692265003*((RANDBETWEEN(1620,2416)))</f>
        <v>72068648.960014239</v>
      </c>
      <c r="B5566">
        <v>151734817.46807456</v>
      </c>
    </row>
    <row r="5567" spans="1:2" x14ac:dyDescent="0.25">
      <c r="A5567">
        <f ca="1">39912.1308046748*((RANDBETWEEN(1620,2416)))</f>
        <v>82498374.373262718</v>
      </c>
      <c r="B5567">
        <v>198343566.01408648</v>
      </c>
    </row>
    <row r="5568" spans="1:2" x14ac:dyDescent="0.25">
      <c r="A5568">
        <f ca="1">31342.9087534257*((RANDBETWEEN(1620,2416)))</f>
        <v>72746891.216700956</v>
      </c>
      <c r="B5568">
        <v>154652644.97189102</v>
      </c>
    </row>
    <row r="5569" spans="1:2" x14ac:dyDescent="0.25">
      <c r="A5569">
        <f ca="1">34216.4579362934*((RANDBETWEEN(1620,2416)))</f>
        <v>62718767.39722582</v>
      </c>
      <c r="B5569">
        <v>151794536.97266418</v>
      </c>
    </row>
    <row r="5570" spans="1:2" x14ac:dyDescent="0.25">
      <c r="A5570">
        <f ca="1">29679.0748909431*((RANDBETWEEN(1620,2416)))</f>
        <v>62029266.522071116</v>
      </c>
      <c r="B5570">
        <v>143436165.91560432</v>
      </c>
    </row>
    <row r="5571" spans="1:2" x14ac:dyDescent="0.25">
      <c r="A5571">
        <f ca="1">31975.0329062741*((RANDBETWEEN(1620,2416)))</f>
        <v>67211519.168988243</v>
      </c>
      <c r="B5571">
        <v>180210077.45334291</v>
      </c>
    </row>
    <row r="5572" spans="1:2" x14ac:dyDescent="0.25">
      <c r="A5572">
        <f ca="1">35514.4006951781*((RANDBETWEEN(1620,2416)))</f>
        <v>65879213.289555334</v>
      </c>
      <c r="B5572">
        <v>152415633.1076301</v>
      </c>
    </row>
    <row r="5573" spans="1:2" x14ac:dyDescent="0.25">
      <c r="A5573">
        <f ca="1">39009.1818698846*((RANDBETWEEN(1620,2416)))</f>
        <v>67368857.089290738</v>
      </c>
      <c r="B5573">
        <v>198845425.10773101</v>
      </c>
    </row>
    <row r="5574" spans="1:2" x14ac:dyDescent="0.25">
      <c r="A5574">
        <f ca="1">33820.359466825*((RANDBETWEEN(1620,2416)))</f>
        <v>55972694.917595387</v>
      </c>
      <c r="B5574">
        <v>148752836.75013471</v>
      </c>
    </row>
    <row r="5575" spans="1:2" x14ac:dyDescent="0.25">
      <c r="A5575">
        <f ca="1">34278.0965717672*((RANDBETWEEN(1620,2416)))</f>
        <v>62180467.1811857</v>
      </c>
      <c r="B5575">
        <v>174163178.05133811</v>
      </c>
    </row>
    <row r="5576" spans="1:2" x14ac:dyDescent="0.25">
      <c r="A5576">
        <f ca="1">34388.4859337603*((RANDBETWEEN(1620,2416)))</f>
        <v>80847330.430270508</v>
      </c>
      <c r="B5576">
        <v>147931421.38121706</v>
      </c>
    </row>
    <row r="5577" spans="1:2" x14ac:dyDescent="0.25">
      <c r="A5577">
        <f ca="1">32617.3362186379*((RANDBETWEEN(1620,2416)))</f>
        <v>64321387.023153886</v>
      </c>
      <c r="B5577">
        <v>157834122.68093115</v>
      </c>
    </row>
    <row r="5578" spans="1:2" x14ac:dyDescent="0.25">
      <c r="A5578">
        <f ca="1">30313.7771516341*((RANDBETWEEN(1620,2416)))</f>
        <v>50654321.620380551</v>
      </c>
      <c r="B5578">
        <v>157124440.53709531</v>
      </c>
    </row>
    <row r="5579" spans="1:2" x14ac:dyDescent="0.25">
      <c r="A5579">
        <f ca="1">36625.4115152435*((RANDBETWEEN(1620,2416)))</f>
        <v>60688306.880758464</v>
      </c>
      <c r="B5579">
        <v>203477679.70156702</v>
      </c>
    </row>
    <row r="5580" spans="1:2" x14ac:dyDescent="0.25">
      <c r="A5580">
        <f ca="1">31641.6096011005*((RANDBETWEEN(1620,2416)))</f>
        <v>70877205.506465033</v>
      </c>
      <c r="B5580">
        <v>177607959.48853144</v>
      </c>
    </row>
    <row r="5581" spans="1:2" x14ac:dyDescent="0.25">
      <c r="A5581">
        <f ca="1">29755.4591017339*((RANDBETWEEN(1620,2416)))</f>
        <v>58290944.380296633</v>
      </c>
      <c r="B5581">
        <v>167654479.02623188</v>
      </c>
    </row>
    <row r="5582" spans="1:2" x14ac:dyDescent="0.25">
      <c r="A5582">
        <f ca="1">31442.9519015637*((RANDBETWEEN(1620,2416)))</f>
        <v>51566441.118564501</v>
      </c>
      <c r="B5582">
        <v>202697232.17993262</v>
      </c>
    </row>
    <row r="5583" spans="1:2" x14ac:dyDescent="0.25">
      <c r="A5583">
        <f ca="1">35362.3216656377*((RANDBETWEEN(1620,2416)))</f>
        <v>81510151.43929483</v>
      </c>
      <c r="B5583">
        <v>158137475.79503176</v>
      </c>
    </row>
    <row r="5584" spans="1:2" x14ac:dyDescent="0.25">
      <c r="A5584">
        <f ca="1">30825.5564003019*((RANDBETWEEN(1620,2416)))</f>
        <v>56441593.768952772</v>
      </c>
      <c r="B5584">
        <v>145576782.05781955</v>
      </c>
    </row>
    <row r="5585" spans="1:2" x14ac:dyDescent="0.25">
      <c r="A5585">
        <f ca="1">36399.8939608011*((RANDBETWEEN(1620,2416)))</f>
        <v>76512577.105603844</v>
      </c>
      <c r="B5585">
        <v>173787909.19871807</v>
      </c>
    </row>
    <row r="5586" spans="1:2" x14ac:dyDescent="0.25">
      <c r="A5586">
        <f ca="1">33326.5918456694*((RANDBETWEEN(1620,2416)))</f>
        <v>57888290.035927705</v>
      </c>
      <c r="B5586">
        <v>152047890.08116007</v>
      </c>
    </row>
    <row r="5587" spans="1:2" x14ac:dyDescent="0.25">
      <c r="A5587">
        <f ca="1">30118.4442265898*((RANDBETWEEN(1620,2416)))</f>
        <v>67856854.842506751</v>
      </c>
      <c r="B5587">
        <v>186996439.04152387</v>
      </c>
    </row>
    <row r="5588" spans="1:2" x14ac:dyDescent="0.25">
      <c r="A5588">
        <f ca="1">41287.7870575722*((RANDBETWEEN(1620,2416)))</f>
        <v>77414600.732947856</v>
      </c>
      <c r="B5588">
        <v>177843089.03624529</v>
      </c>
    </row>
    <row r="5589" spans="1:2" x14ac:dyDescent="0.25">
      <c r="A5589">
        <f ca="1">29530.3362628777*((RANDBETWEEN(1620,2416)))</f>
        <v>50083450.301840618</v>
      </c>
      <c r="B5589">
        <v>144622412.91476643</v>
      </c>
    </row>
    <row r="5590" spans="1:2" x14ac:dyDescent="0.25">
      <c r="A5590">
        <f ca="1">32395.1319317439*((RANDBETWEEN(1620,2416)))</f>
        <v>57080222.463732712</v>
      </c>
      <c r="B5590">
        <v>153965791.92162406</v>
      </c>
    </row>
    <row r="5591" spans="1:2" x14ac:dyDescent="0.25">
      <c r="A5591">
        <f ca="1">31565.9221895653*((RANDBETWEEN(1620,2416)))</f>
        <v>64331349.422334172</v>
      </c>
      <c r="B5591">
        <v>181540413.12866616</v>
      </c>
    </row>
    <row r="5592" spans="1:2" x14ac:dyDescent="0.25">
      <c r="A5592">
        <f ca="1">31581.5322590141*((RANDBETWEEN(1620,2416)))</f>
        <v>75827258.953892887</v>
      </c>
      <c r="B5592">
        <v>190385093.34996042</v>
      </c>
    </row>
    <row r="5593" spans="1:2" x14ac:dyDescent="0.25">
      <c r="A5593">
        <f ca="1">31404.5820270501*((RANDBETWEEN(1620,2416)))</f>
        <v>64599225.229642153</v>
      </c>
      <c r="B5593">
        <v>173945688.99146563</v>
      </c>
    </row>
    <row r="5594" spans="1:2" x14ac:dyDescent="0.25">
      <c r="A5594">
        <f ca="1">30731.488292381*((RANDBETWEEN(1620,2416)))</f>
        <v>51690363.307784773</v>
      </c>
      <c r="B5594">
        <v>178946470.72197914</v>
      </c>
    </row>
    <row r="5595" spans="1:2" x14ac:dyDescent="0.25">
      <c r="A5595">
        <f ca="1">29502.0706799102*((RANDBETWEEN(1620,2416)))</f>
        <v>60066215.904297166</v>
      </c>
      <c r="B5595">
        <v>151148285.04641759</v>
      </c>
    </row>
    <row r="5596" spans="1:2" x14ac:dyDescent="0.25">
      <c r="A5596">
        <f ca="1">30110.1124510747*((RANDBETWEEN(1620,2416)))</f>
        <v>52241045.102614664</v>
      </c>
      <c r="B5596">
        <v>159246210.81661871</v>
      </c>
    </row>
    <row r="5597" spans="1:2" x14ac:dyDescent="0.25">
      <c r="A5597">
        <f ca="1">34940.1583930588*((RANDBETWEEN(1620,2416)))</f>
        <v>66805582.847528458</v>
      </c>
      <c r="B5597">
        <v>190530780.16871077</v>
      </c>
    </row>
    <row r="5598" spans="1:2" x14ac:dyDescent="0.25">
      <c r="A5598">
        <f ca="1">33971.1857051644*((RANDBETWEEN(1620,2416)))</f>
        <v>78371525.421814159</v>
      </c>
      <c r="B5598">
        <v>143856490.5839439</v>
      </c>
    </row>
    <row r="5599" spans="1:2" x14ac:dyDescent="0.25">
      <c r="A5599">
        <f ca="1">30944.2225862649*((RANDBETWEEN(1620,2416)))</f>
        <v>61238616.498218328</v>
      </c>
      <c r="B5599">
        <v>172705056.13933596</v>
      </c>
    </row>
    <row r="5600" spans="1:2" x14ac:dyDescent="0.25">
      <c r="A5600">
        <f ca="1">31374.0448565898*((RANDBETWEEN(1620,2416)))</f>
        <v>57822364.670695007</v>
      </c>
      <c r="B5600">
        <v>173000814.30500442</v>
      </c>
    </row>
    <row r="5601" spans="1:2" x14ac:dyDescent="0.25">
      <c r="A5601">
        <f ca="1">39428.5699922767*((RANDBETWEEN(1620,2416)))</f>
        <v>68290283.226623312</v>
      </c>
      <c r="B5601">
        <v>173816744.10290354</v>
      </c>
    </row>
    <row r="5602" spans="1:2" x14ac:dyDescent="0.25">
      <c r="A5602">
        <f ca="1">29083.624139486*((RANDBETWEEN(1620,2416)))</f>
        <v>62384373.779197469</v>
      </c>
      <c r="B5602">
        <v>201901579.92440563</v>
      </c>
    </row>
    <row r="5603" spans="1:2" x14ac:dyDescent="0.25">
      <c r="A5603">
        <f ca="1">31454.7695872045*((RANDBETWEEN(1620,2416)))</f>
        <v>69043219.243913978</v>
      </c>
      <c r="B5603">
        <v>151851375.43706456</v>
      </c>
    </row>
    <row r="5604" spans="1:2" x14ac:dyDescent="0.25">
      <c r="A5604">
        <f ca="1">31710.8881045713*((RANDBETWEEN(1620,2416)))</f>
        <v>57904081.678947173</v>
      </c>
      <c r="B5604">
        <v>153630484.44485235</v>
      </c>
    </row>
    <row r="5605" spans="1:2" x14ac:dyDescent="0.25">
      <c r="A5605">
        <f ca="1">35076.899250121*((RANDBETWEEN(1620,2416)))</f>
        <v>75695948.581761107</v>
      </c>
      <c r="B5605">
        <v>185514932.73366785</v>
      </c>
    </row>
    <row r="5606" spans="1:2" x14ac:dyDescent="0.25">
      <c r="A5606">
        <f ca="1">30036.1031113074*((RANDBETWEEN(1620,2416)))</f>
        <v>57398993.045708373</v>
      </c>
      <c r="B5606">
        <v>176192719.22557616</v>
      </c>
    </row>
    <row r="5607" spans="1:2" x14ac:dyDescent="0.25">
      <c r="A5607">
        <f ca="1">29145.325135105*((RANDBETWEEN(1620,2416)))</f>
        <v>55492699.057239853</v>
      </c>
      <c r="B5607">
        <v>202816128.51632297</v>
      </c>
    </row>
    <row r="5608" spans="1:2" x14ac:dyDescent="0.25">
      <c r="A5608">
        <f ca="1">32408.5463706089*((RANDBETWEEN(1620,2416)))</f>
        <v>52696296.398610093</v>
      </c>
      <c r="B5608">
        <v>148084844.1850926</v>
      </c>
    </row>
    <row r="5609" spans="1:2" x14ac:dyDescent="0.25">
      <c r="A5609">
        <f ca="1">37261.2531870373*((RANDBETWEEN(1620,2416)))</f>
        <v>71839696.144607976</v>
      </c>
      <c r="B5609">
        <v>175724507.56331879</v>
      </c>
    </row>
    <row r="5610" spans="1:2" x14ac:dyDescent="0.25">
      <c r="A5610">
        <f ca="1">32121.4275326096*((RANDBETWEEN(1620,2416)))</f>
        <v>57850690.986229874</v>
      </c>
      <c r="B5610">
        <v>149653859.79595691</v>
      </c>
    </row>
    <row r="5611" spans="1:2" x14ac:dyDescent="0.25">
      <c r="A5611">
        <f ca="1">35369.6863241371*((RANDBETWEEN(1620,2416)))</f>
        <v>63771544.442419186</v>
      </c>
      <c r="B5611">
        <v>202129316.46617734</v>
      </c>
    </row>
    <row r="5612" spans="1:2" x14ac:dyDescent="0.25">
      <c r="A5612">
        <f ca="1">31124.572167831*((RANDBETWEEN(1620,2416)))</f>
        <v>67509197.032025352</v>
      </c>
      <c r="B5612">
        <v>150679116.50872773</v>
      </c>
    </row>
    <row r="5613" spans="1:2" x14ac:dyDescent="0.25">
      <c r="A5613">
        <f ca="1">31914.8702468775*((RANDBETWEEN(1620,2416)))</f>
        <v>69127608.954736769</v>
      </c>
      <c r="B5613">
        <v>147080670.35660863</v>
      </c>
    </row>
    <row r="5614" spans="1:2" x14ac:dyDescent="0.25">
      <c r="A5614">
        <f ca="1">31025.8750352872*((RANDBETWEEN(1620,2416)))</f>
        <v>72321314.70725441</v>
      </c>
      <c r="B5614">
        <v>154848125.84451687</v>
      </c>
    </row>
    <row r="5615" spans="1:2" x14ac:dyDescent="0.25">
      <c r="A5615">
        <f ca="1">28648.109105591*((RANDBETWEEN(1620,2416)))</f>
        <v>54631944.064362057</v>
      </c>
      <c r="B5615">
        <v>147462811.2610186</v>
      </c>
    </row>
    <row r="5616" spans="1:2" x14ac:dyDescent="0.25">
      <c r="A5616">
        <f ca="1">33519.3136304967*((RANDBETWEEN(1620,2416)))</f>
        <v>59966052.084958628</v>
      </c>
      <c r="B5616">
        <v>158204395.5267753</v>
      </c>
    </row>
    <row r="5617" spans="1:2" x14ac:dyDescent="0.25">
      <c r="A5617">
        <f ca="1">39409.5967726036*((RANDBETWEEN(1620,2416)))</f>
        <v>78346278.383936018</v>
      </c>
      <c r="B5617">
        <v>160195193.72369337</v>
      </c>
    </row>
    <row r="5618" spans="1:2" x14ac:dyDescent="0.25">
      <c r="A5618">
        <f ca="1">34979.5999142406*((RANDBETWEEN(1620,2416)))</f>
        <v>69574424.229424611</v>
      </c>
      <c r="B5618">
        <v>144264716.79802936</v>
      </c>
    </row>
    <row r="5619" spans="1:2" x14ac:dyDescent="0.25">
      <c r="A5619">
        <f ca="1">32768.0191751022*((RANDBETWEEN(1620,2416)))</f>
        <v>56492065.057876118</v>
      </c>
      <c r="B5619">
        <v>164484761.18200144</v>
      </c>
    </row>
    <row r="5620" spans="1:2" x14ac:dyDescent="0.25">
      <c r="A5620">
        <f ca="1">37374.509746187*((RANDBETWEEN(1620,2416)))</f>
        <v>76617744.97968325</v>
      </c>
      <c r="B5620">
        <v>166767273.82384506</v>
      </c>
    </row>
    <row r="5621" spans="1:2" x14ac:dyDescent="0.25">
      <c r="A5621">
        <f ca="1">38146.5938284837*((RANDBETWEEN(1620,2416)))</f>
        <v>87737165.805512488</v>
      </c>
      <c r="B5621">
        <v>152622310.79232866</v>
      </c>
    </row>
    <row r="5622" spans="1:2" x14ac:dyDescent="0.25">
      <c r="A5622">
        <f ca="1">40071.666703397*((RANDBETWEEN(1620,2416)))</f>
        <v>85633151.745159298</v>
      </c>
      <c r="B5622">
        <v>145123312.46434736</v>
      </c>
    </row>
    <row r="5623" spans="1:2" x14ac:dyDescent="0.25">
      <c r="A5623">
        <f ca="1">38648.2881605359*((RANDBETWEEN(1620,2416)))</f>
        <v>89238897.362677425</v>
      </c>
      <c r="B5623">
        <v>145995540.55647686</v>
      </c>
    </row>
    <row r="5624" spans="1:2" x14ac:dyDescent="0.25">
      <c r="A5624">
        <f ca="1">31798.1105706489*((RANDBETWEEN(1620,2416)))</f>
        <v>57999753.680863567</v>
      </c>
      <c r="B5624">
        <v>151104083.82389602</v>
      </c>
    </row>
    <row r="5625" spans="1:2" x14ac:dyDescent="0.25">
      <c r="A5625">
        <f ca="1">38547.8452698389*((RANDBETWEEN(1620,2416)))</f>
        <v>66225198.173583254</v>
      </c>
      <c r="B5625">
        <v>145758490.84685338</v>
      </c>
    </row>
    <row r="5626" spans="1:2" x14ac:dyDescent="0.25">
      <c r="A5626">
        <f ca="1">27997.8761938494*((RANDBETWEEN(1620,2416)))</f>
        <v>55463792.740015641</v>
      </c>
      <c r="B5626">
        <v>175982127.82267785</v>
      </c>
    </row>
    <row r="5627" spans="1:2" x14ac:dyDescent="0.25">
      <c r="A5627">
        <f ca="1">29557.456985467*((RANDBETWEEN(1620,2416)))</f>
        <v>71203913.877990037</v>
      </c>
      <c r="B5627">
        <v>185534687.01351446</v>
      </c>
    </row>
    <row r="5628" spans="1:2" x14ac:dyDescent="0.25">
      <c r="A5628">
        <f ca="1">39499.9723461297*((RANDBETWEEN(1620,2416)))</f>
        <v>76590446.379145503</v>
      </c>
      <c r="B5628">
        <v>179067096.92278951</v>
      </c>
    </row>
    <row r="5629" spans="1:2" x14ac:dyDescent="0.25">
      <c r="A5629">
        <f ca="1">38585.4737663031*((RANDBETWEEN(1620,2416)))</f>
        <v>74315622.473899871</v>
      </c>
      <c r="B5629">
        <v>175825989.11873168</v>
      </c>
    </row>
    <row r="5630" spans="1:2" x14ac:dyDescent="0.25">
      <c r="A5630">
        <f ca="1">29768.8624407118*((RANDBETWEEN(1620,2416)))</f>
        <v>65491497.369566023</v>
      </c>
      <c r="B5630">
        <v>153775122.93031523</v>
      </c>
    </row>
    <row r="5631" spans="1:2" x14ac:dyDescent="0.25">
      <c r="A5631">
        <f ca="1">32200.2287806551*((RANDBETWEEN(1620,2416)))</f>
        <v>60955033.081780031</v>
      </c>
      <c r="B5631">
        <v>162125088.90938362</v>
      </c>
    </row>
    <row r="5632" spans="1:2" x14ac:dyDescent="0.25">
      <c r="A5632">
        <f ca="1">34461.7329713216*((RANDBETWEEN(1620,2416)))</f>
        <v>56000316.078397579</v>
      </c>
      <c r="B5632">
        <v>146931324.64734051</v>
      </c>
    </row>
    <row r="5633" spans="1:2" x14ac:dyDescent="0.25">
      <c r="A5633">
        <f ca="1">40338.5112082883*((RANDBETWEEN(1620,2416)))</f>
        <v>90317926.595357537</v>
      </c>
      <c r="B5633">
        <v>150731370.31810683</v>
      </c>
    </row>
    <row r="5634" spans="1:2" x14ac:dyDescent="0.25">
      <c r="A5634">
        <f ca="1">27573.8777879709*((RANDBETWEEN(1620,2416)))</f>
        <v>55120181.698153898</v>
      </c>
      <c r="B5634">
        <v>190883755.20286858</v>
      </c>
    </row>
    <row r="5635" spans="1:2" x14ac:dyDescent="0.25">
      <c r="A5635">
        <f ca="1">33936.7095925897*((RANDBETWEEN(1620,2416)))</f>
        <v>68653963.505808949</v>
      </c>
      <c r="B5635">
        <v>178047605.7302075</v>
      </c>
    </row>
    <row r="5636" spans="1:2" x14ac:dyDescent="0.25">
      <c r="A5636">
        <f ca="1">35306.2936960652*((RANDBETWEEN(1620,2416)))</f>
        <v>82969790.185753122</v>
      </c>
      <c r="B5636">
        <v>169737327.95874345</v>
      </c>
    </row>
    <row r="5637" spans="1:2" x14ac:dyDescent="0.25">
      <c r="A5637">
        <f ca="1">34185.9591931901*((RANDBETWEEN(1620,2416)))</f>
        <v>55928229.240058921</v>
      </c>
      <c r="B5637">
        <v>160422472.65945488</v>
      </c>
    </row>
    <row r="5638" spans="1:2" x14ac:dyDescent="0.25">
      <c r="A5638">
        <f ca="1">39400.3321004821*((RANDBETWEEN(1620,2416)))</f>
        <v>88453745.565582231</v>
      </c>
      <c r="B5638">
        <v>198593592.82322988</v>
      </c>
    </row>
    <row r="5639" spans="1:2" x14ac:dyDescent="0.25">
      <c r="A5639">
        <f ca="1">37664.7301476443*((RANDBETWEEN(1620,2416)))</f>
        <v>76760720.040899158</v>
      </c>
      <c r="B5639">
        <v>192183245.69328833</v>
      </c>
    </row>
    <row r="5640" spans="1:2" x14ac:dyDescent="0.25">
      <c r="A5640">
        <f ca="1">39860.1055361022*((RANDBETWEEN(1620,2416)))</f>
        <v>93272646.954479143</v>
      </c>
      <c r="B5640">
        <v>166894879.72941464</v>
      </c>
    </row>
    <row r="5641" spans="1:2" x14ac:dyDescent="0.25">
      <c r="A5641">
        <f ca="1">33319.0011770185*((RANDBETWEEN(1620,2416)))</f>
        <v>58174976.055074319</v>
      </c>
      <c r="B5641">
        <v>158678285.63851973</v>
      </c>
    </row>
    <row r="5642" spans="1:2" x14ac:dyDescent="0.25">
      <c r="A5642">
        <f ca="1">34175.8587595185*((RANDBETWEEN(1620,2416)))</f>
        <v>82192940.316642091</v>
      </c>
      <c r="B5642">
        <v>150160009.52193749</v>
      </c>
    </row>
    <row r="5643" spans="1:2" x14ac:dyDescent="0.25">
      <c r="A5643">
        <f ca="1">30474.8345232157*((RANDBETWEEN(1620,2416)))</f>
        <v>58603106.788143866</v>
      </c>
      <c r="B5643">
        <v>174664320.90246421</v>
      </c>
    </row>
    <row r="5644" spans="1:2" x14ac:dyDescent="0.25">
      <c r="A5644">
        <f ca="1">30093.1881670264*((RANDBETWEEN(1620,2416)))</f>
        <v>55100627.533825263</v>
      </c>
      <c r="B5644">
        <v>159857406.40471125</v>
      </c>
    </row>
    <row r="5645" spans="1:2" x14ac:dyDescent="0.25">
      <c r="A5645">
        <f ca="1">30817.4072155628*((RANDBETWEEN(1620,2416)))</f>
        <v>51187713.385049835</v>
      </c>
      <c r="B5645">
        <v>151039910.80636835</v>
      </c>
    </row>
    <row r="5646" spans="1:2" x14ac:dyDescent="0.25">
      <c r="A5646">
        <f ca="1">40987.1075457333*((RANDBETWEEN(1620,2416)))</f>
        <v>95131076.613647059</v>
      </c>
      <c r="B5646">
        <v>182482798.48388404</v>
      </c>
    </row>
    <row r="5647" spans="1:2" x14ac:dyDescent="0.25">
      <c r="A5647">
        <f ca="1">39824.8547827306*((RANDBETWEEN(1620,2416)))</f>
        <v>95938075.171597973</v>
      </c>
      <c r="B5647">
        <v>171197228.46267247</v>
      </c>
    </row>
    <row r="5648" spans="1:2" x14ac:dyDescent="0.25">
      <c r="A5648">
        <f ca="1">37094.8179883607*((RANDBETWEEN(1620,2416)))</f>
        <v>85466460.645182982</v>
      </c>
      <c r="B5648">
        <v>201525151.54103714</v>
      </c>
    </row>
    <row r="5649" spans="1:2" x14ac:dyDescent="0.25">
      <c r="A5649">
        <f ca="1">30445.8979656075*((RANDBETWEEN(1620,2416)))</f>
        <v>63083900.584738843</v>
      </c>
      <c r="B5649">
        <v>202805642.15007532</v>
      </c>
    </row>
    <row r="5650" spans="1:2" x14ac:dyDescent="0.25">
      <c r="A5650">
        <f ca="1">36629.1743489241*((RANDBETWEEN(1620,2416)))</f>
        <v>86591368.160856634</v>
      </c>
      <c r="B5650">
        <v>167696211.00226554</v>
      </c>
    </row>
    <row r="5651" spans="1:2" x14ac:dyDescent="0.25">
      <c r="A5651">
        <f ca="1">37032.1825005153*((RANDBETWEEN(1620,2416)))</f>
        <v>82026284.238641292</v>
      </c>
      <c r="B5651">
        <v>192727026.96683747</v>
      </c>
    </row>
    <row r="5652" spans="1:2" x14ac:dyDescent="0.25">
      <c r="A5652">
        <f ca="1">31886.0639021511*((RANDBETWEEN(1620,2416)))</f>
        <v>64760595.785268843</v>
      </c>
      <c r="B5652">
        <v>195830697.5604856</v>
      </c>
    </row>
    <row r="5653" spans="1:2" x14ac:dyDescent="0.25">
      <c r="A5653">
        <f ca="1">38418.4483700161*((RANDBETWEEN(1620,2416)))</f>
        <v>89322892.460287541</v>
      </c>
      <c r="B5653">
        <v>148634338.46950048</v>
      </c>
    </row>
    <row r="5654" spans="1:2" x14ac:dyDescent="0.25">
      <c r="A5654">
        <f ca="1">29962.7216545287*((RANDBETWEEN(1620,2416)))</f>
        <v>72240121.909068659</v>
      </c>
      <c r="B5654">
        <v>198362750.62549168</v>
      </c>
    </row>
    <row r="5655" spans="1:2" x14ac:dyDescent="0.25">
      <c r="A5655">
        <f ca="1">29815.5266599428*((RANDBETWEEN(1620,2416)))</f>
        <v>55069277.740914308</v>
      </c>
      <c r="B5655">
        <v>164376301.3779017</v>
      </c>
    </row>
    <row r="5656" spans="1:2" x14ac:dyDescent="0.25">
      <c r="A5656">
        <f ca="1">38096.1078957114*((RANDBETWEEN(1620,2416)))</f>
        <v>91811620.028664529</v>
      </c>
      <c r="B5656">
        <v>162971804.57747024</v>
      </c>
    </row>
    <row r="5657" spans="1:2" x14ac:dyDescent="0.25">
      <c r="A5657">
        <f ca="1">34804.1212130734*((RANDBETWEEN(1620,2416)))</f>
        <v>68285685.820050061</v>
      </c>
      <c r="B5657">
        <v>154660839.18138185</v>
      </c>
    </row>
    <row r="5658" spans="1:2" x14ac:dyDescent="0.25">
      <c r="A5658">
        <f ca="1">31596.7515500029*((RANDBETWEEN(1620,2416)))</f>
        <v>67016710.037556231</v>
      </c>
      <c r="B5658">
        <v>150207430.7953788</v>
      </c>
    </row>
    <row r="5659" spans="1:2" x14ac:dyDescent="0.25">
      <c r="A5659">
        <f ca="1">31857.3219102122*((RANDBETWEEN(1620,2416)))</f>
        <v>57948468.554676019</v>
      </c>
      <c r="B5659">
        <v>171714562.03281564</v>
      </c>
    </row>
    <row r="5660" spans="1:2" x14ac:dyDescent="0.25">
      <c r="A5660">
        <f ca="1">32103.5722829042*((RANDBETWEEN(1620,2416)))</f>
        <v>53324033.561903872</v>
      </c>
      <c r="B5660">
        <v>187921823.4373382</v>
      </c>
    </row>
    <row r="5661" spans="1:2" x14ac:dyDescent="0.25">
      <c r="A5661">
        <f ca="1">32937.3533408484*((RANDBETWEEN(1620,2416)))</f>
        <v>72132803.816458032</v>
      </c>
      <c r="B5661">
        <v>149807119.3797105</v>
      </c>
    </row>
    <row r="5662" spans="1:2" x14ac:dyDescent="0.25">
      <c r="A5662">
        <f ca="1">34133.8670432449*((RANDBETWEEN(1620,2416)))</f>
        <v>77518012.055209115</v>
      </c>
      <c r="B5662">
        <v>179954406.1624102</v>
      </c>
    </row>
    <row r="5663" spans="1:2" x14ac:dyDescent="0.25">
      <c r="A5663">
        <f ca="1">30133.7462692597*((RANDBETWEEN(1620,2416)))</f>
        <v>48907070.195008449</v>
      </c>
      <c r="B5663">
        <v>180904880.60587832</v>
      </c>
    </row>
    <row r="5664" spans="1:2" x14ac:dyDescent="0.25">
      <c r="A5664">
        <f ca="1">38088.4832103257*((RANDBETWEEN(1620,2416)))</f>
        <v>83261424.297771886</v>
      </c>
      <c r="B5664">
        <v>190344624.6600261</v>
      </c>
    </row>
    <row r="5665" spans="1:2" x14ac:dyDescent="0.25">
      <c r="A5665">
        <f ca="1">31864.0426048667*((RANDBETWEEN(1620,2416)))</f>
        <v>70546990.327174783</v>
      </c>
      <c r="B5665">
        <v>182316467.74172071</v>
      </c>
    </row>
    <row r="5666" spans="1:2" x14ac:dyDescent="0.25">
      <c r="A5666">
        <f ca="1">32014.2516369687*((RANDBETWEEN(1620,2416)))</f>
        <v>74785291.823958874</v>
      </c>
      <c r="B5666">
        <v>171987744.65387097</v>
      </c>
    </row>
    <row r="5667" spans="1:2" x14ac:dyDescent="0.25">
      <c r="A5667">
        <f ca="1">30826.6301594807*((RANDBETWEEN(1620,2416)))</f>
        <v>52682710.942552514</v>
      </c>
      <c r="B5667">
        <v>183817598.68527144</v>
      </c>
    </row>
    <row r="5668" spans="1:2" x14ac:dyDescent="0.25">
      <c r="A5668">
        <f ca="1">31988.549548021*((RANDBETWEEN(1620,2416)))</f>
        <v>54028660.18660745</v>
      </c>
      <c r="B5668">
        <v>163896081.04527631</v>
      </c>
    </row>
    <row r="5669" spans="1:2" x14ac:dyDescent="0.25">
      <c r="A5669">
        <f ca="1">32178.0471130845*((RANDBETWEEN(1620,2416)))</f>
        <v>56408116.589237131</v>
      </c>
      <c r="B5669">
        <v>151705830.8248696</v>
      </c>
    </row>
    <row r="5670" spans="1:2" x14ac:dyDescent="0.25">
      <c r="A5670">
        <f ca="1">30545.8402008976*((RANDBETWEEN(1620,2416)))</f>
        <v>71843816.15251115</v>
      </c>
      <c r="B5670">
        <v>154077262.07970855</v>
      </c>
    </row>
    <row r="5671" spans="1:2" x14ac:dyDescent="0.25">
      <c r="A5671">
        <f ca="1">27669.1876182606*((RANDBETWEEN(1620,2416)))</f>
        <v>64662891.46387504</v>
      </c>
      <c r="B5671">
        <v>196082458.12283003</v>
      </c>
    </row>
    <row r="5672" spans="1:2" x14ac:dyDescent="0.25">
      <c r="A5672">
        <f ca="1">31316.3307279403*((RANDBETWEEN(1620,2416)))</f>
        <v>65357182.229211323</v>
      </c>
      <c r="B5672">
        <v>155892469.42581517</v>
      </c>
    </row>
    <row r="5673" spans="1:2" x14ac:dyDescent="0.25">
      <c r="A5673">
        <f ca="1">30830.8737381262*((RANDBETWEEN(1620,2416)))</f>
        <v>50840110.794170037</v>
      </c>
      <c r="B5673">
        <v>165186437.19863319</v>
      </c>
    </row>
    <row r="5674" spans="1:2" x14ac:dyDescent="0.25">
      <c r="A5674">
        <f ca="1">30886.3635904518*((RANDBETWEEN(1620,2416)))</f>
        <v>52136181.740682594</v>
      </c>
      <c r="B5674">
        <v>152169618.00126079</v>
      </c>
    </row>
    <row r="5675" spans="1:2" x14ac:dyDescent="0.25">
      <c r="A5675">
        <f ca="1">31119.349219178*((RANDBETWEEN(1620,2416)))</f>
        <v>64697127.026671007</v>
      </c>
      <c r="B5675">
        <v>162619080.8615492</v>
      </c>
    </row>
    <row r="5676" spans="1:2" x14ac:dyDescent="0.25">
      <c r="A5676">
        <f ca="1">30942.4423303741*((RANDBETWEEN(1620,2416)))</f>
        <v>51116914.729778007</v>
      </c>
      <c r="B5676">
        <v>156730097.60297632</v>
      </c>
    </row>
    <row r="5677" spans="1:2" x14ac:dyDescent="0.25">
      <c r="A5677">
        <f ca="1">37680.7665616111*((RANDBETWEEN(1620,2416)))</f>
        <v>85535340.094857126</v>
      </c>
      <c r="B5677">
        <v>181916015.22171417</v>
      </c>
    </row>
    <row r="5678" spans="1:2" x14ac:dyDescent="0.25">
      <c r="A5678">
        <f ca="1">39162.4096715904*((RANDBETWEEN(1620,2416)))</f>
        <v>73977791.869634211</v>
      </c>
      <c r="B5678">
        <v>157024094.03627387</v>
      </c>
    </row>
    <row r="5679" spans="1:2" x14ac:dyDescent="0.25">
      <c r="A5679">
        <f ca="1">35120.3487921485*((RANDBETWEEN(1620,2416)))</f>
        <v>71259187.69926931</v>
      </c>
      <c r="B5679">
        <v>181837648.81009436</v>
      </c>
    </row>
    <row r="5680" spans="1:2" x14ac:dyDescent="0.25">
      <c r="A5680">
        <f ca="1">29838.532397678*((RANDBETWEEN(1620,2416)))</f>
        <v>63585912.539451823</v>
      </c>
      <c r="B5680">
        <v>196793878.0850386</v>
      </c>
    </row>
    <row r="5681" spans="1:2" x14ac:dyDescent="0.25">
      <c r="A5681">
        <f ca="1">30924.7146556002*((RANDBETWEEN(1620,2416)))</f>
        <v>56159281.814570047</v>
      </c>
      <c r="B5681">
        <v>149987580.34599084</v>
      </c>
    </row>
    <row r="5682" spans="1:2" x14ac:dyDescent="0.25">
      <c r="A5682">
        <f ca="1">38416.3039348932*((RANDBETWEEN(1620,2416)))</f>
        <v>76563693.742242157</v>
      </c>
      <c r="B5682">
        <v>157800640.42992783</v>
      </c>
    </row>
    <row r="5683" spans="1:2" x14ac:dyDescent="0.25">
      <c r="A5683">
        <f ca="1">41253.6410499077*((RANDBETWEEN(1620,2416)))</f>
        <v>82135999.330366164</v>
      </c>
      <c r="B5683">
        <v>174944658.5421235</v>
      </c>
    </row>
    <row r="5684" spans="1:2" x14ac:dyDescent="0.25">
      <c r="A5684">
        <f ca="1">36902.1992404902*((RANDBETWEEN(1620,2416)))</f>
        <v>76572063.424017265</v>
      </c>
      <c r="B5684">
        <v>193436387.72228074</v>
      </c>
    </row>
    <row r="5685" spans="1:2" x14ac:dyDescent="0.25">
      <c r="A5685">
        <f ca="1">31429.9277129682*((RANDBETWEEN(1620,2416)))</f>
        <v>57516767.714731805</v>
      </c>
      <c r="B5685">
        <v>159067920.39039737</v>
      </c>
    </row>
    <row r="5686" spans="1:2" x14ac:dyDescent="0.25">
      <c r="A5686">
        <f ca="1">30476.8717165726*((RANDBETWEEN(1620,2416)))</f>
        <v>49677300.898013413</v>
      </c>
      <c r="B5686">
        <v>146218733.5791972</v>
      </c>
    </row>
    <row r="5687" spans="1:2" x14ac:dyDescent="0.25">
      <c r="A5687">
        <f ca="1">31266.4370781398*((RANDBETWEEN(1620,2416)))</f>
        <v>59531296.196778193</v>
      </c>
      <c r="B5687">
        <v>173154251.68383896</v>
      </c>
    </row>
    <row r="5688" spans="1:2" x14ac:dyDescent="0.25">
      <c r="A5688">
        <f ca="1">29369.497815102*((RANDBETWEEN(1620,2416)))</f>
        <v>55302764.385836981</v>
      </c>
      <c r="B5688">
        <v>157592588.4048894</v>
      </c>
    </row>
    <row r="5689" spans="1:2" x14ac:dyDescent="0.25">
      <c r="A5689">
        <f ca="1">31791.4755994247*((RANDBETWEEN(1620,2416)))</f>
        <v>72007692.23269704</v>
      </c>
      <c r="B5689">
        <v>201445353.13252071</v>
      </c>
    </row>
    <row r="5690" spans="1:2" x14ac:dyDescent="0.25">
      <c r="A5690">
        <f ca="1">35663.4675412502*((RANDBETWEEN(1620,2416)))</f>
        <v>60663558.287666656</v>
      </c>
      <c r="B5690">
        <v>168453459.17598769</v>
      </c>
    </row>
    <row r="5691" spans="1:2" x14ac:dyDescent="0.25">
      <c r="A5691">
        <f ca="1">33397.98429023*((RANDBETWEEN(1620,2416)))</f>
        <v>70569940.805256054</v>
      </c>
      <c r="B5691">
        <v>199484394.58571839</v>
      </c>
    </row>
    <row r="5692" spans="1:2" x14ac:dyDescent="0.25">
      <c r="A5692">
        <f ca="1">26988.8164148881*((RANDBETWEEN(1620,2416)))</f>
        <v>46339797.7843628</v>
      </c>
      <c r="B5692">
        <v>163924299.52492398</v>
      </c>
    </row>
    <row r="5693" spans="1:2" x14ac:dyDescent="0.25">
      <c r="A5693">
        <f ca="1">32231.0130455883*((RANDBETWEEN(1620,2416)))</f>
        <v>72358624.287345693</v>
      </c>
      <c r="B5693">
        <v>199029087.99626809</v>
      </c>
    </row>
    <row r="5694" spans="1:2" x14ac:dyDescent="0.25">
      <c r="A5694">
        <f ca="1">32501.2872557398*((RANDBETWEEN(1620,2416)))</f>
        <v>57982296.464239873</v>
      </c>
      <c r="B5694">
        <v>155075291.82620186</v>
      </c>
    </row>
    <row r="5695" spans="1:2" x14ac:dyDescent="0.25">
      <c r="A5695">
        <f ca="1">30858.8163189231*((RANDBETWEEN(1620,2416)))</f>
        <v>71654171.492539391</v>
      </c>
      <c r="B5695">
        <v>144954372.04805705</v>
      </c>
    </row>
    <row r="5696" spans="1:2" x14ac:dyDescent="0.25">
      <c r="A5696">
        <f ca="1">41130.9172308934*((RANDBETWEEN(1620,2416)))</f>
        <v>91063850.749198005</v>
      </c>
      <c r="B5696">
        <v>176778059.12885693</v>
      </c>
    </row>
    <row r="5697" spans="1:2" x14ac:dyDescent="0.25">
      <c r="A5697">
        <f ca="1">31528.0489713378*((RANDBETWEEN(1620,2416)))</f>
        <v>62425536.963248841</v>
      </c>
      <c r="B5697">
        <v>191812838.32791543</v>
      </c>
    </row>
    <row r="5698" spans="1:2" x14ac:dyDescent="0.25">
      <c r="A5698">
        <f ca="1">34750.1586388192*((RANDBETWEEN(1620,2416)))</f>
        <v>70716572.829996988</v>
      </c>
      <c r="B5698">
        <v>151549108.14748147</v>
      </c>
    </row>
    <row r="5699" spans="1:2" x14ac:dyDescent="0.25">
      <c r="A5699">
        <f ca="1">27597.7161506069*((RANDBETWEEN(1620,2416)))</f>
        <v>56823697.554099537</v>
      </c>
      <c r="B5699">
        <v>201021664.01309359</v>
      </c>
    </row>
    <row r="5700" spans="1:2" x14ac:dyDescent="0.25">
      <c r="A5700">
        <f ca="1">32338.0270778219*((RANDBETWEEN(1620,2416)))</f>
        <v>59340279.687803127</v>
      </c>
      <c r="B5700">
        <v>175450554.63033852</v>
      </c>
    </row>
    <row r="5701" spans="1:2" x14ac:dyDescent="0.25">
      <c r="A5701">
        <f ca="1">32739.2161507217*((RANDBETWEEN(1620,2416)))</f>
        <v>72124493.180039883</v>
      </c>
      <c r="B5701">
        <v>171336115.87700772</v>
      </c>
    </row>
    <row r="5702" spans="1:2" x14ac:dyDescent="0.25">
      <c r="A5702">
        <f ca="1">30001.8634466922*((RANDBETWEEN(1620,2416)))</f>
        <v>59283682.170663744</v>
      </c>
      <c r="B5702">
        <v>165646248.35937074</v>
      </c>
    </row>
    <row r="5703" spans="1:2" x14ac:dyDescent="0.25">
      <c r="A5703">
        <f ca="1">34694.4370534956*((RANDBETWEEN(1620,2416)))</f>
        <v>72615456.752966374</v>
      </c>
      <c r="B5703">
        <v>154623022.71275884</v>
      </c>
    </row>
    <row r="5704" spans="1:2" x14ac:dyDescent="0.25">
      <c r="A5704">
        <f ca="1">30132.6740633336*((RANDBETWEEN(1620,2416)))</f>
        <v>55986508.409673788</v>
      </c>
      <c r="B5704">
        <v>189484142.323129</v>
      </c>
    </row>
    <row r="5705" spans="1:2" x14ac:dyDescent="0.25">
      <c r="A5705">
        <f ca="1">31612.9300391322*((RANDBETWEEN(1620,2416)))</f>
        <v>56840048.210359626</v>
      </c>
      <c r="B5705">
        <v>145036934.82556495</v>
      </c>
    </row>
    <row r="5706" spans="1:2" x14ac:dyDescent="0.25">
      <c r="A5706">
        <f ca="1">32571.3038508627*((RANDBETWEEN(1620,2416)))</f>
        <v>62667188.609059915</v>
      </c>
      <c r="B5706">
        <v>197369555.04182509</v>
      </c>
    </row>
    <row r="5707" spans="1:2" x14ac:dyDescent="0.25">
      <c r="A5707">
        <f ca="1">31629.4949522051*((RANDBETWEEN(1620,2416)))</f>
        <v>51587706.267046481</v>
      </c>
      <c r="B5707">
        <v>155682368.76316756</v>
      </c>
    </row>
    <row r="5708" spans="1:2" x14ac:dyDescent="0.25">
      <c r="A5708">
        <f ca="1">32989.0217529428*((RANDBETWEEN(1620,2416)))</f>
        <v>78909740.033039078</v>
      </c>
      <c r="B5708">
        <v>192365609.2312547</v>
      </c>
    </row>
    <row r="5709" spans="1:2" x14ac:dyDescent="0.25">
      <c r="A5709">
        <f ca="1">29215.9231202398*((RANDBETWEEN(1620,2416)))</f>
        <v>53991025.926203221</v>
      </c>
      <c r="B5709">
        <v>197082958.9045282</v>
      </c>
    </row>
    <row r="5710" spans="1:2" x14ac:dyDescent="0.25">
      <c r="A5710">
        <f ca="1">40623.6349002569*((RANDBETWEEN(1620,2416)))</f>
        <v>80516044.372309357</v>
      </c>
      <c r="B5710">
        <v>156791144.47816503</v>
      </c>
    </row>
    <row r="5711" spans="1:2" x14ac:dyDescent="0.25">
      <c r="A5711">
        <f ca="1">29741.2274305539*((RANDBETWEEN(1620,2416)))</f>
        <v>53088090.963538624</v>
      </c>
      <c r="B5711">
        <v>193169129.09790152</v>
      </c>
    </row>
    <row r="5712" spans="1:2" x14ac:dyDescent="0.25">
      <c r="A5712">
        <f ca="1">37513.5967266756*((RANDBETWEEN(1620,2416)))</f>
        <v>80241583.398359165</v>
      </c>
      <c r="B5712">
        <v>158939518.69526225</v>
      </c>
    </row>
    <row r="5713" spans="1:2" x14ac:dyDescent="0.25">
      <c r="A5713">
        <f ca="1">37235.8405639412*((RANDBETWEEN(1620,2416)))</f>
        <v>64231824.972798623</v>
      </c>
      <c r="B5713">
        <v>149424241.2958748</v>
      </c>
    </row>
    <row r="5714" spans="1:2" x14ac:dyDescent="0.25">
      <c r="A5714">
        <f ca="1">29644.6306398505*((RANDBETWEEN(1620,2416)))</f>
        <v>54961145.206282891</v>
      </c>
      <c r="B5714">
        <v>164884460.90880489</v>
      </c>
    </row>
    <row r="5715" spans="1:2" x14ac:dyDescent="0.25">
      <c r="A5715">
        <f ca="1">31330.7852641265*((RANDBETWEEN(1620,2416)))</f>
        <v>65857310.625193827</v>
      </c>
      <c r="B5715">
        <v>156734611.83825898</v>
      </c>
    </row>
    <row r="5716" spans="1:2" x14ac:dyDescent="0.25">
      <c r="A5716">
        <f ca="1">40052.2509366814*((RANDBETWEEN(1620,2416)))</f>
        <v>75618649.768454477</v>
      </c>
      <c r="B5716">
        <v>144058193.0392707</v>
      </c>
    </row>
    <row r="5717" spans="1:2" x14ac:dyDescent="0.25">
      <c r="A5717">
        <f ca="1">29329.0224000653*((RANDBETWEEN(1620,2416)))</f>
        <v>49800680.03531085</v>
      </c>
      <c r="B5717">
        <v>194500175.52041414</v>
      </c>
    </row>
    <row r="5718" spans="1:2" x14ac:dyDescent="0.25">
      <c r="A5718">
        <f ca="1">38360.9618994089*((RANDBETWEEN(1620,2416)))</f>
        <v>64868386.571900532</v>
      </c>
      <c r="B5718">
        <v>150918896.68883678</v>
      </c>
    </row>
    <row r="5719" spans="1:2" x14ac:dyDescent="0.25">
      <c r="A5719">
        <f ca="1">28480.3401022395*((RANDBETWEEN(1620,2416)))</f>
        <v>49641232.798203535</v>
      </c>
      <c r="B5719">
        <v>156727930.50455448</v>
      </c>
    </row>
    <row r="5720" spans="1:2" x14ac:dyDescent="0.25">
      <c r="A5720">
        <f ca="1">38053.4836632381*((RANDBETWEEN(1620,2416)))</f>
        <v>80064529.627452895</v>
      </c>
      <c r="B5720">
        <v>193737108.13504815</v>
      </c>
    </row>
    <row r="5721" spans="1:2" x14ac:dyDescent="0.25">
      <c r="A5721">
        <f ca="1">42158.0454377756*((RANDBETWEEN(1620,2416)))</f>
        <v>100842044.68715918</v>
      </c>
      <c r="B5721">
        <v>167894922.31196427</v>
      </c>
    </row>
    <row r="5722" spans="1:2" x14ac:dyDescent="0.25">
      <c r="A5722">
        <f ca="1">31744.8284870881*((RANDBETWEEN(1620,2416)))</f>
        <v>53140842.887385488</v>
      </c>
      <c r="B5722">
        <v>181695051.57710916</v>
      </c>
    </row>
    <row r="5723" spans="1:2" x14ac:dyDescent="0.25">
      <c r="A5723">
        <f ca="1">31110.4386514787*((RANDBETWEEN(1620,2416)))</f>
        <v>70682916.616159528</v>
      </c>
      <c r="B5723">
        <v>162519240.07538795</v>
      </c>
    </row>
    <row r="5724" spans="1:2" x14ac:dyDescent="0.25">
      <c r="A5724">
        <f ca="1">33929.3225450821*((RANDBETWEEN(1620,2416)))</f>
        <v>64160348.932750329</v>
      </c>
      <c r="B5724">
        <v>153785731.56634015</v>
      </c>
    </row>
    <row r="5725" spans="1:2" x14ac:dyDescent="0.25">
      <c r="A5725">
        <f ca="1">30533.1975920071*((RANDBETWEEN(1620,2416)))</f>
        <v>63814382.967294805</v>
      </c>
      <c r="B5725">
        <v>149612267.02071434</v>
      </c>
    </row>
    <row r="5726" spans="1:2" x14ac:dyDescent="0.25">
      <c r="A5726">
        <f ca="1">29792.6133548571*((RANDBETWEEN(1620,2416)))</f>
        <v>61968635.778102703</v>
      </c>
      <c r="B5726">
        <v>188907422.32075277</v>
      </c>
    </row>
    <row r="5727" spans="1:2" x14ac:dyDescent="0.25">
      <c r="A5727">
        <f ca="1">33003.5368201605*((RANDBETWEEN(1620,2416)))</f>
        <v>63102762.400146835</v>
      </c>
      <c r="B5727">
        <v>167360409.21288002</v>
      </c>
    </row>
    <row r="5728" spans="1:2" x14ac:dyDescent="0.25">
      <c r="A5728">
        <f ca="1">30152.6292817236*((RANDBETWEEN(1620,2416)))</f>
        <v>52133896.028100044</v>
      </c>
      <c r="B5728">
        <v>202455005.01796919</v>
      </c>
    </row>
    <row r="5729" spans="1:2" x14ac:dyDescent="0.25">
      <c r="A5729">
        <f ca="1">31735.4240922788*((RANDBETWEEN(1620,2416)))</f>
        <v>68262897.222491696</v>
      </c>
      <c r="B5729">
        <v>173134873.85360765</v>
      </c>
    </row>
    <row r="5730" spans="1:2" x14ac:dyDescent="0.25">
      <c r="A5730">
        <f ca="1">29015.7874514031*((RANDBETWEEN(1620,2416)))</f>
        <v>51938259.538011484</v>
      </c>
      <c r="B5730">
        <v>154316258.42313275</v>
      </c>
    </row>
    <row r="5731" spans="1:2" x14ac:dyDescent="0.25">
      <c r="A5731">
        <f ca="1">28261.3085034868*((RANDBETWEEN(1620,2416)))</f>
        <v>67657572.557347387</v>
      </c>
      <c r="B5731">
        <v>150039774.9767693</v>
      </c>
    </row>
    <row r="5732" spans="1:2" x14ac:dyDescent="0.25">
      <c r="A5732">
        <f ca="1">31689.1752155419*((RANDBETWEEN(1620,2416)))</f>
        <v>62269229.298539825</v>
      </c>
      <c r="B5732">
        <v>201999799.6844959</v>
      </c>
    </row>
    <row r="5733" spans="1:2" x14ac:dyDescent="0.25">
      <c r="A5733">
        <f ca="1">29767.0863056488*((RANDBETWEEN(1620,2416)))</f>
        <v>65368521.527204812</v>
      </c>
      <c r="B5733">
        <v>188712207.18146569</v>
      </c>
    </row>
    <row r="5734" spans="1:2" x14ac:dyDescent="0.25">
      <c r="A5734">
        <f ca="1">31564.6086239227*((RANDBETWEEN(1620,2416)))</f>
        <v>57321329.261043623</v>
      </c>
      <c r="B5734">
        <v>189430344.03580433</v>
      </c>
    </row>
    <row r="5735" spans="1:2" x14ac:dyDescent="0.25">
      <c r="A5735">
        <f ca="1">31912.0385641511*((RANDBETWEEN(1620,2416)))</f>
        <v>70366045.03395313</v>
      </c>
      <c r="B5735">
        <v>144282342.19080108</v>
      </c>
    </row>
    <row r="5736" spans="1:2" x14ac:dyDescent="0.25">
      <c r="A5736">
        <f ca="1">36809.5867347437*((RANDBETWEEN(1620,2416)))</f>
        <v>73177458.428670481</v>
      </c>
      <c r="B5736">
        <v>156088327.73463616</v>
      </c>
    </row>
    <row r="5737" spans="1:2" x14ac:dyDescent="0.25">
      <c r="A5737">
        <f ca="1">33880.8466330544*((RANDBETWEEN(1620,2416)))</f>
        <v>55191899.165245682</v>
      </c>
      <c r="B5737">
        <v>190588338.93873242</v>
      </c>
    </row>
    <row r="5738" spans="1:2" x14ac:dyDescent="0.25">
      <c r="A5738">
        <f ca="1">36053.8835478163*((RANDBETWEEN(1620,2416)))</f>
        <v>80075675.359699994</v>
      </c>
      <c r="B5738">
        <v>185802486.60177183</v>
      </c>
    </row>
    <row r="5739" spans="1:2" x14ac:dyDescent="0.25">
      <c r="A5739">
        <f ca="1">35242.6400049803*((RANDBETWEEN(1620,2416)))</f>
        <v>78168175.531046361</v>
      </c>
      <c r="B5739">
        <v>190937177.39771128</v>
      </c>
    </row>
    <row r="5740" spans="1:2" x14ac:dyDescent="0.25">
      <c r="A5740">
        <f ca="1">30726.9030324289*((RANDBETWEEN(1620,2416)))</f>
        <v>59487284.270782374</v>
      </c>
      <c r="B5740">
        <v>171433842.19002736</v>
      </c>
    </row>
    <row r="5741" spans="1:2" x14ac:dyDescent="0.25">
      <c r="A5741">
        <f ca="1">32532.276423731*((RANDBETWEEN(1620,2416)))</f>
        <v>75767671.790869489</v>
      </c>
      <c r="B5741">
        <v>164401448.55669996</v>
      </c>
    </row>
    <row r="5742" spans="1:2" x14ac:dyDescent="0.25">
      <c r="A5742">
        <f ca="1">32153.9518435025*((RANDBETWEEN(1620,2416)))</f>
        <v>52828942.878874645</v>
      </c>
      <c r="B5742">
        <v>172069318.3826251</v>
      </c>
    </row>
    <row r="5743" spans="1:2" x14ac:dyDescent="0.25">
      <c r="A5743">
        <f ca="1">37592.6523847008*((RANDBETWEEN(1620,2416)))</f>
        <v>81613648.327185467</v>
      </c>
      <c r="B5743">
        <v>201675890.80710393</v>
      </c>
    </row>
    <row r="5744" spans="1:2" x14ac:dyDescent="0.25">
      <c r="A5744">
        <f ca="1">30951.6601139535*((RANDBETWEEN(1620,2416)))</f>
        <v>57508184.491725646</v>
      </c>
      <c r="B5744">
        <v>201367623.73904926</v>
      </c>
    </row>
    <row r="5745" spans="1:2" x14ac:dyDescent="0.25">
      <c r="A5745">
        <f ca="1">31662.0813253679*((RANDBETWEEN(1620,2416)))</f>
        <v>61582748.177840568</v>
      </c>
      <c r="B5745">
        <v>148409273.74386844</v>
      </c>
    </row>
    <row r="5746" spans="1:2" x14ac:dyDescent="0.25">
      <c r="A5746">
        <f ca="1">33338.2988753908*((RANDBETWEEN(1620,2416)))</f>
        <v>58608729.42293705</v>
      </c>
      <c r="B5746">
        <v>192023013.00099355</v>
      </c>
    </row>
    <row r="5747" spans="1:2" x14ac:dyDescent="0.25">
      <c r="A5747">
        <f ca="1">31193.837162251*((RANDBETWEEN(1620,2416)))</f>
        <v>64696018.274508566</v>
      </c>
      <c r="B5747">
        <v>184343368.02125165</v>
      </c>
    </row>
    <row r="5748" spans="1:2" x14ac:dyDescent="0.25">
      <c r="A5748">
        <f ca="1">31773.6232091476*((RANDBETWEEN(1620,2416)))</f>
        <v>55444972.499962546</v>
      </c>
      <c r="B5748">
        <v>168566161.48650891</v>
      </c>
    </row>
    <row r="5749" spans="1:2" x14ac:dyDescent="0.25">
      <c r="A5749">
        <f ca="1">36142.9677035781*((RANDBETWEEN(1620,2416)))</f>
        <v>67153633.99324815</v>
      </c>
      <c r="B5749">
        <v>157519971.32963338</v>
      </c>
    </row>
    <row r="5750" spans="1:2" x14ac:dyDescent="0.25">
      <c r="A5750">
        <f ca="1">30971.9674701273*((RANDBETWEEN(1620,2416)))</f>
        <v>51072774.358239949</v>
      </c>
      <c r="B5750">
        <v>153133193.44209158</v>
      </c>
    </row>
    <row r="5751" spans="1:2" x14ac:dyDescent="0.25">
      <c r="A5751">
        <f ca="1">31933.5930788645*((RANDBETWEEN(1620,2416)))</f>
        <v>58853612.044347361</v>
      </c>
      <c r="B5751">
        <v>158821595.62779287</v>
      </c>
    </row>
    <row r="5752" spans="1:2" x14ac:dyDescent="0.25">
      <c r="A5752">
        <f ca="1">34094.3469389226*((RANDBETWEEN(1620,2416)))</f>
        <v>58096767.183924176</v>
      </c>
      <c r="B5752">
        <v>163663053.95137036</v>
      </c>
    </row>
    <row r="5753" spans="1:2" x14ac:dyDescent="0.25">
      <c r="A5753">
        <f ca="1">30169.6255191678*((RANDBETWEEN(1620,2416)))</f>
        <v>61184000.552872285</v>
      </c>
      <c r="B5753">
        <v>166379291.96331817</v>
      </c>
    </row>
    <row r="5754" spans="1:2" x14ac:dyDescent="0.25">
      <c r="A5754">
        <f ca="1">31248.4667386263*((RANDBETWEEN(1620,2416)))</f>
        <v>70059062.428000078</v>
      </c>
      <c r="B5754">
        <v>151417702.77014256</v>
      </c>
    </row>
    <row r="5755" spans="1:2" x14ac:dyDescent="0.25">
      <c r="A5755">
        <f ca="1">33298.189570375*((RANDBETWEEN(1620,2416)))</f>
        <v>77817869.025966302</v>
      </c>
      <c r="B5755">
        <v>187284392.22938547</v>
      </c>
    </row>
    <row r="5756" spans="1:2" x14ac:dyDescent="0.25">
      <c r="A5756">
        <f ca="1">30546.4404914335*((RANDBETWEEN(1620,2416)))</f>
        <v>60237580.649106778</v>
      </c>
      <c r="B5756">
        <v>203032172.20796543</v>
      </c>
    </row>
    <row r="5757" spans="1:2" x14ac:dyDescent="0.25">
      <c r="A5757">
        <f ca="1">33408.6253140126*((RANDBETWEEN(1620,2416)))</f>
        <v>65781583.243290797</v>
      </c>
      <c r="B5757">
        <v>185960418.30200997</v>
      </c>
    </row>
    <row r="5758" spans="1:2" x14ac:dyDescent="0.25">
      <c r="A5758">
        <f ca="1">31633.3026241779*((RANDBETWEEN(1620,2416)))</f>
        <v>69245299.444325343</v>
      </c>
      <c r="B5758">
        <v>163906526.83396465</v>
      </c>
    </row>
    <row r="5759" spans="1:2" x14ac:dyDescent="0.25">
      <c r="A5759">
        <f ca="1">35094.3782408963*((RANDBETWEEN(1620,2416)))</f>
        <v>65591392.932235353</v>
      </c>
      <c r="B5759">
        <v>181629089.23029268</v>
      </c>
    </row>
    <row r="5760" spans="1:2" x14ac:dyDescent="0.25">
      <c r="A5760">
        <f ca="1">37021.2154474961*((RANDBETWEEN(1620,2416)))</f>
        <v>77300297.854371935</v>
      </c>
      <c r="B5760">
        <v>185483681.88217473</v>
      </c>
    </row>
    <row r="5761" spans="1:2" x14ac:dyDescent="0.25">
      <c r="A5761">
        <f ca="1">35229.2440534796*((RANDBETWEEN(1620,2416)))</f>
        <v>71832428.625044852</v>
      </c>
      <c r="B5761">
        <v>167420018.63389844</v>
      </c>
    </row>
    <row r="5762" spans="1:2" x14ac:dyDescent="0.25">
      <c r="A5762">
        <f ca="1">33148.2832922673*((RANDBETWEEN(1620,2416)))</f>
        <v>61258027.5241099</v>
      </c>
      <c r="B5762">
        <v>179177533.76726282</v>
      </c>
    </row>
    <row r="5763" spans="1:2" x14ac:dyDescent="0.25">
      <c r="A5763">
        <f ca="1">32181.2895515096*((RANDBETWEEN(1620,2416)))</f>
        <v>68642690.613370061</v>
      </c>
      <c r="B5763">
        <v>200170670.05398449</v>
      </c>
    </row>
    <row r="5764" spans="1:2" x14ac:dyDescent="0.25">
      <c r="A5764">
        <f ca="1">32480.6018507863*((RANDBETWEEN(1620,2416)))</f>
        <v>76751662.173408076</v>
      </c>
      <c r="B5764">
        <v>152149298.56567943</v>
      </c>
    </row>
    <row r="5765" spans="1:2" x14ac:dyDescent="0.25">
      <c r="A5765">
        <f ca="1">30348.2966012793*((RANDBETWEEN(1620,2416)))</f>
        <v>63063760.33745838</v>
      </c>
      <c r="B5765">
        <v>143943246.56984341</v>
      </c>
    </row>
    <row r="5766" spans="1:2" x14ac:dyDescent="0.25">
      <c r="A5766">
        <f ca="1">30294.2434179144*((RANDBETWEEN(1620,2416)))</f>
        <v>62981732.065843984</v>
      </c>
      <c r="B5766">
        <v>167406455.87497678</v>
      </c>
    </row>
    <row r="5767" spans="1:2" x14ac:dyDescent="0.25">
      <c r="A5767">
        <f ca="1">39972.9403280327*((RANDBETWEEN(1620,2416)))</f>
        <v>72910643.158331692</v>
      </c>
      <c r="B5767">
        <v>145807002.6954256</v>
      </c>
    </row>
    <row r="5768" spans="1:2" x14ac:dyDescent="0.25">
      <c r="A5768">
        <f ca="1">31361.1323799833*((RANDBETWEEN(1620,2416)))</f>
        <v>57265427.725849479</v>
      </c>
      <c r="B5768">
        <v>149299020.41233671</v>
      </c>
    </row>
    <row r="5769" spans="1:2" x14ac:dyDescent="0.25">
      <c r="A5769">
        <f ca="1">32108.9119029334*((RANDBETWEEN(1620,2416)))</f>
        <v>61295912.822699912</v>
      </c>
      <c r="B5769">
        <v>189713862.31941876</v>
      </c>
    </row>
    <row r="5770" spans="1:2" x14ac:dyDescent="0.25">
      <c r="A5770">
        <f ca="1">34164.3393104254*((RANDBETWEEN(1620,2416)))</f>
        <v>58079376.82772319</v>
      </c>
      <c r="B5770">
        <v>146687738.50074366</v>
      </c>
    </row>
    <row r="5771" spans="1:2" x14ac:dyDescent="0.25">
      <c r="A5771">
        <f ca="1">38212.9692366087*((RANDBETWEEN(1620,2416)))</f>
        <v>80820429.935427472</v>
      </c>
      <c r="B5771">
        <v>203303759.20618597</v>
      </c>
    </row>
    <row r="5772" spans="1:2" x14ac:dyDescent="0.25">
      <c r="A5772">
        <f ca="1">28632.9417634653*((RANDBETWEEN(1620,2416)))</f>
        <v>59556518.868007883</v>
      </c>
      <c r="B5772">
        <v>142924549.82325229</v>
      </c>
    </row>
    <row r="5773" spans="1:2" x14ac:dyDescent="0.25">
      <c r="A5773">
        <f ca="1">40645.6159716439*((RANDBETWEEN(1620,2416)))</f>
        <v>97346250.252087176</v>
      </c>
      <c r="B5773">
        <v>152375069.93691874</v>
      </c>
    </row>
    <row r="5774" spans="1:2" x14ac:dyDescent="0.25">
      <c r="A5774">
        <f ca="1">40785.6890408472*((RANDBETWEEN(1620,2416)))</f>
        <v>74107596.987219453</v>
      </c>
      <c r="B5774">
        <v>162746254.73710877</v>
      </c>
    </row>
    <row r="5775" spans="1:2" x14ac:dyDescent="0.25">
      <c r="A5775">
        <f ca="1">29330.4387411666*((RANDBETWEEN(1620,2416)))</f>
        <v>62708478.028614201</v>
      </c>
      <c r="B5775">
        <v>172939007.34477004</v>
      </c>
    </row>
    <row r="5776" spans="1:2" x14ac:dyDescent="0.25">
      <c r="A5776">
        <f ca="1">30423.4686133758*((RANDBETWEEN(1620,2416)))</f>
        <v>59447457.670536354</v>
      </c>
      <c r="B5776">
        <v>152036420.06763223</v>
      </c>
    </row>
    <row r="5777" spans="1:2" x14ac:dyDescent="0.25">
      <c r="A5777">
        <f ca="1">30108.0142607691*((RANDBETWEEN(1620,2416)))</f>
        <v>69188216.771247432</v>
      </c>
      <c r="B5777">
        <v>144625964.82371923</v>
      </c>
    </row>
    <row r="5778" spans="1:2" x14ac:dyDescent="0.25">
      <c r="A5778">
        <f ca="1">36371.2639659331*((RANDBETWEEN(1620,2416)))</f>
        <v>62849544.133132428</v>
      </c>
      <c r="B5778">
        <v>176503573.95330602</v>
      </c>
    </row>
    <row r="5779" spans="1:2" x14ac:dyDescent="0.25">
      <c r="A5779">
        <f ca="1">35516.8773068917*((RANDBETWEEN(1620,2416)))</f>
        <v>80836412.750485554</v>
      </c>
      <c r="B5779">
        <v>153713693.7151556</v>
      </c>
    </row>
    <row r="5780" spans="1:2" x14ac:dyDescent="0.25">
      <c r="A5780">
        <f ca="1">32552.7567765865*((RANDBETWEEN(1620,2416)))</f>
        <v>61752579.60518463</v>
      </c>
      <c r="B5780">
        <v>177471396.19631034</v>
      </c>
    </row>
    <row r="5781" spans="1:2" x14ac:dyDescent="0.25">
      <c r="A5781">
        <f ca="1">29853.1197538189*((RANDBETWEEN(1620,2416)))</f>
        <v>63796116.913911037</v>
      </c>
      <c r="B5781">
        <v>176008179.16824535</v>
      </c>
    </row>
    <row r="5782" spans="1:2" x14ac:dyDescent="0.25">
      <c r="A5782">
        <f ca="1">30787.2697532296*((RANDBETWEEN(1620,2416)))</f>
        <v>50275611.507023916</v>
      </c>
      <c r="B5782">
        <v>144435727.91177523</v>
      </c>
    </row>
    <row r="5783" spans="1:2" x14ac:dyDescent="0.25">
      <c r="A5783">
        <f ca="1">38786.0910023994*((RANDBETWEEN(1620,2416)))</f>
        <v>66556932.160117321</v>
      </c>
      <c r="B5783">
        <v>145943762.27158511</v>
      </c>
    </row>
    <row r="5784" spans="1:2" x14ac:dyDescent="0.25">
      <c r="A5784">
        <f ca="1">33684.9693049638*((RANDBETWEEN(1620,2416)))</f>
        <v>77138579.708367109</v>
      </c>
      <c r="B5784">
        <v>155303885.62366933</v>
      </c>
    </row>
    <row r="5785" spans="1:2" x14ac:dyDescent="0.25">
      <c r="A5785">
        <f ca="1">31130.5536869709*((RANDBETWEEN(1620,2416)))</f>
        <v>74868981.617165044</v>
      </c>
      <c r="B5785">
        <v>164200528.87918171</v>
      </c>
    </row>
    <row r="5786" spans="1:2" x14ac:dyDescent="0.25">
      <c r="A5786">
        <f ca="1">30150.4265576979*((RANDBETWEEN(1620,2416)))</f>
        <v>50682867.043490253</v>
      </c>
      <c r="B5786">
        <v>199328929.68124214</v>
      </c>
    </row>
    <row r="5787" spans="1:2" x14ac:dyDescent="0.25">
      <c r="A5787">
        <f ca="1">33417.4106384198*((RANDBETWEEN(1620,2416)))</f>
        <v>61521452.98533076</v>
      </c>
      <c r="B5787">
        <v>189999313.01704764</v>
      </c>
    </row>
    <row r="5788" spans="1:2" x14ac:dyDescent="0.25">
      <c r="A5788">
        <f ca="1">39290.7746367742*((RANDBETWEEN(1620,2416)))</f>
        <v>94612185.325352326</v>
      </c>
      <c r="B5788">
        <v>163757838.05872267</v>
      </c>
    </row>
    <row r="5789" spans="1:2" x14ac:dyDescent="0.25">
      <c r="A5789">
        <f ca="1">32757.3193407219*((RANDBETWEEN(1620,2416)))</f>
        <v>65056036.2106736</v>
      </c>
      <c r="B5789">
        <v>191689005.43113235</v>
      </c>
    </row>
    <row r="5790" spans="1:2" x14ac:dyDescent="0.25">
      <c r="A5790">
        <f ca="1">31285.4996077653*((RANDBETWEEN(1620,2416)))</f>
        <v>70642658.114334121</v>
      </c>
      <c r="B5790">
        <v>147990024.1594319</v>
      </c>
    </row>
    <row r="5791" spans="1:2" x14ac:dyDescent="0.25">
      <c r="A5791">
        <f ca="1">35492.8557459523*((RANDBETWEEN(1620,2416)))</f>
        <v>79433011.159441307</v>
      </c>
      <c r="B5791">
        <v>195464769.71853811</v>
      </c>
    </row>
    <row r="5792" spans="1:2" x14ac:dyDescent="0.25">
      <c r="A5792">
        <f ca="1">30458.7746632734*((RANDBETWEEN(1620,2416)))</f>
        <v>59455528.142709598</v>
      </c>
      <c r="B5792">
        <v>168767077.28435394</v>
      </c>
    </row>
    <row r="5793" spans="1:2" x14ac:dyDescent="0.25">
      <c r="A5793">
        <f ca="1">31324.9070886985*((RANDBETWEEN(1620,2416)))</f>
        <v>54849912.312311046</v>
      </c>
      <c r="B5793">
        <v>176686262.7605134</v>
      </c>
    </row>
    <row r="5794" spans="1:2" x14ac:dyDescent="0.25">
      <c r="A5794">
        <f ca="1">31612.7309676594*((RANDBETWEEN(1620,2416)))</f>
        <v>55543568.310177498</v>
      </c>
      <c r="B5794">
        <v>160395745.33994123</v>
      </c>
    </row>
    <row r="5795" spans="1:2" x14ac:dyDescent="0.25">
      <c r="A5795">
        <f ca="1">36133.3070106736*((RANDBETWEEN(1620,2416)))</f>
        <v>61824088.295262501</v>
      </c>
      <c r="B5795">
        <v>195032783.29859218</v>
      </c>
    </row>
    <row r="5796" spans="1:2" x14ac:dyDescent="0.25">
      <c r="A5796">
        <f ca="1">31606.6131892487*((RANDBETWEEN(1620,2416)))</f>
        <v>53509996.129398063</v>
      </c>
      <c r="B5796">
        <v>156463301.65734166</v>
      </c>
    </row>
    <row r="5797" spans="1:2" x14ac:dyDescent="0.25">
      <c r="A5797">
        <f ca="1">30748.1600117695*((RANDBETWEEN(1620,2416)))</f>
        <v>64109913.624539435</v>
      </c>
      <c r="B5797">
        <v>179999943.60114765</v>
      </c>
    </row>
    <row r="5798" spans="1:2" x14ac:dyDescent="0.25">
      <c r="A5798">
        <f ca="1">32131.8497809657*((RANDBETWEEN(1620,2416)))</f>
        <v>70079564.372286201</v>
      </c>
      <c r="B5798">
        <v>185577469.45564556</v>
      </c>
    </row>
    <row r="5799" spans="1:2" x14ac:dyDescent="0.25">
      <c r="A5799">
        <f ca="1">32539.4538708949*((RANDBETWEEN(1620,2416)))</f>
        <v>68463010.944362938</v>
      </c>
      <c r="B5799">
        <v>158416391.41576198</v>
      </c>
    </row>
    <row r="5800" spans="1:2" x14ac:dyDescent="0.25">
      <c r="A5800">
        <f ca="1">31506.871036608*((RANDBETWEEN(1620,2416)))</f>
        <v>54317845.667112216</v>
      </c>
      <c r="B5800">
        <v>174676177.00147617</v>
      </c>
    </row>
    <row r="5801" spans="1:2" x14ac:dyDescent="0.25">
      <c r="A5801">
        <f ca="1">33455.5917268928*((RANDBETWEEN(1620,2416)))</f>
        <v>67781028.838684902</v>
      </c>
      <c r="B5801">
        <v>152689333.53814548</v>
      </c>
    </row>
    <row r="5802" spans="1:2" x14ac:dyDescent="0.25">
      <c r="A5802">
        <f ca="1">32426.6995368212*((RANDBETWEEN(1620,2416)))</f>
        <v>77143118.198097512</v>
      </c>
      <c r="B5802">
        <v>170626029.11444119</v>
      </c>
    </row>
    <row r="5803" spans="1:2" x14ac:dyDescent="0.25">
      <c r="A5803">
        <f ca="1">39850.1303833308*((RANDBETWEEN(1620,2416)))</f>
        <v>72367836.776128709</v>
      </c>
      <c r="B5803">
        <v>192589732.69891065</v>
      </c>
    </row>
    <row r="5804" spans="1:2" x14ac:dyDescent="0.25">
      <c r="A5804">
        <f ca="1">29619.2079358493*((RANDBETWEEN(1620,2416)))</f>
        <v>48308928.143370152</v>
      </c>
      <c r="B5804">
        <v>152680385.63757402</v>
      </c>
    </row>
    <row r="5805" spans="1:2" x14ac:dyDescent="0.25">
      <c r="A5805">
        <f ca="1">36922.4001988102*((RANDBETWEEN(1620,2416)))</f>
        <v>69672569.175154939</v>
      </c>
      <c r="B5805">
        <v>196909116.11377138</v>
      </c>
    </row>
    <row r="5806" spans="1:2" x14ac:dyDescent="0.25">
      <c r="A5806">
        <f ca="1">38466.7847284695*((RANDBETWEEN(1620,2416)))</f>
        <v>74163960.95648931</v>
      </c>
      <c r="B5806">
        <v>187571542.01811215</v>
      </c>
    </row>
    <row r="5807" spans="1:2" x14ac:dyDescent="0.25">
      <c r="A5807">
        <f ca="1">31594.995026614*((RANDBETWEEN(1620,2416)))</f>
        <v>64043054.918946542</v>
      </c>
      <c r="B5807">
        <v>162918540.40821192</v>
      </c>
    </row>
    <row r="5808" spans="1:2" x14ac:dyDescent="0.25">
      <c r="A5808">
        <f ca="1">34658.2540078448*((RANDBETWEEN(1620,2416)))</f>
        <v>70252280.873901412</v>
      </c>
      <c r="B5808">
        <v>191218908.76969779</v>
      </c>
    </row>
    <row r="5809" spans="1:2" x14ac:dyDescent="0.25">
      <c r="A5809">
        <f ca="1">34253.2761229915*((RANDBETWEEN(1620,2416)))</f>
        <v>81694063.553334743</v>
      </c>
      <c r="B5809">
        <v>148891322.85358566</v>
      </c>
    </row>
    <row r="5810" spans="1:2" x14ac:dyDescent="0.25">
      <c r="A5810">
        <f ca="1">41179.2827632782*((RANDBETWEEN(1620,2416)))</f>
        <v>77252334.463909924</v>
      </c>
      <c r="B5810">
        <v>169153736.84020367</v>
      </c>
    </row>
    <row r="5811" spans="1:2" x14ac:dyDescent="0.25">
      <c r="A5811">
        <f ca="1">29155.6302832099*((RANDBETWEEN(1620,2416)))</f>
        <v>53179869.636574946</v>
      </c>
      <c r="B5811">
        <v>163386753.178518</v>
      </c>
    </row>
    <row r="5812" spans="1:2" x14ac:dyDescent="0.25">
      <c r="A5812">
        <f ca="1">29178.2424917269*((RANDBETWEEN(1620,2416)))</f>
        <v>51207815.572980776</v>
      </c>
      <c r="B5812">
        <v>153977325.88279551</v>
      </c>
    </row>
    <row r="5813" spans="1:2" x14ac:dyDescent="0.25">
      <c r="A5813">
        <f ca="1">39082.6711126339*((RANDBETWEEN(1620,2416)))</f>
        <v>70622386.700529516</v>
      </c>
      <c r="B5813">
        <v>194196647.13293788</v>
      </c>
    </row>
    <row r="5814" spans="1:2" x14ac:dyDescent="0.25">
      <c r="A5814">
        <f ca="1">34102.5929755156*((RANDBETWEEN(1620,2416)))</f>
        <v>70899290.796096966</v>
      </c>
      <c r="B5814">
        <v>156255217.48719338</v>
      </c>
    </row>
    <row r="5815" spans="1:2" x14ac:dyDescent="0.25">
      <c r="A5815">
        <f ca="1">31994.1942821839*((RANDBETWEEN(1620,2416)))</f>
        <v>61844777.54746154</v>
      </c>
      <c r="B5815">
        <v>147433481.98936352</v>
      </c>
    </row>
    <row r="5816" spans="1:2" x14ac:dyDescent="0.25">
      <c r="A5816">
        <f ca="1">32146.3531356608*((RANDBETWEEN(1620,2416)))</f>
        <v>63328315.677251726</v>
      </c>
      <c r="B5816">
        <v>148735723.2229197</v>
      </c>
    </row>
    <row r="5817" spans="1:2" x14ac:dyDescent="0.25">
      <c r="A5817">
        <f ca="1">38965.0287889009*((RANDBETWEEN(1620,2416)))</f>
        <v>67643289.97753194</v>
      </c>
      <c r="B5817">
        <v>170996279.71340242</v>
      </c>
    </row>
    <row r="5818" spans="1:2" x14ac:dyDescent="0.25">
      <c r="A5818">
        <f ca="1">28654.1479489998*((RANDBETWEEN(1620,2416)))</f>
        <v>65990502.726546563</v>
      </c>
      <c r="B5818">
        <v>153384860.88209084</v>
      </c>
    </row>
    <row r="5819" spans="1:2" x14ac:dyDescent="0.25">
      <c r="A5819">
        <f ca="1">31902.4151657258*((RANDBETWEEN(1620,2416)))</f>
        <v>73056530.729512155</v>
      </c>
      <c r="B5819">
        <v>165640076.03835845</v>
      </c>
    </row>
    <row r="5820" spans="1:2" x14ac:dyDescent="0.25">
      <c r="A5820">
        <f ca="1">35028.7702921981*((RANDBETWEEN(1620,2416)))</f>
        <v>59618967.037321098</v>
      </c>
      <c r="B5820">
        <v>163876668.47784179</v>
      </c>
    </row>
    <row r="5821" spans="1:2" x14ac:dyDescent="0.25">
      <c r="A5821">
        <f ca="1">37139.8797926758*((RANDBETWEEN(1620,2416)))</f>
        <v>80556399.270313725</v>
      </c>
      <c r="B5821">
        <v>161830688.45668492</v>
      </c>
    </row>
    <row r="5822" spans="1:2" x14ac:dyDescent="0.25">
      <c r="A5822">
        <f ca="1">32309.3002432147*((RANDBETWEEN(1620,2416)))</f>
        <v>70628130.331667259</v>
      </c>
      <c r="B5822">
        <v>158670754.01795354</v>
      </c>
    </row>
    <row r="5823" spans="1:2" x14ac:dyDescent="0.25">
      <c r="A5823">
        <f ca="1">30638.3129079936*((RANDBETWEEN(1620,2416)))</f>
        <v>73777057.482448578</v>
      </c>
      <c r="B5823">
        <v>182237788.01802713</v>
      </c>
    </row>
    <row r="5824" spans="1:2" x14ac:dyDescent="0.25">
      <c r="A5824">
        <f ca="1">32269.1135896394*((RANDBETWEEN(1620,2416)))</f>
        <v>54212110.830594145</v>
      </c>
      <c r="B5824">
        <v>143877027.22707599</v>
      </c>
    </row>
    <row r="5825" spans="1:2" x14ac:dyDescent="0.25">
      <c r="A5825">
        <f ca="1">31887.5407588741*((RANDBETWEEN(1620,2416)))</f>
        <v>55484320.920440912</v>
      </c>
      <c r="B5825">
        <v>166229364.46741441</v>
      </c>
    </row>
    <row r="5826" spans="1:2" x14ac:dyDescent="0.25">
      <c r="A5826">
        <f ca="1">31687.2354653325*((RANDBETWEEN(1620,2416)))</f>
        <v>62677351.750427648</v>
      </c>
      <c r="B5826">
        <v>152451313.00896958</v>
      </c>
    </row>
    <row r="5827" spans="1:2" x14ac:dyDescent="0.25">
      <c r="A5827">
        <f ca="1">29557.4609155546*((RANDBETWEEN(1620,2416)))</f>
        <v>58198640.542727038</v>
      </c>
      <c r="B5827">
        <v>183485576.9379451</v>
      </c>
    </row>
    <row r="5828" spans="1:2" x14ac:dyDescent="0.25">
      <c r="A5828">
        <f ca="1">39619.4320130972*((RANDBETWEEN(1620,2416)))</f>
        <v>89579535.781612664</v>
      </c>
      <c r="B5828">
        <v>155836485.44916064</v>
      </c>
    </row>
    <row r="5829" spans="1:2" x14ac:dyDescent="0.25">
      <c r="A5829">
        <f ca="1">30455.9983741094*((RANDBETWEEN(1620,2416)))</f>
        <v>71419316.187286556</v>
      </c>
      <c r="B5829">
        <v>160617408.26315525</v>
      </c>
    </row>
    <row r="5830" spans="1:2" x14ac:dyDescent="0.25">
      <c r="A5830">
        <f ca="1">31039.1495974387*((RANDBETWEEN(1620,2416)))</f>
        <v>73035119.00277333</v>
      </c>
      <c r="B5830">
        <v>155438440.96152818</v>
      </c>
    </row>
    <row r="5831" spans="1:2" x14ac:dyDescent="0.25">
      <c r="A5831">
        <f ca="1">32489.1531354197*((RANDBETWEEN(1620,2416)))</f>
        <v>73555442.698590204</v>
      </c>
      <c r="B5831">
        <v>149626631.59063214</v>
      </c>
    </row>
    <row r="5832" spans="1:2" x14ac:dyDescent="0.25">
      <c r="A5832">
        <f ca="1">30261.0723789404*((RANDBETWEEN(1620,2416)))</f>
        <v>54106797.413545378</v>
      </c>
      <c r="B5832">
        <v>195822203.03829944</v>
      </c>
    </row>
    <row r="5833" spans="1:2" x14ac:dyDescent="0.25">
      <c r="A5833">
        <f ca="1">33873.6730347565*((RANDBETWEEN(1620,2416)))</f>
        <v>59482169.849032432</v>
      </c>
      <c r="B5833">
        <v>151736341.80030361</v>
      </c>
    </row>
    <row r="5834" spans="1:2" x14ac:dyDescent="0.25">
      <c r="A5834">
        <f ca="1">36259.3615264206*((RANDBETWEEN(1620,2416)))</f>
        <v>64179069.901764378</v>
      </c>
      <c r="B5834">
        <v>160654135.07843587</v>
      </c>
    </row>
    <row r="5835" spans="1:2" x14ac:dyDescent="0.25">
      <c r="A5835">
        <f ca="1">38171.1149313215*((RANDBETWEEN(1620,2416)))</f>
        <v>83823768.389181972</v>
      </c>
      <c r="B5835">
        <v>155988841.18843099</v>
      </c>
    </row>
    <row r="5836" spans="1:2" x14ac:dyDescent="0.25">
      <c r="A5836">
        <f ca="1">29093.8624377874*((RANDBETWEEN(1620,2416)))</f>
        <v>56558468.579058617</v>
      </c>
      <c r="B5836">
        <v>183263846.70916963</v>
      </c>
    </row>
    <row r="5837" spans="1:2" x14ac:dyDescent="0.25">
      <c r="A5837">
        <f ca="1">28260.4230751071*((RANDBETWEEN(1620,2416)))</f>
        <v>58018648.573194847</v>
      </c>
      <c r="B5837">
        <v>148434228.96565309</v>
      </c>
    </row>
    <row r="5838" spans="1:2" x14ac:dyDescent="0.25">
      <c r="A5838">
        <f ca="1">31555.0811036729*((RANDBETWEEN(1620,2416)))</f>
        <v>61847958.963198811</v>
      </c>
      <c r="B5838">
        <v>147737303.89229017</v>
      </c>
    </row>
    <row r="5839" spans="1:2" x14ac:dyDescent="0.25">
      <c r="A5839">
        <f ca="1">30995.4298294519*((RANDBETWEEN(1620,2416)))</f>
        <v>69646730.826778382</v>
      </c>
      <c r="B5839">
        <v>191092542.17614153</v>
      </c>
    </row>
    <row r="5840" spans="1:2" x14ac:dyDescent="0.25">
      <c r="A5840">
        <f ca="1">33964.8207969089*((RANDBETWEEN(1620,2416)))</f>
        <v>61578220.104795888</v>
      </c>
      <c r="B5840">
        <v>178708596.25772855</v>
      </c>
    </row>
    <row r="5841" spans="1:2" x14ac:dyDescent="0.25">
      <c r="A5841">
        <f ca="1">32590.282389334*((RANDBETWEEN(1620,2416)))</f>
        <v>65376106.473004095</v>
      </c>
      <c r="B5841">
        <v>149485738.11200312</v>
      </c>
    </row>
    <row r="5842" spans="1:2" x14ac:dyDescent="0.25">
      <c r="A5842">
        <f ca="1">30366.5509269224*((RANDBETWEEN(1620,2416)))</f>
        <v>61735198.034433216</v>
      </c>
      <c r="B5842">
        <v>143909934.71640772</v>
      </c>
    </row>
    <row r="5843" spans="1:2" x14ac:dyDescent="0.25">
      <c r="A5843">
        <f ca="1">29652.9162460301*((RANDBETWEEN(1620,2416)))</f>
        <v>68201707.365869343</v>
      </c>
      <c r="B5843">
        <v>170258722.49009687</v>
      </c>
    </row>
    <row r="5844" spans="1:2" x14ac:dyDescent="0.25">
      <c r="A5844">
        <f ca="1">33370.4050361536*((RANDBETWEEN(1620,2416)))</f>
        <v>78186858.999707907</v>
      </c>
      <c r="B5844">
        <v>169148413.56707662</v>
      </c>
    </row>
    <row r="5845" spans="1:2" x14ac:dyDescent="0.25">
      <c r="A5845">
        <f ca="1">30151.0342660209*((RANDBETWEEN(1620,2416)))</f>
        <v>51256758.252235539</v>
      </c>
      <c r="B5845">
        <v>143242896.77275914</v>
      </c>
    </row>
    <row r="5846" spans="1:2" x14ac:dyDescent="0.25">
      <c r="A5846">
        <f ca="1">31182.7383980475*((RANDBETWEEN(1620,2416)))</f>
        <v>57376238.652407378</v>
      </c>
      <c r="B5846">
        <v>145283200.74867591</v>
      </c>
    </row>
    <row r="5847" spans="1:2" x14ac:dyDescent="0.25">
      <c r="A5847">
        <f ca="1">36755.316582597*((RANDBETWEEN(1620,2416)))</f>
        <v>76230526.592306152</v>
      </c>
      <c r="B5847">
        <v>153589180.91803035</v>
      </c>
    </row>
    <row r="5848" spans="1:2" x14ac:dyDescent="0.25">
      <c r="A5848">
        <f ca="1">32178.8751395869*((RANDBETWEEN(1620,2416)))</f>
        <v>65001327.781965621</v>
      </c>
      <c r="B5848">
        <v>151889213.70008308</v>
      </c>
    </row>
    <row r="5849" spans="1:2" x14ac:dyDescent="0.25">
      <c r="A5849">
        <f ca="1">28314.0174687436*((RANDBETWEEN(1620,2416)))</f>
        <v>52012850.090081945</v>
      </c>
      <c r="B5849">
        <v>148980568.0050222</v>
      </c>
    </row>
    <row r="5850" spans="1:2" x14ac:dyDescent="0.25">
      <c r="A5850">
        <f ca="1">31825.3501948065*((RANDBETWEEN(1620,2416)))</f>
        <v>55344283.988768518</v>
      </c>
      <c r="B5850">
        <v>167253233.00010246</v>
      </c>
    </row>
    <row r="5851" spans="1:2" x14ac:dyDescent="0.25">
      <c r="A5851">
        <f ca="1">32568.9620321246*((RANDBETWEEN(1620,2416)))</f>
        <v>73736130.040730074</v>
      </c>
      <c r="B5851">
        <v>162925299.70889279</v>
      </c>
    </row>
    <row r="5852" spans="1:2" x14ac:dyDescent="0.25">
      <c r="A5852">
        <f ca="1">40688.8004405412*((RANDBETWEEN(1620,2416)))</f>
        <v>80156936.867866233</v>
      </c>
      <c r="B5852">
        <v>203102953.65726516</v>
      </c>
    </row>
    <row r="5853" spans="1:2" x14ac:dyDescent="0.25">
      <c r="A5853">
        <f ca="1">36188.4048530143*((RANDBETWEEN(1620,2416)))</f>
        <v>64017288.184982307</v>
      </c>
      <c r="B5853">
        <v>179567754.19888204</v>
      </c>
    </row>
    <row r="5854" spans="1:2" x14ac:dyDescent="0.25">
      <c r="A5854">
        <f ca="1">34920.6032916289*((RANDBETWEEN(1620,2416)))</f>
        <v>79409451.885164171</v>
      </c>
      <c r="B5854">
        <v>177776639.23397416</v>
      </c>
    </row>
    <row r="5855" spans="1:2" x14ac:dyDescent="0.25">
      <c r="A5855">
        <f ca="1">29589.8293093917*((RANDBETWEEN(1620,2416)))</f>
        <v>59416377.253258497</v>
      </c>
      <c r="B5855">
        <v>148678294.07680929</v>
      </c>
    </row>
    <row r="5856" spans="1:2" x14ac:dyDescent="0.25">
      <c r="A5856">
        <f ca="1">30732.3258285966*((RANDBETWEEN(1620,2416)))</f>
        <v>58944600.939248346</v>
      </c>
      <c r="B5856">
        <v>183054680.65181082</v>
      </c>
    </row>
    <row r="5857" spans="1:2" x14ac:dyDescent="0.25">
      <c r="A5857">
        <f ca="1">31726.7174128413*((RANDBETWEEN(1620,2416)))</f>
        <v>55997656.23366496</v>
      </c>
      <c r="B5857">
        <v>165592659.18898755</v>
      </c>
    </row>
    <row r="5858" spans="1:2" x14ac:dyDescent="0.25">
      <c r="A5858">
        <f ca="1">34847.9791181033*((RANDBETWEEN(1620,2416)))</f>
        <v>65026329.034380771</v>
      </c>
      <c r="B5858">
        <v>149523922.00776049</v>
      </c>
    </row>
    <row r="5859" spans="1:2" x14ac:dyDescent="0.25">
      <c r="A5859">
        <f ca="1">28250.6901897097*((RANDBETWEEN(1620,2416)))</f>
        <v>52687537.203808613</v>
      </c>
      <c r="B5859">
        <v>151342571.76125363</v>
      </c>
    </row>
    <row r="5860" spans="1:2" x14ac:dyDescent="0.25">
      <c r="A5860">
        <f ca="1">33398.8069490396*((RANDBETWEEN(1620,2416)))</f>
        <v>77919416.612109587</v>
      </c>
      <c r="B5860">
        <v>150819824.77463192</v>
      </c>
    </row>
    <row r="5861" spans="1:2" x14ac:dyDescent="0.25">
      <c r="A5861">
        <f ca="1">37622.8140398503*((RANDBETWEEN(1620,2416)))</f>
        <v>70241793.812400475</v>
      </c>
      <c r="B5861">
        <v>178405744.15121338</v>
      </c>
    </row>
    <row r="5862" spans="1:2" x14ac:dyDescent="0.25">
      <c r="A5862">
        <f ca="1">34818.55767258*((RANDBETWEEN(1620,2416)))</f>
        <v>66921267.846698746</v>
      </c>
      <c r="B5862">
        <v>157925597.50837344</v>
      </c>
    </row>
    <row r="5863" spans="1:2" x14ac:dyDescent="0.25">
      <c r="A5863">
        <f ca="1">29912.4348451156*((RANDBETWEEN(1620,2416)))</f>
        <v>69456673.710358471</v>
      </c>
      <c r="B5863">
        <v>143286874.41851062</v>
      </c>
    </row>
    <row r="5864" spans="1:2" x14ac:dyDescent="0.25">
      <c r="A5864">
        <f ca="1">29207.919194368*((RANDBETWEEN(1620,2416)))</f>
        <v>67937620.04610002</v>
      </c>
      <c r="B5864">
        <v>190670612.21571872</v>
      </c>
    </row>
    <row r="5865" spans="1:2" x14ac:dyDescent="0.25">
      <c r="A5865">
        <f ca="1">32160.2952005782*((RANDBETWEEN(1620,2416)))</f>
        <v>59657347.597072631</v>
      </c>
      <c r="B5865">
        <v>158704749.44430262</v>
      </c>
    </row>
    <row r="5866" spans="1:2" x14ac:dyDescent="0.25">
      <c r="A5866">
        <f ca="1">31057.5168270665*((RANDBETWEEN(1620,2416)))</f>
        <v>59413029.690178305</v>
      </c>
      <c r="B5866">
        <v>144732462.90101627</v>
      </c>
    </row>
    <row r="5867" spans="1:2" x14ac:dyDescent="0.25">
      <c r="A5867">
        <f ca="1">33444.7384955084*((RANDBETWEEN(1620,2416)))</f>
        <v>55652044.856525898</v>
      </c>
      <c r="B5867">
        <v>144424622.05136913</v>
      </c>
    </row>
    <row r="5868" spans="1:2" x14ac:dyDescent="0.25">
      <c r="A5868">
        <f ca="1">28837.1060627301*((RANDBETWEEN(1620,2416)))</f>
        <v>59606298.231663071</v>
      </c>
      <c r="B5868">
        <v>177849563.42507255</v>
      </c>
    </row>
    <row r="5869" spans="1:2" x14ac:dyDescent="0.25">
      <c r="A5869">
        <f ca="1">36989.8747128941*((RANDBETWEEN(1620,2416)))</f>
        <v>82080531.987912089</v>
      </c>
      <c r="B5869">
        <v>154101235.1797381</v>
      </c>
    </row>
    <row r="5870" spans="1:2" x14ac:dyDescent="0.25">
      <c r="A5870">
        <f ca="1">41714.3095205272*((RANDBETWEEN(1620,2416)))</f>
        <v>95525768.802007362</v>
      </c>
      <c r="B5870">
        <v>178469560.95062715</v>
      </c>
    </row>
    <row r="5871" spans="1:2" x14ac:dyDescent="0.25">
      <c r="A5871">
        <f ca="1">33527.5141685809*((RANDBETWEEN(1620,2416)))</f>
        <v>62562341.438572139</v>
      </c>
      <c r="B5871">
        <v>165742547.92448851</v>
      </c>
    </row>
    <row r="5872" spans="1:2" x14ac:dyDescent="0.25">
      <c r="A5872">
        <f ca="1">31897.3281692339*((RANDBETWEEN(1620,2416)))</f>
        <v>59807490.317313604</v>
      </c>
      <c r="B5872">
        <v>161142294.24166617</v>
      </c>
    </row>
    <row r="5873" spans="1:2" x14ac:dyDescent="0.25">
      <c r="A5873">
        <f ca="1">33832.3669963416*((RANDBETWEEN(1620,2416)))</f>
        <v>59003648.041619755</v>
      </c>
      <c r="B5873">
        <v>198081970.5807125</v>
      </c>
    </row>
    <row r="5874" spans="1:2" x14ac:dyDescent="0.25">
      <c r="A5874">
        <f ca="1">29969.3220177086*((RANDBETWEEN(1620,2416)))</f>
        <v>68180207.590287119</v>
      </c>
      <c r="B5874">
        <v>163974847.87598816</v>
      </c>
    </row>
    <row r="5875" spans="1:2" x14ac:dyDescent="0.25">
      <c r="A5875">
        <f ca="1">31505.4550847194*((RANDBETWEEN(1620,2416)))</f>
        <v>52708626.356735528</v>
      </c>
      <c r="B5875">
        <v>164994503.68593284</v>
      </c>
    </row>
    <row r="5876" spans="1:2" x14ac:dyDescent="0.25">
      <c r="A5876">
        <f ca="1">29564.1183255731*((RANDBETWEEN(1620,2416)))</f>
        <v>67317497.427330047</v>
      </c>
      <c r="B5876">
        <v>154702750.86394131</v>
      </c>
    </row>
    <row r="5877" spans="1:2" x14ac:dyDescent="0.25">
      <c r="A5877">
        <f ca="1">35438.3179365504*((RANDBETWEEN(1620,2416)))</f>
        <v>61981618.071026564</v>
      </c>
      <c r="B5877">
        <v>195915490.5075379</v>
      </c>
    </row>
    <row r="5878" spans="1:2" x14ac:dyDescent="0.25">
      <c r="A5878">
        <f ca="1">31504.3126641122*((RANDBETWEEN(1620,2416)))</f>
        <v>68269845.543131053</v>
      </c>
      <c r="B5878">
        <v>192829686.10947949</v>
      </c>
    </row>
    <row r="5879" spans="1:2" x14ac:dyDescent="0.25">
      <c r="A5879">
        <f ca="1">30402.2306950104*((RANDBETWEEN(1620,2416)))</f>
        <v>61564517.157396019</v>
      </c>
      <c r="B5879">
        <v>158167950.10360307</v>
      </c>
    </row>
    <row r="5880" spans="1:2" x14ac:dyDescent="0.25">
      <c r="A5880">
        <f ca="1">33274.735548277*((RANDBETWEEN(1620,2416)))</f>
        <v>76997738.058712929</v>
      </c>
      <c r="B5880">
        <v>196789242.89785179</v>
      </c>
    </row>
    <row r="5881" spans="1:2" x14ac:dyDescent="0.25">
      <c r="A5881">
        <f ca="1">34372.1871115005*((RANDBETWEEN(1620,2416)))</f>
        <v>81290222.518698782</v>
      </c>
      <c r="B5881">
        <v>159184618.07963857</v>
      </c>
    </row>
    <row r="5882" spans="1:2" x14ac:dyDescent="0.25">
      <c r="A5882">
        <f ca="1">33772.1153527834*((RANDBETWEEN(1620,2416)))</f>
        <v>80175001.847507715</v>
      </c>
      <c r="B5882">
        <v>145387470.33166197</v>
      </c>
    </row>
    <row r="5883" spans="1:2" x14ac:dyDescent="0.25">
      <c r="A5883">
        <f ca="1">31182.4361010348*((RANDBETWEEN(1620,2416)))</f>
        <v>67697068.775346473</v>
      </c>
      <c r="B5883">
        <v>158033557.37156457</v>
      </c>
    </row>
    <row r="5884" spans="1:2" x14ac:dyDescent="0.25">
      <c r="A5884">
        <f ca="1">39811.0606281704*((RANDBETWEEN(1620,2416)))</f>
        <v>91923738.990445435</v>
      </c>
      <c r="B5884">
        <v>167112524.79769981</v>
      </c>
    </row>
    <row r="5885" spans="1:2" x14ac:dyDescent="0.25">
      <c r="A5885">
        <f ca="1">31640.9847183484*((RANDBETWEEN(1620,2416)))</f>
        <v>53568187.128163792</v>
      </c>
      <c r="B5885">
        <v>197578658.39057472</v>
      </c>
    </row>
    <row r="5886" spans="1:2" x14ac:dyDescent="0.25">
      <c r="A5886">
        <f ca="1">33658.2045234312*((RANDBETWEEN(1620,2416)))</f>
        <v>54761898.759622484</v>
      </c>
      <c r="B5886">
        <v>184159093.76080227</v>
      </c>
    </row>
    <row r="5887" spans="1:2" x14ac:dyDescent="0.25">
      <c r="A5887">
        <f ca="1">39192.1235858301*((RANDBETWEEN(1620,2416)))</f>
        <v>93473214.752204895</v>
      </c>
      <c r="B5887">
        <v>191004503.05504519</v>
      </c>
    </row>
    <row r="5888" spans="1:2" x14ac:dyDescent="0.25">
      <c r="A5888">
        <f ca="1">30478.7783752461*((RANDBETWEEN(1620,2416)))</f>
        <v>56446697.550955743</v>
      </c>
      <c r="B5888">
        <v>161967361.83985466</v>
      </c>
    </row>
    <row r="5889" spans="1:2" x14ac:dyDescent="0.25">
      <c r="A5889">
        <f ca="1">31253.5152826068*((RANDBETWEEN(1620,2416)))</f>
        <v>71758071.088865101</v>
      </c>
      <c r="B5889">
        <v>197958023.20940721</v>
      </c>
    </row>
    <row r="5890" spans="1:2" x14ac:dyDescent="0.25">
      <c r="A5890">
        <f ca="1">32153.5375713517*((RANDBETWEEN(1620,2416)))</f>
        <v>77039876.020958632</v>
      </c>
      <c r="B5890">
        <v>158036297.34730968</v>
      </c>
    </row>
    <row r="5891" spans="1:2" x14ac:dyDescent="0.25">
      <c r="A5891">
        <f ca="1">35101.8983839964*((RANDBETWEEN(1620,2416)))</f>
        <v>83612721.950679421</v>
      </c>
      <c r="B5891">
        <v>172883193.20053592</v>
      </c>
    </row>
    <row r="5892" spans="1:2" x14ac:dyDescent="0.25">
      <c r="A5892">
        <f ca="1">32214.0779047898*((RANDBETWEEN(1620,2416)))</f>
        <v>70838757.31263271</v>
      </c>
      <c r="B5892">
        <v>152128611.04341221</v>
      </c>
    </row>
    <row r="5893" spans="1:2" x14ac:dyDescent="0.25">
      <c r="A5893">
        <f ca="1">33230.3688348662*((RANDBETWEEN(1620,2416)))</f>
        <v>63270622.261585213</v>
      </c>
      <c r="B5893">
        <v>195789518.72793236</v>
      </c>
    </row>
    <row r="5894" spans="1:2" x14ac:dyDescent="0.25">
      <c r="A5894">
        <f ca="1">28889.2434674642*((RANDBETWEEN(1620,2416)))</f>
        <v>52722869.328122087</v>
      </c>
      <c r="B5894">
        <v>157227445.08175099</v>
      </c>
    </row>
    <row r="5895" spans="1:2" x14ac:dyDescent="0.25">
      <c r="A5895">
        <f ca="1">36950.5126840172*((RANDBETWEEN(1620,2416)))</f>
        <v>75896353.052971274</v>
      </c>
      <c r="B5895">
        <v>180442811.04855019</v>
      </c>
    </row>
    <row r="5896" spans="1:2" x14ac:dyDescent="0.25">
      <c r="A5896">
        <f ca="1">32668.4451092082*((RANDBETWEEN(1620,2416)))</f>
        <v>72687290.367988318</v>
      </c>
      <c r="B5896">
        <v>148997569.35547742</v>
      </c>
    </row>
    <row r="5897" spans="1:2" x14ac:dyDescent="0.25">
      <c r="A5897">
        <f ca="1">32132.5625109233*((RANDBETWEEN(1620,2416)))</f>
        <v>53982705.018351093</v>
      </c>
      <c r="B5897">
        <v>203571803.93949997</v>
      </c>
    </row>
    <row r="5898" spans="1:2" x14ac:dyDescent="0.25">
      <c r="A5898">
        <f ca="1">30761.5607324647*((RANDBETWEEN(1620,2416)))</f>
        <v>70966920.609796107</v>
      </c>
      <c r="B5898">
        <v>166005549.91164303</v>
      </c>
    </row>
    <row r="5899" spans="1:2" x14ac:dyDescent="0.25">
      <c r="A5899">
        <f ca="1">30769.1569403619*((RANDBETWEEN(1620,2416)))</f>
        <v>61846005.450127356</v>
      </c>
      <c r="B5899">
        <v>143631985.4261395</v>
      </c>
    </row>
    <row r="5900" spans="1:2" x14ac:dyDescent="0.25">
      <c r="A5900">
        <f ca="1">34266.0309432008*((RANDBETWEEN(1620,2416)))</f>
        <v>70108299.309788764</v>
      </c>
      <c r="B5900">
        <v>189342642.17168817</v>
      </c>
    </row>
    <row r="5901" spans="1:2" x14ac:dyDescent="0.25">
      <c r="A5901">
        <f ca="1">30116.7051282583*((RANDBETWEEN(1620,2416)))</f>
        <v>60233410.256516628</v>
      </c>
      <c r="B5901">
        <v>194207887.77593157</v>
      </c>
    </row>
    <row r="5902" spans="1:2" x14ac:dyDescent="0.25">
      <c r="A5902">
        <f ca="1">32278.3734283566*((RANDBETWEEN(1620,2416)))</f>
        <v>55938421.151342064</v>
      </c>
      <c r="B5902">
        <v>165893913.12871653</v>
      </c>
    </row>
    <row r="5903" spans="1:2" x14ac:dyDescent="0.25">
      <c r="A5903">
        <f ca="1">33496.5311274879*((RANDBETWEEN(1620,2416)))</f>
        <v>79956219.801313743</v>
      </c>
      <c r="B5903">
        <v>149877170.13626665</v>
      </c>
    </row>
    <row r="5904" spans="1:2" x14ac:dyDescent="0.25">
      <c r="A5904">
        <f ca="1">32427.0118663273*((RANDBETWEEN(1620,2416)))</f>
        <v>62616559.913878046</v>
      </c>
      <c r="B5904">
        <v>155681353.08972567</v>
      </c>
    </row>
    <row r="5905" spans="1:2" x14ac:dyDescent="0.25">
      <c r="A5905">
        <f ca="1">31355.6321426036*((RANDBETWEEN(1620,2416)))</f>
        <v>74814538.292252287</v>
      </c>
      <c r="B5905">
        <v>182014423.86550489</v>
      </c>
    </row>
    <row r="5906" spans="1:2" x14ac:dyDescent="0.25">
      <c r="A5906">
        <f ca="1">32336.0147138395*((RANDBETWEEN(1620,2416)))</f>
        <v>61729452.088719577</v>
      </c>
      <c r="B5906">
        <v>188455347.99231791</v>
      </c>
    </row>
    <row r="5907" spans="1:2" x14ac:dyDescent="0.25">
      <c r="A5907">
        <f ca="1">39083.7612853453*((RANDBETWEEN(1620,2416)))</f>
        <v>83443830.344212279</v>
      </c>
      <c r="B5907">
        <v>189698640.90272129</v>
      </c>
    </row>
    <row r="5908" spans="1:2" x14ac:dyDescent="0.25">
      <c r="A5908">
        <f ca="1">34381.3004484063*((RANDBETWEEN(1620,2416)))</f>
        <v>61680053.004440978</v>
      </c>
      <c r="B5908">
        <v>198349431.61200917</v>
      </c>
    </row>
    <row r="5909" spans="1:2" x14ac:dyDescent="0.25">
      <c r="A5909">
        <f ca="1">31843.7080999902*((RANDBETWEEN(1620,2416)))</f>
        <v>54994083.888683081</v>
      </c>
      <c r="B5909">
        <v>172652966.23338455</v>
      </c>
    </row>
    <row r="5910" spans="1:2" x14ac:dyDescent="0.25">
      <c r="A5910">
        <f ca="1">31251.4763421362*((RANDBETWEEN(1620,2416)))</f>
        <v>62221689.397193231</v>
      </c>
      <c r="B5910">
        <v>152495531.34768251</v>
      </c>
    </row>
    <row r="5911" spans="1:2" x14ac:dyDescent="0.25">
      <c r="A5911">
        <f ca="1">30985.7503164539*((RANDBETWEEN(1620,2416)))</f>
        <v>70337653.21835044</v>
      </c>
      <c r="B5911">
        <v>146100498.79356721</v>
      </c>
    </row>
    <row r="5912" spans="1:2" x14ac:dyDescent="0.25">
      <c r="A5912">
        <f ca="1">34979.4264664667*((RANDBETWEEN(1620,2416)))</f>
        <v>81047331.12280333</v>
      </c>
      <c r="B5912">
        <v>165408620.81688243</v>
      </c>
    </row>
    <row r="5913" spans="1:2" x14ac:dyDescent="0.25">
      <c r="A5913">
        <f ca="1">41238.8050525482*((RANDBETWEEN(1620,2416)))</f>
        <v>81487878.783835158</v>
      </c>
      <c r="B5913">
        <v>183639752.46054733</v>
      </c>
    </row>
    <row r="5914" spans="1:2" x14ac:dyDescent="0.25">
      <c r="A5914">
        <f ca="1">42452.8670862263*((RANDBETWEEN(1620,2416)))</f>
        <v>85712338.647090971</v>
      </c>
      <c r="B5914">
        <v>197480460.83086044</v>
      </c>
    </row>
    <row r="5915" spans="1:2" x14ac:dyDescent="0.25">
      <c r="A5915">
        <f ca="1">33703.1095913127*((RANDBETWEEN(1620,2416)))</f>
        <v>72798716.717235431</v>
      </c>
      <c r="B5915">
        <v>177211061.79087096</v>
      </c>
    </row>
    <row r="5916" spans="1:2" x14ac:dyDescent="0.25">
      <c r="A5916">
        <f ca="1">31666.299124889*((RANDBETWEEN(1620,2416)))</f>
        <v>65802569.581519343</v>
      </c>
      <c r="B5916">
        <v>149851863.83994335</v>
      </c>
    </row>
    <row r="5917" spans="1:2" x14ac:dyDescent="0.25">
      <c r="A5917">
        <f ca="1">38757.108963231*((RANDBETWEEN(1620,2416)))</f>
        <v>83715355.360578969</v>
      </c>
      <c r="B5917">
        <v>159006613.10409397</v>
      </c>
    </row>
    <row r="5918" spans="1:2" x14ac:dyDescent="0.25">
      <c r="A5918">
        <f ca="1">34330.8577133602*((RANDBETWEEN(1620,2416)))</f>
        <v>68593053.711293742</v>
      </c>
      <c r="B5918">
        <v>170107568.02008361</v>
      </c>
    </row>
    <row r="5919" spans="1:2" x14ac:dyDescent="0.25">
      <c r="A5919">
        <f ca="1">32852.9596194376*((RANDBETWEEN(1620,2416)))</f>
        <v>67348567.219847068</v>
      </c>
      <c r="B5919">
        <v>143247251.7495175</v>
      </c>
    </row>
    <row r="5920" spans="1:2" x14ac:dyDescent="0.25">
      <c r="A5920">
        <f ca="1">33974.6921637273*((RANDBETWEEN(1620,2416)))</f>
        <v>56262090.223132491</v>
      </c>
      <c r="B5920">
        <v>164234398.51819223</v>
      </c>
    </row>
    <row r="5921" spans="1:2" x14ac:dyDescent="0.25">
      <c r="A5921">
        <f ca="1">39565.7194487063*((RANDBETWEEN(1620,2416)))</f>
        <v>67459551.660044312</v>
      </c>
      <c r="B5921">
        <v>149828746.54132369</v>
      </c>
    </row>
    <row r="5922" spans="1:2" x14ac:dyDescent="0.25">
      <c r="A5922">
        <f ca="1">32814.4249161883*((RANDBETWEEN(1620,2416)))</f>
        <v>75932579.256059721</v>
      </c>
      <c r="B5922">
        <v>158123524.16464704</v>
      </c>
    </row>
    <row r="5923" spans="1:2" x14ac:dyDescent="0.25">
      <c r="A5923">
        <f ca="1">30481.0146284084*((RANDBETWEEN(1620,2416)))</f>
        <v>60474333.022762299</v>
      </c>
      <c r="B5923">
        <v>170799113.28569728</v>
      </c>
    </row>
    <row r="5924" spans="1:2" x14ac:dyDescent="0.25">
      <c r="A5924">
        <f ca="1">35523.0737094915*((RANDBETWEEN(1620,2416)))</f>
        <v>78577039.0453953</v>
      </c>
      <c r="B5924">
        <v>155416476.66393912</v>
      </c>
    </row>
    <row r="5925" spans="1:2" x14ac:dyDescent="0.25">
      <c r="A5925">
        <f ca="1">38857.2628921558*((RANDBETWEEN(1620,2416)))</f>
        <v>87234555.192889839</v>
      </c>
      <c r="B5925">
        <v>173096734.91552669</v>
      </c>
    </row>
    <row r="5926" spans="1:2" x14ac:dyDescent="0.25">
      <c r="A5926">
        <f ca="1">34467.9560232586*((RANDBETWEEN(1620,2416)))</f>
        <v>72382707.64884302</v>
      </c>
      <c r="B5926">
        <v>149942603.23251593</v>
      </c>
    </row>
    <row r="5927" spans="1:2" x14ac:dyDescent="0.25">
      <c r="A5927">
        <f ca="1">28553.3384820327*((RANDBETWEEN(1620,2416)))</f>
        <v>62874451.337435894</v>
      </c>
      <c r="B5927">
        <v>171379428.9740051</v>
      </c>
    </row>
    <row r="5928" spans="1:2" x14ac:dyDescent="0.25">
      <c r="A5928">
        <f ca="1">37233.4428726976*((RANDBETWEEN(1620,2416)))</f>
        <v>86567754.679021999</v>
      </c>
      <c r="B5928">
        <v>152427841.28956082</v>
      </c>
    </row>
    <row r="5929" spans="1:2" x14ac:dyDescent="0.25">
      <c r="A5929">
        <f ca="1">31406.3887163652*((RANDBETWEEN(1620,2416)))</f>
        <v>74652985.978800133</v>
      </c>
      <c r="B5929">
        <v>146093682.48734322</v>
      </c>
    </row>
    <row r="5930" spans="1:2" x14ac:dyDescent="0.25">
      <c r="A5930">
        <f ca="1">37100.3869023205*((RANDBETWEEN(1620,2416)))</f>
        <v>80285237.256621659</v>
      </c>
      <c r="B5930">
        <v>185743420.92150125</v>
      </c>
    </row>
    <row r="5931" spans="1:2" x14ac:dyDescent="0.25">
      <c r="A5931">
        <f ca="1">34753.7620466464*((RANDBETWEEN(1620,2416)))</f>
        <v>69333755.283059478</v>
      </c>
      <c r="B5931">
        <v>151367816.23102587</v>
      </c>
    </row>
    <row r="5932" spans="1:2" x14ac:dyDescent="0.25">
      <c r="A5932">
        <f ca="1">32301.7327174159*((RANDBETWEEN(1620,2416)))</f>
        <v>61760912.955699161</v>
      </c>
      <c r="B5932">
        <v>145965084.27902514</v>
      </c>
    </row>
    <row r="5933" spans="1:2" x14ac:dyDescent="0.25">
      <c r="A5933">
        <f ca="1">30696.3460993102*((RANDBETWEEN(1620,2416)))</f>
        <v>71890842.564584553</v>
      </c>
      <c r="B5933">
        <v>171214886.82717025</v>
      </c>
    </row>
    <row r="5934" spans="1:2" x14ac:dyDescent="0.25">
      <c r="A5934">
        <f ca="1">31873.9283323157*((RANDBETWEEN(1620,2416)))</f>
        <v>73023169.809335366</v>
      </c>
      <c r="B5934">
        <v>145457472.65693209</v>
      </c>
    </row>
    <row r="5935" spans="1:2" x14ac:dyDescent="0.25">
      <c r="A5935">
        <f ca="1">38663.4685143451*((RANDBETWEEN(1620,2416)))</f>
        <v>86606169.472132996</v>
      </c>
      <c r="B5935">
        <v>150839265.84818363</v>
      </c>
    </row>
    <row r="5936" spans="1:2" x14ac:dyDescent="0.25">
      <c r="A5936">
        <f ca="1">42120.4879707978*((RANDBETWEEN(1620,2416)))</f>
        <v>93044157.927492335</v>
      </c>
      <c r="B5936">
        <v>155072290.48246077</v>
      </c>
    </row>
    <row r="5937" spans="1:2" x14ac:dyDescent="0.25">
      <c r="A5937">
        <f ca="1">31121.8883767409*((RANDBETWEEN(1620,2416)))</f>
        <v>57513249.720217109</v>
      </c>
      <c r="B5937">
        <v>174484917.59029567</v>
      </c>
    </row>
    <row r="5938" spans="1:2" x14ac:dyDescent="0.25">
      <c r="A5938">
        <f ca="1">30845.8350945523*((RANDBETWEEN(1620,2416)))</f>
        <v>65238941.224978134</v>
      </c>
      <c r="B5938">
        <v>146213421.21563369</v>
      </c>
    </row>
    <row r="5939" spans="1:2" x14ac:dyDescent="0.25">
      <c r="A5939">
        <f ca="1">31077.1991933206*((RANDBETWEEN(1620,2416)))</f>
        <v>66474129.074512787</v>
      </c>
      <c r="B5939">
        <v>163919620.84474641</v>
      </c>
    </row>
    <row r="5940" spans="1:2" x14ac:dyDescent="0.25">
      <c r="A5940">
        <f ca="1">38653.2812663561*((RANDBETWEEN(1620,2416)))</f>
        <v>67604588.934856758</v>
      </c>
      <c r="B5940">
        <v>166569404.74467149</v>
      </c>
    </row>
    <row r="5941" spans="1:2" x14ac:dyDescent="0.25">
      <c r="A5941">
        <f ca="1">32150.8110888597*((RANDBETWEEN(1620,2416)))</f>
        <v>61922462.157143757</v>
      </c>
      <c r="B5941">
        <v>203312633.45527321</v>
      </c>
    </row>
    <row r="5942" spans="1:2" x14ac:dyDescent="0.25">
      <c r="A5942">
        <f ca="1">29375.0872565933*((RANDBETWEEN(1620,2416)))</f>
        <v>64977693.011584491</v>
      </c>
      <c r="B5942">
        <v>192269546.16529226</v>
      </c>
    </row>
    <row r="5943" spans="1:2" x14ac:dyDescent="0.25">
      <c r="A5943">
        <f ca="1">28910.8409882544*((RANDBETWEEN(1620,2416)))</f>
        <v>52386443.870717056</v>
      </c>
      <c r="B5943">
        <v>202246412.21397117</v>
      </c>
    </row>
    <row r="5944" spans="1:2" x14ac:dyDescent="0.25">
      <c r="A5944">
        <f ca="1">34523.947247693*((RANDBETWEEN(1620,2416)))</f>
        <v>69220514.231624633</v>
      </c>
      <c r="B5944">
        <v>184180528.44933206</v>
      </c>
    </row>
    <row r="5945" spans="1:2" x14ac:dyDescent="0.25">
      <c r="A5945">
        <f ca="1">34618.542935164*((RANDBETWEEN(1620,2416)))</f>
        <v>65290571.975719258</v>
      </c>
      <c r="B5945">
        <v>175283033.9189136</v>
      </c>
    </row>
    <row r="5946" spans="1:2" x14ac:dyDescent="0.25">
      <c r="A5946">
        <f ca="1">35846.2074088544*((RANDBETWEEN(1620,2416)))</f>
        <v>64523173.335937962</v>
      </c>
      <c r="B5946">
        <v>167692149.28298774</v>
      </c>
    </row>
    <row r="5947" spans="1:2" x14ac:dyDescent="0.25">
      <c r="A5947">
        <f ca="1">30499.0992908387*((RANDBETWEEN(1620,2416)))</f>
        <v>62980640.035581894</v>
      </c>
      <c r="B5947">
        <v>186603907.01687294</v>
      </c>
    </row>
    <row r="5948" spans="1:2" x14ac:dyDescent="0.25">
      <c r="A5948">
        <f ca="1">33033.7153362933*((RANDBETWEEN(1620,2416)))</f>
        <v>79049680.799749866</v>
      </c>
      <c r="B5948">
        <v>160014233.52737632</v>
      </c>
    </row>
    <row r="5949" spans="1:2" x14ac:dyDescent="0.25">
      <c r="A5949">
        <f ca="1">30524.6788439343*((RANDBETWEEN(1620,2416)))</f>
        <v>67856361.07006605</v>
      </c>
      <c r="B5949">
        <v>168282956.55341181</v>
      </c>
    </row>
    <row r="5950" spans="1:2" x14ac:dyDescent="0.25">
      <c r="A5950">
        <f ca="1">31322.8418901663*((RANDBETWEEN(1620,2416)))</f>
        <v>72481056.133844852</v>
      </c>
      <c r="B5950">
        <v>154847986.70123237</v>
      </c>
    </row>
    <row r="5951" spans="1:2" x14ac:dyDescent="0.25">
      <c r="A5951">
        <f ca="1">29996.8689586672*((RANDBETWEEN(1620,2416)))</f>
        <v>63653355.930291727</v>
      </c>
      <c r="B5951">
        <v>149673916.12691474</v>
      </c>
    </row>
    <row r="5952" spans="1:2" x14ac:dyDescent="0.25">
      <c r="A5952">
        <f ca="1">37867.3809472111*((RANDBETWEEN(1620,2416)))</f>
        <v>77060120.227574483</v>
      </c>
      <c r="B5952">
        <v>200689262.31164521</v>
      </c>
    </row>
    <row r="5953" spans="1:2" x14ac:dyDescent="0.25">
      <c r="A5953">
        <f ca="1">38359.7768273724*((RANDBETWEEN(1620,2416)))</f>
        <v>62833314.443236023</v>
      </c>
      <c r="B5953">
        <v>179939227.69243675</v>
      </c>
    </row>
    <row r="5954" spans="1:2" x14ac:dyDescent="0.25">
      <c r="A5954">
        <f ca="1">29212.7320234639*((RANDBETWEEN(1620,2416)))</f>
        <v>58746804.099185817</v>
      </c>
      <c r="B5954">
        <v>162958318.48779878</v>
      </c>
    </row>
    <row r="5955" spans="1:2" x14ac:dyDescent="0.25">
      <c r="A5955">
        <f ca="1">34456.3906224435*((RANDBETWEEN(1620,2416)))</f>
        <v>64778014.370193772</v>
      </c>
      <c r="B5955">
        <v>165846007.7026763</v>
      </c>
    </row>
    <row r="5956" spans="1:2" x14ac:dyDescent="0.25">
      <c r="A5956">
        <f ca="1">41019.7243186177*((RANDBETWEEN(1620,2416)))</f>
        <v>80931916.080632806</v>
      </c>
      <c r="B5956">
        <v>154438714.11070201</v>
      </c>
    </row>
    <row r="5957" spans="1:2" x14ac:dyDescent="0.25">
      <c r="A5957">
        <f ca="1">28638.0479825079*((RANDBETWEEN(1620,2416)))</f>
        <v>59939434.427389026</v>
      </c>
      <c r="B5957">
        <v>201310406.50847048</v>
      </c>
    </row>
    <row r="5958" spans="1:2" x14ac:dyDescent="0.25">
      <c r="A5958">
        <f ca="1">35234.4844858336*((RANDBETWEEN(1620,2416)))</f>
        <v>74591403.656509727</v>
      </c>
      <c r="B5958">
        <v>162799007.95494869</v>
      </c>
    </row>
    <row r="5959" spans="1:2" x14ac:dyDescent="0.25">
      <c r="A5959">
        <f ca="1">30446.7782582438*((RANDBETWEEN(1620,2416)))</f>
        <v>63146618.10759756</v>
      </c>
      <c r="B5959">
        <v>170445243.23756546</v>
      </c>
    </row>
    <row r="5960" spans="1:2" x14ac:dyDescent="0.25">
      <c r="A5960">
        <f ca="1">36310.7098119778*((RANDBETWEEN(1620,2416)))</f>
        <v>75780451.377597749</v>
      </c>
      <c r="B5960">
        <v>175437962.73044193</v>
      </c>
    </row>
    <row r="5961" spans="1:2" x14ac:dyDescent="0.25">
      <c r="A5961">
        <f ca="1">33421.6540507764*((RANDBETWEEN(1620,2416)))</f>
        <v>64403527.35584607</v>
      </c>
      <c r="B5961">
        <v>172819729.47591391</v>
      </c>
    </row>
    <row r="5962" spans="1:2" x14ac:dyDescent="0.25">
      <c r="A5962">
        <f ca="1">29297.299490623*((RANDBETWEEN(1620,2416)))</f>
        <v>66329086.046770468</v>
      </c>
      <c r="B5962">
        <v>164274204.82661736</v>
      </c>
    </row>
    <row r="5963" spans="1:2" x14ac:dyDescent="0.25">
      <c r="A5963">
        <f ca="1">30436.5476815454*((RANDBETWEEN(1620,2416)))</f>
        <v>64373298.346468553</v>
      </c>
      <c r="B5963">
        <v>160838364.93568408</v>
      </c>
    </row>
    <row r="5964" spans="1:2" x14ac:dyDescent="0.25">
      <c r="A5964">
        <f ca="1">31024.3504420217*((RANDBETWEEN(1620,2416)))</f>
        <v>56154074.300059356</v>
      </c>
      <c r="B5964">
        <v>185715957.15813115</v>
      </c>
    </row>
    <row r="5965" spans="1:2" x14ac:dyDescent="0.25">
      <c r="A5965">
        <f ca="1">31268.2675427208*((RANDBETWEEN(1620,2416)))</f>
        <v>74950037.299901843</v>
      </c>
      <c r="B5965">
        <v>167438287.07284963</v>
      </c>
    </row>
    <row r="5966" spans="1:2" x14ac:dyDescent="0.25">
      <c r="A5966">
        <f ca="1">36995.5613224649*((RANDBETWEEN(1620,2416)))</f>
        <v>83055035.168933719</v>
      </c>
      <c r="B5966">
        <v>178104713.998979</v>
      </c>
    </row>
    <row r="5967" spans="1:2" x14ac:dyDescent="0.25">
      <c r="A5967">
        <f ca="1">31137.9419423705*((RANDBETWEEN(1620,2416)))</f>
        <v>59878262.355178505</v>
      </c>
      <c r="B5967">
        <v>142932626.80855155</v>
      </c>
    </row>
    <row r="5968" spans="1:2" x14ac:dyDescent="0.25">
      <c r="A5968">
        <f ca="1">30146.9668366711*((RANDBETWEEN(1620,2416)))</f>
        <v>65509358.936086342</v>
      </c>
      <c r="B5968">
        <v>145517325.58947641</v>
      </c>
    </row>
    <row r="5969" spans="1:2" x14ac:dyDescent="0.25">
      <c r="A5969">
        <f ca="1">29809.0182418101*((RANDBETWEEN(1620,2416)))</f>
        <v>48946407.953052171</v>
      </c>
      <c r="B5969">
        <v>146425251.2636224</v>
      </c>
    </row>
    <row r="5970" spans="1:2" x14ac:dyDescent="0.25">
      <c r="A5970">
        <f ca="1">31845.0933314094*((RANDBETWEEN(1620,2416)))</f>
        <v>74262757.64884682</v>
      </c>
      <c r="B5970">
        <v>203158238.61444515</v>
      </c>
    </row>
    <row r="5971" spans="1:2" x14ac:dyDescent="0.25">
      <c r="A5971">
        <f ca="1">38031.7918223018*((RANDBETWEEN(1620,2416)))</f>
        <v>72868913.1315303</v>
      </c>
      <c r="B5971">
        <v>180239667.04570788</v>
      </c>
    </row>
    <row r="5972" spans="1:2" x14ac:dyDescent="0.25">
      <c r="A5972">
        <f ca="1">32655.7271430355*((RANDBETWEEN(1620,2416)))</f>
        <v>69948567.540381968</v>
      </c>
      <c r="B5972">
        <v>203574837.00597873</v>
      </c>
    </row>
    <row r="5973" spans="1:2" x14ac:dyDescent="0.25">
      <c r="A5973">
        <f ca="1">28401.2740969717*((RANDBETWEEN(1620,2416)))</f>
        <v>48083357.046173103</v>
      </c>
      <c r="B5973">
        <v>187164894.78350365</v>
      </c>
    </row>
    <row r="5974" spans="1:2" x14ac:dyDescent="0.25">
      <c r="A5974">
        <f ca="1">31840.2694099203*((RANDBETWEEN(1620,2416)))</f>
        <v>62279566.965804137</v>
      </c>
      <c r="B5974">
        <v>157038802.09988585</v>
      </c>
    </row>
    <row r="5975" spans="1:2" x14ac:dyDescent="0.25">
      <c r="A5975">
        <f ca="1">31972.3534068304*((RANDBETWEEN(1620,2416)))</f>
        <v>54640751.972273096</v>
      </c>
      <c r="B5975">
        <v>196435484.3391706</v>
      </c>
    </row>
    <row r="5976" spans="1:2" x14ac:dyDescent="0.25">
      <c r="A5976">
        <f ca="1">28067.9538463323*((RANDBETWEEN(1620,2416)))</f>
        <v>58016460.600368947</v>
      </c>
      <c r="B5976">
        <v>152322193.52498716</v>
      </c>
    </row>
    <row r="5977" spans="1:2" x14ac:dyDescent="0.25">
      <c r="A5977">
        <f ca="1">30734.2052065432*((RANDBETWEEN(1620,2416)))</f>
        <v>61406942.002673216</v>
      </c>
      <c r="B5977">
        <v>158080395.32127801</v>
      </c>
    </row>
    <row r="5978" spans="1:2" x14ac:dyDescent="0.25">
      <c r="A5978">
        <f ca="1">33719.1626367233*((RANDBETWEEN(1620,2416)))</f>
        <v>60492177.770281658</v>
      </c>
      <c r="B5978">
        <v>163221726.67977741</v>
      </c>
    </row>
    <row r="5979" spans="1:2" x14ac:dyDescent="0.25">
      <c r="A5979">
        <f ca="1">36403.9114975776*((RANDBETWEEN(1620,2416)))</f>
        <v>62796747.33332134</v>
      </c>
      <c r="B5979">
        <v>198481546.81490937</v>
      </c>
    </row>
    <row r="5980" spans="1:2" x14ac:dyDescent="0.25">
      <c r="A5980">
        <f ca="1">33891.8473837705*((RANDBETWEEN(1620,2416)))</f>
        <v>64936779.587304197</v>
      </c>
      <c r="B5980">
        <v>188913353.89787751</v>
      </c>
    </row>
    <row r="5981" spans="1:2" x14ac:dyDescent="0.25">
      <c r="A5981">
        <f ca="1">37242.104829412*((RANDBETWEEN(1620,2416)))</f>
        <v>62827430.847218066</v>
      </c>
      <c r="B5981">
        <v>155368391.3684037</v>
      </c>
    </row>
    <row r="5982" spans="1:2" x14ac:dyDescent="0.25">
      <c r="A5982">
        <f ca="1">35541.406329983*((RANDBETWEEN(1620,2416)))</f>
        <v>72362303.287845448</v>
      </c>
      <c r="B5982">
        <v>198515427.80915052</v>
      </c>
    </row>
    <row r="5983" spans="1:2" x14ac:dyDescent="0.25">
      <c r="A5983">
        <f ca="1">37568.9461640084*((RANDBETWEEN(1620,2416)))</f>
        <v>71193152.980795905</v>
      </c>
      <c r="B5983">
        <v>160512867.40639636</v>
      </c>
    </row>
    <row r="5984" spans="1:2" x14ac:dyDescent="0.25">
      <c r="A5984">
        <f ca="1">30748.2005574149*((RANDBETWEEN(1620,2416)))</f>
        <v>53686358.173246421</v>
      </c>
      <c r="B5984">
        <v>147098309.27620187</v>
      </c>
    </row>
    <row r="5985" spans="1:2" x14ac:dyDescent="0.25">
      <c r="A5985">
        <f ca="1">36520.3458607564*((RANDBETWEEN(1620,2416)))</f>
        <v>75341473.510740548</v>
      </c>
      <c r="B5985">
        <v>152468171.51282457</v>
      </c>
    </row>
    <row r="5986" spans="1:2" x14ac:dyDescent="0.25">
      <c r="A5986">
        <f ca="1">35776.5034759691*((RANDBETWEEN(1620,2416)))</f>
        <v>83860124.147671685</v>
      </c>
      <c r="B5986">
        <v>146616195.84948766</v>
      </c>
    </row>
    <row r="5987" spans="1:2" x14ac:dyDescent="0.25">
      <c r="A5987">
        <f ca="1">31360.0262724974*((RANDBETWEEN(1620,2416)))</f>
        <v>59145009.549930103</v>
      </c>
      <c r="B5987">
        <v>175066781.39895517</v>
      </c>
    </row>
    <row r="5988" spans="1:2" x14ac:dyDescent="0.25">
      <c r="A5988">
        <f ca="1">37313.7585113716*((RANDBETWEEN(1620,2416)))</f>
        <v>84590290.545279428</v>
      </c>
      <c r="B5988">
        <v>147965349.02935973</v>
      </c>
    </row>
    <row r="5989" spans="1:2" x14ac:dyDescent="0.25">
      <c r="A5989">
        <f ca="1">32174.3211369693*((RANDBETWEEN(1620,2416)))</f>
        <v>69657405.261538476</v>
      </c>
      <c r="B5989">
        <v>157842687.37540913</v>
      </c>
    </row>
    <row r="5990" spans="1:2" x14ac:dyDescent="0.25">
      <c r="A5990">
        <f ca="1">41073.0691413961*((RANDBETWEEN(1620,2416)))</f>
        <v>73767232.177947417</v>
      </c>
      <c r="B5990">
        <v>148964378.524436</v>
      </c>
    </row>
    <row r="5991" spans="1:2" x14ac:dyDescent="0.25">
      <c r="A5991">
        <f ca="1">27509.643433627*((RANDBETWEEN(1620,2416)))</f>
        <v>60823821.631749295</v>
      </c>
      <c r="B5991">
        <v>200853200.79334131</v>
      </c>
    </row>
    <row r="5992" spans="1:2" x14ac:dyDescent="0.25">
      <c r="A5992">
        <f ca="1">38722.744125001*((RANDBETWEEN(1620,2416)))</f>
        <v>93166922.364752442</v>
      </c>
      <c r="B5992">
        <v>200574479.54998937</v>
      </c>
    </row>
    <row r="5993" spans="1:2" x14ac:dyDescent="0.25">
      <c r="A5993">
        <f ca="1">30756.0055142276*((RANDBETWEEN(1620,2416)))</f>
        <v>68462868.274670631</v>
      </c>
      <c r="B5993">
        <v>191418495.18049714</v>
      </c>
    </row>
    <row r="5994" spans="1:2" x14ac:dyDescent="0.25">
      <c r="A5994">
        <f ca="1">33528.9436362772*((RANDBETWEEN(1620,2416)))</f>
        <v>69337855.439821213</v>
      </c>
      <c r="B5994">
        <v>151251543.36226135</v>
      </c>
    </row>
    <row r="5995" spans="1:2" x14ac:dyDescent="0.25">
      <c r="A5995">
        <f ca="1">39285.7698836405*((RANDBETWEEN(1620,2416)))</f>
        <v>78964397.466117397</v>
      </c>
      <c r="B5995">
        <v>166670159.58028123</v>
      </c>
    </row>
    <row r="5996" spans="1:2" x14ac:dyDescent="0.25">
      <c r="A5996">
        <f ca="1">32664.841360005*((RANDBETWEEN(1620,2416)))</f>
        <v>71829986.150651023</v>
      </c>
      <c r="B5996">
        <v>153572607.85382226</v>
      </c>
    </row>
    <row r="5997" spans="1:2" x14ac:dyDescent="0.25">
      <c r="A5997">
        <f ca="1">31136.4903722914*((RANDBETWEEN(1620,2416)))</f>
        <v>67348228.675266206</v>
      </c>
      <c r="B5997">
        <v>146894788.98921376</v>
      </c>
    </row>
    <row r="5998" spans="1:2" x14ac:dyDescent="0.25">
      <c r="A5998">
        <f ca="1">32987.5852903586*((RANDBETWEEN(1620,2416)))</f>
        <v>73925178.63569358</v>
      </c>
      <c r="B5998">
        <v>161837014.33566958</v>
      </c>
    </row>
    <row r="5999" spans="1:2" x14ac:dyDescent="0.25">
      <c r="A5999">
        <f ca="1">32624.560042009*((RANDBETWEEN(1620,2416)))</f>
        <v>62508657.040489323</v>
      </c>
      <c r="B5999">
        <v>168098654.6138202</v>
      </c>
    </row>
    <row r="6000" spans="1:2" x14ac:dyDescent="0.25">
      <c r="A6000">
        <f ca="1">29812.1681189776*((RANDBETWEEN(1620,2416)))</f>
        <v>71310706.140594438</v>
      </c>
      <c r="B6000">
        <v>168706359.12957373</v>
      </c>
    </row>
    <row r="6001" spans="1:2" x14ac:dyDescent="0.25">
      <c r="A6001">
        <f ca="1">29697.3485694438*((RANDBETWEEN(1620,2416)))</f>
        <v>71154847.172387317</v>
      </c>
      <c r="B6001">
        <v>200153694.0860644</v>
      </c>
    </row>
    <row r="6002" spans="1:2" x14ac:dyDescent="0.25">
      <c r="A6002">
        <f ca="1">30279.132983678*((RANDBETWEEN(1620,2416)))</f>
        <v>54926347.232391939</v>
      </c>
      <c r="B6002">
        <v>147467256.23257518</v>
      </c>
    </row>
    <row r="6003" spans="1:2" x14ac:dyDescent="0.25">
      <c r="A6003">
        <f ca="1">30264.5700260168*((RANDBETWEEN(1620,2416)))</f>
        <v>65008296.415884145</v>
      </c>
      <c r="B6003">
        <v>202873989.41330683</v>
      </c>
    </row>
    <row r="6004" spans="1:2" x14ac:dyDescent="0.25">
      <c r="A6004">
        <f ca="1">30995.2412967078*((RANDBETWEEN(1620,2416)))</f>
        <v>59603849.013569124</v>
      </c>
      <c r="B6004">
        <v>150619385.94081736</v>
      </c>
    </row>
    <row r="6005" spans="1:2" x14ac:dyDescent="0.25">
      <c r="A6005">
        <f ca="1">31279.0064258925*((RANDBETWEEN(1620,2416)))</f>
        <v>66342772.629317947</v>
      </c>
      <c r="B6005">
        <v>195794696.03348047</v>
      </c>
    </row>
    <row r="6006" spans="1:2" x14ac:dyDescent="0.25">
      <c r="A6006">
        <f ca="1">32242.3385664084*((RANDBETWEEN(1620,2416)))</f>
        <v>70030359.36623913</v>
      </c>
      <c r="B6006">
        <v>146145734.35218135</v>
      </c>
    </row>
    <row r="6007" spans="1:2" x14ac:dyDescent="0.25">
      <c r="A6007">
        <f ca="1">37469.4593826346*((RANDBETWEEN(1620,2416)))</f>
        <v>84718447.664136857</v>
      </c>
      <c r="B6007">
        <v>162269382.27843514</v>
      </c>
    </row>
    <row r="6008" spans="1:2" x14ac:dyDescent="0.25">
      <c r="A6008">
        <f ca="1">38764.7030662398*((RANDBETWEEN(1620,2416)))</f>
        <v>65396054.072746545</v>
      </c>
      <c r="B6008">
        <v>182106562.9053815</v>
      </c>
    </row>
    <row r="6009" spans="1:2" x14ac:dyDescent="0.25">
      <c r="A6009">
        <f ca="1">39259.3752937515*((RANDBETWEEN(1620,2416)))</f>
        <v>84878769.385090753</v>
      </c>
      <c r="B6009">
        <v>190003883.66739959</v>
      </c>
    </row>
    <row r="6010" spans="1:2" x14ac:dyDescent="0.25">
      <c r="A6010">
        <f ca="1">38258.6623946544*((RANDBETWEEN(1620,2416)))</f>
        <v>75216530.267890573</v>
      </c>
      <c r="B6010">
        <v>170655906.45269063</v>
      </c>
    </row>
    <row r="6011" spans="1:2" x14ac:dyDescent="0.25">
      <c r="A6011">
        <f ca="1">29394.4840913988*((RANDBETWEEN(1620,2416)))</f>
        <v>57760161.23959858</v>
      </c>
      <c r="B6011">
        <v>167979747.89776215</v>
      </c>
    </row>
    <row r="6012" spans="1:2" x14ac:dyDescent="0.25">
      <c r="A6012">
        <f ca="1">33465.731771844*((RANDBETWEEN(1620,2416)))</f>
        <v>55017663.032911479</v>
      </c>
      <c r="B6012">
        <v>166651946.72778189</v>
      </c>
    </row>
    <row r="6013" spans="1:2" x14ac:dyDescent="0.25">
      <c r="A6013">
        <f ca="1">33368.7138939131*((RANDBETWEEN(1620,2416)))</f>
        <v>72410109.14979133</v>
      </c>
      <c r="B6013">
        <v>143441353.58977771</v>
      </c>
    </row>
    <row r="6014" spans="1:2" x14ac:dyDescent="0.25">
      <c r="A6014">
        <f ca="1">32423.2768082237*((RANDBETWEEN(1620,2416)))</f>
        <v>69904584.798530295</v>
      </c>
      <c r="B6014">
        <v>149888336.83034953</v>
      </c>
    </row>
    <row r="6015" spans="1:2" x14ac:dyDescent="0.25">
      <c r="A6015">
        <f ca="1">32310.548793246*((RANDBETWEEN(1620,2416)))</f>
        <v>63457917.829935186</v>
      </c>
      <c r="B6015">
        <v>166634117.29257423</v>
      </c>
    </row>
    <row r="6016" spans="1:2" x14ac:dyDescent="0.25">
      <c r="A6016">
        <f ca="1">27378.4196218504*((RANDBETWEEN(1620,2416)))</f>
        <v>51279779.951725878</v>
      </c>
      <c r="B6016">
        <v>154175741.43528709</v>
      </c>
    </row>
    <row r="6017" spans="1:2" x14ac:dyDescent="0.25">
      <c r="A6017">
        <f ca="1">32589.78587288*((RANDBETWEEN(1620,2416)))</f>
        <v>65016622.816395618</v>
      </c>
      <c r="B6017">
        <v>165909876.79907799</v>
      </c>
    </row>
    <row r="6018" spans="1:2" x14ac:dyDescent="0.25">
      <c r="A6018">
        <f ca="1">32598.6588676864*((RANDBETWEEN(1620,2416)))</f>
        <v>67446625.197243199</v>
      </c>
      <c r="B6018">
        <v>189404245.06039807</v>
      </c>
    </row>
    <row r="6019" spans="1:2" x14ac:dyDescent="0.25">
      <c r="A6019">
        <f ca="1">31208.3960497224*((RANDBETWEEN(1620,2416)))</f>
        <v>65693673.684665561</v>
      </c>
      <c r="B6019">
        <v>200583826.12301931</v>
      </c>
    </row>
    <row r="6020" spans="1:2" x14ac:dyDescent="0.25">
      <c r="A6020">
        <f ca="1">33016.4643019939*((RANDBETWEEN(1620,2416)))</f>
        <v>63556693.781338222</v>
      </c>
      <c r="B6020">
        <v>158351390.4303087</v>
      </c>
    </row>
    <row r="6021" spans="1:2" x14ac:dyDescent="0.25">
      <c r="A6021">
        <f ca="1">33337.5649788318*((RANDBETWEEN(1620,2416)))</f>
        <v>66975168.042473108</v>
      </c>
      <c r="B6021">
        <v>174730275.78911525</v>
      </c>
    </row>
    <row r="6022" spans="1:2" x14ac:dyDescent="0.25">
      <c r="A6022">
        <f ca="1">32277.2210204775*((RANDBETWEEN(1620,2416)))</f>
        <v>68169490.795248583</v>
      </c>
      <c r="B6022">
        <v>162331579.43170744</v>
      </c>
    </row>
    <row r="6023" spans="1:2" x14ac:dyDescent="0.25">
      <c r="A6023">
        <f ca="1">39373.52504839*((RANDBETWEEN(1620,2416)))</f>
        <v>68943042.359730914</v>
      </c>
      <c r="B6023">
        <v>159012680.27998519</v>
      </c>
    </row>
    <row r="6024" spans="1:2" x14ac:dyDescent="0.25">
      <c r="A6024">
        <f ca="1">26760.903115987*((RANDBETWEEN(1620,2416)))</f>
        <v>61282468.135610133</v>
      </c>
      <c r="B6024">
        <v>145228984.10601676</v>
      </c>
    </row>
    <row r="6025" spans="1:2" x14ac:dyDescent="0.25">
      <c r="A6025">
        <f ca="1">31563.8936875447*((RANDBETWEEN(1620,2416)))</f>
        <v>56025911.295391895</v>
      </c>
      <c r="B6025">
        <v>177824796.90620813</v>
      </c>
    </row>
    <row r="6026" spans="1:2" x14ac:dyDescent="0.25">
      <c r="A6026">
        <f ca="1">32579.2286458274*((RANDBETWEEN(1620,2416)))</f>
        <v>61346687.540092938</v>
      </c>
      <c r="B6026">
        <v>156713617.23853043</v>
      </c>
    </row>
    <row r="6027" spans="1:2" x14ac:dyDescent="0.25">
      <c r="A6027">
        <f ca="1">36672.4532670817*((RANDBETWEEN(1620,2416)))</f>
        <v>67403969.104896203</v>
      </c>
      <c r="B6027">
        <v>160023789.36415964</v>
      </c>
    </row>
    <row r="6028" spans="1:2" x14ac:dyDescent="0.25">
      <c r="A6028">
        <f ca="1">32416.0313479886*((RANDBETWEEN(1620,2416)))</f>
        <v>76858410.326081038</v>
      </c>
      <c r="B6028">
        <v>201222908.94655415</v>
      </c>
    </row>
    <row r="6029" spans="1:2" x14ac:dyDescent="0.25">
      <c r="A6029">
        <f ca="1">31355.5494588249*((RANDBETWEEN(1620,2416)))</f>
        <v>69452542.051297218</v>
      </c>
      <c r="B6029">
        <v>166840718.31621078</v>
      </c>
    </row>
    <row r="6030" spans="1:2" x14ac:dyDescent="0.25">
      <c r="A6030">
        <f ca="1">32774.7295378627*((RANDBETWEEN(1620,2416)))</f>
        <v>68007563.791065112</v>
      </c>
      <c r="B6030">
        <v>201756470.09743854</v>
      </c>
    </row>
    <row r="6031" spans="1:2" x14ac:dyDescent="0.25">
      <c r="A6031">
        <f ca="1">31948.5745425678*((RANDBETWEEN(1620,2416)))</f>
        <v>75558378.793172747</v>
      </c>
      <c r="B6031">
        <v>165771397.88114437</v>
      </c>
    </row>
    <row r="6032" spans="1:2" x14ac:dyDescent="0.25">
      <c r="A6032">
        <f ca="1">38838.7863637177*((RANDBETWEEN(1620,2416)))</f>
        <v>90261339.509279877</v>
      </c>
      <c r="B6032">
        <v>202713782.83099091</v>
      </c>
    </row>
    <row r="6033" spans="1:2" x14ac:dyDescent="0.25">
      <c r="A6033">
        <f ca="1">31201.9674622169*((RANDBETWEEN(1620,2416)))</f>
        <v>61623885.737878338</v>
      </c>
      <c r="B6033">
        <v>157415334.48570657</v>
      </c>
    </row>
    <row r="6034" spans="1:2" x14ac:dyDescent="0.25">
      <c r="A6034">
        <f ca="1">29170.2875341035*((RANDBETWEEN(1620,2416)))</f>
        <v>47285036.092781782</v>
      </c>
      <c r="B6034">
        <v>144632558.84687898</v>
      </c>
    </row>
    <row r="6035" spans="1:2" x14ac:dyDescent="0.25">
      <c r="A6035">
        <f ca="1">44025.0641423411*((RANDBETWEEN(1620,2416)))</f>
        <v>89414905.273094863</v>
      </c>
      <c r="B6035">
        <v>177454918.00313398</v>
      </c>
    </row>
    <row r="6036" spans="1:2" x14ac:dyDescent="0.25">
      <c r="A6036">
        <f ca="1">31487.3413425682*((RANDBETWEEN(1620,2416)))</f>
        <v>62124524.468887083</v>
      </c>
      <c r="B6036">
        <v>190371401.63025948</v>
      </c>
    </row>
    <row r="6037" spans="1:2" x14ac:dyDescent="0.25">
      <c r="A6037">
        <f ca="1">31199.9043508364*((RANDBETWEEN(1620,2416)))</f>
        <v>52322239.596352585</v>
      </c>
      <c r="B6037">
        <v>143921620.9886952</v>
      </c>
    </row>
    <row r="6038" spans="1:2" x14ac:dyDescent="0.25">
      <c r="A6038">
        <f ca="1">29503.9322910839*((RANDBETWEEN(1620,2416)))</f>
        <v>52457991.613547221</v>
      </c>
      <c r="B6038">
        <v>154564792.59893352</v>
      </c>
    </row>
    <row r="6039" spans="1:2" x14ac:dyDescent="0.25">
      <c r="A6039">
        <f ca="1">30329.4246175778*((RANDBETWEEN(1620,2416)))</f>
        <v>50316515.4405616</v>
      </c>
      <c r="B6039">
        <v>167325175.89080507</v>
      </c>
    </row>
    <row r="6040" spans="1:2" x14ac:dyDescent="0.25">
      <c r="A6040">
        <f ca="1">41790.2522661152*((RANDBETWEEN(1620,2416)))</f>
        <v>87508788.245245159</v>
      </c>
      <c r="B6040">
        <v>148396394.98869652</v>
      </c>
    </row>
    <row r="6041" spans="1:2" x14ac:dyDescent="0.25">
      <c r="A6041">
        <f ca="1">30679.95976449*((RANDBETWEEN(1620,2416)))</f>
        <v>69306029.107982889</v>
      </c>
      <c r="B6041">
        <v>146015984.95081666</v>
      </c>
    </row>
    <row r="6042" spans="1:2" x14ac:dyDescent="0.25">
      <c r="A6042">
        <f ca="1">37591.9076930142*((RANDBETWEEN(1620,2416)))</f>
        <v>70747970.278252676</v>
      </c>
      <c r="B6042">
        <v>171267398.6148454</v>
      </c>
    </row>
    <row r="6043" spans="1:2" x14ac:dyDescent="0.25">
      <c r="A6043">
        <f ca="1">41159.1189237135*((RANDBETWEEN(1620,2416)))</f>
        <v>91249766.653872848</v>
      </c>
      <c r="B6043">
        <v>175158365.46133736</v>
      </c>
    </row>
    <row r="6044" spans="1:2" x14ac:dyDescent="0.25">
      <c r="A6044">
        <f ca="1">37318.3930598433*((RANDBETWEEN(1620,2416)))</f>
        <v>87810178.869811282</v>
      </c>
      <c r="B6044">
        <v>195138245.59128615</v>
      </c>
    </row>
    <row r="6045" spans="1:2" x14ac:dyDescent="0.25">
      <c r="A6045">
        <f ca="1">38201.8907673312*((RANDBETWEEN(1620,2416)))</f>
        <v>87711541.201792553</v>
      </c>
      <c r="B6045">
        <v>200418553.68446684</v>
      </c>
    </row>
    <row r="6046" spans="1:2" x14ac:dyDescent="0.25">
      <c r="A6046">
        <f ca="1">32265.6969196591*((RANDBETWEEN(1620,2416)))</f>
        <v>62337326.448781408</v>
      </c>
      <c r="B6046">
        <v>164866834.15953261</v>
      </c>
    </row>
    <row r="6047" spans="1:2" x14ac:dyDescent="0.25">
      <c r="A6047">
        <f ca="1">34544.6604989614*((RANDBETWEEN(1620,2416)))</f>
        <v>73580126.862787724</v>
      </c>
      <c r="B6047">
        <v>163125599.62568405</v>
      </c>
    </row>
    <row r="6048" spans="1:2" x14ac:dyDescent="0.25">
      <c r="A6048">
        <f ca="1">31092.7831379522*((RANDBETWEEN(1620,2416)))</f>
        <v>67378061.059942409</v>
      </c>
      <c r="B6048">
        <v>152126935.02309459</v>
      </c>
    </row>
    <row r="6049" spans="1:2" x14ac:dyDescent="0.25">
      <c r="A6049">
        <f ca="1">34758.0875591827*((RANDBETWEEN(1620,2416)))</f>
        <v>69863755.993957236</v>
      </c>
      <c r="B6049">
        <v>146322823.61662573</v>
      </c>
    </row>
    <row r="6050" spans="1:2" x14ac:dyDescent="0.25">
      <c r="A6050">
        <f ca="1">36062.5041335888*((RANDBETWEEN(1620,2416)))</f>
        <v>76380383.754940972</v>
      </c>
      <c r="B6050">
        <v>172089103.92125285</v>
      </c>
    </row>
    <row r="6051" spans="1:2" x14ac:dyDescent="0.25">
      <c r="A6051">
        <f ca="1">31183.4430598077*((RANDBETWEEN(1620,2416)))</f>
        <v>52076349.909878775</v>
      </c>
      <c r="B6051">
        <v>159016670.67082584</v>
      </c>
    </row>
    <row r="6052" spans="1:2" x14ac:dyDescent="0.25">
      <c r="A6052">
        <f ca="1">30177.4847639638*((RANDBETWEEN(1620,2416)))</f>
        <v>57699350.868698694</v>
      </c>
      <c r="B6052">
        <v>171261146.59409282</v>
      </c>
    </row>
    <row r="6053" spans="1:2" x14ac:dyDescent="0.25">
      <c r="A6053">
        <f ca="1">36557.6830677213*((RANDBETWEEN(1620,2416)))</f>
        <v>83936440.323488176</v>
      </c>
      <c r="B6053">
        <v>158655240.51545978</v>
      </c>
    </row>
    <row r="6054" spans="1:2" x14ac:dyDescent="0.25">
      <c r="A6054">
        <f ca="1">32644.3397516237*((RANDBETWEEN(1620,2416)))</f>
        <v>78476992.762903288</v>
      </c>
      <c r="B6054">
        <v>185673671.79692519</v>
      </c>
    </row>
    <row r="6055" spans="1:2" x14ac:dyDescent="0.25">
      <c r="A6055">
        <f ca="1">33270.6379747314*((RANDBETWEEN(1620,2416)))</f>
        <v>68104995.93427524</v>
      </c>
      <c r="B6055">
        <v>150292836.83183137</v>
      </c>
    </row>
    <row r="6056" spans="1:2" x14ac:dyDescent="0.25">
      <c r="A6056">
        <f ca="1">40339.677792477*((RANDBETWEEN(1620,2416)))</f>
        <v>80679355.584953949</v>
      </c>
      <c r="B6056">
        <v>159893226.79451662</v>
      </c>
    </row>
    <row r="6057" spans="1:2" x14ac:dyDescent="0.25">
      <c r="A6057">
        <f ca="1">32377.524641656*((RANDBETWEEN(1620,2416)))</f>
        <v>61193521.572729856</v>
      </c>
      <c r="B6057">
        <v>159299345.69307736</v>
      </c>
    </row>
    <row r="6058" spans="1:2" x14ac:dyDescent="0.25">
      <c r="A6058">
        <f ca="1">31837.4786399277*((RANDBETWEEN(1620,2416)))</f>
        <v>54155551.166517027</v>
      </c>
      <c r="B6058">
        <v>150132704.7819843</v>
      </c>
    </row>
    <row r="6059" spans="1:2" x14ac:dyDescent="0.25">
      <c r="A6059">
        <f ca="1">36175.6720102094*((RANDBETWEEN(1620,2416)))</f>
        <v>68118790.395224378</v>
      </c>
      <c r="B6059">
        <v>147649776.25586367</v>
      </c>
    </row>
    <row r="6060" spans="1:2" x14ac:dyDescent="0.25">
      <c r="A6060">
        <f ca="1">39066.4810823726*((RANDBETWEEN(1620,2416)))</f>
        <v>88680912.056985721</v>
      </c>
      <c r="B6060">
        <v>143675335.29372925</v>
      </c>
    </row>
    <row r="6061" spans="1:2" x14ac:dyDescent="0.25">
      <c r="A6061">
        <f ca="1">33037.1305109967*((RANDBETWEEN(1620,2416)))</f>
        <v>57814978.394244224</v>
      </c>
      <c r="B6061">
        <v>148712908.20507467</v>
      </c>
    </row>
    <row r="6062" spans="1:2" x14ac:dyDescent="0.25">
      <c r="A6062">
        <f ca="1">27971.7837222482*((RANDBETWEEN(1620,2416)))</f>
        <v>52279263.776881799</v>
      </c>
      <c r="B6062">
        <v>147717708.56935573</v>
      </c>
    </row>
    <row r="6063" spans="1:2" x14ac:dyDescent="0.25">
      <c r="A6063">
        <f ca="1">34706.7086137367*((RANDBETWEEN(1620,2416)))</f>
        <v>58897284.517511182</v>
      </c>
      <c r="B6063">
        <v>151497291.52217856</v>
      </c>
    </row>
    <row r="6064" spans="1:2" x14ac:dyDescent="0.25">
      <c r="A6064">
        <f ca="1">39402.4978174763*((RANDBETWEEN(1620,2416)))</f>
        <v>90468134.988925621</v>
      </c>
      <c r="B6064">
        <v>147112384.51394707</v>
      </c>
    </row>
    <row r="6065" spans="1:2" x14ac:dyDescent="0.25">
      <c r="A6065">
        <f ca="1">33002.7742737641*((RANDBETWEEN(1620,2416)))</f>
        <v>78117566.705999538</v>
      </c>
      <c r="B6065">
        <v>155707987.35282913</v>
      </c>
    </row>
    <row r="6066" spans="1:2" x14ac:dyDescent="0.25">
      <c r="A6066">
        <f ca="1">35765.6897468122*((RANDBETWEEN(1620,2416)))</f>
        <v>63341036.541604377</v>
      </c>
      <c r="B6066">
        <v>167577535.15748397</v>
      </c>
    </row>
    <row r="6067" spans="1:2" x14ac:dyDescent="0.25">
      <c r="A6067">
        <f ca="1">29364.9016613044*((RANDBETWEEN(1620,2416)))</f>
        <v>62664700.145223528</v>
      </c>
      <c r="B6067">
        <v>157091258.68695191</v>
      </c>
    </row>
    <row r="6068" spans="1:2" x14ac:dyDescent="0.25">
      <c r="A6068">
        <f ca="1">39178.151788522*((RANDBETWEEN(1620,2416)))</f>
        <v>73850816.121364027</v>
      </c>
      <c r="B6068">
        <v>182266360.52191612</v>
      </c>
    </row>
    <row r="6069" spans="1:2" x14ac:dyDescent="0.25">
      <c r="A6069">
        <f ca="1">39887.0511801408*((RANDBETWEEN(1620,2416)))</f>
        <v>93335699.76152952</v>
      </c>
      <c r="B6069">
        <v>168766579.31207019</v>
      </c>
    </row>
    <row r="6070" spans="1:2" x14ac:dyDescent="0.25">
      <c r="A6070">
        <f ca="1">32806.7707707086*((RANDBETWEEN(1620,2416)))</f>
        <v>73585586.83869946</v>
      </c>
      <c r="B6070">
        <v>173848259.85327303</v>
      </c>
    </row>
    <row r="6071" spans="1:2" x14ac:dyDescent="0.25">
      <c r="A6071">
        <f ca="1">29112.6433560114*((RANDBETWEEN(1620,2416)))</f>
        <v>67483107.29923442</v>
      </c>
      <c r="B6071">
        <v>145591105.85761583</v>
      </c>
    </row>
    <row r="6072" spans="1:2" x14ac:dyDescent="0.25">
      <c r="A6072">
        <f ca="1">31965.5172751834*((RANDBETWEEN(1620,2416)))</f>
        <v>67127586.277885124</v>
      </c>
      <c r="B6072">
        <v>177584658.8805449</v>
      </c>
    </row>
    <row r="6073" spans="1:2" x14ac:dyDescent="0.25">
      <c r="A6073">
        <f ca="1">31327.250157507*((RANDBETWEEN(1620,2416)))</f>
        <v>62341227.813438915</v>
      </c>
      <c r="B6073">
        <v>163238031.0978713</v>
      </c>
    </row>
    <row r="6074" spans="1:2" x14ac:dyDescent="0.25">
      <c r="A6074">
        <f ca="1">30071.7844954494*((RANDBETWEEN(1620,2416)))</f>
        <v>63180819.224939279</v>
      </c>
      <c r="B6074">
        <v>166739493.88955623</v>
      </c>
    </row>
    <row r="6075" spans="1:2" x14ac:dyDescent="0.25">
      <c r="A6075">
        <f ca="1">30273.7543860793*((RANDBETWEEN(1620,2416)))</f>
        <v>60910793.824791469</v>
      </c>
      <c r="B6075">
        <v>185090099.62743816</v>
      </c>
    </row>
    <row r="6076" spans="1:2" x14ac:dyDescent="0.25">
      <c r="A6076">
        <f ca="1">37362.707619626*((RANDBETWEEN(1620,2416)))</f>
        <v>87540823.952783704</v>
      </c>
      <c r="B6076">
        <v>168335591.0769366</v>
      </c>
    </row>
    <row r="6077" spans="1:2" x14ac:dyDescent="0.25">
      <c r="A6077">
        <f ca="1">31257.3433274736*((RANDBETWEEN(1620,2416)))</f>
        <v>60701760.741953693</v>
      </c>
      <c r="B6077">
        <v>187874250.04829296</v>
      </c>
    </row>
    <row r="6078" spans="1:2" x14ac:dyDescent="0.25">
      <c r="A6078">
        <f ca="1">35259.8114489379*((RANDBETWEEN(1620,2416)))</f>
        <v>57790830.964809351</v>
      </c>
      <c r="B6078">
        <v>173701299.48552066</v>
      </c>
    </row>
    <row r="6079" spans="1:2" x14ac:dyDescent="0.25">
      <c r="A6079">
        <f ca="1">31555.0697444364*((RANDBETWEEN(1620,2416)))</f>
        <v>65098108.882772297</v>
      </c>
      <c r="B6079">
        <v>175608065.06098872</v>
      </c>
    </row>
    <row r="6080" spans="1:2" x14ac:dyDescent="0.25">
      <c r="A6080">
        <f ca="1">40939.6571316496*((RANDBETWEEN(1620,2416)))</f>
        <v>81347098.72058785</v>
      </c>
      <c r="B6080">
        <v>150671572.37832361</v>
      </c>
    </row>
    <row r="6081" spans="1:2" x14ac:dyDescent="0.25">
      <c r="A6081">
        <f ca="1">32665.5667665092*((RANDBETWEEN(1620,2416)))</f>
        <v>72190902.553985432</v>
      </c>
      <c r="B6081">
        <v>166121376.23667747</v>
      </c>
    </row>
    <row r="6082" spans="1:2" x14ac:dyDescent="0.25">
      <c r="A6082">
        <f ca="1">29709.3226347747*((RANDBETWEEN(1620,2416)))</f>
        <v>69608942.9332771</v>
      </c>
      <c r="B6082">
        <v>171717829.30093667</v>
      </c>
    </row>
    <row r="6083" spans="1:2" x14ac:dyDescent="0.25">
      <c r="A6083">
        <f ca="1">30333.9837131253*((RANDBETWEEN(1620,2416)))</f>
        <v>60152289.703127466</v>
      </c>
      <c r="B6083">
        <v>156263822.51227057</v>
      </c>
    </row>
    <row r="6084" spans="1:2" x14ac:dyDescent="0.25">
      <c r="A6084">
        <f ca="1">34398.1960803675*((RANDBETWEEN(1620,2416)))</f>
        <v>80354186.043738395</v>
      </c>
      <c r="B6084">
        <v>154102732.53199854</v>
      </c>
    </row>
    <row r="6085" spans="1:2" x14ac:dyDescent="0.25">
      <c r="A6085">
        <f ca="1">34654.0539412644*((RANDBETWEEN(1620,2416)))</f>
        <v>78456778.123022601</v>
      </c>
      <c r="B6085">
        <v>181797199.69751519</v>
      </c>
    </row>
    <row r="6086" spans="1:2" x14ac:dyDescent="0.25">
      <c r="A6086">
        <f ca="1">31846.7203937695*((RANDBETWEEN(1620,2416)))</f>
        <v>53056636.176019944</v>
      </c>
      <c r="B6086">
        <v>178135036.15782386</v>
      </c>
    </row>
    <row r="6087" spans="1:2" x14ac:dyDescent="0.25">
      <c r="A6087">
        <f ca="1">31513.973010339*((RANDBETWEEN(1620,2416)))</f>
        <v>64761214.53624668</v>
      </c>
      <c r="B6087">
        <v>144161593.85798621</v>
      </c>
    </row>
    <row r="6088" spans="1:2" x14ac:dyDescent="0.25">
      <c r="A6088">
        <f ca="1">30047.3462410942*((RANDBETWEEN(1620,2416)))</f>
        <v>69559606.548133031</v>
      </c>
      <c r="B6088">
        <v>187809955.0317294</v>
      </c>
    </row>
    <row r="6089" spans="1:2" x14ac:dyDescent="0.25">
      <c r="A6089">
        <f ca="1">31002.7421653476*((RANDBETWEEN(1620,2416)))</f>
        <v>74313572.97033824</v>
      </c>
      <c r="B6089">
        <v>187653686.84468508</v>
      </c>
    </row>
    <row r="6090" spans="1:2" x14ac:dyDescent="0.25">
      <c r="A6090">
        <f ca="1">31607.8475532667*((RANDBETWEEN(1620,2416)))</f>
        <v>74468088.835496277</v>
      </c>
      <c r="B6090">
        <v>143315146.80924726</v>
      </c>
    </row>
    <row r="6091" spans="1:2" x14ac:dyDescent="0.25">
      <c r="A6091">
        <f ca="1">27914.313073082*((RANDBETWEEN(1620,2416)))</f>
        <v>63393404.98896914</v>
      </c>
      <c r="B6091">
        <v>179890929.40568665</v>
      </c>
    </row>
    <row r="6092" spans="1:2" x14ac:dyDescent="0.25">
      <c r="A6092">
        <f ca="1">33366.0448739585*((RANDBETWEEN(1620,2416)))</f>
        <v>57823355.766570099</v>
      </c>
      <c r="B6092">
        <v>148825434.69474089</v>
      </c>
    </row>
    <row r="6093" spans="1:2" x14ac:dyDescent="0.25">
      <c r="A6093">
        <f ca="1">31590.3975190474*((RANDBETWEEN(1620,2416)))</f>
        <v>60148116.876266226</v>
      </c>
      <c r="B6093">
        <v>145561541.79744783</v>
      </c>
    </row>
    <row r="6094" spans="1:2" x14ac:dyDescent="0.25">
      <c r="A6094">
        <f ca="1">33627.6050385566*((RANDBETWEEN(1620,2416)))</f>
        <v>60260668.229093514</v>
      </c>
      <c r="B6094">
        <v>173543423.45483935</v>
      </c>
    </row>
    <row r="6095" spans="1:2" x14ac:dyDescent="0.25">
      <c r="A6095">
        <f ca="1">33202.8027653173*((RANDBETWEEN(1620,2416)))</f>
        <v>71120403.523309723</v>
      </c>
      <c r="B6095">
        <v>159908067.864793</v>
      </c>
    </row>
    <row r="6096" spans="1:2" x14ac:dyDescent="0.25">
      <c r="A6096">
        <f ca="1">35110.4024845353*((RANDBETWEEN(1620,2416)))</f>
        <v>82053010.606359094</v>
      </c>
      <c r="B6096">
        <v>152006810.84297466</v>
      </c>
    </row>
    <row r="6097" spans="1:2" x14ac:dyDescent="0.25">
      <c r="A6097">
        <f ca="1">31550.9086570767*((RANDBETWEEN(1620,2416)))</f>
        <v>61082559.160100624</v>
      </c>
      <c r="B6097">
        <v>152608688.72831649</v>
      </c>
    </row>
    <row r="6098" spans="1:2" x14ac:dyDescent="0.25">
      <c r="A6098">
        <f ca="1">32365.2362246724*((RANDBETWEEN(1620,2416)))</f>
        <v>69391066.465697661</v>
      </c>
      <c r="B6098">
        <v>195266169.93779907</v>
      </c>
    </row>
    <row r="6099" spans="1:2" x14ac:dyDescent="0.25">
      <c r="A6099">
        <f ca="1">34963.2938815269*((RANDBETWEEN(1620,2416)))</f>
        <v>65136616.501284532</v>
      </c>
      <c r="B6099">
        <v>195662252.46234334</v>
      </c>
    </row>
    <row r="6100" spans="1:2" x14ac:dyDescent="0.25">
      <c r="A6100">
        <f ca="1">33540.0689071926*((RANDBETWEEN(1620,2416)))</f>
        <v>55743594.523754068</v>
      </c>
      <c r="B6100">
        <v>191958518.05035728</v>
      </c>
    </row>
    <row r="6101" spans="1:2" x14ac:dyDescent="0.25">
      <c r="A6101">
        <f ca="1">33852.6718457341*((RANDBETWEEN(1620,2416)))</f>
        <v>58260448.246508442</v>
      </c>
      <c r="B6101">
        <v>167816403.31581256</v>
      </c>
    </row>
    <row r="6102" spans="1:2" x14ac:dyDescent="0.25">
      <c r="A6102">
        <f ca="1">36124.9384842715*((RANDBETWEEN(1620,2416)))</f>
        <v>82545484.436560273</v>
      </c>
      <c r="B6102">
        <v>147568179.8149133</v>
      </c>
    </row>
    <row r="6103" spans="1:2" x14ac:dyDescent="0.25">
      <c r="A6103">
        <f ca="1">32686.9339510937*((RANDBETWEEN(1620,2416)))</f>
        <v>61124566.488545194</v>
      </c>
      <c r="B6103">
        <v>180241815.91058609</v>
      </c>
    </row>
    <row r="6104" spans="1:2" x14ac:dyDescent="0.25">
      <c r="A6104">
        <f ca="1">30748.356004285*((RANDBETWEEN(1620,2416)))</f>
        <v>51319006.17115166</v>
      </c>
      <c r="B6104">
        <v>162145704.19888186</v>
      </c>
    </row>
    <row r="6105" spans="1:2" x14ac:dyDescent="0.25">
      <c r="A6105">
        <f ca="1">37664.2228225969*((RANDBETWEEN(1620,2416)))</f>
        <v>88284938.296167016</v>
      </c>
      <c r="B6105">
        <v>162325591.70579931</v>
      </c>
    </row>
    <row r="6106" spans="1:2" x14ac:dyDescent="0.25">
      <c r="A6106">
        <f ca="1">31852.7247998859*((RANDBETWEEN(1620,2416)))</f>
        <v>58927540.879788831</v>
      </c>
      <c r="B6106">
        <v>199438160.21966499</v>
      </c>
    </row>
    <row r="6107" spans="1:2" x14ac:dyDescent="0.25">
      <c r="A6107">
        <f ca="1">31823.0445000669*((RANDBETWEEN(1620,2416)))</f>
        <v>58045233.168121934</v>
      </c>
      <c r="B6107">
        <v>157757746.85007825</v>
      </c>
    </row>
    <row r="6108" spans="1:2" x14ac:dyDescent="0.25">
      <c r="A6108">
        <f ca="1">26427.0270634824*((RANDBETWEEN(1620,2416)))</f>
        <v>55179632.508551262</v>
      </c>
      <c r="B6108">
        <v>159321845.29436922</v>
      </c>
    </row>
    <row r="6109" spans="1:2" x14ac:dyDescent="0.25">
      <c r="A6109">
        <f ca="1">30164.3201267361*((RANDBETWEEN(1620,2416)))</f>
        <v>57010565.039531313</v>
      </c>
      <c r="B6109">
        <v>146670775.1928575</v>
      </c>
    </row>
    <row r="6110" spans="1:2" x14ac:dyDescent="0.25">
      <c r="A6110">
        <f ca="1">31575.4958865775*((RANDBETWEEN(1620,2416)))</f>
        <v>57056921.067045465</v>
      </c>
      <c r="B6110">
        <v>149803179.61648548</v>
      </c>
    </row>
    <row r="6111" spans="1:2" x14ac:dyDescent="0.25">
      <c r="A6111">
        <f ca="1">34310.5338044967*((RANDBETWEEN(1620,2416)))</f>
        <v>63097071.666469522</v>
      </c>
      <c r="B6111">
        <v>150847112.85399267</v>
      </c>
    </row>
    <row r="6112" spans="1:2" x14ac:dyDescent="0.25">
      <c r="A6112">
        <f ca="1">31661.9750718183*((RANDBETWEEN(1620,2416)))</f>
        <v>58194710.182001956</v>
      </c>
      <c r="B6112">
        <v>151762117.04642972</v>
      </c>
    </row>
    <row r="6113" spans="1:2" x14ac:dyDescent="0.25">
      <c r="A6113">
        <f ca="1">31712.9361151324*((RANDBETWEEN(1620,2416)))</f>
        <v>56924720.326662675</v>
      </c>
      <c r="B6113">
        <v>171877175.3992523</v>
      </c>
    </row>
    <row r="6114" spans="1:2" x14ac:dyDescent="0.25">
      <c r="A6114">
        <f ca="1">28995.085597901*((RANDBETWEEN(1620,2416)))</f>
        <v>66369750.933595456</v>
      </c>
      <c r="B6114">
        <v>150959241.88600087</v>
      </c>
    </row>
    <row r="6115" spans="1:2" x14ac:dyDescent="0.25">
      <c r="A6115">
        <f ca="1">30702.653435031*((RANDBETWEEN(1620,2416)))</f>
        <v>52194510.839552723</v>
      </c>
      <c r="B6115">
        <v>170110472.82142317</v>
      </c>
    </row>
    <row r="6116" spans="1:2" x14ac:dyDescent="0.25">
      <c r="A6116">
        <f ca="1">30193.2264521091*((RANDBETWEEN(1620,2416)))</f>
        <v>60144907.092601322</v>
      </c>
      <c r="B6116">
        <v>181698811.03047115</v>
      </c>
    </row>
    <row r="6117" spans="1:2" x14ac:dyDescent="0.25">
      <c r="A6117">
        <f ca="1">32912.3528034091*((RANDBETWEEN(1620,2416)))</f>
        <v>53943346.244787455</v>
      </c>
      <c r="B6117">
        <v>156668222.11341846</v>
      </c>
    </row>
    <row r="6118" spans="1:2" x14ac:dyDescent="0.25">
      <c r="A6118">
        <f ca="1">28664.6225498553*((RANDBETWEEN(1620,2416)))</f>
        <v>59507756.413499519</v>
      </c>
      <c r="B6118">
        <v>203207372.9075357</v>
      </c>
    </row>
    <row r="6119" spans="1:2" x14ac:dyDescent="0.25">
      <c r="A6119">
        <f ca="1">29488.6239762608*((RANDBETWEEN(1620,2416)))</f>
        <v>70005993.319643185</v>
      </c>
      <c r="B6119">
        <v>187221078.27645549</v>
      </c>
    </row>
    <row r="6120" spans="1:2" x14ac:dyDescent="0.25">
      <c r="A6120">
        <f ca="1">31162.0769606062*((RANDBETWEEN(1620,2416)))</f>
        <v>58802839.224663809</v>
      </c>
      <c r="B6120">
        <v>151402748.05452749</v>
      </c>
    </row>
    <row r="6121" spans="1:2" x14ac:dyDescent="0.25">
      <c r="A6121">
        <f ca="1">38824.4151491004*((RANDBETWEEN(1620,2416)))</f>
        <v>83705439.061460406</v>
      </c>
      <c r="B6121">
        <v>162547414.77150422</v>
      </c>
    </row>
    <row r="6122" spans="1:2" x14ac:dyDescent="0.25">
      <c r="A6122">
        <f ca="1">35881.7469672922*((RANDBETWEEN(1620,2416)))</f>
        <v>81953910.073295489</v>
      </c>
      <c r="B6122">
        <v>144834945.47202736</v>
      </c>
    </row>
    <row r="6123" spans="1:2" x14ac:dyDescent="0.25">
      <c r="A6123">
        <f ca="1">32883.507176998*((RANDBETWEEN(1620,2416)))</f>
        <v>70272054.837244704</v>
      </c>
      <c r="B6123">
        <v>171134407.37649688</v>
      </c>
    </row>
    <row r="6124" spans="1:2" x14ac:dyDescent="0.25">
      <c r="A6124">
        <f ca="1">30647.2374007296*((RANDBETWEEN(1620,2416)))</f>
        <v>72603305.402328536</v>
      </c>
      <c r="B6124">
        <v>143177841.96952409</v>
      </c>
    </row>
    <row r="6125" spans="1:2" x14ac:dyDescent="0.25">
      <c r="A6125">
        <f ca="1">39228.8908292921*((RANDBETWEEN(1620,2416)))</f>
        <v>93090157.937910199</v>
      </c>
      <c r="B6125">
        <v>185757912.08769238</v>
      </c>
    </row>
    <row r="6126" spans="1:2" x14ac:dyDescent="0.25">
      <c r="A6126">
        <f ca="1">30751.8907800683*((RANDBETWEEN(1620,2416)))</f>
        <v>55076636.387102365</v>
      </c>
      <c r="B6126">
        <v>147022405.32157969</v>
      </c>
    </row>
    <row r="6127" spans="1:2" x14ac:dyDescent="0.25">
      <c r="A6127">
        <f ca="1">32995.3212720533*((RANDBETWEEN(1620,2416)))</f>
        <v>72853669.36869368</v>
      </c>
      <c r="B6127">
        <v>146994084.4012976</v>
      </c>
    </row>
    <row r="6128" spans="1:2" x14ac:dyDescent="0.25">
      <c r="A6128">
        <f ca="1">29856.0616633943*((RANDBETWEEN(1620,2416)))</f>
        <v>54965009.522308864</v>
      </c>
      <c r="B6128">
        <v>143909940.91343886</v>
      </c>
    </row>
    <row r="6129" spans="1:2" x14ac:dyDescent="0.25">
      <c r="A6129">
        <f ca="1">41495.8661480803*((RANDBETWEEN(1620,2416)))</f>
        <v>76227906.114023447</v>
      </c>
      <c r="B6129">
        <v>168948471.43894544</v>
      </c>
    </row>
    <row r="6130" spans="1:2" x14ac:dyDescent="0.25">
      <c r="A6130">
        <f ca="1">31976.7860095065*((RANDBETWEEN(1620,2416)))</f>
        <v>58581471.96941594</v>
      </c>
      <c r="B6130">
        <v>143629481.97763166</v>
      </c>
    </row>
    <row r="6131" spans="1:2" x14ac:dyDescent="0.25">
      <c r="A6131">
        <f ca="1">31930.1140939334*((RANDBETWEEN(1620,2416)))</f>
        <v>55909629.778477304</v>
      </c>
      <c r="B6131">
        <v>152770572.50572741</v>
      </c>
    </row>
    <row r="6132" spans="1:2" x14ac:dyDescent="0.25">
      <c r="A6132">
        <f ca="1">32494.5456995876*((RANDBETWEEN(1620,2416)))</f>
        <v>70285702.348207951</v>
      </c>
      <c r="B6132">
        <v>153235297.24370104</v>
      </c>
    </row>
    <row r="6133" spans="1:2" x14ac:dyDescent="0.25">
      <c r="A6133">
        <f ca="1">30051.344946868*((RANDBETWEEN(1620,2416)))</f>
        <v>61274692.346663937</v>
      </c>
      <c r="B6133">
        <v>145903992.9878557</v>
      </c>
    </row>
    <row r="6134" spans="1:2" x14ac:dyDescent="0.25">
      <c r="A6134">
        <f ca="1">41215.8463414381*((RANDBETWEEN(1620,2416)))</f>
        <v>90097840.102383599</v>
      </c>
      <c r="B6134">
        <v>173390364.19835734</v>
      </c>
    </row>
    <row r="6135" spans="1:2" x14ac:dyDescent="0.25">
      <c r="A6135">
        <f ca="1">33428.10771566*((RANDBETWEEN(1620,2416)))</f>
        <v>58231763.640679769</v>
      </c>
      <c r="B6135">
        <v>181397626.43084231</v>
      </c>
    </row>
    <row r="6136" spans="1:2" x14ac:dyDescent="0.25">
      <c r="A6136">
        <f ca="1">32955.8600277581*((RANDBETWEEN(1620,2416)))</f>
        <v>71810819.000484988</v>
      </c>
      <c r="B6136">
        <v>165073530.75175413</v>
      </c>
    </row>
    <row r="6137" spans="1:2" x14ac:dyDescent="0.25">
      <c r="A6137">
        <f ca="1">30838.6477798079*((RANDBETWEEN(1620,2416)))</f>
        <v>58439237.542735986</v>
      </c>
      <c r="B6137">
        <v>197708716.56012937</v>
      </c>
    </row>
    <row r="6138" spans="1:2" x14ac:dyDescent="0.25">
      <c r="A6138">
        <f ca="1">33519.6154818829*((RANDBETWEEN(1620,2416)))</f>
        <v>69184486.354606271</v>
      </c>
      <c r="B6138">
        <v>156163916.23511899</v>
      </c>
    </row>
    <row r="6139" spans="1:2" x14ac:dyDescent="0.25">
      <c r="A6139">
        <f ca="1">31340.3314162275*((RANDBETWEEN(1620,2416)))</f>
        <v>55096302.629727863</v>
      </c>
      <c r="B6139">
        <v>143242553.34456995</v>
      </c>
    </row>
    <row r="6140" spans="1:2" x14ac:dyDescent="0.25">
      <c r="A6140">
        <f ca="1">30713.8179608631*((RANDBETWEEN(1620,2416)))</f>
        <v>63086182.091612831</v>
      </c>
      <c r="B6140">
        <v>144083797.56952196</v>
      </c>
    </row>
    <row r="6141" spans="1:2" x14ac:dyDescent="0.25">
      <c r="A6141">
        <f ca="1">37755.89197734*((RANDBETWEEN(1620,2416)))</f>
        <v>82119065.050714508</v>
      </c>
      <c r="B6141">
        <v>149901201.08307678</v>
      </c>
    </row>
    <row r="6142" spans="1:2" x14ac:dyDescent="0.25">
      <c r="A6142">
        <f ca="1">30032.5023187261*((RANDBETWEEN(1620,2416)))</f>
        <v>65170530.03163559</v>
      </c>
      <c r="B6142">
        <v>192007123.93911695</v>
      </c>
    </row>
    <row r="6143" spans="1:2" x14ac:dyDescent="0.25">
      <c r="A6143">
        <f ca="1">30793.6449952518*((RANDBETWEEN(1620,2416)))</f>
        <v>58846655.58592625</v>
      </c>
      <c r="B6143">
        <v>183555177.92781523</v>
      </c>
    </row>
    <row r="6144" spans="1:2" x14ac:dyDescent="0.25">
      <c r="A6144">
        <f ca="1">33220.4361513448*((RANDBETWEEN(1620,2416)))</f>
        <v>65145275.292787232</v>
      </c>
      <c r="B6144">
        <v>148600512.8405481</v>
      </c>
    </row>
    <row r="6145" spans="1:2" x14ac:dyDescent="0.25">
      <c r="A6145">
        <f ca="1">31731.2169959897*((RANDBETWEEN(1620,2416)))</f>
        <v>69745214.957185432</v>
      </c>
      <c r="B6145">
        <v>143885689.52422431</v>
      </c>
    </row>
    <row r="6146" spans="1:2" x14ac:dyDescent="0.25">
      <c r="A6146">
        <f ca="1">33564.6272160056*((RANDBETWEEN(1620,2416)))</f>
        <v>80823622.336141497</v>
      </c>
      <c r="B6146">
        <v>181048690.84739468</v>
      </c>
    </row>
    <row r="6147" spans="1:2" x14ac:dyDescent="0.25">
      <c r="A6147">
        <f ca="1">39241.4890409959*((RANDBETWEEN(1620,2416)))</f>
        <v>87430037.583338782</v>
      </c>
      <c r="B6147">
        <v>153109869.57103425</v>
      </c>
    </row>
    <row r="6148" spans="1:2" x14ac:dyDescent="0.25">
      <c r="A6148">
        <f ca="1">32671.7209877171*((RANDBETWEEN(1620,2416)))</f>
        <v>69492750.540874273</v>
      </c>
      <c r="B6148">
        <v>199658814.03036532</v>
      </c>
    </row>
    <row r="6149" spans="1:2" x14ac:dyDescent="0.25">
      <c r="A6149">
        <f ca="1">34245.7565155697*((RANDBETWEEN(1620,2416)))</f>
        <v>58286277.589499608</v>
      </c>
      <c r="B6149">
        <v>203496041.85195208</v>
      </c>
    </row>
    <row r="6150" spans="1:2" x14ac:dyDescent="0.25">
      <c r="A6150">
        <f ca="1">28295.5112016265*((RANDBETWEEN(1620,2416)))</f>
        <v>48074073.531563446</v>
      </c>
      <c r="B6150">
        <v>163873359.24844211</v>
      </c>
    </row>
    <row r="6151" spans="1:2" x14ac:dyDescent="0.25">
      <c r="A6151">
        <f ca="1">33202.875826057*((RANDBETWEEN(1620,2416)))</f>
        <v>59665567.859424405</v>
      </c>
      <c r="B6151">
        <v>167415717.6090135</v>
      </c>
    </row>
    <row r="6152" spans="1:2" x14ac:dyDescent="0.25">
      <c r="A6152">
        <f ca="1">38220.5669526077*((RANDBETWEEN(1620,2416)))</f>
        <v>81256925.341243938</v>
      </c>
      <c r="B6152">
        <v>148020802.2832464</v>
      </c>
    </row>
    <row r="6153" spans="1:2" x14ac:dyDescent="0.25">
      <c r="A6153">
        <f ca="1">30391.1739086209*((RANDBETWEEN(1620,2416)))</f>
        <v>57135406.948207349</v>
      </c>
      <c r="B6153">
        <v>164145967.64473355</v>
      </c>
    </row>
    <row r="6154" spans="1:2" x14ac:dyDescent="0.25">
      <c r="A6154">
        <f ca="1">37913.9424896156*((RANDBETWEEN(1620,2416)))</f>
        <v>83941468.672008857</v>
      </c>
      <c r="B6154">
        <v>193521971.76751447</v>
      </c>
    </row>
    <row r="6155" spans="1:2" x14ac:dyDescent="0.25">
      <c r="A6155">
        <f ca="1">30904.484827702*((RANDBETWEEN(1620,2416)))</f>
        <v>51548680.692606859</v>
      </c>
      <c r="B6155">
        <v>143009552.49769285</v>
      </c>
    </row>
    <row r="6156" spans="1:2" x14ac:dyDescent="0.25">
      <c r="A6156">
        <f ca="1">32967.7097566693*((RANDBETWEEN(1620,2416)))</f>
        <v>78232375.252576262</v>
      </c>
      <c r="B6156">
        <v>160790699.11407015</v>
      </c>
    </row>
    <row r="6157" spans="1:2" x14ac:dyDescent="0.25">
      <c r="A6157">
        <f ca="1">34769.8390559576*((RANDBETWEEN(1620,2416)))</f>
        <v>73399130.24712649</v>
      </c>
      <c r="B6157">
        <v>143376424.26303464</v>
      </c>
    </row>
    <row r="6158" spans="1:2" x14ac:dyDescent="0.25">
      <c r="A6158">
        <f ca="1">41072.4731465728*((RANDBETWEEN(1620,2416)))</f>
        <v>92330919.633495659</v>
      </c>
      <c r="B6158">
        <v>149880431.42254949</v>
      </c>
    </row>
    <row r="6159" spans="1:2" x14ac:dyDescent="0.25">
      <c r="A6159">
        <f ca="1">28707.8506585842*((RANDBETWEEN(1620,2416)))</f>
        <v>61004182.649491496</v>
      </c>
      <c r="B6159">
        <v>146677442.58004096</v>
      </c>
    </row>
    <row r="6160" spans="1:2" x14ac:dyDescent="0.25">
      <c r="A6160">
        <f ca="1">33017.0839513203*((RANDBETWEEN(1620,2416)))</f>
        <v>61015571.142039828</v>
      </c>
      <c r="B6160">
        <v>143636636.75308517</v>
      </c>
    </row>
    <row r="6161" spans="1:2" x14ac:dyDescent="0.25">
      <c r="A6161">
        <f ca="1">38326.0665186996*((RANDBETWEEN(1620,2416)))</f>
        <v>62816423.024148606</v>
      </c>
      <c r="B6161">
        <v>145691074.82914639</v>
      </c>
    </row>
    <row r="6162" spans="1:2" x14ac:dyDescent="0.25">
      <c r="A6162">
        <f ca="1">40695.6432920495*((RANDBETWEEN(1620,2416)))</f>
        <v>82693547.16944465</v>
      </c>
      <c r="B6162">
        <v>196582443.26172903</v>
      </c>
    </row>
    <row r="6163" spans="1:2" x14ac:dyDescent="0.25">
      <c r="A6163">
        <f ca="1">40664.8167647937*((RANDBETWEEN(1620,2416)))</f>
        <v>96904258.350503355</v>
      </c>
      <c r="B6163">
        <v>146784435.58284217</v>
      </c>
    </row>
    <row r="6164" spans="1:2" x14ac:dyDescent="0.25">
      <c r="A6164">
        <f ca="1">30521.4579281659*((RANDBETWEEN(1620,2416)))</f>
        <v>68764844.712157786</v>
      </c>
      <c r="B6164">
        <v>149275258.19090733</v>
      </c>
    </row>
    <row r="6165" spans="1:2" x14ac:dyDescent="0.25">
      <c r="A6165">
        <f ca="1">31932.2848507394*((RANDBETWEEN(1620,2416)))</f>
        <v>53422712.555287085</v>
      </c>
      <c r="B6165">
        <v>202667035.89628506</v>
      </c>
    </row>
    <row r="6166" spans="1:2" x14ac:dyDescent="0.25">
      <c r="A6166">
        <f ca="1">36422.3405897876*((RANDBETWEEN(1620,2416)))</f>
        <v>85556078.04541105</v>
      </c>
      <c r="B6166">
        <v>197184481.05639628</v>
      </c>
    </row>
    <row r="6167" spans="1:2" x14ac:dyDescent="0.25">
      <c r="A6167">
        <f ca="1">31668.8729424404*((RANDBETWEEN(1620,2416)))</f>
        <v>70716593.280469462</v>
      </c>
      <c r="B6167">
        <v>202193155.87972188</v>
      </c>
    </row>
    <row r="6168" spans="1:2" x14ac:dyDescent="0.25">
      <c r="A6168">
        <f ca="1">40738.7158599944*((RANDBETWEEN(1620,2416)))</f>
        <v>96102630.713726833</v>
      </c>
      <c r="B6168">
        <v>150977913.57267493</v>
      </c>
    </row>
    <row r="6169" spans="1:2" x14ac:dyDescent="0.25">
      <c r="A6169">
        <f ca="1">31395.1392591434*((RANDBETWEEN(1620,2416)))</f>
        <v>58489144.439784184</v>
      </c>
      <c r="B6169">
        <v>161942931.47167978</v>
      </c>
    </row>
    <row r="6170" spans="1:2" x14ac:dyDescent="0.25">
      <c r="A6170">
        <f ca="1">32842.8336136791*((RANDBETWEEN(1620,2416)))</f>
        <v>65882724.22904031</v>
      </c>
      <c r="B6170">
        <v>168386168.42712381</v>
      </c>
    </row>
    <row r="6171" spans="1:2" x14ac:dyDescent="0.25">
      <c r="A6171">
        <f ca="1">30113.3949642773*((RANDBETWEEN(1620,2416)))</f>
        <v>65406293.862410344</v>
      </c>
      <c r="B6171">
        <v>199223383.98577094</v>
      </c>
    </row>
    <row r="6172" spans="1:2" x14ac:dyDescent="0.25">
      <c r="A6172">
        <f ca="1">40295.2792936625*((RANDBETWEEN(1620,2416)))</f>
        <v>95137154.412337095</v>
      </c>
      <c r="B6172">
        <v>175863825.36268321</v>
      </c>
    </row>
    <row r="6173" spans="1:2" x14ac:dyDescent="0.25">
      <c r="A6173">
        <f ca="1">36213.7575909706*((RANDBETWEEN(1620,2416)))</f>
        <v>71377316.211803138</v>
      </c>
      <c r="B6173">
        <v>185330872.75162783</v>
      </c>
    </row>
    <row r="6174" spans="1:2" x14ac:dyDescent="0.25">
      <c r="A6174">
        <f ca="1">36502.0579867285*((RANDBETWEEN(1620,2416)))</f>
        <v>62966050.027106598</v>
      </c>
      <c r="B6174">
        <v>166912305.83010876</v>
      </c>
    </row>
    <row r="6175" spans="1:2" x14ac:dyDescent="0.25">
      <c r="A6175">
        <f ca="1">31419.3763362725*((RANDBETWEEN(1620,2416)))</f>
        <v>66923271.596260346</v>
      </c>
      <c r="B6175">
        <v>178188140.60145295</v>
      </c>
    </row>
    <row r="6176" spans="1:2" x14ac:dyDescent="0.25">
      <c r="A6176">
        <f ca="1">30980.0309719642*((RANDBETWEEN(1620,2416)))</f>
        <v>61929081.912956499</v>
      </c>
      <c r="B6176">
        <v>171712469.62201342</v>
      </c>
    </row>
    <row r="6177" spans="1:2" x14ac:dyDescent="0.25">
      <c r="A6177">
        <f ca="1">34191.3832854841*((RANDBETWEEN(1620,2416)))</f>
        <v>58398882.651606768</v>
      </c>
      <c r="B6177">
        <v>193281854.57201082</v>
      </c>
    </row>
    <row r="6178" spans="1:2" x14ac:dyDescent="0.25">
      <c r="A6178">
        <f ca="1">32725.0670805066*((RANDBETWEEN(1620,2416)))</f>
        <v>65679209.630576663</v>
      </c>
      <c r="B6178">
        <v>179599396.12698403</v>
      </c>
    </row>
    <row r="6179" spans="1:2" x14ac:dyDescent="0.25">
      <c r="A6179">
        <f ca="1">31948.7611558398*((RANDBETWEEN(1620,2416)))</f>
        <v>76996514.385573819</v>
      </c>
      <c r="B6179">
        <v>201100554.13633427</v>
      </c>
    </row>
    <row r="6180" spans="1:2" x14ac:dyDescent="0.25">
      <c r="A6180">
        <f ca="1">33191.2932776763*((RANDBETWEEN(1620,2416)))</f>
        <v>71759576.066336185</v>
      </c>
      <c r="B6180">
        <v>167013156.60215062</v>
      </c>
    </row>
    <row r="6181" spans="1:2" x14ac:dyDescent="0.25">
      <c r="A6181">
        <f ca="1">36440.1722002527*((RANDBETWEEN(1620,2416)))</f>
        <v>87893695.347009599</v>
      </c>
      <c r="B6181">
        <v>153283915.59448582</v>
      </c>
    </row>
    <row r="6182" spans="1:2" x14ac:dyDescent="0.25">
      <c r="A6182">
        <f ca="1">38392.0064092081*((RANDBETWEEN(1620,2416)))</f>
        <v>79087533.202968612</v>
      </c>
      <c r="B6182">
        <v>183388115.95776713</v>
      </c>
    </row>
    <row r="6183" spans="1:2" x14ac:dyDescent="0.25">
      <c r="A6183">
        <f ca="1">35878.7315233814*((RANDBETWEEN(1620,2416)))</f>
        <v>84315019.079946294</v>
      </c>
      <c r="B6183">
        <v>198944847.15665007</v>
      </c>
    </row>
    <row r="6184" spans="1:2" x14ac:dyDescent="0.25">
      <c r="A6184">
        <f ca="1">31546.8485629623*((RANDBETWEEN(1620,2416)))</f>
        <v>71611346.237924457</v>
      </c>
      <c r="B6184">
        <v>203266841.95055833</v>
      </c>
    </row>
    <row r="6185" spans="1:2" x14ac:dyDescent="0.25">
      <c r="A6185">
        <f ca="1">30056.4506624772*((RANDBETWEEN(1620,2416)))</f>
        <v>61285102.900791101</v>
      </c>
      <c r="B6185">
        <v>189451705.05807924</v>
      </c>
    </row>
    <row r="6186" spans="1:2" x14ac:dyDescent="0.25">
      <c r="A6186">
        <f ca="1">29377.3396224418*((RANDBETWEEN(1620,2416)))</f>
        <v>52702947.282660663</v>
      </c>
      <c r="B6186">
        <v>197775918.21291775</v>
      </c>
    </row>
    <row r="6187" spans="1:2" x14ac:dyDescent="0.25">
      <c r="A6187">
        <f ca="1">32181.2017863393*((RANDBETWEEN(1620,2416)))</f>
        <v>74242032.521084845</v>
      </c>
      <c r="B6187">
        <v>200092313.91114065</v>
      </c>
    </row>
    <row r="6188" spans="1:2" x14ac:dyDescent="0.25">
      <c r="A6188">
        <f ca="1">30970.0640487231*((RANDBETWEEN(1620,2416)))</f>
        <v>58254690.475648068</v>
      </c>
      <c r="B6188">
        <v>160272696.08353984</v>
      </c>
    </row>
    <row r="6189" spans="1:2" x14ac:dyDescent="0.25">
      <c r="A6189">
        <f ca="1">36778.2784074487*((RANDBETWEEN(1620,2416)))</f>
        <v>82677569.859944761</v>
      </c>
      <c r="B6189">
        <v>191011392.85572934</v>
      </c>
    </row>
    <row r="6190" spans="1:2" x14ac:dyDescent="0.25">
      <c r="A6190">
        <f ca="1">32005.4607556505*((RANDBETWEEN(1620,2416)))</f>
        <v>67435505.812155679</v>
      </c>
      <c r="B6190">
        <v>153915557.49363899</v>
      </c>
    </row>
    <row r="6191" spans="1:2" x14ac:dyDescent="0.25">
      <c r="A6191">
        <f ca="1">27413.0162124384*((RANDBETWEEN(1620,2416)))</f>
        <v>50741493.009223528</v>
      </c>
      <c r="B6191">
        <v>152437895.43943352</v>
      </c>
    </row>
    <row r="6192" spans="1:2" x14ac:dyDescent="0.25">
      <c r="A6192">
        <f ca="1">36726.3841332746*((RANDBETWEEN(1620,2416)))</f>
        <v>63316286.245765328</v>
      </c>
      <c r="B6192">
        <v>179971266.28438795</v>
      </c>
    </row>
    <row r="6193" spans="1:2" x14ac:dyDescent="0.25">
      <c r="A6193">
        <f ca="1">32865.0323735742*((RANDBETWEEN(1620,2416)))</f>
        <v>62772211.833526716</v>
      </c>
      <c r="B6193">
        <v>192644365.75941563</v>
      </c>
    </row>
    <row r="6194" spans="1:2" x14ac:dyDescent="0.25">
      <c r="A6194">
        <f ca="1">32967.245292818*((RANDBETWEEN(1620,2416)))</f>
        <v>72527939.64419961</v>
      </c>
      <c r="B6194">
        <v>187104208.19480753</v>
      </c>
    </row>
    <row r="6195" spans="1:2" x14ac:dyDescent="0.25">
      <c r="A6195">
        <f ca="1">40462.2784661225*((RANDBETWEEN(1620,2416)))</f>
        <v>97554553.38182126</v>
      </c>
      <c r="B6195">
        <v>149871383.89630121</v>
      </c>
    </row>
    <row r="6196" spans="1:2" x14ac:dyDescent="0.25">
      <c r="A6196">
        <f ca="1">34286.2983350952*((RANDBETWEEN(1620,2416)))</f>
        <v>68298306.283509657</v>
      </c>
      <c r="B6196">
        <v>145878229.95332313</v>
      </c>
    </row>
    <row r="6197" spans="1:2" x14ac:dyDescent="0.25">
      <c r="A6197">
        <f ca="1">32990.2139463939*((RANDBETWEEN(1620,2416)))</f>
        <v>72776411.965745017</v>
      </c>
      <c r="B6197">
        <v>144057436.47723266</v>
      </c>
    </row>
    <row r="6198" spans="1:2" x14ac:dyDescent="0.25">
      <c r="A6198">
        <f ca="1">31526.9946487103*((RANDBETWEEN(1620,2416)))</f>
        <v>63022462.302771874</v>
      </c>
      <c r="B6198">
        <v>170560708.01226661</v>
      </c>
    </row>
    <row r="6199" spans="1:2" x14ac:dyDescent="0.25">
      <c r="A6199">
        <f ca="1">37740.4382855349*((RANDBETWEEN(1620,2416)))</f>
        <v>77216936.732204482</v>
      </c>
      <c r="B6199">
        <v>155440410.88051298</v>
      </c>
    </row>
    <row r="6200" spans="1:2" x14ac:dyDescent="0.25">
      <c r="A6200">
        <f ca="1">33014.6644397191*((RANDBETWEEN(1620,2416)))</f>
        <v>78475857.373212278</v>
      </c>
      <c r="B6200">
        <v>150162272.70281217</v>
      </c>
    </row>
    <row r="6201" spans="1:2" x14ac:dyDescent="0.25">
      <c r="A6201">
        <f ca="1">28014.6458143126*((RANDBETWEEN(1620,2416)))</f>
        <v>65778388.372005984</v>
      </c>
      <c r="B6201">
        <v>159760435.29072857</v>
      </c>
    </row>
    <row r="6202" spans="1:2" x14ac:dyDescent="0.25">
      <c r="A6202">
        <f ca="1">32797.6725623295*((RANDBETWEEN(1620,2416)))</f>
        <v>55690448.010835417</v>
      </c>
      <c r="B6202">
        <v>170235354.66823965</v>
      </c>
    </row>
    <row r="6203" spans="1:2" x14ac:dyDescent="0.25">
      <c r="A6203">
        <f ca="1">33302.8591652664*((RANDBETWEEN(1620,2416)))</f>
        <v>68470678.443787754</v>
      </c>
      <c r="B6203">
        <v>175489633.66581643</v>
      </c>
    </row>
    <row r="6204" spans="1:2" x14ac:dyDescent="0.25">
      <c r="A6204">
        <f ca="1">33711.083257149*((RANDBETWEEN(1620,2416)))</f>
        <v>66781655.932412259</v>
      </c>
      <c r="B6204">
        <v>187927215.03645253</v>
      </c>
    </row>
    <row r="6205" spans="1:2" x14ac:dyDescent="0.25">
      <c r="A6205">
        <f ca="1">34420.6444546851*((RANDBETWEEN(1620,2416)))</f>
        <v>70768844.998832628</v>
      </c>
      <c r="B6205">
        <v>191084879.42863756</v>
      </c>
    </row>
    <row r="6206" spans="1:2" x14ac:dyDescent="0.25">
      <c r="A6206">
        <f ca="1">29079.0362359155*((RANDBETWEEN(1620,2416)))</f>
        <v>66794546.23389788</v>
      </c>
      <c r="B6206">
        <v>180131044.52705142</v>
      </c>
    </row>
    <row r="6207" spans="1:2" x14ac:dyDescent="0.25">
      <c r="A6207">
        <f ca="1">33499.1170969242*((RANDBETWEEN(1620,2416)))</f>
        <v>71788607.938708588</v>
      </c>
      <c r="B6207">
        <v>149311411.9950732</v>
      </c>
    </row>
    <row r="6208" spans="1:2" x14ac:dyDescent="0.25">
      <c r="A6208">
        <f ca="1">32093.7245999995*((RANDBETWEEN(1620,2416)))</f>
        <v>61363201.43519903</v>
      </c>
      <c r="B6208">
        <v>153293041.48364481</v>
      </c>
    </row>
    <row r="6209" spans="1:2" x14ac:dyDescent="0.25">
      <c r="A6209">
        <f ca="1">31658.4819179662*((RANDBETWEEN(1620,2416)))</f>
        <v>52806347.839167587</v>
      </c>
      <c r="B6209">
        <v>180264325.15144488</v>
      </c>
    </row>
    <row r="6210" spans="1:2" x14ac:dyDescent="0.25">
      <c r="A6210">
        <f ca="1">39801.7452458754*((RANDBETWEEN(1620,2416)))</f>
        <v>84658312.137977019</v>
      </c>
      <c r="B6210">
        <v>189273339.91256621</v>
      </c>
    </row>
    <row r="6211" spans="1:2" x14ac:dyDescent="0.25">
      <c r="A6211">
        <f ca="1">34933.8755455424*((RANDBETWEEN(1620,2416)))</f>
        <v>73256337.019002378</v>
      </c>
      <c r="B6211">
        <v>151877452.66667867</v>
      </c>
    </row>
    <row r="6212" spans="1:2" x14ac:dyDescent="0.25">
      <c r="A6212">
        <f ca="1">35238.9200142786*((RANDBETWEEN(1620,2416)))</f>
        <v>59729969.424202174</v>
      </c>
      <c r="B6212">
        <v>152480107.49056852</v>
      </c>
    </row>
    <row r="6213" spans="1:2" x14ac:dyDescent="0.25">
      <c r="A6213">
        <f ca="1">32604.3548195062*((RANDBETWEEN(1620,2416)))</f>
        <v>68534353.83060205</v>
      </c>
      <c r="B6213">
        <v>147799855.46318039</v>
      </c>
    </row>
    <row r="6214" spans="1:2" x14ac:dyDescent="0.25">
      <c r="A6214">
        <f ca="1">31023.45960486*((RANDBETWEEN(1620,2416)))</f>
        <v>64745960.195342757</v>
      </c>
      <c r="B6214">
        <v>177820195.94418344</v>
      </c>
    </row>
    <row r="6215" spans="1:2" x14ac:dyDescent="0.25">
      <c r="A6215">
        <f ca="1">43301.8850151053*((RANDBETWEEN(1620,2416)))</f>
        <v>78116600.567249954</v>
      </c>
      <c r="B6215">
        <v>161755019.94019049</v>
      </c>
    </row>
    <row r="6216" spans="1:2" x14ac:dyDescent="0.25">
      <c r="A6216">
        <f ca="1">34894.8788074507*((RANDBETWEEN(1620,2416)))</f>
        <v>60682194.246156812</v>
      </c>
      <c r="B6216">
        <v>185548242.38107893</v>
      </c>
    </row>
    <row r="6217" spans="1:2" x14ac:dyDescent="0.25">
      <c r="A6217">
        <f ca="1">31332.7014530847*((RANDBETWEEN(1620,2416)))</f>
        <v>71156564.999955416</v>
      </c>
      <c r="B6217">
        <v>150166576.84317297</v>
      </c>
    </row>
    <row r="6218" spans="1:2" x14ac:dyDescent="0.25">
      <c r="A6218">
        <f ca="1">31159.2641874496*((RANDBETWEEN(1620,2416)))</f>
        <v>62349687.639086723</v>
      </c>
      <c r="B6218">
        <v>178619757.78569877</v>
      </c>
    </row>
    <row r="6219" spans="1:2" x14ac:dyDescent="0.25">
      <c r="A6219">
        <f ca="1">32471.699825631*((RANDBETWEEN(1620,2416)))</f>
        <v>74230305.80139257</v>
      </c>
      <c r="B6219">
        <v>149424315.39447123</v>
      </c>
    </row>
    <row r="6220" spans="1:2" x14ac:dyDescent="0.25">
      <c r="A6220">
        <f ca="1">30344.0810943395*((RANDBETWEEN(1620,2416)))</f>
        <v>53405582.726037577</v>
      </c>
      <c r="B6220">
        <v>171776435.16707033</v>
      </c>
    </row>
    <row r="6221" spans="1:2" x14ac:dyDescent="0.25">
      <c r="A6221">
        <f ca="1">38385.6130293376*((RANDBETWEEN(1620,2416)))</f>
        <v>68096077.514044955</v>
      </c>
      <c r="B6221">
        <v>192547998.43127432</v>
      </c>
    </row>
    <row r="6222" spans="1:2" x14ac:dyDescent="0.25">
      <c r="A6222">
        <f ca="1">33239.1664805458*((RANDBETWEEN(1620,2416)))</f>
        <v>76117691.240450084</v>
      </c>
      <c r="B6222">
        <v>143485263.5419206</v>
      </c>
    </row>
    <row r="6223" spans="1:2" x14ac:dyDescent="0.25">
      <c r="A6223">
        <f ca="1">39126.5081082649*((RANDBETWEEN(1620,2416)))</f>
        <v>85882685.297641411</v>
      </c>
      <c r="B6223">
        <v>182148838.13839132</v>
      </c>
    </row>
    <row r="6224" spans="1:2" x14ac:dyDescent="0.25">
      <c r="A6224">
        <f ca="1">30881.9426252989*((RANDBETWEEN(1620,2416)))</f>
        <v>69453488.96429725</v>
      </c>
      <c r="B6224">
        <v>170262255.76887402</v>
      </c>
    </row>
    <row r="6225" spans="1:2" x14ac:dyDescent="0.25">
      <c r="A6225">
        <f ca="1">38680.882921062*((RANDBETWEEN(1620,2416)))</f>
        <v>66569799.507147729</v>
      </c>
      <c r="B6225">
        <v>201601789.28407514</v>
      </c>
    </row>
    <row r="6226" spans="1:2" x14ac:dyDescent="0.25">
      <c r="A6226">
        <f ca="1">34675.0577733797*((RANDBETWEEN(1620,2416)))</f>
        <v>71187893.608748451</v>
      </c>
      <c r="B6226">
        <v>144193737.15400925</v>
      </c>
    </row>
    <row r="6227" spans="1:2" x14ac:dyDescent="0.25">
      <c r="A6227">
        <f ca="1">34685.7908352969*((RANDBETWEEN(1620,2416)))</f>
        <v>62330366.1310286</v>
      </c>
      <c r="B6227">
        <v>150483685.2813873</v>
      </c>
    </row>
    <row r="6228" spans="1:2" x14ac:dyDescent="0.25">
      <c r="A6228">
        <f ca="1">31849.3372904524*((RANDBETWEEN(1620,2416)))</f>
        <v>67456896.381178156</v>
      </c>
      <c r="B6228">
        <v>175930414.55167904</v>
      </c>
    </row>
    <row r="6229" spans="1:2" x14ac:dyDescent="0.25">
      <c r="A6229">
        <f ca="1">35532.7733906935*((RANDBETWEEN(1620,2416)))</f>
        <v>67618867.762489825</v>
      </c>
      <c r="B6229">
        <v>163712920.20686334</v>
      </c>
    </row>
    <row r="6230" spans="1:2" x14ac:dyDescent="0.25">
      <c r="A6230">
        <f ca="1">31566.230306524*((RANDBETWEEN(1620,2416)))</f>
        <v>65152699.352665462</v>
      </c>
      <c r="B6230">
        <v>168497249.69859383</v>
      </c>
    </row>
    <row r="6231" spans="1:2" x14ac:dyDescent="0.25">
      <c r="A6231">
        <f ca="1">32083.6048016294*((RANDBETWEEN(1620,2416)))</f>
        <v>60285093.422261626</v>
      </c>
      <c r="B6231">
        <v>176443287.56787896</v>
      </c>
    </row>
    <row r="6232" spans="1:2" x14ac:dyDescent="0.25">
      <c r="A6232">
        <f ca="1">32407.0113543481*((RANDBETWEEN(1620,2416)))</f>
        <v>63452928.231813572</v>
      </c>
      <c r="B6232">
        <v>151735773.58208495</v>
      </c>
    </row>
    <row r="6233" spans="1:2" x14ac:dyDescent="0.25">
      <c r="A6233">
        <f ca="1">33054.175806272*((RANDBETWEEN(1620,2416)))</f>
        <v>64753130.40448691</v>
      </c>
      <c r="B6233">
        <v>161433581.73865896</v>
      </c>
    </row>
    <row r="6234" spans="1:2" x14ac:dyDescent="0.25">
      <c r="A6234">
        <f ca="1">30416.1426408791*((RANDBETWEEN(1620,2416)))</f>
        <v>72207922.629447043</v>
      </c>
      <c r="B6234">
        <v>157421767.15586555</v>
      </c>
    </row>
    <row r="6235" spans="1:2" x14ac:dyDescent="0.25">
      <c r="A6235">
        <f ca="1">32136.8833550655*((RANDBETWEEN(1620,2416)))</f>
        <v>73689873.533165202</v>
      </c>
      <c r="B6235">
        <v>188375837.57132307</v>
      </c>
    </row>
    <row r="6236" spans="1:2" x14ac:dyDescent="0.25">
      <c r="A6236">
        <f ca="1">31551.6486737363*((RANDBETWEEN(1620,2416)))</f>
        <v>61336405.021743365</v>
      </c>
      <c r="B6236">
        <v>162229584.12900999</v>
      </c>
    </row>
    <row r="6237" spans="1:2" x14ac:dyDescent="0.25">
      <c r="A6237">
        <f ca="1">31843.575618995*((RANDBETWEEN(1620,2416)))</f>
        <v>57955307.626570903</v>
      </c>
      <c r="B6237">
        <v>160274864.32752746</v>
      </c>
    </row>
    <row r="6238" spans="1:2" x14ac:dyDescent="0.25">
      <c r="A6238">
        <f ca="1">30055.2244185095*((RANDBETWEEN(1620,2416)))</f>
        <v>60020283.163763471</v>
      </c>
      <c r="B6238">
        <v>194122552.34630707</v>
      </c>
    </row>
    <row r="6239" spans="1:2" x14ac:dyDescent="0.25">
      <c r="A6239">
        <f ca="1">32539.0849385682*((RANDBETWEEN(1620,2416)))</f>
        <v>56129921.519030124</v>
      </c>
      <c r="B6239">
        <v>147430803.13434896</v>
      </c>
    </row>
    <row r="6240" spans="1:2" x14ac:dyDescent="0.25">
      <c r="A6240">
        <f ca="1">32739.6077962053*((RANDBETWEEN(1620,2416)))</f>
        <v>71208646.956746519</v>
      </c>
      <c r="B6240">
        <v>146266924.07819951</v>
      </c>
    </row>
    <row r="6241" spans="1:2" x14ac:dyDescent="0.25">
      <c r="A6241">
        <f ca="1">31737.7943243645*((RANDBETWEEN(1620,2416)))</f>
        <v>73822109.598471791</v>
      </c>
      <c r="B6241">
        <v>183759989.89156777</v>
      </c>
    </row>
    <row r="6242" spans="1:2" x14ac:dyDescent="0.25">
      <c r="A6242">
        <f ca="1">40037.242231112*((RANDBETWEEN(1620,2416)))</f>
        <v>92245806.100482121</v>
      </c>
      <c r="B6242">
        <v>173435926.27993619</v>
      </c>
    </row>
    <row r="6243" spans="1:2" x14ac:dyDescent="0.25">
      <c r="A6243">
        <f ca="1">31647.7340555899*((RANDBETWEEN(1620,2416)))</f>
        <v>72220129.114856139</v>
      </c>
      <c r="B6243">
        <v>144375316.4205685</v>
      </c>
    </row>
    <row r="6244" spans="1:2" x14ac:dyDescent="0.25">
      <c r="A6244">
        <f ca="1">38399.4300737827*((RANDBETWEEN(1620,2416)))</f>
        <v>64472643.09388113</v>
      </c>
      <c r="B6244">
        <v>153505421.27190089</v>
      </c>
    </row>
    <row r="6245" spans="1:2" x14ac:dyDescent="0.25">
      <c r="A6245">
        <f ca="1">33422.4759216749*((RANDBETWEEN(1620,2416)))</f>
        <v>74398431.401648298</v>
      </c>
      <c r="B6245">
        <v>144009410.03555289</v>
      </c>
    </row>
    <row r="6246" spans="1:2" x14ac:dyDescent="0.25">
      <c r="A6246">
        <f ca="1">32359.3054200731*((RANDBETWEEN(1620,2416)))</f>
        <v>77403458.564814731</v>
      </c>
      <c r="B6246">
        <v>153777804.40850812</v>
      </c>
    </row>
    <row r="6247" spans="1:2" x14ac:dyDescent="0.25">
      <c r="A6247">
        <f ca="1">30657.4414867823*((RANDBETWEEN(1620,2416)))</f>
        <v>73332600.036383376</v>
      </c>
      <c r="B6247">
        <v>146211300.918652</v>
      </c>
    </row>
    <row r="6248" spans="1:2" x14ac:dyDescent="0.25">
      <c r="A6248">
        <f ca="1">35080.6368295352*((RANDBETWEEN(1620,2416)))</f>
        <v>84649576.669668347</v>
      </c>
      <c r="B6248">
        <v>143292072.49863681</v>
      </c>
    </row>
    <row r="6249" spans="1:2" x14ac:dyDescent="0.25">
      <c r="A6249">
        <f ca="1">31717.9987874605*((RANDBETWEEN(1620,2416)))</f>
        <v>66036873.475492693</v>
      </c>
      <c r="B6249">
        <v>159800323.23693681</v>
      </c>
    </row>
    <row r="6250" spans="1:2" x14ac:dyDescent="0.25">
      <c r="A6250">
        <f ca="1">30541.2443729145*((RANDBETWEEN(1620,2416)))</f>
        <v>69359165.970888853</v>
      </c>
      <c r="B6250">
        <v>175453398.32974082</v>
      </c>
    </row>
    <row r="6251" spans="1:2" x14ac:dyDescent="0.25">
      <c r="A6251">
        <f ca="1">30743.6870644667*((RANDBETWEEN(1620,2416)))</f>
        <v>68527678.466696352</v>
      </c>
      <c r="B6251">
        <v>150277565.41529658</v>
      </c>
    </row>
    <row r="6252" spans="1:2" x14ac:dyDescent="0.25">
      <c r="A6252">
        <f ca="1">32269.9743039003*((RANDBETWEEN(1620,2416)))</f>
        <v>66088907.374387868</v>
      </c>
      <c r="B6252">
        <v>143533161.30807409</v>
      </c>
    </row>
    <row r="6253" spans="1:2" x14ac:dyDescent="0.25">
      <c r="A6253">
        <f ca="1">29970.2769449235*((RANDBETWEEN(1620,2416)))</f>
        <v>67283271.741353258</v>
      </c>
      <c r="B6253">
        <v>203095132.06770527</v>
      </c>
    </row>
    <row r="6254" spans="1:2" x14ac:dyDescent="0.25">
      <c r="A6254">
        <f ca="1">32152.9584858956*((RANDBETWEEN(1620,2416)))</f>
        <v>70897273.461399749</v>
      </c>
      <c r="B6254">
        <v>164878563.69428462</v>
      </c>
    </row>
    <row r="6255" spans="1:2" x14ac:dyDescent="0.25">
      <c r="A6255">
        <f ca="1">31081.9509028646*((RANDBETWEEN(1620,2416)))</f>
        <v>54393414.08001297</v>
      </c>
      <c r="B6255">
        <v>192212652.69746569</v>
      </c>
    </row>
    <row r="6256" spans="1:2" x14ac:dyDescent="0.25">
      <c r="A6256">
        <f ca="1">34330.6804853938*((RANDBETWEEN(1620,2416)))</f>
        <v>71167500.646221399</v>
      </c>
      <c r="B6256">
        <v>166234351.89498335</v>
      </c>
    </row>
    <row r="6257" spans="1:2" x14ac:dyDescent="0.25">
      <c r="A6257">
        <f ca="1">32267.2485517463*((RANDBETWEEN(1620,2416)))</f>
        <v>55306064.017693169</v>
      </c>
      <c r="B6257">
        <v>182964186.85143054</v>
      </c>
    </row>
    <row r="6258" spans="1:2" x14ac:dyDescent="0.25">
      <c r="A6258">
        <f ca="1">35025.6347840053*((RANDBETWEEN(1620,2416)))</f>
        <v>62906040.072073609</v>
      </c>
      <c r="B6258">
        <v>166798805.56711155</v>
      </c>
    </row>
    <row r="6259" spans="1:2" x14ac:dyDescent="0.25">
      <c r="A6259">
        <f ca="1">32026.2194423064*((RANDBETWEEN(1620,2416)))</f>
        <v>66710615.098324195</v>
      </c>
      <c r="B6259">
        <v>185326707.77553445</v>
      </c>
    </row>
    <row r="6260" spans="1:2" x14ac:dyDescent="0.25">
      <c r="A6260">
        <f ca="1">32864.3124011209*((RANDBETWEEN(1620,2416)))</f>
        <v>72038572.783257052</v>
      </c>
      <c r="B6260">
        <v>150665827.36524314</v>
      </c>
    </row>
    <row r="6261" spans="1:2" x14ac:dyDescent="0.25">
      <c r="A6261">
        <f ca="1">37642.4621888972*((RANDBETWEEN(1620,2416)))</f>
        <v>69412700.276326507</v>
      </c>
      <c r="B6261">
        <v>176936261.93878824</v>
      </c>
    </row>
    <row r="6262" spans="1:2" x14ac:dyDescent="0.25">
      <c r="A6262">
        <f ca="1">28685.8782066652*((RANDBETWEEN(1620,2416)))</f>
        <v>46958782.624310911</v>
      </c>
      <c r="B6262">
        <v>146804511.90169302</v>
      </c>
    </row>
    <row r="6263" spans="1:2" x14ac:dyDescent="0.25">
      <c r="A6263">
        <f ca="1">33045.5123211666*((RANDBETWEEN(1620,2416)))</f>
        <v>70386941.244084895</v>
      </c>
      <c r="B6263">
        <v>150513633.73493358</v>
      </c>
    </row>
    <row r="6264" spans="1:2" x14ac:dyDescent="0.25">
      <c r="A6264">
        <f ca="1">33321.160735302*((RANDBETWEEN(1620,2416)))</f>
        <v>77038523.620018274</v>
      </c>
      <c r="B6264">
        <v>169777540.97051996</v>
      </c>
    </row>
    <row r="6265" spans="1:2" x14ac:dyDescent="0.25">
      <c r="A6265">
        <f ca="1">41527.9032304267*((RANDBETWEEN(1620,2416)))</f>
        <v>92399584.687699512</v>
      </c>
      <c r="B6265">
        <v>165854260.44973952</v>
      </c>
    </row>
    <row r="6266" spans="1:2" x14ac:dyDescent="0.25">
      <c r="A6266">
        <f ca="1">27643.0797462657*((RANDBETWEEN(1620,2416)))</f>
        <v>55949593.406441741</v>
      </c>
      <c r="B6266">
        <v>178496631.41413116</v>
      </c>
    </row>
    <row r="6267" spans="1:2" x14ac:dyDescent="0.25">
      <c r="A6267">
        <f ca="1">38604.6667178337*((RANDBETWEEN(1620,2416)))</f>
        <v>65820956.753906459</v>
      </c>
      <c r="B6267">
        <v>193284628.70041695</v>
      </c>
    </row>
    <row r="6268" spans="1:2" x14ac:dyDescent="0.25">
      <c r="A6268">
        <f ca="1">34465.7141794967*((RANDBETWEEN(1620,2416)))</f>
        <v>77237665.476252198</v>
      </c>
      <c r="B6268">
        <v>174814325.38959676</v>
      </c>
    </row>
    <row r="6269" spans="1:2" x14ac:dyDescent="0.25">
      <c r="A6269">
        <f ca="1">31089.4670958941*((RANDBETWEEN(1620,2416)))</f>
        <v>62303292.060171843</v>
      </c>
      <c r="B6269">
        <v>177515925.34994873</v>
      </c>
    </row>
    <row r="6270" spans="1:2" x14ac:dyDescent="0.25">
      <c r="A6270">
        <f ca="1">36561.294157635*((RANDBETWEEN(1620,2416)))</f>
        <v>87710544.684166327</v>
      </c>
      <c r="B6270">
        <v>160647517.39916837</v>
      </c>
    </row>
    <row r="6271" spans="1:2" x14ac:dyDescent="0.25">
      <c r="A6271">
        <f ca="1">33565.6747014925*((RANDBETWEEN(1620,2416)))</f>
        <v>61257356.330223836</v>
      </c>
      <c r="B6271">
        <v>149928386.22307977</v>
      </c>
    </row>
    <row r="6272" spans="1:2" x14ac:dyDescent="0.25">
      <c r="A6272">
        <f ca="1">38128.360564964*((RANDBETWEEN(1620,2416)))</f>
        <v>71109392.45365791</v>
      </c>
      <c r="B6272">
        <v>173080914.27222297</v>
      </c>
    </row>
    <row r="6273" spans="1:2" x14ac:dyDescent="0.25">
      <c r="A6273">
        <f ca="1">34041.2611405457*((RANDBETWEEN(1620,2416)))</f>
        <v>69580337.771275401</v>
      </c>
      <c r="B6273">
        <v>195892569.76180649</v>
      </c>
    </row>
    <row r="6274" spans="1:2" x14ac:dyDescent="0.25">
      <c r="A6274">
        <f ca="1">34586.9015327105*((RANDBETWEEN(1620,2416)))</f>
        <v>74154316.886131242</v>
      </c>
      <c r="B6274">
        <v>152095316.55499992</v>
      </c>
    </row>
    <row r="6275" spans="1:2" x14ac:dyDescent="0.25">
      <c r="A6275">
        <f ca="1">33818.4188233146*((RANDBETWEEN(1620,2416)))</f>
        <v>80826020.987721905</v>
      </c>
      <c r="B6275">
        <v>200628100.58979434</v>
      </c>
    </row>
    <row r="6276" spans="1:2" x14ac:dyDescent="0.25">
      <c r="A6276">
        <f ca="1">33791.6980758358*((RANDBETWEEN(1620,2416)))</f>
        <v>65724852.757500626</v>
      </c>
      <c r="B6276">
        <v>152661635.64427117</v>
      </c>
    </row>
    <row r="6277" spans="1:2" x14ac:dyDescent="0.25">
      <c r="A6277">
        <f ca="1">36462.9162597251*((RANDBETWEEN(1620,2416)))</f>
        <v>62315123.887870267</v>
      </c>
      <c r="B6277">
        <v>170123131.75581983</v>
      </c>
    </row>
    <row r="6278" spans="1:2" x14ac:dyDescent="0.25">
      <c r="A6278">
        <f ca="1">33116.0357533826*((RANDBETWEEN(1620,2416)))</f>
        <v>62456843.430879548</v>
      </c>
      <c r="B6278">
        <v>176814899.33470958</v>
      </c>
    </row>
    <row r="6279" spans="1:2" x14ac:dyDescent="0.25">
      <c r="A6279">
        <f ca="1">31249.7507499198*((RANDBETWEEN(1620,2416)))</f>
        <v>51437089.734367952</v>
      </c>
      <c r="B6279">
        <v>150670500.55598029</v>
      </c>
    </row>
    <row r="6280" spans="1:2" x14ac:dyDescent="0.25">
      <c r="A6280">
        <f ca="1">38967.5028382481*((RANDBETWEEN(1620,2416)))</f>
        <v>79298868.275834993</v>
      </c>
      <c r="B6280">
        <v>186630571.22538841</v>
      </c>
    </row>
    <row r="6281" spans="1:2" x14ac:dyDescent="0.25">
      <c r="A6281">
        <f ca="1">37668.6692700074*((RANDBETWEEN(1620,2416)))</f>
        <v>81741012.315916076</v>
      </c>
      <c r="B6281">
        <v>156769540.18436289</v>
      </c>
    </row>
    <row r="6282" spans="1:2" x14ac:dyDescent="0.25">
      <c r="A6282">
        <f ca="1">30806.5326875399*((RANDBETWEEN(1620,2416)))</f>
        <v>51847394.513129637</v>
      </c>
      <c r="B6282">
        <v>156012226.30768433</v>
      </c>
    </row>
    <row r="6283" spans="1:2" x14ac:dyDescent="0.25">
      <c r="A6283">
        <f ca="1">31187.1618981625*((RANDBETWEEN(1620,2416)))</f>
        <v>73009146.003598452</v>
      </c>
      <c r="B6283">
        <v>201128236.50228435</v>
      </c>
    </row>
    <row r="6284" spans="1:2" x14ac:dyDescent="0.25">
      <c r="A6284">
        <f ca="1">37874.3668861798*((RANDBETWEEN(1620,2416)))</f>
        <v>69007096.466619641</v>
      </c>
      <c r="B6284">
        <v>170324272.17308906</v>
      </c>
    </row>
    <row r="6285" spans="1:2" x14ac:dyDescent="0.25">
      <c r="A6285">
        <f ca="1">35316.6779978341*((RANDBETWEEN(1620,2416)))</f>
        <v>71375006.23362276</v>
      </c>
      <c r="B6285">
        <v>201842961.05338556</v>
      </c>
    </row>
    <row r="6286" spans="1:2" x14ac:dyDescent="0.25">
      <c r="A6286">
        <f ca="1">32303.3434318023*((RANDBETWEEN(1620,2416)))</f>
        <v>68903031.540034354</v>
      </c>
      <c r="B6286">
        <v>156712005.36260539</v>
      </c>
    </row>
    <row r="6287" spans="1:2" x14ac:dyDescent="0.25">
      <c r="A6287">
        <f ca="1">32214.1383279945*((RANDBETWEEN(1620,2416)))</f>
        <v>65169201.837532952</v>
      </c>
      <c r="B6287">
        <v>160278693.12567821</v>
      </c>
    </row>
    <row r="6288" spans="1:2" x14ac:dyDescent="0.25">
      <c r="A6288">
        <f ca="1">33875.7904071848*((RANDBETWEEN(1620,2416)))</f>
        <v>77338429.499602944</v>
      </c>
      <c r="B6288">
        <v>156527199.15478322</v>
      </c>
    </row>
    <row r="6289" spans="1:2" x14ac:dyDescent="0.25">
      <c r="A6289">
        <f ca="1">28302.9435009695*((RANDBETWEEN(1620,2416)))</f>
        <v>50124512.940217055</v>
      </c>
      <c r="B6289">
        <v>146509375.64113444</v>
      </c>
    </row>
    <row r="6290" spans="1:2" x14ac:dyDescent="0.25">
      <c r="A6290">
        <f ca="1">31105.1702869097*((RANDBETWEEN(1620,2416)))</f>
        <v>55087256.578117102</v>
      </c>
      <c r="B6290">
        <v>161438860.50073999</v>
      </c>
    </row>
    <row r="6291" spans="1:2" x14ac:dyDescent="0.25">
      <c r="A6291">
        <f ca="1">33531.3688644582*((RANDBETWEEN(1620,2416)))</f>
        <v>72260099.902907521</v>
      </c>
      <c r="B6291">
        <v>169053173.62551355</v>
      </c>
    </row>
    <row r="6292" spans="1:2" x14ac:dyDescent="0.25">
      <c r="A6292">
        <f ca="1">29227.4656741976*((RANDBETWEEN(1620,2416)))</f>
        <v>50651198.013384469</v>
      </c>
      <c r="B6292">
        <v>174051780.74355713</v>
      </c>
    </row>
    <row r="6293" spans="1:2" x14ac:dyDescent="0.25">
      <c r="A6293">
        <f ca="1">34408.6152634036*((RANDBETWEEN(1620,2416)))</f>
        <v>65066691.463096283</v>
      </c>
      <c r="B6293">
        <v>177147711.82633457</v>
      </c>
    </row>
    <row r="6294" spans="1:2" x14ac:dyDescent="0.25">
      <c r="A6294">
        <f ca="1">36200.4372666398*((RANDBETWEEN(1620,2416)))</f>
        <v>58861910.995556243</v>
      </c>
      <c r="B6294">
        <v>157037492.08688217</v>
      </c>
    </row>
    <row r="6295" spans="1:2" x14ac:dyDescent="0.25">
      <c r="A6295">
        <f ca="1">31153.5902147687*((RANDBETWEEN(1620,2416)))</f>
        <v>50468816.147925317</v>
      </c>
      <c r="B6295">
        <v>187601828.36190969</v>
      </c>
    </row>
    <row r="6296" spans="1:2" x14ac:dyDescent="0.25">
      <c r="A6296">
        <f ca="1">31139.0414167169*((RANDBETWEEN(1620,2416)))</f>
        <v>67073495.211608276</v>
      </c>
      <c r="B6296">
        <v>174066251.75628319</v>
      </c>
    </row>
    <row r="6297" spans="1:2" x14ac:dyDescent="0.25">
      <c r="A6297">
        <f ca="1">30730.948160698*((RANDBETWEEN(1620,2416)))</f>
        <v>56514213.667523652</v>
      </c>
      <c r="B6297">
        <v>203272732.37775585</v>
      </c>
    </row>
    <row r="6298" spans="1:2" x14ac:dyDescent="0.25">
      <c r="A6298">
        <f ca="1">35424.9956226506*((RANDBETWEEN(1620,2416)))</f>
        <v>77191065.461755663</v>
      </c>
      <c r="B6298">
        <v>146594174.30117124</v>
      </c>
    </row>
    <row r="6299" spans="1:2" x14ac:dyDescent="0.25">
      <c r="A6299">
        <f ca="1">29571.2361744136*((RANDBETWEEN(1620,2416)))</f>
        <v>53523937.475688621</v>
      </c>
      <c r="B6299">
        <v>163020653.63088784</v>
      </c>
    </row>
    <row r="6300" spans="1:2" x14ac:dyDescent="0.25">
      <c r="A6300">
        <f ca="1">35180.0732538531*((RANDBETWEEN(1620,2416)))</f>
        <v>76692559.693399817</v>
      </c>
      <c r="B6300">
        <v>203165975.46748438</v>
      </c>
    </row>
    <row r="6301" spans="1:2" x14ac:dyDescent="0.25">
      <c r="A6301">
        <f ca="1">33915.4762164236*((RANDBETWEEN(1620,2416)))</f>
        <v>75563681.010191724</v>
      </c>
      <c r="B6301">
        <v>172715455.24015141</v>
      </c>
    </row>
    <row r="6302" spans="1:2" x14ac:dyDescent="0.25">
      <c r="A6302">
        <f ca="1">34212.8335055108*((RANDBETWEEN(1620,2416)))</f>
        <v>62096292.812502138</v>
      </c>
      <c r="B6302">
        <v>167612434.53582373</v>
      </c>
    </row>
    <row r="6303" spans="1:2" x14ac:dyDescent="0.25">
      <c r="A6303">
        <f ca="1">32528.6707451188*((RANDBETWEEN(1620,2416)))</f>
        <v>77353179.031892583</v>
      </c>
      <c r="B6303">
        <v>190415623.19090977</v>
      </c>
    </row>
    <row r="6304" spans="1:2" x14ac:dyDescent="0.25">
      <c r="A6304">
        <f ca="1">42061.8199791861*((RANDBETWEEN(1620,2416)))</f>
        <v>100107131.55046299</v>
      </c>
      <c r="B6304">
        <v>146339953.16795728</v>
      </c>
    </row>
    <row r="6305" spans="1:2" x14ac:dyDescent="0.25">
      <c r="A6305">
        <f ca="1">39760.1704845112*((RANDBETWEEN(1620,2416)))</f>
        <v>90692948.875169978</v>
      </c>
      <c r="B6305">
        <v>167886374.34501687</v>
      </c>
    </row>
    <row r="6306" spans="1:2" x14ac:dyDescent="0.25">
      <c r="A6306">
        <f ca="1">30131.7927586269*((RANDBETWEEN(1620,2416)))</f>
        <v>59058313.806908801</v>
      </c>
      <c r="B6306">
        <v>145765178.71335733</v>
      </c>
    </row>
    <row r="6307" spans="1:2" x14ac:dyDescent="0.25">
      <c r="A6307">
        <f ca="1">31336.020853326*((RANDBETWEEN(1620,2416)))</f>
        <v>75457138.214809015</v>
      </c>
      <c r="B6307">
        <v>199650548.34050152</v>
      </c>
    </row>
    <row r="6308" spans="1:2" x14ac:dyDescent="0.25">
      <c r="A6308">
        <f ca="1">31639.6009414091*((RANDBETWEEN(1620,2416)))</f>
        <v>52585016.764621913</v>
      </c>
      <c r="B6308">
        <v>157558027.18219292</v>
      </c>
    </row>
    <row r="6309" spans="1:2" x14ac:dyDescent="0.25">
      <c r="A6309">
        <f ca="1">34141.4954267431*((RANDBETWEEN(1620,2416)))</f>
        <v>68214707.862632737</v>
      </c>
      <c r="B6309">
        <v>151605110.91046995</v>
      </c>
    </row>
    <row r="6310" spans="1:2" x14ac:dyDescent="0.25">
      <c r="A6310">
        <f ca="1">36409.3982396306*((RANDBETWEEN(1620,2416)))</f>
        <v>87200508.783915177</v>
      </c>
      <c r="B6310">
        <v>163153040.32818925</v>
      </c>
    </row>
    <row r="6311" spans="1:2" x14ac:dyDescent="0.25">
      <c r="A6311">
        <f ca="1">38030.4827235547*((RANDBETWEEN(1620,2416)))</f>
        <v>87622232.195070088</v>
      </c>
      <c r="B6311">
        <v>174824652.5121302</v>
      </c>
    </row>
    <row r="6312" spans="1:2" x14ac:dyDescent="0.25">
      <c r="A6312">
        <f ca="1">32472.0213933555*((RANDBETWEEN(1620,2416)))</f>
        <v>53741195.406003416</v>
      </c>
      <c r="B6312">
        <v>170379589.89018196</v>
      </c>
    </row>
    <row r="6313" spans="1:2" x14ac:dyDescent="0.25">
      <c r="A6313">
        <f ca="1">31228.8921054*((RANDBETWEEN(1620,2416)))</f>
        <v>63894313.247648425</v>
      </c>
      <c r="B6313">
        <v>159948069.55459216</v>
      </c>
    </row>
    <row r="6314" spans="1:2" x14ac:dyDescent="0.25">
      <c r="A6314">
        <f ca="1">31400.0764959144*((RANDBETWEEN(1620,2416)))</f>
        <v>74418181.295317173</v>
      </c>
      <c r="B6314">
        <v>179040759.29845583</v>
      </c>
    </row>
    <row r="6315" spans="1:2" x14ac:dyDescent="0.25">
      <c r="A6315">
        <f ca="1">33663.8497854661*((RANDBETWEEN(1620,2416)))</f>
        <v>69650505.206129372</v>
      </c>
      <c r="B6315">
        <v>156561303.16427147</v>
      </c>
    </row>
    <row r="6316" spans="1:2" x14ac:dyDescent="0.25">
      <c r="A6316">
        <f ca="1">30021.1692752992*((RANDBETWEEN(1620,2416)))</f>
        <v>62834307.293201216</v>
      </c>
      <c r="B6316">
        <v>190607495.0864765</v>
      </c>
    </row>
    <row r="6317" spans="1:2" x14ac:dyDescent="0.25">
      <c r="A6317">
        <f ca="1">35264.5094948434*((RANDBETWEEN(1620,2416)))</f>
        <v>83647416.521768585</v>
      </c>
      <c r="B6317">
        <v>174249528.4109118</v>
      </c>
    </row>
    <row r="6318" spans="1:2" x14ac:dyDescent="0.25">
      <c r="A6318">
        <f ca="1">38708.2608192789*((RANDBETWEEN(1620,2416)))</f>
        <v>89919289.883184969</v>
      </c>
      <c r="B6318">
        <v>170603871.77514392</v>
      </c>
    </row>
    <row r="6319" spans="1:2" x14ac:dyDescent="0.25">
      <c r="A6319">
        <f ca="1">30873.2298600129*((RANDBETWEEN(1620,2416)))</f>
        <v>71625893.275230035</v>
      </c>
      <c r="B6319">
        <v>187632352.22065434</v>
      </c>
    </row>
    <row r="6320" spans="1:2" x14ac:dyDescent="0.25">
      <c r="A6320">
        <f ca="1">34291.4351435721*((RANDBETWEEN(1620,2416)))</f>
        <v>75303991.575284347</v>
      </c>
      <c r="B6320">
        <v>157191720.83630854</v>
      </c>
    </row>
    <row r="6321" spans="1:2" x14ac:dyDescent="0.25">
      <c r="A6321">
        <f ca="1">27769.8809443662*((RANDBETWEEN(1620,2416)))</f>
        <v>57816892.126170464</v>
      </c>
      <c r="B6321">
        <v>178882669.50430182</v>
      </c>
    </row>
    <row r="6322" spans="1:2" x14ac:dyDescent="0.25">
      <c r="A6322">
        <f ca="1">37584.9077203492*((RANDBETWEEN(1620,2416)))</f>
        <v>62841965.708423786</v>
      </c>
      <c r="B6322">
        <v>168750742.82061544</v>
      </c>
    </row>
    <row r="6323" spans="1:2" x14ac:dyDescent="0.25">
      <c r="A6323">
        <f ca="1">33883.4230569701*((RANDBETWEEN(1620,2416)))</f>
        <v>63599185.077932924</v>
      </c>
      <c r="B6323">
        <v>160806414.7174592</v>
      </c>
    </row>
    <row r="6324" spans="1:2" x14ac:dyDescent="0.25">
      <c r="A6324">
        <f ca="1">32530.4207977771*((RANDBETWEEN(1620,2416)))</f>
        <v>71371743.230323046</v>
      </c>
      <c r="B6324">
        <v>164735614.3913219</v>
      </c>
    </row>
    <row r="6325" spans="1:2" x14ac:dyDescent="0.25">
      <c r="A6325">
        <f ca="1">39826.8425873197*((RANDBETWEEN(1620,2416)))</f>
        <v>67625978.713268861</v>
      </c>
      <c r="B6325">
        <v>199764871.01881257</v>
      </c>
    </row>
    <row r="6326" spans="1:2" x14ac:dyDescent="0.25">
      <c r="A6326">
        <f ca="1">38025.6905576963*((RANDBETWEEN(1620,2416)))</f>
        <v>71944606.535161421</v>
      </c>
      <c r="B6326">
        <v>153485237.23368037</v>
      </c>
    </row>
    <row r="6327" spans="1:2" x14ac:dyDescent="0.25">
      <c r="A6327">
        <f ca="1">30351.5028457137*((RANDBETWEEN(1620,2416)))</f>
        <v>64952216.089827403</v>
      </c>
      <c r="B6327">
        <v>188211638.80815482</v>
      </c>
    </row>
    <row r="6328" spans="1:2" x14ac:dyDescent="0.25">
      <c r="A6328">
        <f ca="1">32351.5453765756*((RANDBETWEEN(1620,2416)))</f>
        <v>72499813.188905925</v>
      </c>
      <c r="B6328">
        <v>158442007.88727438</v>
      </c>
    </row>
    <row r="6329" spans="1:2" x14ac:dyDescent="0.25">
      <c r="A6329">
        <f ca="1">37698.9320613302*((RANDBETWEEN(1620,2416)))</f>
        <v>89534963.645659134</v>
      </c>
      <c r="B6329">
        <v>147442332.32601976</v>
      </c>
    </row>
    <row r="6330" spans="1:2" x14ac:dyDescent="0.25">
      <c r="A6330">
        <f ca="1">33423.2052640946*((RANDBETWEEN(1620,2416)))</f>
        <v>77942914.675868556</v>
      </c>
      <c r="B6330">
        <v>150574109.52867937</v>
      </c>
    </row>
    <row r="6331" spans="1:2" x14ac:dyDescent="0.25">
      <c r="A6331">
        <f ca="1">30371.6131280829*((RANDBETWEEN(1620,2416)))</f>
        <v>54608160.404293016</v>
      </c>
      <c r="B6331">
        <v>147012327.33859861</v>
      </c>
    </row>
    <row r="6332" spans="1:2" x14ac:dyDescent="0.25">
      <c r="A6332">
        <f ca="1">31727.9187226902*((RANDBETWEEN(1620,2416)))</f>
        <v>58157275.018691078</v>
      </c>
      <c r="B6332">
        <v>203640893.64422694</v>
      </c>
    </row>
    <row r="6333" spans="1:2" x14ac:dyDescent="0.25">
      <c r="A6333">
        <f ca="1">31829.9813344619*((RANDBETWEEN(1620,2416)))</f>
        <v>68880079.607775599</v>
      </c>
      <c r="B6333">
        <v>148405350.14990693</v>
      </c>
    </row>
    <row r="6334" spans="1:2" x14ac:dyDescent="0.25">
      <c r="A6334">
        <f ca="1">38393.6324818878*((RANDBETWEEN(1620,2416)))</f>
        <v>63848610.817379482</v>
      </c>
      <c r="B6334">
        <v>176871761.25098825</v>
      </c>
    </row>
    <row r="6335" spans="1:2" x14ac:dyDescent="0.25">
      <c r="A6335">
        <f ca="1">29686.5458639247*((RANDBETWEEN(1620,2416)))</f>
        <v>67863443.844931975</v>
      </c>
      <c r="B6335">
        <v>179012941.39796054</v>
      </c>
    </row>
    <row r="6336" spans="1:2" x14ac:dyDescent="0.25">
      <c r="A6336">
        <f ca="1">33597.1166113029*((RANDBETWEEN(1620,2416)))</f>
        <v>57619054.988384493</v>
      </c>
      <c r="B6336">
        <v>163240694.80975741</v>
      </c>
    </row>
    <row r="6337" spans="1:2" x14ac:dyDescent="0.25">
      <c r="A6337">
        <f ca="1">33789.9148312409*((RANDBETWEEN(1620,2416)))</f>
        <v>70181653.104487374</v>
      </c>
      <c r="B6337">
        <v>144719340.95211524</v>
      </c>
    </row>
    <row r="6338" spans="1:2" x14ac:dyDescent="0.25">
      <c r="A6338">
        <f ca="1">30847.0964816061*((RANDBETWEEN(1620,2416)))</f>
        <v>50527544.036870815</v>
      </c>
      <c r="B6338">
        <v>149125937.77807736</v>
      </c>
    </row>
    <row r="6339" spans="1:2" x14ac:dyDescent="0.25">
      <c r="A6339">
        <f ca="1">34430.2116387229*((RANDBETWEEN(1620,2416)))</f>
        <v>59495405.71171315</v>
      </c>
      <c r="B6339">
        <v>162363722.23321542</v>
      </c>
    </row>
    <row r="6340" spans="1:2" x14ac:dyDescent="0.25">
      <c r="A6340">
        <f ca="1">32480.8540228688*((RANDBETWEEN(1620,2416)))</f>
        <v>73536653.507775009</v>
      </c>
      <c r="B6340">
        <v>145014635.44321102</v>
      </c>
    </row>
    <row r="6341" spans="1:2" x14ac:dyDescent="0.25">
      <c r="A6341">
        <f ca="1">30623.9329925642*((RANDBETWEEN(1620,2416)))</f>
        <v>50866352.70064918</v>
      </c>
      <c r="B6341">
        <v>149091047.30605364</v>
      </c>
    </row>
    <row r="6342" spans="1:2" x14ac:dyDescent="0.25">
      <c r="A6342">
        <f ca="1">29312.9867661136*((RANDBETWEEN(1620,2416)))</f>
        <v>65338647.501667112</v>
      </c>
      <c r="B6342">
        <v>144900304.32928658</v>
      </c>
    </row>
    <row r="6343" spans="1:2" x14ac:dyDescent="0.25">
      <c r="A6343">
        <f ca="1">40543.0618059958*((RANDBETWEEN(1620,2416)))</f>
        <v>79383315.016139716</v>
      </c>
      <c r="B6343">
        <v>154078787.59638953</v>
      </c>
    </row>
    <row r="6344" spans="1:2" x14ac:dyDescent="0.25">
      <c r="A6344">
        <f ca="1">30643.9640784196*((RANDBETWEEN(1620,2416)))</f>
        <v>58897698.958722383</v>
      </c>
      <c r="B6344">
        <v>146655763.11144549</v>
      </c>
    </row>
    <row r="6345" spans="1:2" x14ac:dyDescent="0.25">
      <c r="A6345">
        <f ca="1">34044.4893198561*((RANDBETWEEN(1620,2416)))</f>
        <v>59441678.352468684</v>
      </c>
      <c r="B6345">
        <v>184804315.68072557</v>
      </c>
    </row>
    <row r="6346" spans="1:2" x14ac:dyDescent="0.25">
      <c r="A6346">
        <f ca="1">32756.4806439108*((RANDBETWEEN(1620,2416)))</f>
        <v>74193428.65845789</v>
      </c>
      <c r="B6346">
        <v>171185226.89601791</v>
      </c>
    </row>
    <row r="6347" spans="1:2" x14ac:dyDescent="0.25">
      <c r="A6347">
        <f ca="1">32173.8724547306*((RANDBETWEEN(1620,2416)))</f>
        <v>62674703.541815192</v>
      </c>
      <c r="B6347">
        <v>152019683.52706003</v>
      </c>
    </row>
    <row r="6348" spans="1:2" x14ac:dyDescent="0.25">
      <c r="A6348">
        <f ca="1">41945.6766811307*((RANDBETWEEN(1620,2416)))</f>
        <v>101298809.18493058</v>
      </c>
      <c r="B6348">
        <v>184003998.04915357</v>
      </c>
    </row>
    <row r="6349" spans="1:2" x14ac:dyDescent="0.25">
      <c r="A6349">
        <f ca="1">39920.8125436469*((RANDBETWEEN(1620,2416)))</f>
        <v>75969306.270560086</v>
      </c>
      <c r="B6349">
        <v>190576060.87862235</v>
      </c>
    </row>
    <row r="6350" spans="1:2" x14ac:dyDescent="0.25">
      <c r="A6350">
        <f ca="1">30388.9009258418*((RANDBETWEEN(1620,2416)))</f>
        <v>61294413.167422876</v>
      </c>
      <c r="B6350">
        <v>145190718.17219287</v>
      </c>
    </row>
    <row r="6351" spans="1:2" x14ac:dyDescent="0.25">
      <c r="A6351">
        <f ca="1">34779.1073331102*((RANDBETWEEN(1620,2416)))</f>
        <v>82496042.594137415</v>
      </c>
      <c r="B6351">
        <v>146222499.72730973</v>
      </c>
    </row>
    <row r="6352" spans="1:2" x14ac:dyDescent="0.25">
      <c r="A6352">
        <f ca="1">29167.8859935436*((RANDBETWEEN(1620,2416)))</f>
        <v>62069261.394260794</v>
      </c>
      <c r="B6352">
        <v>158442539.61072081</v>
      </c>
    </row>
    <row r="6353" spans="1:2" x14ac:dyDescent="0.25">
      <c r="A6353">
        <f ca="1">41471.9376003997*((RANDBETWEEN(1620,2416)))</f>
        <v>85681023.082425728</v>
      </c>
      <c r="B6353">
        <v>150503451.28681582</v>
      </c>
    </row>
    <row r="6354" spans="1:2" x14ac:dyDescent="0.25">
      <c r="A6354">
        <f ca="1">31550.6986844852*((RANDBETWEEN(1620,2416)))</f>
        <v>73639330.729588479</v>
      </c>
      <c r="B6354">
        <v>160786537.08107811</v>
      </c>
    </row>
    <row r="6355" spans="1:2" x14ac:dyDescent="0.25">
      <c r="A6355">
        <f ca="1">29501.8124556801*((RANDBETWEEN(1620,2416)))</f>
        <v>62691351.468320295</v>
      </c>
      <c r="B6355">
        <v>158889318.32424861</v>
      </c>
    </row>
    <row r="6356" spans="1:2" x14ac:dyDescent="0.25">
      <c r="A6356">
        <f ca="1">29530.5778898637*((RANDBETWEEN(1620,2416)))</f>
        <v>66798167.186871581</v>
      </c>
      <c r="B6356">
        <v>146217599.99978632</v>
      </c>
    </row>
    <row r="6357" spans="1:2" x14ac:dyDescent="0.25">
      <c r="A6357">
        <f ca="1">30610.0392004502*((RANDBETWEEN(1620,2416)))</f>
        <v>53047197.934380166</v>
      </c>
      <c r="B6357">
        <v>153996187.32156819</v>
      </c>
    </row>
    <row r="6358" spans="1:2" x14ac:dyDescent="0.25">
      <c r="A6358">
        <f ca="1">29049.8211642581*((RANDBETWEEN(1620,2416)))</f>
        <v>61207973.193091832</v>
      </c>
      <c r="B6358">
        <v>164503826.73384494</v>
      </c>
    </row>
    <row r="6359" spans="1:2" x14ac:dyDescent="0.25">
      <c r="A6359">
        <f ca="1">29660.8059740231*((RANDBETWEEN(1620,2416)))</f>
        <v>70711361.442071274</v>
      </c>
      <c r="B6359">
        <v>199246022.48249555</v>
      </c>
    </row>
    <row r="6360" spans="1:2" x14ac:dyDescent="0.25">
      <c r="A6360">
        <f ca="1">31133.8504811231*((RANDBETWEEN(1620,2416)))</f>
        <v>54453104.49148424</v>
      </c>
      <c r="B6360">
        <v>181861192.06846464</v>
      </c>
    </row>
    <row r="6361" spans="1:2" x14ac:dyDescent="0.25">
      <c r="A6361">
        <f ca="1">36750.6994371104*((RANDBETWEEN(1620,2416)))</f>
        <v>85261622.694096163</v>
      </c>
      <c r="B6361">
        <v>200448496.90755427</v>
      </c>
    </row>
    <row r="6362" spans="1:2" x14ac:dyDescent="0.25">
      <c r="A6362">
        <f ca="1">38305.1919022321*((RANDBETWEEN(1620,2416)))</f>
        <v>67187306.596515089</v>
      </c>
      <c r="B6362">
        <v>163221146.58595318</v>
      </c>
    </row>
    <row r="6363" spans="1:2" x14ac:dyDescent="0.25">
      <c r="A6363">
        <f ca="1">32172.7789794648*((RANDBETWEEN(1620,2416)))</f>
        <v>58876185.532420598</v>
      </c>
      <c r="B6363">
        <v>187730636.67306048</v>
      </c>
    </row>
    <row r="6364" spans="1:2" x14ac:dyDescent="0.25">
      <c r="A6364">
        <f ca="1">39071.9730463319*((RANDBETWEEN(1620,2416)))</f>
        <v>74705612.464586675</v>
      </c>
      <c r="B6364">
        <v>171043897.91066134</v>
      </c>
    </row>
    <row r="6365" spans="1:2" x14ac:dyDescent="0.25">
      <c r="A6365">
        <f ca="1">29193.4807044088*((RANDBETWEEN(1620,2416)))</f>
        <v>48723919.295658223</v>
      </c>
      <c r="B6365">
        <v>168220236.43968958</v>
      </c>
    </row>
    <row r="6366" spans="1:2" x14ac:dyDescent="0.25">
      <c r="A6366">
        <f ca="1">32853.6964785199*((RANDBETWEEN(1620,2416)))</f>
        <v>61699241.986660279</v>
      </c>
      <c r="B6366">
        <v>157541875.20355827</v>
      </c>
    </row>
    <row r="6367" spans="1:2" x14ac:dyDescent="0.25">
      <c r="A6367">
        <f ca="1">42183.0380965677*((RANDBETWEEN(1620,2416)))</f>
        <v>89259308.612337172</v>
      </c>
      <c r="B6367">
        <v>168535615.55638763</v>
      </c>
    </row>
    <row r="6368" spans="1:2" x14ac:dyDescent="0.25">
      <c r="A6368">
        <f ca="1">28377.0971095851*((RANDBETWEEN(1620,2416)))</f>
        <v>57264981.967142656</v>
      </c>
      <c r="B6368">
        <v>163399776.25049645</v>
      </c>
    </row>
    <row r="6369" spans="1:2" x14ac:dyDescent="0.25">
      <c r="A6369">
        <f ca="1">33645.5585624554*((RANDBETWEEN(1620,2416)))</f>
        <v>63993852.385790117</v>
      </c>
      <c r="B6369">
        <v>195580348.09382048</v>
      </c>
    </row>
    <row r="6370" spans="1:2" x14ac:dyDescent="0.25">
      <c r="A6370">
        <f ca="1">33736.0039264301*((RANDBETWEEN(1620,2416)))</f>
        <v>77660281.038642094</v>
      </c>
      <c r="B6370">
        <v>195354406.65114552</v>
      </c>
    </row>
    <row r="6371" spans="1:2" x14ac:dyDescent="0.25">
      <c r="A6371">
        <f ca="1">31262.6025789191*((RANDBETWEEN(1620,2416)))</f>
        <v>70497168.815462559</v>
      </c>
      <c r="B6371">
        <v>146505438.6645073</v>
      </c>
    </row>
    <row r="6372" spans="1:2" x14ac:dyDescent="0.25">
      <c r="A6372">
        <f ca="1">31037.8576179195*((RANDBETWEEN(1620,2416)))</f>
        <v>55216348.702278778</v>
      </c>
      <c r="B6372">
        <v>182820246.75812021</v>
      </c>
    </row>
    <row r="6373" spans="1:2" x14ac:dyDescent="0.25">
      <c r="A6373">
        <f ca="1">40613.389886607*((RANDBETWEEN(1620,2416)))</f>
        <v>95197785.894206896</v>
      </c>
      <c r="B6373">
        <v>144063732.14305362</v>
      </c>
    </row>
    <row r="6374" spans="1:2" x14ac:dyDescent="0.25">
      <c r="A6374">
        <f ca="1">32828.8675897278*((RANDBETWEEN(1620,2416)))</f>
        <v>73241203.592682719</v>
      </c>
      <c r="B6374">
        <v>156687423.11764997</v>
      </c>
    </row>
    <row r="6375" spans="1:2" x14ac:dyDescent="0.25">
      <c r="A6375">
        <f ca="1">30342.9512864276*((RANDBETWEEN(1620,2416)))</f>
        <v>62233393.088463023</v>
      </c>
      <c r="B6375">
        <v>144430646.85961965</v>
      </c>
    </row>
    <row r="6376" spans="1:2" x14ac:dyDescent="0.25">
      <c r="A6376">
        <f ca="1">32691.4493837439*((RANDBETWEEN(1620,2416)))</f>
        <v>55640846.851132132</v>
      </c>
      <c r="B6376">
        <v>146766447.36226764</v>
      </c>
    </row>
    <row r="6377" spans="1:2" x14ac:dyDescent="0.25">
      <c r="A6377">
        <f ca="1">28190.5242403106*((RANDBETWEEN(1620,2416)))</f>
        <v>51983326.69913274</v>
      </c>
      <c r="B6377">
        <v>144298575.95973897</v>
      </c>
    </row>
    <row r="6378" spans="1:2" x14ac:dyDescent="0.25">
      <c r="A6378">
        <f ca="1">31294.4409911843*((RANDBETWEEN(1620,2416)))</f>
        <v>65280203.907610416</v>
      </c>
      <c r="B6378">
        <v>158055702.44526944</v>
      </c>
    </row>
    <row r="6379" spans="1:2" x14ac:dyDescent="0.25">
      <c r="A6379">
        <f ca="1">36254.1443252538*((RANDBETWEEN(1620,2416)))</f>
        <v>59239271.827464715</v>
      </c>
      <c r="B6379">
        <v>179233555.26841712</v>
      </c>
    </row>
    <row r="6380" spans="1:2" x14ac:dyDescent="0.25">
      <c r="A6380">
        <f ca="1">32447.7486870702*((RANDBETWEEN(1620,2416)))</f>
        <v>72974986.797220826</v>
      </c>
      <c r="B6380">
        <v>150096476.39063671</v>
      </c>
    </row>
    <row r="6381" spans="1:2" x14ac:dyDescent="0.25">
      <c r="A6381">
        <f ca="1">38518.9359590859*((RANDBETWEEN(1620,2416)))</f>
        <v>86359454.420270622</v>
      </c>
      <c r="B6381">
        <v>174385785.52096441</v>
      </c>
    </row>
    <row r="6382" spans="1:2" x14ac:dyDescent="0.25">
      <c r="A6382">
        <f ca="1">29503.7488523561*((RANDBETWEEN(1620,2416)))</f>
        <v>52575680.454898626</v>
      </c>
      <c r="B6382">
        <v>165342408.29504788</v>
      </c>
    </row>
    <row r="6383" spans="1:2" x14ac:dyDescent="0.25">
      <c r="A6383">
        <f ca="1">32366.081255084*((RANDBETWEEN(1620,2416)))</f>
        <v>78066987.987262532</v>
      </c>
      <c r="B6383">
        <v>150663113.50757146</v>
      </c>
    </row>
    <row r="6384" spans="1:2" x14ac:dyDescent="0.25">
      <c r="A6384">
        <f ca="1">30579.0893768065*((RANDBETWEEN(1620,2416)))</f>
        <v>65500409.445119552</v>
      </c>
      <c r="B6384">
        <v>146358144.13597959</v>
      </c>
    </row>
    <row r="6385" spans="1:2" x14ac:dyDescent="0.25">
      <c r="A6385">
        <f ca="1">29190.3708803153*((RANDBETWEEN(1620,2416)))</f>
        <v>58293170.647989586</v>
      </c>
      <c r="B6385">
        <v>166655705.7436308</v>
      </c>
    </row>
    <row r="6386" spans="1:2" x14ac:dyDescent="0.25">
      <c r="A6386">
        <f ca="1">37324.6894071075*((RANDBETWEEN(1620,2416)))</f>
        <v>69834493.880698189</v>
      </c>
      <c r="B6386">
        <v>187668590.59954089</v>
      </c>
    </row>
    <row r="6387" spans="1:2" x14ac:dyDescent="0.25">
      <c r="A6387">
        <f ca="1">31820.5859573302*((RANDBETWEEN(1620,2416)))</f>
        <v>63800274.844447091</v>
      </c>
      <c r="B6387">
        <v>143504652.19303617</v>
      </c>
    </row>
    <row r="6388" spans="1:2" x14ac:dyDescent="0.25">
      <c r="A6388">
        <f ca="1">28807.131639235*((RANDBETWEEN(1620,2416)))</f>
        <v>50902201.60652829</v>
      </c>
      <c r="B6388">
        <v>154809011.54489535</v>
      </c>
    </row>
    <row r="6389" spans="1:2" x14ac:dyDescent="0.25">
      <c r="A6389">
        <f ca="1">40571.4244148213*((RANDBETWEEN(1620,2416)))</f>
        <v>73555992.464070946</v>
      </c>
      <c r="B6389">
        <v>162083491.37442568</v>
      </c>
    </row>
    <row r="6390" spans="1:2" x14ac:dyDescent="0.25">
      <c r="A6390">
        <f ca="1">31519.4999994754*((RANDBETWEEN(1620,2416)))</f>
        <v>74701214.998756722</v>
      </c>
      <c r="B6390">
        <v>150543549.32428458</v>
      </c>
    </row>
    <row r="6391" spans="1:2" x14ac:dyDescent="0.25">
      <c r="A6391">
        <f ca="1">31301.5208356748*((RANDBETWEEN(1620,2416)))</f>
        <v>54621153.858252592</v>
      </c>
      <c r="B6391">
        <v>197829894.15264279</v>
      </c>
    </row>
    <row r="6392" spans="1:2" x14ac:dyDescent="0.25">
      <c r="A6392">
        <f ca="1">38783.753603476*((RANDBETWEEN(1620,2416)))</f>
        <v>68879946.3997733</v>
      </c>
      <c r="B6392">
        <v>191594565.44976032</v>
      </c>
    </row>
    <row r="6393" spans="1:2" x14ac:dyDescent="0.25">
      <c r="A6393">
        <f ca="1">33491.6448884701*((RANDBETWEEN(1620,2416)))</f>
        <v>58174987.171272516</v>
      </c>
      <c r="B6393">
        <v>196217110.52373296</v>
      </c>
    </row>
    <row r="6394" spans="1:2" x14ac:dyDescent="0.25">
      <c r="A6394">
        <f ca="1">32471.4360966384*((RANDBETWEEN(1620,2416)))</f>
        <v>71794345.209667414</v>
      </c>
      <c r="B6394">
        <v>160155408.09367639</v>
      </c>
    </row>
    <row r="6395" spans="1:2" x14ac:dyDescent="0.25">
      <c r="A6395">
        <f ca="1">29411.4920751102*((RANDBETWEEN(1620,2416)))</f>
        <v>58499457.737394176</v>
      </c>
      <c r="B6395">
        <v>165365940.58459187</v>
      </c>
    </row>
    <row r="6396" spans="1:2" x14ac:dyDescent="0.25">
      <c r="A6396">
        <f ca="1">31470.6134388004*((RANDBETWEEN(1620,2416)))</f>
        <v>56080633.14794229</v>
      </c>
      <c r="B6396">
        <v>174038833.91171572</v>
      </c>
    </row>
    <row r="6397" spans="1:2" x14ac:dyDescent="0.25">
      <c r="A6397">
        <f ca="1">29535.9734937105*((RANDBETWEEN(1620,2416)))</f>
        <v>64979141.686163016</v>
      </c>
      <c r="B6397">
        <v>201140842.48580357</v>
      </c>
    </row>
    <row r="6398" spans="1:2" x14ac:dyDescent="0.25">
      <c r="A6398">
        <f ca="1">40351.6150233776*((RANDBETWEEN(1620,2416)))</f>
        <v>69041613.304999113</v>
      </c>
      <c r="B6398">
        <v>161533565.82519096</v>
      </c>
    </row>
    <row r="6399" spans="1:2" x14ac:dyDescent="0.25">
      <c r="A6399">
        <f ca="1">33770.3821076828*((RANDBETWEEN(1620,2416)))</f>
        <v>76928930.441301376</v>
      </c>
      <c r="B6399">
        <v>203589017.5849995</v>
      </c>
    </row>
    <row r="6400" spans="1:2" x14ac:dyDescent="0.25">
      <c r="A6400">
        <f ca="1">34769.2546255622*((RANDBETWEEN(1620,2416)))</f>
        <v>59281579.136583552</v>
      </c>
      <c r="B6400">
        <v>155451619.96541265</v>
      </c>
    </row>
    <row r="6401" spans="1:2" x14ac:dyDescent="0.25">
      <c r="A6401">
        <f ca="1">32215.4679193868*((RANDBETWEEN(1620,2416)))</f>
        <v>75899642.418075204</v>
      </c>
      <c r="B6401">
        <v>150788395.29833379</v>
      </c>
    </row>
    <row r="6402" spans="1:2" x14ac:dyDescent="0.25">
      <c r="A6402">
        <f ca="1">30274.1438767864*((RANDBETWEEN(1620,2416)))</f>
        <v>71840543.419614032</v>
      </c>
      <c r="B6402">
        <v>147885135.57503045</v>
      </c>
    </row>
    <row r="6403" spans="1:2" x14ac:dyDescent="0.25">
      <c r="A6403">
        <f ca="1">29782.6416157022*((RANDBETWEEN(1620,2416)))</f>
        <v>62990287.017210148</v>
      </c>
      <c r="B6403">
        <v>149287031.91886476</v>
      </c>
    </row>
    <row r="6404" spans="1:2" x14ac:dyDescent="0.25">
      <c r="A6404">
        <f ca="1">27014.6495978507*((RANDBETWEEN(1620,2416)))</f>
        <v>55758236.769963913</v>
      </c>
      <c r="B6404">
        <v>191938884.53385216</v>
      </c>
    </row>
    <row r="6405" spans="1:2" x14ac:dyDescent="0.25">
      <c r="A6405">
        <f ca="1">34357.190983655*((RANDBETWEEN(1620,2416)))</f>
        <v>72184458.256659105</v>
      </c>
      <c r="B6405">
        <v>159430126.03878519</v>
      </c>
    </row>
    <row r="6406" spans="1:2" x14ac:dyDescent="0.25">
      <c r="A6406">
        <f ca="1">35893.5031681574*((RANDBETWEEN(1620,2416)))</f>
        <v>79647683.530141264</v>
      </c>
      <c r="B6406">
        <v>152098047.77174342</v>
      </c>
    </row>
    <row r="6407" spans="1:2" x14ac:dyDescent="0.25">
      <c r="A6407">
        <f ca="1">33673.121112028*((RANDBETWEEN(1620,2416)))</f>
        <v>64416680.68730966</v>
      </c>
      <c r="B6407">
        <v>167466323.93353587</v>
      </c>
    </row>
    <row r="6408" spans="1:2" x14ac:dyDescent="0.25">
      <c r="A6408">
        <f ca="1">30555.3440149032*((RANDBETWEEN(1620,2416)))</f>
        <v>57474602.092032999</v>
      </c>
      <c r="B6408">
        <v>145457928.84325835</v>
      </c>
    </row>
    <row r="6409" spans="1:2" x14ac:dyDescent="0.25">
      <c r="A6409">
        <f ca="1">30085.3554604763*((RANDBETWEEN(1620,2416)))</f>
        <v>70610329.265737817</v>
      </c>
      <c r="B6409">
        <v>148034976.71507323</v>
      </c>
    </row>
    <row r="6410" spans="1:2" x14ac:dyDescent="0.25">
      <c r="A6410">
        <f ca="1">37570.5243947969*((RANDBETWEEN(1620,2416)))</f>
        <v>87126046.071534112</v>
      </c>
      <c r="B6410">
        <v>170566164.48826221</v>
      </c>
    </row>
    <row r="6411" spans="1:2" x14ac:dyDescent="0.25">
      <c r="A6411">
        <f ca="1">38630.8478076167*((RANDBETWEEN(1620,2416)))</f>
        <v>69651418.597132936</v>
      </c>
      <c r="B6411">
        <v>166498224.66076922</v>
      </c>
    </row>
    <row r="6412" spans="1:2" x14ac:dyDescent="0.25">
      <c r="A6412">
        <f ca="1">33380.9879095195*((RANDBETWEEN(1620,2416)))</f>
        <v>61921732.572158709</v>
      </c>
      <c r="B6412">
        <v>174243402.81522095</v>
      </c>
    </row>
    <row r="6413" spans="1:2" x14ac:dyDescent="0.25">
      <c r="A6413">
        <f ca="1">32218.7892050205*((RANDBETWEEN(1620,2416)))</f>
        <v>62311138.322509572</v>
      </c>
      <c r="B6413">
        <v>197316017.65040129</v>
      </c>
    </row>
    <row r="6414" spans="1:2" x14ac:dyDescent="0.25">
      <c r="A6414">
        <f ca="1">39067.7664696558*((RANDBETWEEN(1620,2416)))</f>
        <v>89699591.814329758</v>
      </c>
      <c r="B6414">
        <v>163152545.57492149</v>
      </c>
    </row>
    <row r="6415" spans="1:2" x14ac:dyDescent="0.25">
      <c r="A6415">
        <f ca="1">37711.5789350057*((RANDBETWEEN(1620,2416)))</f>
        <v>64486799.978859752</v>
      </c>
      <c r="B6415">
        <v>153701894.34721926</v>
      </c>
    </row>
    <row r="6416" spans="1:2" x14ac:dyDescent="0.25">
      <c r="A6416">
        <f ca="1">33959.7755167739*((RANDBETWEEN(1620,2416)))</f>
        <v>73353115.11623165</v>
      </c>
      <c r="B6416">
        <v>182755428.73654005</v>
      </c>
    </row>
    <row r="6417" spans="1:2" x14ac:dyDescent="0.25">
      <c r="A6417">
        <f ca="1">31678.019974045*((RANDBETWEEN(1620,2416)))</f>
        <v>56323519.513851963</v>
      </c>
      <c r="B6417">
        <v>185873370.94743302</v>
      </c>
    </row>
    <row r="6418" spans="1:2" x14ac:dyDescent="0.25">
      <c r="A6418">
        <f ca="1">30189.2710355882*((RANDBETWEEN(1620,2416)))</f>
        <v>69888162.447386771</v>
      </c>
      <c r="B6418">
        <v>177293351.42765278</v>
      </c>
    </row>
    <row r="6419" spans="1:2" x14ac:dyDescent="0.25">
      <c r="A6419">
        <f ca="1">34699.1091687141*((RANDBETWEEN(1620,2416)))</f>
        <v>63117679.577891007</v>
      </c>
      <c r="B6419">
        <v>189198894.97759306</v>
      </c>
    </row>
    <row r="6420" spans="1:2" x14ac:dyDescent="0.25">
      <c r="A6420">
        <f ca="1">29887.2871953234*((RANDBETWEEN(1620,2416)))</f>
        <v>48865714.564353809</v>
      </c>
      <c r="B6420">
        <v>157700333.88549477</v>
      </c>
    </row>
    <row r="6421" spans="1:2" x14ac:dyDescent="0.25">
      <c r="A6421">
        <f ca="1">30748.4433481521*((RANDBETWEEN(1620,2416)))</f>
        <v>52333850.578554943</v>
      </c>
      <c r="B6421">
        <v>152708056.8914094</v>
      </c>
    </row>
    <row r="6422" spans="1:2" x14ac:dyDescent="0.25">
      <c r="A6422">
        <f ca="1">30283.6992326447*((RANDBETWEEN(1620,2416)))</f>
        <v>60203994.074497662</v>
      </c>
      <c r="B6422">
        <v>145583741.82167655</v>
      </c>
    </row>
    <row r="6423" spans="1:2" x14ac:dyDescent="0.25">
      <c r="A6423">
        <f ca="1">32361.8490671723*((RANDBETWEEN(1620,2416)))</f>
        <v>57151025.452626221</v>
      </c>
      <c r="B6423">
        <v>162308476.68093157</v>
      </c>
    </row>
    <row r="6424" spans="1:2" x14ac:dyDescent="0.25">
      <c r="A6424">
        <f ca="1">28651.5096827472*((RANDBETWEEN(1620,2416)))</f>
        <v>58277170.694707721</v>
      </c>
      <c r="B6424">
        <v>195855956.48237988</v>
      </c>
    </row>
    <row r="6425" spans="1:2" x14ac:dyDescent="0.25">
      <c r="A6425">
        <f ca="1">36056.8182772484*((RANDBETWEEN(1620,2416)))</f>
        <v>85346488.86224696</v>
      </c>
      <c r="B6425">
        <v>156332026.6507875</v>
      </c>
    </row>
    <row r="6426" spans="1:2" x14ac:dyDescent="0.25">
      <c r="A6426">
        <f ca="1">30690.271773177*((RANDBETWEEN(1620,2416)))</f>
        <v>59447056.424643829</v>
      </c>
      <c r="B6426">
        <v>164069673.03230643</v>
      </c>
    </row>
    <row r="6427" spans="1:2" x14ac:dyDescent="0.25">
      <c r="A6427">
        <f ca="1">38407.6088398409*((RANDBETWEEN(1620,2416)))</f>
        <v>65254527.418889634</v>
      </c>
      <c r="B6427">
        <v>166744470.97248805</v>
      </c>
    </row>
    <row r="6428" spans="1:2" x14ac:dyDescent="0.25">
      <c r="A6428">
        <f ca="1">33519.0764922393*((RANDBETWEEN(1620,2416)))</f>
        <v>70054869.868780106</v>
      </c>
      <c r="B6428">
        <v>175461339.38513967</v>
      </c>
    </row>
    <row r="6429" spans="1:2" x14ac:dyDescent="0.25">
      <c r="A6429">
        <f ca="1">41252.2773478148*((RANDBETWEEN(1620,2416)))</f>
        <v>88816153.129845336</v>
      </c>
      <c r="B6429">
        <v>157104145.12977928</v>
      </c>
    </row>
    <row r="6430" spans="1:2" x14ac:dyDescent="0.25">
      <c r="A6430">
        <f ca="1">31781.522829804*((RANDBETWEEN(1620,2416)))</f>
        <v>59018287.894946054</v>
      </c>
      <c r="B6430">
        <v>158504641.56948027</v>
      </c>
    </row>
    <row r="6431" spans="1:2" x14ac:dyDescent="0.25">
      <c r="A6431">
        <f ca="1">32853.971539696*((RANDBETWEEN(1620,2416)))</f>
        <v>74742785.252808481</v>
      </c>
      <c r="B6431">
        <v>147804631.64340401</v>
      </c>
    </row>
    <row r="6432" spans="1:2" x14ac:dyDescent="0.25">
      <c r="A6432">
        <f ca="1">33533.1925326685*((RANDBETWEEN(1620,2416)))</f>
        <v>80412595.693339139</v>
      </c>
      <c r="B6432">
        <v>153200116.33941692</v>
      </c>
    </row>
    <row r="6433" spans="1:2" x14ac:dyDescent="0.25">
      <c r="A6433">
        <f ca="1">34959.4670096506*((RANDBETWEEN(1620,2416)))</f>
        <v>72366096.709976777</v>
      </c>
      <c r="B6433">
        <v>178378063.36086369</v>
      </c>
    </row>
    <row r="6434" spans="1:2" x14ac:dyDescent="0.25">
      <c r="A6434">
        <f ca="1">31456.9498997314*((RANDBETWEEN(1620,2416)))</f>
        <v>61907277.402671359</v>
      </c>
      <c r="B6434">
        <v>152431028.68318588</v>
      </c>
    </row>
    <row r="6435" spans="1:2" x14ac:dyDescent="0.25">
      <c r="A6435">
        <f ca="1">30390.6204757604*((RANDBETWEEN(1620,2416)))</f>
        <v>51299367.363083571</v>
      </c>
      <c r="B6435">
        <v>160014440.74836805</v>
      </c>
    </row>
    <row r="6436" spans="1:2" x14ac:dyDescent="0.25">
      <c r="A6436">
        <f ca="1">36230.8946102214*((RANDBETWEEN(1620,2416)))</f>
        <v>76121109.576075241</v>
      </c>
      <c r="B6436">
        <v>191586409.158344</v>
      </c>
    </row>
    <row r="6437" spans="1:2" x14ac:dyDescent="0.25">
      <c r="A6437">
        <f ca="1">28932.5473328626*((RANDBETWEEN(1620,2416)))</f>
        <v>61597393.271664381</v>
      </c>
      <c r="B6437">
        <v>155395942.0937919</v>
      </c>
    </row>
    <row r="6438" spans="1:2" x14ac:dyDescent="0.25">
      <c r="A6438">
        <f ca="1">30632.7649646341*((RANDBETWEEN(1620,2416)))</f>
        <v>51524310.670514561</v>
      </c>
      <c r="B6438">
        <v>150294036.50353563</v>
      </c>
    </row>
    <row r="6439" spans="1:2" x14ac:dyDescent="0.25">
      <c r="A6439">
        <f ca="1">32217.3723747364*((RANDBETWEEN(1620,2416)))</f>
        <v>60407573.202630788</v>
      </c>
      <c r="B6439">
        <v>178088986.82096815</v>
      </c>
    </row>
    <row r="6440" spans="1:2" x14ac:dyDescent="0.25">
      <c r="A6440">
        <f ca="1">40809.6266146724*((RANDBETWEEN(1620,2416)))</f>
        <v>96025051.4243242</v>
      </c>
      <c r="B6440">
        <v>170641264.4884558</v>
      </c>
    </row>
    <row r="6441" spans="1:2" x14ac:dyDescent="0.25">
      <c r="A6441">
        <f ca="1">30131.5168519499*((RANDBETWEEN(1620,2416)))</f>
        <v>63065264.771131076</v>
      </c>
      <c r="B6441">
        <v>153199182.21015507</v>
      </c>
    </row>
    <row r="6442" spans="1:2" x14ac:dyDescent="0.25">
      <c r="A6442">
        <f ca="1">33717.3224219635*((RANDBETWEEN(1620,2416)))</f>
        <v>74076957.36105378</v>
      </c>
      <c r="B6442">
        <v>165465099.19521713</v>
      </c>
    </row>
    <row r="6443" spans="1:2" x14ac:dyDescent="0.25">
      <c r="A6443">
        <f ca="1">35609.5369914491*((RANDBETWEEN(1620,2416)))</f>
        <v>69296158.985359937</v>
      </c>
      <c r="B6443">
        <v>170927192.57951382</v>
      </c>
    </row>
    <row r="6444" spans="1:2" x14ac:dyDescent="0.25">
      <c r="A6444">
        <f ca="1">32166.8037299838*((RANDBETWEEN(1620,2416)))</f>
        <v>62114098.002598643</v>
      </c>
      <c r="B6444">
        <v>146263985.76099244</v>
      </c>
    </row>
    <row r="6445" spans="1:2" x14ac:dyDescent="0.25">
      <c r="A6445">
        <f ca="1">35486.205527936*((RANDBETWEEN(1620,2416)))</f>
        <v>58942587.381901734</v>
      </c>
      <c r="B6445">
        <v>146834055.49408025</v>
      </c>
    </row>
    <row r="6446" spans="1:2" x14ac:dyDescent="0.25">
      <c r="A6446">
        <f ca="1">30438.7223897891*((RANDBETWEEN(1620,2416)))</f>
        <v>50497840.444660038</v>
      </c>
      <c r="B6446">
        <v>144728002.28874451</v>
      </c>
    </row>
    <row r="6447" spans="1:2" x14ac:dyDescent="0.25">
      <c r="A6447">
        <f ca="1">32677.6930601605*((RANDBETWEEN(1620,2416)))</f>
        <v>70387750.851585731</v>
      </c>
      <c r="B6447">
        <v>154035563.8068763</v>
      </c>
    </row>
    <row r="6448" spans="1:2" x14ac:dyDescent="0.25">
      <c r="A6448">
        <f ca="1">29858.1798896549*((RANDBETWEEN(1620,2416)))</f>
        <v>51236636.690647863</v>
      </c>
      <c r="B6448">
        <v>188648998.62016425</v>
      </c>
    </row>
    <row r="6449" spans="1:2" x14ac:dyDescent="0.25">
      <c r="A6449">
        <f ca="1">31700.9058552798*((RANDBETWEEN(1620,2416)))</f>
        <v>71644047.232932359</v>
      </c>
      <c r="B6449">
        <v>144052250.76817653</v>
      </c>
    </row>
    <row r="6450" spans="1:2" x14ac:dyDescent="0.25">
      <c r="A6450">
        <f ca="1">29071.6901502968*((RANDBETWEEN(1620,2416)))</f>
        <v>59713251.568709597</v>
      </c>
      <c r="B6450">
        <v>178358908.49287966</v>
      </c>
    </row>
    <row r="6451" spans="1:2" x14ac:dyDescent="0.25">
      <c r="A6451">
        <f ca="1">34656.5674231283*((RANDBETWEEN(1620,2416)))</f>
        <v>63386861.816901669</v>
      </c>
      <c r="B6451">
        <v>145559540.21381724</v>
      </c>
    </row>
    <row r="6452" spans="1:2" x14ac:dyDescent="0.25">
      <c r="A6452">
        <f ca="1">33128.6969234326*((RANDBETWEEN(1620,2416)))</f>
        <v>74075766.320795313</v>
      </c>
      <c r="B6452">
        <v>187282137.30913395</v>
      </c>
    </row>
    <row r="6453" spans="1:2" x14ac:dyDescent="0.25">
      <c r="A6453">
        <f ca="1">33613.2055647039*((RANDBETWEEN(1620,2416)))</f>
        <v>57848326.776855476</v>
      </c>
      <c r="B6453">
        <v>155629338.25067952</v>
      </c>
    </row>
    <row r="6454" spans="1:2" x14ac:dyDescent="0.25">
      <c r="A6454">
        <f ca="1">34890.2389777779*((RANDBETWEEN(1620,2416)))</f>
        <v>72990379.941511393</v>
      </c>
      <c r="B6454">
        <v>144876407.39096081</v>
      </c>
    </row>
    <row r="6455" spans="1:2" x14ac:dyDescent="0.25">
      <c r="A6455">
        <f ca="1">32329.5201068726*((RANDBETWEEN(1620,2416)))</f>
        <v>52858765.374736749</v>
      </c>
      <c r="B6455">
        <v>168825539.37788498</v>
      </c>
    </row>
    <row r="6456" spans="1:2" x14ac:dyDescent="0.25">
      <c r="A6456">
        <f ca="1">31067.5267429756*((RANDBETWEEN(1620,2416)))</f>
        <v>74033916.228510872</v>
      </c>
      <c r="B6456">
        <v>170605218.18753773</v>
      </c>
    </row>
    <row r="6457" spans="1:2" x14ac:dyDescent="0.25">
      <c r="A6457">
        <f ca="1">30199.811165115*((RANDBETWEEN(1620,2416)))</f>
        <v>52638270.860795498</v>
      </c>
      <c r="B6457">
        <v>152455360.58880836</v>
      </c>
    </row>
    <row r="6458" spans="1:2" x14ac:dyDescent="0.25">
      <c r="A6458">
        <f ca="1">39651.1065757551*((RANDBETWEEN(1620,2416)))</f>
        <v>82831161.636752337</v>
      </c>
      <c r="B6458">
        <v>189904990.87194818</v>
      </c>
    </row>
    <row r="6459" spans="1:2" x14ac:dyDescent="0.25">
      <c r="A6459">
        <f ca="1">30051.6177196714*((RANDBETWEEN(1620,2416)))</f>
        <v>58841067.495116696</v>
      </c>
      <c r="B6459">
        <v>157739021.01079071</v>
      </c>
    </row>
    <row r="6460" spans="1:2" x14ac:dyDescent="0.25">
      <c r="A6460">
        <f ca="1">30733.3996102308*((RANDBETWEEN(1620,2416)))</f>
        <v>56149921.087891757</v>
      </c>
      <c r="B6460">
        <v>171446611.64864862</v>
      </c>
    </row>
    <row r="6461" spans="1:2" x14ac:dyDescent="0.25">
      <c r="A6461">
        <f ca="1">36103.5775963471*((RANDBETWEEN(1620,2416)))</f>
        <v>69391076.140179202</v>
      </c>
      <c r="B6461">
        <v>143302204.36202672</v>
      </c>
    </row>
    <row r="6462" spans="1:2" x14ac:dyDescent="0.25">
      <c r="A6462">
        <f ca="1">31065.817508646*((RANDBETWEEN(1620,2416)))</f>
        <v>60982199.769472085</v>
      </c>
      <c r="B6462">
        <v>202889294.64606178</v>
      </c>
    </row>
    <row r="6463" spans="1:2" x14ac:dyDescent="0.25">
      <c r="A6463">
        <f ca="1">35100.779302152*((RANDBETWEEN(1620,2416)))</f>
        <v>69815450.03198038</v>
      </c>
      <c r="B6463">
        <v>152981575.01458678</v>
      </c>
    </row>
    <row r="6464" spans="1:2" x14ac:dyDescent="0.25">
      <c r="A6464">
        <f ca="1">31630.3607682462*((RANDBETWEEN(1620,2416)))</f>
        <v>73255915.539258257</v>
      </c>
      <c r="B6464">
        <v>153532937.82439712</v>
      </c>
    </row>
    <row r="6465" spans="1:2" x14ac:dyDescent="0.25">
      <c r="A6465">
        <f ca="1">31678.2562306726*((RANDBETWEEN(1620,2416)))</f>
        <v>60600504.169276766</v>
      </c>
      <c r="B6465">
        <v>151869671.37033886</v>
      </c>
    </row>
    <row r="6466" spans="1:2" x14ac:dyDescent="0.25">
      <c r="A6466">
        <f ca="1">33192.88062456*((RANDBETWEEN(1620,2416)))</f>
        <v>79098634.528326437</v>
      </c>
      <c r="B6466">
        <v>150569005.46516407</v>
      </c>
    </row>
    <row r="6467" spans="1:2" x14ac:dyDescent="0.25">
      <c r="A6467">
        <f ca="1">36653.3085989091*((RANDBETWEEN(1620,2416)))</f>
        <v>60074772.793612055</v>
      </c>
      <c r="B6467">
        <v>147509575.89956349</v>
      </c>
    </row>
    <row r="6468" spans="1:2" x14ac:dyDescent="0.25">
      <c r="A6468">
        <f ca="1">31233.8023542762*((RANDBETWEEN(1620,2416)))</f>
        <v>51379604.872784391</v>
      </c>
      <c r="B6468">
        <v>187354665.8989853</v>
      </c>
    </row>
    <row r="6469" spans="1:2" x14ac:dyDescent="0.25">
      <c r="A6469">
        <f ca="1">38219.6537832565*((RANDBETWEEN(1620,2416)))</f>
        <v>88937134.353637874</v>
      </c>
      <c r="B6469">
        <v>157657603.33023325</v>
      </c>
    </row>
    <row r="6470" spans="1:2" x14ac:dyDescent="0.25">
      <c r="A6470">
        <f ca="1">29270.8561981381*((RANDBETWEEN(1620,2416)))</f>
        <v>55760981.057453178</v>
      </c>
      <c r="B6470">
        <v>153373561.0927386</v>
      </c>
    </row>
    <row r="6471" spans="1:2" x14ac:dyDescent="0.25">
      <c r="A6471">
        <f ca="1">33929.2111454772*((RANDBETWEEN(1620,2416)))</f>
        <v>64703005.654425092</v>
      </c>
      <c r="B6471">
        <v>193918035.43676484</v>
      </c>
    </row>
    <row r="6472" spans="1:2" x14ac:dyDescent="0.25">
      <c r="A6472">
        <f ca="1">33907.7666202899*((RANDBETWEEN(1620,2416)))</f>
        <v>58897790.619443625</v>
      </c>
      <c r="B6472">
        <v>154055719.32351699</v>
      </c>
    </row>
    <row r="6473" spans="1:2" x14ac:dyDescent="0.25">
      <c r="A6473">
        <f ca="1">31508.3555349409*((RANDBETWEEN(1620,2416)))</f>
        <v>57817832.406616658</v>
      </c>
      <c r="B6473">
        <v>160391214.90640426</v>
      </c>
    </row>
    <row r="6474" spans="1:2" x14ac:dyDescent="0.25">
      <c r="A6474">
        <f ca="1">38524.8056410579*((RANDBETWEEN(1620,2416)))</f>
        <v>75123371.000062823</v>
      </c>
      <c r="B6474">
        <v>148563423.00482732</v>
      </c>
    </row>
    <row r="6475" spans="1:2" x14ac:dyDescent="0.25">
      <c r="A6475">
        <f ca="1">28985.2850004539*((RANDBETWEEN(1620,2416)))</f>
        <v>58695202.125919051</v>
      </c>
      <c r="B6475">
        <v>169251261.539992</v>
      </c>
    </row>
    <row r="6476" spans="1:2" x14ac:dyDescent="0.25">
      <c r="A6476">
        <f ca="1">29946.79197888*((RANDBETWEEN(1620,2416)))</f>
        <v>63457252.203246616</v>
      </c>
      <c r="B6476">
        <v>148547033.00517279</v>
      </c>
    </row>
    <row r="6477" spans="1:2" x14ac:dyDescent="0.25">
      <c r="A6477">
        <f ca="1">31163.6777547984*((RANDBETWEEN(1620,2416)))</f>
        <v>67126561.883835807</v>
      </c>
      <c r="B6477">
        <v>164839086.3823255</v>
      </c>
    </row>
    <row r="6478" spans="1:2" x14ac:dyDescent="0.25">
      <c r="A6478">
        <f ca="1">30512.5983426305*((RANDBETWEEN(1620,2416)))</f>
        <v>66242851.001850769</v>
      </c>
      <c r="B6478">
        <v>152244216.22292292</v>
      </c>
    </row>
    <row r="6479" spans="1:2" x14ac:dyDescent="0.25">
      <c r="A6479">
        <f ca="1">30517.0998974785*((RANDBETWEEN(1620,2416)))</f>
        <v>71226911.160714775</v>
      </c>
      <c r="B6479">
        <v>170330480.06110412</v>
      </c>
    </row>
    <row r="6480" spans="1:2" x14ac:dyDescent="0.25">
      <c r="A6480">
        <f ca="1">32035.9321883862*((RANDBETWEEN(1620,2416)))</f>
        <v>59907193.192282118</v>
      </c>
      <c r="B6480">
        <v>146482937.78949034</v>
      </c>
    </row>
    <row r="6481" spans="1:2" x14ac:dyDescent="0.25">
      <c r="A6481">
        <f ca="1">34608.9089687983*((RANDBETWEEN(1620,2416)))</f>
        <v>70879045.568098947</v>
      </c>
      <c r="B6481">
        <v>167760914.58722055</v>
      </c>
    </row>
    <row r="6482" spans="1:2" x14ac:dyDescent="0.25">
      <c r="A6482">
        <f ca="1">32442.0674975935*((RANDBETWEEN(1620,2416)))</f>
        <v>53075222.426063016</v>
      </c>
      <c r="B6482">
        <v>151546002.99741033</v>
      </c>
    </row>
    <row r="6483" spans="1:2" x14ac:dyDescent="0.25">
      <c r="A6483">
        <f ca="1">28606.3952445471*((RANDBETWEEN(1620,2416)))</f>
        <v>56068534.679312274</v>
      </c>
      <c r="B6483">
        <v>164012488.7769081</v>
      </c>
    </row>
    <row r="6484" spans="1:2" x14ac:dyDescent="0.25">
      <c r="A6484">
        <f ca="1">31471.180198416*((RANDBETWEEN(1620,2416)))</f>
        <v>67285383.264213309</v>
      </c>
      <c r="B6484">
        <v>171163956.52351159</v>
      </c>
    </row>
    <row r="6485" spans="1:2" x14ac:dyDescent="0.25">
      <c r="A6485">
        <f ca="1">31478.5091217071*((RANDBETWEEN(1620,2416)))</f>
        <v>55591047.108934745</v>
      </c>
      <c r="B6485">
        <v>194495804.59263167</v>
      </c>
    </row>
    <row r="6486" spans="1:2" x14ac:dyDescent="0.25">
      <c r="A6486">
        <f ca="1">35281.7706421847*((RANDBETWEEN(1620,2416)))</f>
        <v>66223883.495380677</v>
      </c>
      <c r="B6486">
        <v>171386619.8701857</v>
      </c>
    </row>
    <row r="6487" spans="1:2" x14ac:dyDescent="0.25">
      <c r="A6487">
        <f ca="1">41186.2601793969*((RANDBETWEEN(1620,2416)))</f>
        <v>72570190.436097294</v>
      </c>
      <c r="B6487">
        <v>169584264.9426803</v>
      </c>
    </row>
    <row r="6488" spans="1:2" x14ac:dyDescent="0.25">
      <c r="A6488">
        <f ca="1">29603.6069360068*((RANDBETWEEN(1620,2416)))</f>
        <v>55654781.039692715</v>
      </c>
      <c r="B6488">
        <v>158557604.30719817</v>
      </c>
    </row>
    <row r="6489" spans="1:2" x14ac:dyDescent="0.25">
      <c r="A6489">
        <f ca="1">31607.797150231*((RANDBETWEEN(1620,2416)))</f>
        <v>65175277.723776385</v>
      </c>
      <c r="B6489">
        <v>170368775.51056355</v>
      </c>
    </row>
    <row r="6490" spans="1:2" x14ac:dyDescent="0.25">
      <c r="A6490">
        <f ca="1">41396.9343855881*((RANDBETWEEN(1620,2416)))</f>
        <v>86229814.325179935</v>
      </c>
      <c r="B6490">
        <v>176278595.59131017</v>
      </c>
    </row>
    <row r="6491" spans="1:2" x14ac:dyDescent="0.25">
      <c r="A6491">
        <f ca="1">31432.0781945705*((RANDBETWEEN(1620,2416)))</f>
        <v>75059802.728634402</v>
      </c>
      <c r="B6491">
        <v>162405032.10676077</v>
      </c>
    </row>
    <row r="6492" spans="1:2" x14ac:dyDescent="0.25">
      <c r="A6492">
        <f ca="1">29761.1284938365*((RANDBETWEEN(1620,2416)))</f>
        <v>68123223.12239185</v>
      </c>
      <c r="B6492">
        <v>144212080.52582923</v>
      </c>
    </row>
    <row r="6493" spans="1:2" x14ac:dyDescent="0.25">
      <c r="A6493">
        <f ca="1">30855.8741630026*((RANDBETWEEN(1620,2416)))</f>
        <v>53843500.414439566</v>
      </c>
      <c r="B6493">
        <v>155647935.89794755</v>
      </c>
    </row>
    <row r="6494" spans="1:2" x14ac:dyDescent="0.25">
      <c r="A6494">
        <f ca="1">30343.8984277406*((RANDBETWEEN(1620,2416)))</f>
        <v>66028322.978763454</v>
      </c>
      <c r="B6494">
        <v>194101332.84040186</v>
      </c>
    </row>
    <row r="6495" spans="1:2" x14ac:dyDescent="0.25">
      <c r="A6495">
        <f ca="1">30283.9692263847*((RANDBETWEEN(1620,2416)))</f>
        <v>70682784.174381882</v>
      </c>
      <c r="B6495">
        <v>170958649.53102309</v>
      </c>
    </row>
    <row r="6496" spans="1:2" x14ac:dyDescent="0.25">
      <c r="A6496">
        <f ca="1">33904.1746072773*((RANDBETWEEN(1620,2416)))</f>
        <v>78691589.263490632</v>
      </c>
      <c r="B6496">
        <v>153962501.88421708</v>
      </c>
    </row>
    <row r="6497" spans="1:2" x14ac:dyDescent="0.25">
      <c r="A6497">
        <f ca="1">30850.3802623321*((RANDBETWEEN(1620,2416)))</f>
        <v>69505906.731034234</v>
      </c>
      <c r="B6497">
        <v>148455354.13019872</v>
      </c>
    </row>
    <row r="6498" spans="1:2" x14ac:dyDescent="0.25">
      <c r="A6498">
        <f ca="1">33391.9688760472*((RANDBETWEEN(1620,2416)))</f>
        <v>62676725.580340512</v>
      </c>
      <c r="B6498">
        <v>183197191.07010987</v>
      </c>
    </row>
    <row r="6499" spans="1:2" x14ac:dyDescent="0.25">
      <c r="A6499">
        <f ca="1">31569.2489122994*((RANDBETWEEN(1620,2416)))</f>
        <v>55751293.579120666</v>
      </c>
      <c r="B6499">
        <v>192555164.57847223</v>
      </c>
    </row>
    <row r="6500" spans="1:2" x14ac:dyDescent="0.25">
      <c r="A6500">
        <f ca="1">41492.1540057684*((RANDBETWEEN(1620,2416)))</f>
        <v>71034567.657875583</v>
      </c>
      <c r="B6500">
        <v>166189957.19562238</v>
      </c>
    </row>
    <row r="6501" spans="1:2" x14ac:dyDescent="0.25">
      <c r="A6501">
        <f ca="1">31754.7735420078*((RANDBETWEEN(1620,2416)))</f>
        <v>69447689.736370996</v>
      </c>
      <c r="B6501">
        <v>183386865.34427121</v>
      </c>
    </row>
    <row r="6502" spans="1:2" x14ac:dyDescent="0.25">
      <c r="A6502">
        <f ca="1">40272.1161413975*((RANDBETWEEN(1620,2416)))</f>
        <v>85980967.961883605</v>
      </c>
      <c r="B6502">
        <v>151065216.08161807</v>
      </c>
    </row>
    <row r="6503" spans="1:2" x14ac:dyDescent="0.25">
      <c r="A6503">
        <f ca="1">40096.2751978133*((RANDBETWEEN(1620,2416)))</f>
        <v>86487665.601683363</v>
      </c>
      <c r="B6503">
        <v>157589630.62768245</v>
      </c>
    </row>
    <row r="6504" spans="1:2" x14ac:dyDescent="0.25">
      <c r="A6504">
        <f ca="1">34252.3381320427*((RANDBETWEEN(1620,2416)))</f>
        <v>68333414.573425189</v>
      </c>
      <c r="B6504">
        <v>148561720.4032124</v>
      </c>
    </row>
    <row r="6505" spans="1:2" x14ac:dyDescent="0.25">
      <c r="A6505">
        <f ca="1">29078.8002430598*((RANDBETWEEN(1620,2416)))</f>
        <v>68131628.969489008</v>
      </c>
      <c r="B6505">
        <v>180130332.93651506</v>
      </c>
    </row>
    <row r="6506" spans="1:2" x14ac:dyDescent="0.25">
      <c r="A6506">
        <f ca="1">32569.4147092521*((RANDBETWEEN(1620,2416)))</f>
        <v>72369239.483958229</v>
      </c>
      <c r="B6506">
        <v>200322198.56755152</v>
      </c>
    </row>
    <row r="6507" spans="1:2" x14ac:dyDescent="0.25">
      <c r="A6507">
        <f ca="1">30280.6737285649*((RANDBETWEEN(1620,2416)))</f>
        <v>61651451.711358041</v>
      </c>
      <c r="B6507">
        <v>184881098.54016408</v>
      </c>
    </row>
    <row r="6508" spans="1:2" x14ac:dyDescent="0.25">
      <c r="A6508">
        <f ca="1">38146.3632194025*((RANDBETWEEN(1620,2416)))</f>
        <v>63933304.755718626</v>
      </c>
      <c r="B6508">
        <v>203026014.25969321</v>
      </c>
    </row>
    <row r="6509" spans="1:2" x14ac:dyDescent="0.25">
      <c r="A6509">
        <f ca="1">31823.6431904314*((RANDBETWEEN(1620,2416)))</f>
        <v>52063480.259545773</v>
      </c>
      <c r="B6509">
        <v>156876440.3233653</v>
      </c>
    </row>
    <row r="6510" spans="1:2" x14ac:dyDescent="0.25">
      <c r="A6510">
        <f ca="1">31098.3880008844*((RANDBETWEEN(1620,2416)))</f>
        <v>69131716.525965914</v>
      </c>
      <c r="B6510">
        <v>196207524.15781069</v>
      </c>
    </row>
    <row r="6511" spans="1:2" x14ac:dyDescent="0.25">
      <c r="A6511">
        <f ca="1">30247.1576093388*((RANDBETWEEN(1620,2416)))</f>
        <v>71353044.800430268</v>
      </c>
      <c r="B6511">
        <v>196443772.78694797</v>
      </c>
    </row>
    <row r="6512" spans="1:2" x14ac:dyDescent="0.25">
      <c r="A6512">
        <f ca="1">27499.8764348624*((RANDBETWEEN(1620,2416)))</f>
        <v>59262233.717128575</v>
      </c>
      <c r="B6512">
        <v>143049378.92969379</v>
      </c>
    </row>
    <row r="6513" spans="1:2" x14ac:dyDescent="0.25">
      <c r="A6513">
        <f ca="1">33354.0163569761*((RANDBETWEEN(1620,2416)))</f>
        <v>61971762.391261563</v>
      </c>
      <c r="B6513">
        <v>188284068.06036162</v>
      </c>
    </row>
    <row r="6514" spans="1:2" x14ac:dyDescent="0.25">
      <c r="A6514">
        <f ca="1">31355.7268452523*((RANDBETWEEN(1620,2416)))</f>
        <v>53775071.539607741</v>
      </c>
      <c r="B6514">
        <v>146317914.35951608</v>
      </c>
    </row>
    <row r="6515" spans="1:2" x14ac:dyDescent="0.25">
      <c r="A6515">
        <f ca="1">36840.7753059592*((RANDBETWEEN(1620,2416)))</f>
        <v>73460505.960082605</v>
      </c>
      <c r="B6515">
        <v>166357383.02356285</v>
      </c>
    </row>
    <row r="6516" spans="1:2" x14ac:dyDescent="0.25">
      <c r="A6516">
        <f ca="1">32225.9929137293*((RANDBETWEEN(1620,2416)))</f>
        <v>53527374.229704298</v>
      </c>
      <c r="B6516">
        <v>144284748.31685966</v>
      </c>
    </row>
    <row r="6517" spans="1:2" x14ac:dyDescent="0.25">
      <c r="A6517">
        <f ca="1">30258.5327711988*((RANDBETWEEN(1620,2416)))</f>
        <v>60426289.944083981</v>
      </c>
      <c r="B6517">
        <v>146839008.96294755</v>
      </c>
    </row>
    <row r="6518" spans="1:2" x14ac:dyDescent="0.25">
      <c r="A6518">
        <f ca="1">30431.9028794337*((RANDBETWEEN(1620,2416)))</f>
        <v>51734234.895037331</v>
      </c>
      <c r="B6518">
        <v>198094527.54270416</v>
      </c>
    </row>
    <row r="6519" spans="1:2" x14ac:dyDescent="0.25">
      <c r="A6519">
        <f ca="1">40962.8070019257*((RANDBETWEEN(1620,2416)))</f>
        <v>74675197.164510503</v>
      </c>
      <c r="B6519">
        <v>173563788.8421509</v>
      </c>
    </row>
    <row r="6520" spans="1:2" x14ac:dyDescent="0.25">
      <c r="A6520">
        <f ca="1">32755.2017442649*((RANDBETWEEN(1620,2416)))</f>
        <v>77531562.528674945</v>
      </c>
      <c r="B6520">
        <v>181060115.84832129</v>
      </c>
    </row>
    <row r="6521" spans="1:2" x14ac:dyDescent="0.25">
      <c r="A6521">
        <f ca="1">27730.751597789*((RANDBETWEEN(1620,2416)))</f>
        <v>48362430.786543995</v>
      </c>
      <c r="B6521">
        <v>146844900.51820439</v>
      </c>
    </row>
    <row r="6522" spans="1:2" x14ac:dyDescent="0.25">
      <c r="A6522">
        <f ca="1">33301.6939777073*((RANDBETWEEN(1620,2416)))</f>
        <v>68168567.572366878</v>
      </c>
      <c r="B6522">
        <v>160701715.79693577</v>
      </c>
    </row>
    <row r="6523" spans="1:2" x14ac:dyDescent="0.25">
      <c r="A6523">
        <f ca="1">29911.7841400869*((RANDBETWEEN(1620,2416)))</f>
        <v>55546183.148141362</v>
      </c>
      <c r="B6523">
        <v>152663625.56821716</v>
      </c>
    </row>
    <row r="6524" spans="1:2" x14ac:dyDescent="0.25">
      <c r="A6524">
        <f ca="1">29172.8327288672*((RANDBETWEEN(1620,2416)))</f>
        <v>54786579.86481265</v>
      </c>
      <c r="B6524">
        <v>190342693.16727859</v>
      </c>
    </row>
    <row r="6525" spans="1:2" x14ac:dyDescent="0.25">
      <c r="A6525">
        <f ca="1">37539.4319826609*((RANDBETWEEN(1620,2416)))</f>
        <v>76129968.060836241</v>
      </c>
      <c r="B6525">
        <v>145586221.52864122</v>
      </c>
    </row>
    <row r="6526" spans="1:2" x14ac:dyDescent="0.25">
      <c r="A6526">
        <f ca="1">32024.6374055719*((RANDBETWEEN(1620,2416)))</f>
        <v>64785841.471472003</v>
      </c>
      <c r="B6526">
        <v>193746830.74394247</v>
      </c>
    </row>
    <row r="6527" spans="1:2" x14ac:dyDescent="0.25">
      <c r="A6527">
        <f ca="1">31165.8857887795*((RANDBETWEEN(1620,2416)))</f>
        <v>64544549.46856235</v>
      </c>
      <c r="B6527">
        <v>177899074.87762105</v>
      </c>
    </row>
    <row r="6528" spans="1:2" x14ac:dyDescent="0.25">
      <c r="A6528">
        <f ca="1">39616.2245506456*((RANDBETWEEN(1620,2416)))</f>
        <v>79707843.795899019</v>
      </c>
      <c r="B6528">
        <v>172409567.50162199</v>
      </c>
    </row>
    <row r="6529" spans="1:2" x14ac:dyDescent="0.25">
      <c r="A6529">
        <f ca="1">34648.5332462264*((RANDBETWEEN(1620,2416)))</f>
        <v>74286455.279909447</v>
      </c>
      <c r="B6529">
        <v>191102279.29233456</v>
      </c>
    </row>
    <row r="6530" spans="1:2" x14ac:dyDescent="0.25">
      <c r="A6530">
        <f ca="1">32705.2618898674*((RANDBETWEEN(1620,2416)))</f>
        <v>59425460.85388907</v>
      </c>
      <c r="B6530">
        <v>193148110.58254385</v>
      </c>
    </row>
    <row r="6531" spans="1:2" x14ac:dyDescent="0.25">
      <c r="A6531">
        <f ca="1">35726.7725552558*((RANDBETWEEN(1620,2416)))</f>
        <v>62271764.563810892</v>
      </c>
      <c r="B6531">
        <v>156073394.82648933</v>
      </c>
    </row>
    <row r="6532" spans="1:2" x14ac:dyDescent="0.25">
      <c r="A6532">
        <f ca="1">35062.6851856861*((RANDBETWEEN(1620,2416)))</f>
        <v>62025890.093478642</v>
      </c>
      <c r="B6532">
        <v>171768045.71030822</v>
      </c>
    </row>
    <row r="6533" spans="1:2" x14ac:dyDescent="0.25">
      <c r="A6533">
        <f ca="1">29857.6279548196*((RANDBETWEEN(1620,2416)))</f>
        <v>54609601.5293651</v>
      </c>
      <c r="B6533">
        <v>147179105.65214729</v>
      </c>
    </row>
    <row r="6534" spans="1:2" x14ac:dyDescent="0.25">
      <c r="A6534">
        <f ca="1">31825.7787549493*((RANDBETWEEN(1620,2416)))</f>
        <v>53244527.857030235</v>
      </c>
      <c r="B6534">
        <v>156632951.16784543</v>
      </c>
    </row>
    <row r="6535" spans="1:2" x14ac:dyDescent="0.25">
      <c r="A6535">
        <f ca="1">30706.2859088387*((RANDBETWEEN(1620,2416)))</f>
        <v>72589659.888494581</v>
      </c>
      <c r="B6535">
        <v>176996939.46937978</v>
      </c>
    </row>
    <row r="6536" spans="1:2" x14ac:dyDescent="0.25">
      <c r="A6536">
        <f ca="1">32283.3663267267*((RANDBETWEEN(1620,2416)))</f>
        <v>59336827.308523752</v>
      </c>
      <c r="B6536">
        <v>143931000.11031747</v>
      </c>
    </row>
    <row r="6537" spans="1:2" x14ac:dyDescent="0.25">
      <c r="A6537">
        <f ca="1">30361.3939282292*((RANDBETWEEN(1620,2416)))</f>
        <v>69284700.944219083</v>
      </c>
      <c r="B6537">
        <v>167800831.07084715</v>
      </c>
    </row>
    <row r="6538" spans="1:2" x14ac:dyDescent="0.25">
      <c r="A6538">
        <f ca="1">34014.2062997945*((RANDBETWEEN(1620,2416)))</f>
        <v>70817577.516172081</v>
      </c>
      <c r="B6538">
        <v>156546750.65732995</v>
      </c>
    </row>
    <row r="6539" spans="1:2" x14ac:dyDescent="0.25">
      <c r="A6539">
        <f ca="1">39641.0589939516*((RANDBETWEEN(1620,2416)))</f>
        <v>75635140.560459673</v>
      </c>
      <c r="B6539">
        <v>168426777.78974402</v>
      </c>
    </row>
    <row r="6540" spans="1:2" x14ac:dyDescent="0.25">
      <c r="A6540">
        <f ca="1">31405.4002007781*((RANDBETWEEN(1620,2416)))</f>
        <v>63124854.403564051</v>
      </c>
      <c r="B6540">
        <v>183720319.55384445</v>
      </c>
    </row>
    <row r="6541" spans="1:2" x14ac:dyDescent="0.25">
      <c r="A6541">
        <f ca="1">40754.0120289534*((RANDBETWEEN(1620,2416)))</f>
        <v>92022559.16137667</v>
      </c>
      <c r="B6541">
        <v>196075448.83641461</v>
      </c>
    </row>
    <row r="6542" spans="1:2" x14ac:dyDescent="0.25">
      <c r="A6542">
        <f ca="1">31117.3840396984*((RANDBETWEEN(1620,2416)))</f>
        <v>70543109.617996305</v>
      </c>
      <c r="B6542">
        <v>167078638.0168792</v>
      </c>
    </row>
    <row r="6543" spans="1:2" x14ac:dyDescent="0.25">
      <c r="A6543">
        <f ca="1">33809.6014946728*((RANDBETWEEN(1620,2416)))</f>
        <v>81548758.805150717</v>
      </c>
      <c r="B6543">
        <v>180923790.93019974</v>
      </c>
    </row>
    <row r="6544" spans="1:2" x14ac:dyDescent="0.25">
      <c r="A6544">
        <f ca="1">33718.7219215293*((RANDBETWEEN(1620,2416)))</f>
        <v>70876753.47905454</v>
      </c>
      <c r="B6544">
        <v>156569716.78101</v>
      </c>
    </row>
    <row r="6545" spans="1:2" x14ac:dyDescent="0.25">
      <c r="A6545">
        <f ca="1">42407.2334296629*((RANDBETWEEN(1620,2416)))</f>
        <v>89097597.435721755</v>
      </c>
      <c r="B6545">
        <v>157226982.89214104</v>
      </c>
    </row>
    <row r="6546" spans="1:2" x14ac:dyDescent="0.25">
      <c r="A6546">
        <f ca="1">35990.8369040265*((RANDBETWEEN(1620,2416)))</f>
        <v>68598535.13907443</v>
      </c>
      <c r="B6546">
        <v>171973132.10824615</v>
      </c>
    </row>
    <row r="6547" spans="1:2" x14ac:dyDescent="0.25">
      <c r="A6547">
        <f ca="1">32426.8616432303*((RANDBETWEEN(1620,2416)))</f>
        <v>65858955.99740079</v>
      </c>
      <c r="B6547">
        <v>156222953.83878431</v>
      </c>
    </row>
    <row r="6548" spans="1:2" x14ac:dyDescent="0.25">
      <c r="A6548">
        <f ca="1">31802.2453996101*((RANDBETWEEN(1620,2416)))</f>
        <v>65321812.050799079</v>
      </c>
      <c r="B6548">
        <v>143414516.39666486</v>
      </c>
    </row>
    <row r="6549" spans="1:2" x14ac:dyDescent="0.25">
      <c r="A6549">
        <f ca="1">29952.4886261337*((RANDBETWEEN(1620,2416)))</f>
        <v>53525097.174901009</v>
      </c>
      <c r="B6549">
        <v>180839029.57675317</v>
      </c>
    </row>
    <row r="6550" spans="1:2" x14ac:dyDescent="0.25">
      <c r="A6550">
        <f ca="1">28874.8003587519*((RANDBETWEEN(1620,2416)))</f>
        <v>55988237.895619959</v>
      </c>
      <c r="B6550">
        <v>176898638.55322155</v>
      </c>
    </row>
    <row r="6551" spans="1:2" x14ac:dyDescent="0.25">
      <c r="A6551">
        <f ca="1">37736.3246432248*((RANDBETWEEN(1620,2416)))</f>
        <v>72151852.717845902</v>
      </c>
      <c r="B6551">
        <v>170545513.6386615</v>
      </c>
    </row>
    <row r="6552" spans="1:2" x14ac:dyDescent="0.25">
      <c r="A6552">
        <f ca="1">34240.6006995946*((RANDBETWEEN(1620,2416)))</f>
        <v>62489096.276760176</v>
      </c>
      <c r="B6552">
        <v>153145246.61189443</v>
      </c>
    </row>
    <row r="6553" spans="1:2" x14ac:dyDescent="0.25">
      <c r="A6553">
        <f ca="1">32761.775774542*((RANDBETWEEN(1620,2416)))</f>
        <v>64278604.069651477</v>
      </c>
      <c r="B6553">
        <v>161919166.67356086</v>
      </c>
    </row>
    <row r="6554" spans="1:2" x14ac:dyDescent="0.25">
      <c r="A6554">
        <f ca="1">37532.069211126*((RANDBETWEEN(1620,2416)))</f>
        <v>88162830.576934889</v>
      </c>
      <c r="B6554">
        <v>154303796.24372548</v>
      </c>
    </row>
    <row r="6555" spans="1:2" x14ac:dyDescent="0.25">
      <c r="A6555">
        <f ca="1">32096.8132684451*((RANDBETWEEN(1620,2416)))</f>
        <v>72795572.49283354</v>
      </c>
      <c r="B6555">
        <v>195806847.04486835</v>
      </c>
    </row>
    <row r="6556" spans="1:2" x14ac:dyDescent="0.25">
      <c r="A6556">
        <f ca="1">39857.8482706793*((RANDBETWEEN(1620,2416)))</f>
        <v>75371191.079854488</v>
      </c>
      <c r="B6556">
        <v>187357335.47935432</v>
      </c>
    </row>
    <row r="6557" spans="1:2" x14ac:dyDescent="0.25">
      <c r="A6557">
        <f ca="1">32949.3884465785*((RANDBETWEEN(1620,2416)))</f>
        <v>63724117.255682737</v>
      </c>
      <c r="B6557">
        <v>185278695.17518383</v>
      </c>
    </row>
    <row r="6558" spans="1:2" x14ac:dyDescent="0.25">
      <c r="A6558">
        <f ca="1">33475.9349724228*((RANDBETWEEN(1620,2416)))</f>
        <v>64139891.4071621</v>
      </c>
      <c r="B6558">
        <v>182783257.26010025</v>
      </c>
    </row>
    <row r="6559" spans="1:2" x14ac:dyDescent="0.25">
      <c r="A6559">
        <f ca="1">32939.0514469061*((RANDBETWEEN(1620,2416)))</f>
        <v>66569822.974197306</v>
      </c>
      <c r="B6559">
        <v>160474557.47078949</v>
      </c>
    </row>
    <row r="6560" spans="1:2" x14ac:dyDescent="0.25">
      <c r="A6560">
        <f ca="1">38496.6412399365*((RANDBETWEEN(1620,2416)))</f>
        <v>69563430.720565334</v>
      </c>
      <c r="B6560">
        <v>180973905.98740342</v>
      </c>
    </row>
    <row r="6561" spans="1:2" x14ac:dyDescent="0.25">
      <c r="A6561">
        <f ca="1">32311.7119687717*((RANDBETWEEN(1620,2416)))</f>
        <v>73153715.897299111</v>
      </c>
      <c r="B6561">
        <v>165756825.37330985</v>
      </c>
    </row>
    <row r="6562" spans="1:2" x14ac:dyDescent="0.25">
      <c r="A6562">
        <f ca="1">30679.3071087022*((RANDBETWEEN(1620,2416)))</f>
        <v>68721647.923492983</v>
      </c>
      <c r="B6562">
        <v>171145418.45140666</v>
      </c>
    </row>
    <row r="6563" spans="1:2" x14ac:dyDescent="0.25">
      <c r="A6563">
        <f ca="1">37128.7335390223*((RANDBETWEEN(1620,2416)))</f>
        <v>83725294.130495235</v>
      </c>
      <c r="B6563">
        <v>153191470.47636956</v>
      </c>
    </row>
    <row r="6564" spans="1:2" x14ac:dyDescent="0.25">
      <c r="A6564">
        <f ca="1">31400.9046907308*((RANDBETWEEN(1620,2416)))</f>
        <v>54323565.114964202</v>
      </c>
      <c r="B6564">
        <v>147311469.74427193</v>
      </c>
    </row>
    <row r="6565" spans="1:2" x14ac:dyDescent="0.25">
      <c r="A6565">
        <f ca="1">32340.2259005375*((RANDBETWEEN(1620,2416)))</f>
        <v>53490733.639489055</v>
      </c>
      <c r="B6565">
        <v>192764318.69534791</v>
      </c>
    </row>
    <row r="6566" spans="1:2" x14ac:dyDescent="0.25">
      <c r="A6566">
        <f ca="1">32312.4391314465*((RANDBETWEEN(1620,2416)))</f>
        <v>59584137.758387282</v>
      </c>
      <c r="B6566">
        <v>177987314.16178834</v>
      </c>
    </row>
    <row r="6567" spans="1:2" x14ac:dyDescent="0.25">
      <c r="A6567">
        <f ca="1">32290.3828428374*((RANDBETWEEN(1620,2416)))</f>
        <v>57993527.585735887</v>
      </c>
      <c r="B6567">
        <v>190083793.96984723</v>
      </c>
    </row>
    <row r="6568" spans="1:2" x14ac:dyDescent="0.25">
      <c r="A6568">
        <f ca="1">32915.5024624649*((RANDBETWEEN(1620,2416)))</f>
        <v>56417171.220664844</v>
      </c>
      <c r="B6568">
        <v>181338004.38992336</v>
      </c>
    </row>
    <row r="6569" spans="1:2" x14ac:dyDescent="0.25">
      <c r="A6569">
        <f ca="1">37024.8445876828*((RANDBETWEEN(1620,2416)))</f>
        <v>71161751.29752633</v>
      </c>
      <c r="B6569">
        <v>150419542.6006532</v>
      </c>
    </row>
    <row r="6570" spans="1:2" x14ac:dyDescent="0.25">
      <c r="A6570">
        <f ca="1">29656.1011809396*((RANDBETWEEN(1620,2416)))</f>
        <v>53618230.935138844</v>
      </c>
      <c r="B6570">
        <v>177293536.85822654</v>
      </c>
    </row>
    <row r="6571" spans="1:2" x14ac:dyDescent="0.25">
      <c r="A6571">
        <f ca="1">32233.170249144*((RANDBETWEEN(1620,2416)))</f>
        <v>62048852.729602359</v>
      </c>
      <c r="B6571">
        <v>167288862.37494963</v>
      </c>
    </row>
    <row r="6572" spans="1:2" x14ac:dyDescent="0.25">
      <c r="A6572">
        <f ca="1">31843.4067216173*((RANDBETWEEN(1620,2416)))</f>
        <v>68017516.75737454</v>
      </c>
      <c r="B6572">
        <v>156471226.23137912</v>
      </c>
    </row>
    <row r="6573" spans="1:2" x14ac:dyDescent="0.25">
      <c r="A6573">
        <f ca="1">30572.0217140762*((RANDBETWEEN(1620,2416)))</f>
        <v>62458640.361857601</v>
      </c>
      <c r="B6573">
        <v>156096777.76911426</v>
      </c>
    </row>
    <row r="6574" spans="1:2" x14ac:dyDescent="0.25">
      <c r="A6574">
        <f ca="1">32156.9365977221*((RANDBETWEEN(1620,2416)))</f>
        <v>65503679.849559881</v>
      </c>
      <c r="B6574">
        <v>189074395.31263167</v>
      </c>
    </row>
    <row r="6575" spans="1:2" x14ac:dyDescent="0.25">
      <c r="A6575">
        <f ca="1">34829.4702249404*((RANDBETWEEN(1620,2416)))</f>
        <v>58722486.79924944</v>
      </c>
      <c r="B6575">
        <v>152555099.26668182</v>
      </c>
    </row>
    <row r="6576" spans="1:2" x14ac:dyDescent="0.25">
      <c r="A6576">
        <f ca="1">31320.7846755022*((RANDBETWEEN(1620,2416)))</f>
        <v>70628369.443257436</v>
      </c>
      <c r="B6576">
        <v>168057477.83590978</v>
      </c>
    </row>
    <row r="6577" spans="1:2" x14ac:dyDescent="0.25">
      <c r="A6577">
        <f ca="1">38142.9175789441*((RANDBETWEEN(1620,2416)))</f>
        <v>67131534.938941643</v>
      </c>
      <c r="B6577">
        <v>147638329.34386998</v>
      </c>
    </row>
    <row r="6578" spans="1:2" x14ac:dyDescent="0.25">
      <c r="A6578">
        <f ca="1">33954.0667801547*((RANDBETWEEN(1620,2416)))</f>
        <v>74427314.382099092</v>
      </c>
      <c r="B6578">
        <v>173354095.86285067</v>
      </c>
    </row>
    <row r="6579" spans="1:2" x14ac:dyDescent="0.25">
      <c r="A6579">
        <f ca="1">32145.2570383614*((RANDBETWEEN(1620,2416)))</f>
        <v>57057831.243091501</v>
      </c>
      <c r="B6579">
        <v>174332394.33964422</v>
      </c>
    </row>
    <row r="6580" spans="1:2" x14ac:dyDescent="0.25">
      <c r="A6580">
        <f ca="1">29877.4944950917*((RANDBETWEEN(1620,2416)))</f>
        <v>54257530.00308647</v>
      </c>
      <c r="B6580">
        <v>161563195.01831976</v>
      </c>
    </row>
    <row r="6581" spans="1:2" x14ac:dyDescent="0.25">
      <c r="A6581">
        <f ca="1">32263.4260720652*((RANDBETWEEN(1620,2416)))</f>
        <v>55912517.382889032</v>
      </c>
      <c r="B6581">
        <v>183577107.64319596</v>
      </c>
    </row>
    <row r="6582" spans="1:2" x14ac:dyDescent="0.25">
      <c r="A6582">
        <f ca="1">34041.1581915829*((RANDBETWEEN(1620,2416)))</f>
        <v>67129163.953801408</v>
      </c>
      <c r="B6582">
        <v>148010250.56504676</v>
      </c>
    </row>
    <row r="6583" spans="1:2" x14ac:dyDescent="0.25">
      <c r="A6583">
        <f ca="1">37023.4478940207*((RANDBETWEEN(1620,2416)))</f>
        <v>71196090.300201878</v>
      </c>
      <c r="B6583">
        <v>185508690.09647372</v>
      </c>
    </row>
    <row r="6584" spans="1:2" x14ac:dyDescent="0.25">
      <c r="A6584">
        <f ca="1">31401.8060728952*((RANDBETWEEN(1620,2416)))</f>
        <v>69712009.481827363</v>
      </c>
      <c r="B6584">
        <v>150796570.50829792</v>
      </c>
    </row>
    <row r="6585" spans="1:2" x14ac:dyDescent="0.25">
      <c r="A6585">
        <f ca="1">37373.3349365601*((RANDBETWEEN(1620,2416)))</f>
        <v>76727456.624757782</v>
      </c>
      <c r="B6585">
        <v>180279641.13254282</v>
      </c>
    </row>
    <row r="6586" spans="1:2" x14ac:dyDescent="0.25">
      <c r="A6586">
        <f ca="1">35655.6163662625*((RANDBETWEEN(1620,2416)))</f>
        <v>58582177.68976929</v>
      </c>
      <c r="B6586">
        <v>195911583.05010572</v>
      </c>
    </row>
    <row r="6587" spans="1:2" x14ac:dyDescent="0.25">
      <c r="A6587">
        <f ca="1">30601.5933412418*((RANDBETWEEN(1620,2416)))</f>
        <v>55235875.980941392</v>
      </c>
      <c r="B6587">
        <v>179884723.20805538</v>
      </c>
    </row>
    <row r="6588" spans="1:2" x14ac:dyDescent="0.25">
      <c r="A6588">
        <f ca="1">30004.3694726462*((RANDBETWEEN(1620,2416)))</f>
        <v>51487498.015060797</v>
      </c>
      <c r="B6588">
        <v>164797412.68690965</v>
      </c>
    </row>
    <row r="6589" spans="1:2" x14ac:dyDescent="0.25">
      <c r="A6589">
        <f ca="1">38698.0199605056*((RANDBETWEEN(1620,2416)))</f>
        <v>65515747.79313606</v>
      </c>
      <c r="B6589">
        <v>144068553.83616954</v>
      </c>
    </row>
    <row r="6590" spans="1:2" x14ac:dyDescent="0.25">
      <c r="A6590">
        <f ca="1">35298.170863508*((RANDBETWEEN(1620,2416)))</f>
        <v>84150839.33860305</v>
      </c>
      <c r="B6590">
        <v>166522761.46168223</v>
      </c>
    </row>
    <row r="6591" spans="1:2" x14ac:dyDescent="0.25">
      <c r="A6591">
        <f ca="1">29083.3288678314*((RANDBETWEEN(1620,2416)))</f>
        <v>68200406.195064589</v>
      </c>
      <c r="B6591">
        <v>174810195.41382551</v>
      </c>
    </row>
    <row r="6592" spans="1:2" x14ac:dyDescent="0.25">
      <c r="A6592">
        <f ca="1">30776.5253583917*((RANDBETWEEN(1620,2416)))</f>
        <v>52196987.007832401</v>
      </c>
      <c r="B6592">
        <v>144890472.95635337</v>
      </c>
    </row>
    <row r="6593" spans="1:2" x14ac:dyDescent="0.25">
      <c r="A6593">
        <f ca="1">32121.5002391743*((RANDBETWEEN(1620,2416)))</f>
        <v>62765411.467346519</v>
      </c>
      <c r="B6593">
        <v>196388988.28485522</v>
      </c>
    </row>
    <row r="6594" spans="1:2" x14ac:dyDescent="0.25">
      <c r="A6594">
        <f ca="1">28441.9641939283*((RANDBETWEEN(1620,2416)))</f>
        <v>57481209.635929018</v>
      </c>
      <c r="B6594">
        <v>167732492.77510393</v>
      </c>
    </row>
    <row r="6595" spans="1:2" x14ac:dyDescent="0.25">
      <c r="A6595">
        <f ca="1">32966.3983246034*((RANDBETWEEN(1620,2416)))</f>
        <v>63163619.189940028</v>
      </c>
      <c r="B6595">
        <v>201092877.65563017</v>
      </c>
    </row>
    <row r="6596" spans="1:2" x14ac:dyDescent="0.25">
      <c r="A6596">
        <f ca="1">38151.270879593*((RANDBETWEEN(1620,2416)))</f>
        <v>84009098.476863772</v>
      </c>
      <c r="B6596">
        <v>197282954.55397484</v>
      </c>
    </row>
    <row r="6597" spans="1:2" x14ac:dyDescent="0.25">
      <c r="A6597">
        <f ca="1">37331.076438918*((RANDBETWEEN(1620,2416)))</f>
        <v>82501678.93000868</v>
      </c>
      <c r="B6597">
        <v>185865982.69566041</v>
      </c>
    </row>
    <row r="6598" spans="1:2" x14ac:dyDescent="0.25">
      <c r="A6598">
        <f ca="1">30215.0359590972*((RANDBETWEEN(1620,2416)))</f>
        <v>61396953.068885483</v>
      </c>
      <c r="B6598">
        <v>162870863.92995521</v>
      </c>
    </row>
    <row r="6599" spans="1:2" x14ac:dyDescent="0.25">
      <c r="A6599">
        <f ca="1">39703.3738591077*((RANDBETWEEN(1620,2416)))</f>
        <v>87625346.107050672</v>
      </c>
      <c r="B6599">
        <v>150236300.43510067</v>
      </c>
    </row>
    <row r="6600" spans="1:2" x14ac:dyDescent="0.25">
      <c r="A6600">
        <f ca="1">32561.8526924397*((RANDBETWEEN(1620,2416)))</f>
        <v>55583082.545994528</v>
      </c>
      <c r="B6600">
        <v>196033377.30723089</v>
      </c>
    </row>
    <row r="6601" spans="1:2" x14ac:dyDescent="0.25">
      <c r="A6601">
        <f ca="1">33489.0091154833*((RANDBETWEEN(1620,2416)))</f>
        <v>66911040.212735631</v>
      </c>
      <c r="B6601">
        <v>193313786.98353091</v>
      </c>
    </row>
    <row r="6602" spans="1:2" x14ac:dyDescent="0.25">
      <c r="A6602">
        <f ca="1">28646.0587183419*((RANDBETWEEN(1620,2416)))</f>
        <v>64482278.174987644</v>
      </c>
      <c r="B6602">
        <v>192103937.50476903</v>
      </c>
    </row>
    <row r="6603" spans="1:2" x14ac:dyDescent="0.25">
      <c r="A6603">
        <f ca="1">32789.4033149277*((RANDBETWEEN(1620,2416)))</f>
        <v>56266616.088415913</v>
      </c>
      <c r="B6603">
        <v>190712361.72306281</v>
      </c>
    </row>
    <row r="6604" spans="1:2" x14ac:dyDescent="0.25">
      <c r="A6604">
        <f ca="1">32819.6277669139*((RANDBETWEEN(1620,2416)))</f>
        <v>60781950.624324515</v>
      </c>
      <c r="B6604">
        <v>144734568.08334905</v>
      </c>
    </row>
    <row r="6605" spans="1:2" x14ac:dyDescent="0.25">
      <c r="A6605">
        <f ca="1">38854.1399882672*((RANDBETWEEN(1620,2416)))</f>
        <v>72773804.198024511</v>
      </c>
      <c r="B6605">
        <v>194712072.78484201</v>
      </c>
    </row>
    <row r="6606" spans="1:2" x14ac:dyDescent="0.25">
      <c r="A6606">
        <f ca="1">31045.9193168709*((RANDBETWEEN(1620,2416)))</f>
        <v>62029746.795107968</v>
      </c>
      <c r="B6606">
        <v>154624138.32393867</v>
      </c>
    </row>
    <row r="6607" spans="1:2" x14ac:dyDescent="0.25">
      <c r="A6607">
        <f ca="1">30907.5917221505*((RANDBETWEEN(1620,2416)))</f>
        <v>55880925.833648041</v>
      </c>
      <c r="B6607">
        <v>175815340.66027671</v>
      </c>
    </row>
    <row r="6608" spans="1:2" x14ac:dyDescent="0.25">
      <c r="A6608">
        <f ca="1">38428.3921082554*((RANDBETWEEN(1620,2416)))</f>
        <v>83773894.795996681</v>
      </c>
      <c r="B6608">
        <v>150394462.15312988</v>
      </c>
    </row>
    <row r="6609" spans="1:2" x14ac:dyDescent="0.25">
      <c r="A6609">
        <f ca="1">33321.0052936951*((RANDBETWEEN(1620,2416)))</f>
        <v>71073704.291451588</v>
      </c>
      <c r="B6609">
        <v>147102217.72815189</v>
      </c>
    </row>
    <row r="6610" spans="1:2" x14ac:dyDescent="0.25">
      <c r="A6610">
        <f ca="1">30971.9310133567*((RANDBETWEEN(1620,2416)))</f>
        <v>62346497.129887022</v>
      </c>
      <c r="B6610">
        <v>145977105.37646365</v>
      </c>
    </row>
    <row r="6611" spans="1:2" x14ac:dyDescent="0.25">
      <c r="A6611">
        <f ca="1">35713.4078839293*((RANDBETWEEN(1620,2416)))</f>
        <v>63498439.217626311</v>
      </c>
      <c r="B6611">
        <v>143435982.02917728</v>
      </c>
    </row>
    <row r="6612" spans="1:2" x14ac:dyDescent="0.25">
      <c r="A6612">
        <f ca="1">34150.033588852*((RANDBETWEEN(1620,2416)))</f>
        <v>56176805.253661618</v>
      </c>
      <c r="B6612">
        <v>151244624.01162964</v>
      </c>
    </row>
    <row r="6613" spans="1:2" x14ac:dyDescent="0.25">
      <c r="A6613">
        <f ca="1">34388.7198605202*((RANDBETWEEN(1620,2416)))</f>
        <v>69602768.997692913</v>
      </c>
      <c r="B6613">
        <v>144598537.31536567</v>
      </c>
    </row>
    <row r="6614" spans="1:2" x14ac:dyDescent="0.25">
      <c r="A6614">
        <f ca="1">31948.7619873497*((RANDBETWEEN(1620,2416)))</f>
        <v>59871979.964293264</v>
      </c>
      <c r="B6614">
        <v>157303180.0065347</v>
      </c>
    </row>
    <row r="6615" spans="1:2" x14ac:dyDescent="0.25">
      <c r="A6615">
        <f ca="1">33471.9580147109*((RANDBETWEEN(1620,2416)))</f>
        <v>78324381.754423544</v>
      </c>
      <c r="B6615">
        <v>152308402.22377074</v>
      </c>
    </row>
    <row r="6616" spans="1:2" x14ac:dyDescent="0.25">
      <c r="A6616">
        <f ca="1">33367.7757158393*((RANDBETWEEN(1620,2416)))</f>
        <v>70906523.396158412</v>
      </c>
      <c r="B6616">
        <v>155873673.94738919</v>
      </c>
    </row>
    <row r="6617" spans="1:2" x14ac:dyDescent="0.25">
      <c r="A6617">
        <f ca="1">35263.1891738024*((RANDBETWEEN(1620,2416)))</f>
        <v>61393212.351589978</v>
      </c>
      <c r="B6617">
        <v>157862502.77838647</v>
      </c>
    </row>
    <row r="6618" spans="1:2" x14ac:dyDescent="0.25">
      <c r="A6618">
        <f ca="1">31541.9083263145*((RANDBETWEEN(1620,2416)))</f>
        <v>54882920.487787224</v>
      </c>
      <c r="B6618">
        <v>143717274.12278226</v>
      </c>
    </row>
    <row r="6619" spans="1:2" x14ac:dyDescent="0.25">
      <c r="A6619">
        <f ca="1">36142.0340786239*((RANDBETWEEN(1620,2416)))</f>
        <v>79657043.109287173</v>
      </c>
      <c r="B6619">
        <v>150770196.84288028</v>
      </c>
    </row>
    <row r="6620" spans="1:2" x14ac:dyDescent="0.25">
      <c r="A6620">
        <f ca="1">30167.5379099824*((RANDBETWEEN(1620,2416)))</f>
        <v>57559662.332246467</v>
      </c>
      <c r="B6620">
        <v>148291647.95243776</v>
      </c>
    </row>
    <row r="6621" spans="1:2" x14ac:dyDescent="0.25">
      <c r="A6621">
        <f ca="1">30177.9276510146*((RANDBETWEEN(1620,2416)))</f>
        <v>54169380.133571245</v>
      </c>
      <c r="B6621">
        <v>150871127.69690728</v>
      </c>
    </row>
    <row r="6622" spans="1:2" x14ac:dyDescent="0.25">
      <c r="A6622">
        <f ca="1">39964.8655143695*((RANDBETWEEN(1620,2416)))</f>
        <v>77132190.442733079</v>
      </c>
      <c r="B6622">
        <v>181398722.57415563</v>
      </c>
    </row>
    <row r="6623" spans="1:2" x14ac:dyDescent="0.25">
      <c r="A6623">
        <f ca="1">30331.9381097562*((RANDBETWEEN(1620,2416)))</f>
        <v>71674369.753353879</v>
      </c>
      <c r="B6623">
        <v>145217782.07088023</v>
      </c>
    </row>
    <row r="6624" spans="1:2" x14ac:dyDescent="0.25">
      <c r="A6624">
        <f ca="1">28971.7279901517*((RANDBETWEEN(1620,2416)))</f>
        <v>60840628.779318616</v>
      </c>
      <c r="B6624">
        <v>174270146.34909809</v>
      </c>
    </row>
    <row r="6625" spans="1:2" x14ac:dyDescent="0.25">
      <c r="A6625">
        <f ca="1">30781.7519611712*((RANDBETWEEN(1620,2416)))</f>
        <v>55992006.817370452</v>
      </c>
      <c r="B6625">
        <v>184266608.91850123</v>
      </c>
    </row>
    <row r="6626" spans="1:2" x14ac:dyDescent="0.25">
      <c r="A6626">
        <f ca="1">35095.2013467509*((RANDBETWEEN(1620,2416)))</f>
        <v>67382786.585761681</v>
      </c>
      <c r="B6626">
        <v>201898428.55415967</v>
      </c>
    </row>
    <row r="6627" spans="1:2" x14ac:dyDescent="0.25">
      <c r="A6627">
        <f ca="1">29759.2757318274*((RANDBETWEEN(1620,2416)))</f>
        <v>64815702.543920144</v>
      </c>
      <c r="B6627">
        <v>163770530.74475875</v>
      </c>
    </row>
    <row r="6628" spans="1:2" x14ac:dyDescent="0.25">
      <c r="A6628">
        <f ca="1">32201.0043689527*((RANDBETWEEN(1620,2416)))</f>
        <v>76960400.441796958</v>
      </c>
      <c r="B6628">
        <v>143079609.83249179</v>
      </c>
    </row>
    <row r="6629" spans="1:2" x14ac:dyDescent="0.25">
      <c r="A6629">
        <f ca="1">29354.2730474287*((RANDBETWEEN(1620,2416)))</f>
        <v>49520658.631012283</v>
      </c>
      <c r="B6629">
        <v>167767153.14985162</v>
      </c>
    </row>
    <row r="6630" spans="1:2" x14ac:dyDescent="0.25">
      <c r="A6630">
        <f ca="1">29625.2609133122*((RANDBETWEEN(1620,2416)))</f>
        <v>61472416.395122729</v>
      </c>
      <c r="B6630">
        <v>165626496.79467559</v>
      </c>
    </row>
    <row r="6631" spans="1:2" x14ac:dyDescent="0.25">
      <c r="A6631">
        <f ca="1">35738.1572163848*((RANDBETWEEN(1620,2416)))</f>
        <v>78588207.718830198</v>
      </c>
      <c r="B6631">
        <v>157094245.40367967</v>
      </c>
    </row>
    <row r="6632" spans="1:2" x14ac:dyDescent="0.25">
      <c r="A6632">
        <f ca="1">37821.2035399791*((RANDBETWEEN(1620,2416)))</f>
        <v>61345992.141846158</v>
      </c>
      <c r="B6632">
        <v>149988476.90270048</v>
      </c>
    </row>
    <row r="6633" spans="1:2" x14ac:dyDescent="0.25">
      <c r="A6633">
        <f ca="1">40915.2004424058*((RANDBETWEEN(1620,2416)))</f>
        <v>78884506.45295848</v>
      </c>
      <c r="B6633">
        <v>165270403.35798943</v>
      </c>
    </row>
    <row r="6634" spans="1:2" x14ac:dyDescent="0.25">
      <c r="A6634">
        <f ca="1">30603.9349665875*((RANDBETWEEN(1620,2416)))</f>
        <v>52761183.882396922</v>
      </c>
      <c r="B6634">
        <v>147046166.56523079</v>
      </c>
    </row>
    <row r="6635" spans="1:2" x14ac:dyDescent="0.25">
      <c r="A6635">
        <f ca="1">30929.3264625852*((RANDBETWEEN(1620,2416)))</f>
        <v>64796938.939116001</v>
      </c>
      <c r="B6635">
        <v>202377595.99661016</v>
      </c>
    </row>
    <row r="6636" spans="1:2" x14ac:dyDescent="0.25">
      <c r="A6636">
        <f ca="1">31551.0237761396*((RANDBETWEEN(1620,2416)))</f>
        <v>63449108.813816786</v>
      </c>
      <c r="B6636">
        <v>163096362.26268536</v>
      </c>
    </row>
    <row r="6637" spans="1:2" x14ac:dyDescent="0.25">
      <c r="A6637">
        <f ca="1">33541.4413180595*((RANDBETWEEN(1620,2416)))</f>
        <v>69061827.673884526</v>
      </c>
      <c r="B6637">
        <v>179541995.9422732</v>
      </c>
    </row>
    <row r="6638" spans="1:2" x14ac:dyDescent="0.25">
      <c r="A6638">
        <f ca="1">30843.3325248295*((RANDBETWEEN(1620,2416)))</f>
        <v>70507858.151760191</v>
      </c>
      <c r="B6638">
        <v>179282159.01269627</v>
      </c>
    </row>
    <row r="6639" spans="1:2" x14ac:dyDescent="0.25">
      <c r="A6639">
        <f ca="1">33172.7031238799*((RANDBETWEEN(1620,2416)))</f>
        <v>75534245.013074517</v>
      </c>
      <c r="B6639">
        <v>197491216.61332253</v>
      </c>
    </row>
    <row r="6640" spans="1:2" x14ac:dyDescent="0.25">
      <c r="A6640">
        <f ca="1">30639.9476515876*((RANDBETWEEN(1620,2416)))</f>
        <v>73045635.201384827</v>
      </c>
      <c r="B6640">
        <v>188810448.86450163</v>
      </c>
    </row>
    <row r="6641" spans="1:2" x14ac:dyDescent="0.25">
      <c r="A6641">
        <f ca="1">29194.2685257866*((RANDBETWEEN(1620,2416)))</f>
        <v>55819441.42130395</v>
      </c>
      <c r="B6641">
        <v>154761160.70768732</v>
      </c>
    </row>
    <row r="6642" spans="1:2" x14ac:dyDescent="0.25">
      <c r="A6642">
        <f ca="1">31139.8770820814*((RANDBETWEEN(1620,2416)))</f>
        <v>67542393.391034529</v>
      </c>
      <c r="B6642">
        <v>194124438.42904425</v>
      </c>
    </row>
    <row r="6643" spans="1:2" x14ac:dyDescent="0.25">
      <c r="A6643">
        <f ca="1">30301.4907644624*((RANDBETWEEN(1620,2416)))</f>
        <v>50573188.0858877</v>
      </c>
      <c r="B6643">
        <v>180912791.99106938</v>
      </c>
    </row>
    <row r="6644" spans="1:2" x14ac:dyDescent="0.25">
      <c r="A6644">
        <f ca="1">30573.6800646363*((RANDBETWEEN(1620,2416)))</f>
        <v>71175527.190473303</v>
      </c>
      <c r="B6644">
        <v>144953027.18770275</v>
      </c>
    </row>
    <row r="6645" spans="1:2" x14ac:dyDescent="0.25">
      <c r="A6645">
        <f ca="1">31837.472291998*((RANDBETWEEN(1620,2416)))</f>
        <v>68418727.955503762</v>
      </c>
      <c r="B6645">
        <v>145207511.89362141</v>
      </c>
    </row>
    <row r="6646" spans="1:2" x14ac:dyDescent="0.25">
      <c r="A6646">
        <f ca="1">35368.1148072075*((RANDBETWEEN(1620,2416)))</f>
        <v>76395127.983568236</v>
      </c>
      <c r="B6646">
        <v>158440789.52707526</v>
      </c>
    </row>
    <row r="6647" spans="1:2" x14ac:dyDescent="0.25">
      <c r="A6647">
        <f ca="1">29268.4333004059*((RANDBETWEEN(1620,2416)))</f>
        <v>66966175.391328782</v>
      </c>
      <c r="B6647">
        <v>147754837.41719633</v>
      </c>
    </row>
    <row r="6648" spans="1:2" x14ac:dyDescent="0.25">
      <c r="A6648">
        <f ca="1">35393.1890628669*((RANDBETWEEN(1620,2416)))</f>
        <v>57655504.98341018</v>
      </c>
      <c r="B6648">
        <v>157897052.96776545</v>
      </c>
    </row>
    <row r="6649" spans="1:2" x14ac:dyDescent="0.25">
      <c r="A6649">
        <f ca="1">30723.7557628202*((RANDBETWEEN(1620,2416)))</f>
        <v>70111610.650755778</v>
      </c>
      <c r="B6649">
        <v>155131315.16910714</v>
      </c>
    </row>
    <row r="6650" spans="1:2" x14ac:dyDescent="0.25">
      <c r="A6650">
        <f ca="1">34028.6886685572*((RANDBETWEEN(1620,2416)))</f>
        <v>60094664.188671969</v>
      </c>
      <c r="B6650">
        <v>197330529.25720555</v>
      </c>
    </row>
    <row r="6651" spans="1:2" x14ac:dyDescent="0.25">
      <c r="A6651">
        <f ca="1">31991.5225384596*((RANDBETWEEN(1620,2416)))</f>
        <v>66894273.627919003</v>
      </c>
      <c r="B6651">
        <v>154353829.96095341</v>
      </c>
    </row>
    <row r="6652" spans="1:2" x14ac:dyDescent="0.25">
      <c r="A6652">
        <f ca="1">32940.2828168052*((RANDBETWEEN(1620,2416)))</f>
        <v>65024118.280373476</v>
      </c>
      <c r="B6652">
        <v>176869820.63156348</v>
      </c>
    </row>
    <row r="6653" spans="1:2" x14ac:dyDescent="0.25">
      <c r="A6653">
        <f ca="1">32005.1693663371*((RANDBETWEEN(1620,2416)))</f>
        <v>51944389.881565191</v>
      </c>
      <c r="B6653">
        <v>145243600.09719843</v>
      </c>
    </row>
    <row r="6654" spans="1:2" x14ac:dyDescent="0.25">
      <c r="A6654">
        <f ca="1">30421.4441272211*((RANDBETWEEN(1620,2416)))</f>
        <v>68144034.844975263</v>
      </c>
      <c r="B6654">
        <v>160058618.89543203</v>
      </c>
    </row>
    <row r="6655" spans="1:2" x14ac:dyDescent="0.25">
      <c r="A6655">
        <f ca="1">29237.5870312264*((RANDBETWEEN(1620,2416)))</f>
        <v>64644304.926041603</v>
      </c>
      <c r="B6655">
        <v>159870508.38975191</v>
      </c>
    </row>
    <row r="6656" spans="1:2" x14ac:dyDescent="0.25">
      <c r="A6656">
        <f ca="1">39601.7667387853*((RANDBETWEEN(1620,2416)))</f>
        <v>75282958.570430845</v>
      </c>
      <c r="B6656">
        <v>163499710.78378987</v>
      </c>
    </row>
    <row r="6657" spans="1:2" x14ac:dyDescent="0.25">
      <c r="A6657">
        <f ca="1">37553.3776006716*((RANDBETWEEN(1620,2416)))</f>
        <v>86147448.215940639</v>
      </c>
      <c r="B6657">
        <v>177923590.62899488</v>
      </c>
    </row>
    <row r="6658" spans="1:2" x14ac:dyDescent="0.25">
      <c r="A6658">
        <f ca="1">31956.6340940308*((RANDBETWEEN(1620,2416)))</f>
        <v>76568095.289297909</v>
      </c>
      <c r="B6658">
        <v>193005475.83633992</v>
      </c>
    </row>
    <row r="6659" spans="1:2" x14ac:dyDescent="0.25">
      <c r="A6659">
        <f ca="1">39779.4469445184*((RANDBETWEEN(1620,2416)))</f>
        <v>78723525.503201976</v>
      </c>
      <c r="B6659">
        <v>144659485.49375719</v>
      </c>
    </row>
    <row r="6660" spans="1:2" x14ac:dyDescent="0.25">
      <c r="A6660">
        <f ca="1">30996.9511336633*((RANDBETWEEN(1620,2416)))</f>
        <v>73152804.675445452</v>
      </c>
      <c r="B6660">
        <v>154921731.51974738</v>
      </c>
    </row>
    <row r="6661" spans="1:2" x14ac:dyDescent="0.25">
      <c r="A6661">
        <f ca="1">31187.6617142416*((RANDBETWEEN(1620,2416)))</f>
        <v>65868341.540478349</v>
      </c>
      <c r="B6661">
        <v>174621469.46502727</v>
      </c>
    </row>
    <row r="6662" spans="1:2" x14ac:dyDescent="0.25">
      <c r="A6662">
        <f ca="1">43567.7766256644*((RANDBETWEEN(1620,2416)))</f>
        <v>104867638.33797422</v>
      </c>
      <c r="B6662">
        <v>165559664.78500617</v>
      </c>
    </row>
    <row r="6663" spans="1:2" x14ac:dyDescent="0.25">
      <c r="A6663">
        <f ca="1">36912.1483755007*((RANDBETWEEN(1620,2416)))</f>
        <v>63931840.986367226</v>
      </c>
      <c r="B6663">
        <v>155016564.15835184</v>
      </c>
    </row>
    <row r="6664" spans="1:2" x14ac:dyDescent="0.25">
      <c r="A6664">
        <f ca="1">39445.0399829641*((RANDBETWEEN(1620,2416)))</f>
        <v>72539428.528670982</v>
      </c>
      <c r="B6664">
        <v>155043101.48720777</v>
      </c>
    </row>
    <row r="6665" spans="1:2" x14ac:dyDescent="0.25">
      <c r="A6665">
        <f ca="1">41163.1675128519*((RANDBETWEEN(1620,2416)))</f>
        <v>78827465.787111476</v>
      </c>
      <c r="B6665">
        <v>144480072.80664584</v>
      </c>
    </row>
    <row r="6666" spans="1:2" x14ac:dyDescent="0.25">
      <c r="A6666">
        <f ca="1">31552.1841866998*((RANDBETWEEN(1620,2416)))</f>
        <v>58213779.824461199</v>
      </c>
      <c r="B6666">
        <v>149519432.76437488</v>
      </c>
    </row>
    <row r="6667" spans="1:2" x14ac:dyDescent="0.25">
      <c r="A6667">
        <f ca="1">30597.7394796384*((RANDBETWEEN(1620,2416)))</f>
        <v>54525171.75271567</v>
      </c>
      <c r="B6667">
        <v>163028799.6927312</v>
      </c>
    </row>
    <row r="6668" spans="1:2" x14ac:dyDescent="0.25">
      <c r="A6668">
        <f ca="1">37992.1574670725*((RANDBETWEEN(1620,2416)))</f>
        <v>68195922.65339531</v>
      </c>
      <c r="B6668">
        <v>187615784.30303064</v>
      </c>
    </row>
    <row r="6669" spans="1:2" x14ac:dyDescent="0.25">
      <c r="A6669">
        <f ca="1">31919.719062536*((RANDBETWEEN(1620,2416)))</f>
        <v>57678932.346002571</v>
      </c>
      <c r="B6669">
        <v>147812780.55334216</v>
      </c>
    </row>
    <row r="6670" spans="1:2" x14ac:dyDescent="0.25">
      <c r="A6670">
        <f ca="1">31771.5557162759*((RANDBETWEEN(1620,2416)))</f>
        <v>68340616.345709503</v>
      </c>
      <c r="B6670">
        <v>153889853.67489016</v>
      </c>
    </row>
    <row r="6671" spans="1:2" x14ac:dyDescent="0.25">
      <c r="A6671">
        <f ca="1">31536.3815743078*((RANDBETWEEN(1620,2416)))</f>
        <v>67803220.384761691</v>
      </c>
      <c r="B6671">
        <v>179101372.99241346</v>
      </c>
    </row>
    <row r="6672" spans="1:2" x14ac:dyDescent="0.25">
      <c r="A6672">
        <f ca="1">31796.4235263122*((RANDBETWEEN(1620,2416)))</f>
        <v>64546739.758413821</v>
      </c>
      <c r="B6672">
        <v>184493389.56928733</v>
      </c>
    </row>
    <row r="6673" spans="1:2" x14ac:dyDescent="0.25">
      <c r="A6673">
        <f ca="1">31830.557662123*((RANDBETWEEN(1620,2416)))</f>
        <v>54875881.409500048</v>
      </c>
      <c r="B6673">
        <v>165937714.00881073</v>
      </c>
    </row>
    <row r="6674" spans="1:2" x14ac:dyDescent="0.25">
      <c r="A6674">
        <f ca="1">37057.6012556137*((RANDBETWEEN(1620,2416)))</f>
        <v>66258991.045037292</v>
      </c>
      <c r="B6674">
        <v>199940379.73712331</v>
      </c>
    </row>
    <row r="6675" spans="1:2" x14ac:dyDescent="0.25">
      <c r="A6675">
        <f ca="1">30337.2842010044*((RANDBETWEEN(1620,2416)))</f>
        <v>69563392.672903001</v>
      </c>
      <c r="B6675">
        <v>162548618.9976635</v>
      </c>
    </row>
    <row r="6676" spans="1:2" x14ac:dyDescent="0.25">
      <c r="A6676">
        <f ca="1">32612.0299419987*((RANDBETWEEN(1620,2416)))</f>
        <v>67441677.920053244</v>
      </c>
      <c r="B6676">
        <v>167519711.18265584</v>
      </c>
    </row>
    <row r="6677" spans="1:2" x14ac:dyDescent="0.25">
      <c r="A6677">
        <f ca="1">33864.2610632299*((RANDBETWEEN(1620,2416)))</f>
        <v>68338078.825597912</v>
      </c>
      <c r="B6677">
        <v>189243217.64076549</v>
      </c>
    </row>
    <row r="6678" spans="1:2" x14ac:dyDescent="0.25">
      <c r="A6678">
        <f ca="1">30874.1273423646*((RANDBETWEEN(1620,2416)))</f>
        <v>72677695.763926268</v>
      </c>
      <c r="B6678">
        <v>197978662.25560394</v>
      </c>
    </row>
    <row r="6679" spans="1:2" x14ac:dyDescent="0.25">
      <c r="A6679">
        <f ca="1">31857.7098933907*((RANDBETWEEN(1620,2416)))</f>
        <v>55177553.535352714</v>
      </c>
      <c r="B6679">
        <v>153609113.26749533</v>
      </c>
    </row>
    <row r="6680" spans="1:2" x14ac:dyDescent="0.25">
      <c r="A6680">
        <f ca="1">30575.8337900574*((RANDBETWEEN(1620,2416)))</f>
        <v>72862211.921706706</v>
      </c>
      <c r="B6680">
        <v>192816357.7218551</v>
      </c>
    </row>
    <row r="6681" spans="1:2" x14ac:dyDescent="0.25">
      <c r="A6681">
        <f ca="1">33954.2111914893*((RANDBETWEEN(1620,2416)))</f>
        <v>65226039.698850878</v>
      </c>
      <c r="B6681">
        <v>158361160.0992853</v>
      </c>
    </row>
    <row r="6682" spans="1:2" x14ac:dyDescent="0.25">
      <c r="A6682">
        <f ca="1">32564.0984888379*((RANDBETWEEN(1620,2416)))</f>
        <v>53046916.438317008</v>
      </c>
      <c r="B6682">
        <v>163277177.31755149</v>
      </c>
    </row>
    <row r="6683" spans="1:2" x14ac:dyDescent="0.25">
      <c r="A6683">
        <f ca="1">39194.40882731*((RANDBETWEEN(1620,2416)))</f>
        <v>89284863.308612213</v>
      </c>
      <c r="B6683">
        <v>162720967.08661035</v>
      </c>
    </row>
    <row r="6684" spans="1:2" x14ac:dyDescent="0.25">
      <c r="A6684">
        <f ca="1">31711.1058622853*((RANDBETWEEN(1620,2416)))</f>
        <v>75852965.222586349</v>
      </c>
      <c r="B6684">
        <v>146179986.78717527</v>
      </c>
    </row>
    <row r="6685" spans="1:2" x14ac:dyDescent="0.25">
      <c r="A6685">
        <f ca="1">30601.331300152*((RANDBETWEEN(1620,2416)))</f>
        <v>63558965.110415734</v>
      </c>
      <c r="B6685">
        <v>194890614.59146982</v>
      </c>
    </row>
    <row r="6686" spans="1:2" x14ac:dyDescent="0.25">
      <c r="A6686">
        <f ca="1">29801.4076693802*((RANDBETWEEN(1620,2416)))</f>
        <v>70420726.322745502</v>
      </c>
      <c r="B6686">
        <v>151554074.65610045</v>
      </c>
    </row>
    <row r="6687" spans="1:2" x14ac:dyDescent="0.25">
      <c r="A6687">
        <f ca="1">30071.5344635834*((RANDBETWEEN(1620,2416)))</f>
        <v>67570737.939671889</v>
      </c>
      <c r="B6687">
        <v>177234374.31056282</v>
      </c>
    </row>
    <row r="6688" spans="1:2" x14ac:dyDescent="0.25">
      <c r="A6688">
        <f ca="1">32716.7427966936*((RANDBETWEEN(1620,2416)))</f>
        <v>60264240.231509626</v>
      </c>
      <c r="B6688">
        <v>162227247.71528015</v>
      </c>
    </row>
    <row r="6689" spans="1:2" x14ac:dyDescent="0.25">
      <c r="A6689">
        <f ca="1">33138.7924131197*((RANDBETWEEN(1620,2416)))</f>
        <v>68033940.824134663</v>
      </c>
      <c r="B6689">
        <v>182620700.14168119</v>
      </c>
    </row>
    <row r="6690" spans="1:2" x14ac:dyDescent="0.25">
      <c r="A6690">
        <f ca="1">32440.3166408124*((RANDBETWEEN(1620,2416)))</f>
        <v>70006203.31087321</v>
      </c>
      <c r="B6690">
        <v>173298337.77025497</v>
      </c>
    </row>
    <row r="6691" spans="1:2" x14ac:dyDescent="0.25">
      <c r="A6691">
        <f ca="1">31441.3663479203*((RANDBETWEEN(1620,2416)))</f>
        <v>73824328.184916914</v>
      </c>
      <c r="B6691">
        <v>167162871.19996548</v>
      </c>
    </row>
    <row r="6692" spans="1:2" x14ac:dyDescent="0.25">
      <c r="A6692">
        <f ca="1">39972.9200148949*((RANDBETWEEN(1620,2416)))</f>
        <v>75868602.188270465</v>
      </c>
      <c r="B6692">
        <v>162188304.7571784</v>
      </c>
    </row>
    <row r="6693" spans="1:2" x14ac:dyDescent="0.25">
      <c r="A6693">
        <f ca="1">31429.7797058425*((RANDBETWEEN(1620,2416)))</f>
        <v>73639973.850788891</v>
      </c>
      <c r="B6693">
        <v>170267739.71368861</v>
      </c>
    </row>
    <row r="6694" spans="1:2" x14ac:dyDescent="0.25">
      <c r="A6694">
        <f ca="1">31112.0372220395*((RANDBETWEEN(1620,2416)))</f>
        <v>50557060.485814214</v>
      </c>
      <c r="B6694">
        <v>188474015.57469174</v>
      </c>
    </row>
    <row r="6695" spans="1:2" x14ac:dyDescent="0.25">
      <c r="A6695">
        <f ca="1">30659.0747380483*((RANDBETWEEN(1620,2416)))</f>
        <v>67480623.498444289</v>
      </c>
      <c r="B6695">
        <v>147986607.36779538</v>
      </c>
    </row>
    <row r="6696" spans="1:2" x14ac:dyDescent="0.25">
      <c r="A6696">
        <f ca="1">31916.4837076692*((RANDBETWEEN(1620,2416)))</f>
        <v>62620141.03444694</v>
      </c>
      <c r="B6696">
        <v>176979404.03186354</v>
      </c>
    </row>
    <row r="6697" spans="1:2" x14ac:dyDescent="0.25">
      <c r="A6697">
        <f ca="1">38743.7531854228*((RANDBETWEEN(1620,2416)))</f>
        <v>79579669.042858556</v>
      </c>
      <c r="B6697">
        <v>164167654.2859554</v>
      </c>
    </row>
    <row r="6698" spans="1:2" x14ac:dyDescent="0.25">
      <c r="A6698">
        <f ca="1">37872.7784701578*((RANDBETWEEN(1620,2416)))</f>
        <v>72374879.65647158</v>
      </c>
      <c r="B6698">
        <v>155655078.91675013</v>
      </c>
    </row>
    <row r="6699" spans="1:2" x14ac:dyDescent="0.25">
      <c r="A6699">
        <f ca="1">43226.003203009*((RANDBETWEEN(1620,2416)))</f>
        <v>86106198.380393997</v>
      </c>
      <c r="B6699">
        <v>155234524.06775823</v>
      </c>
    </row>
    <row r="6700" spans="1:2" x14ac:dyDescent="0.25">
      <c r="A6700">
        <f ca="1">33227.7166317088*((RANDBETWEEN(1620,2416)))</f>
        <v>57982365.522331849</v>
      </c>
      <c r="B6700">
        <v>191755478.68162063</v>
      </c>
    </row>
    <row r="6701" spans="1:2" x14ac:dyDescent="0.25">
      <c r="A6701">
        <f ca="1">32267.0132932664*((RANDBETWEEN(1620,2416)))</f>
        <v>77860303.076651901</v>
      </c>
      <c r="B6701">
        <v>172213841.90174571</v>
      </c>
    </row>
    <row r="6702" spans="1:2" x14ac:dyDescent="0.25">
      <c r="A6702">
        <f ca="1">40741.8453411106*((RANDBETWEEN(1620,2416)))</f>
        <v>68975944.162500232</v>
      </c>
      <c r="B6702">
        <v>160757891.61671308</v>
      </c>
    </row>
    <row r="6703" spans="1:2" x14ac:dyDescent="0.25">
      <c r="A6703">
        <f ca="1">35071.1503330339*((RANDBETWEEN(1620,2416)))</f>
        <v>80803930.367310166</v>
      </c>
      <c r="B6703">
        <v>181656179.34532905</v>
      </c>
    </row>
    <row r="6704" spans="1:2" x14ac:dyDescent="0.25">
      <c r="A6704">
        <f ca="1">27683.9740037246*((RANDBETWEEN(1620,2416)))</f>
        <v>61735262.028305873</v>
      </c>
      <c r="B6704">
        <v>183033973.95542488</v>
      </c>
    </row>
    <row r="6705" spans="1:2" x14ac:dyDescent="0.25">
      <c r="A6705">
        <f ca="1">31974.5764992701*((RANDBETWEEN(1620,2416)))</f>
        <v>52726076.647296399</v>
      </c>
      <c r="B6705">
        <v>145904232.10586333</v>
      </c>
    </row>
    <row r="6706" spans="1:2" x14ac:dyDescent="0.25">
      <c r="A6706">
        <f ca="1">39773.6760074654*((RANDBETWEEN(1620,2416)))</f>
        <v>95496596.093924448</v>
      </c>
      <c r="B6706">
        <v>147200669.62696782</v>
      </c>
    </row>
    <row r="6707" spans="1:2" x14ac:dyDescent="0.25">
      <c r="A6707">
        <f ca="1">32993.1187724211*((RANDBETWEEN(1620,2416)))</f>
        <v>68757659.52172564</v>
      </c>
      <c r="B6707">
        <v>161282319.17315829</v>
      </c>
    </row>
    <row r="6708" spans="1:2" x14ac:dyDescent="0.25">
      <c r="A6708">
        <f ca="1">27897.1895859671*((RANDBETWEEN(1620,2416)))</f>
        <v>65363115.199920923</v>
      </c>
      <c r="B6708">
        <v>164243834.20175532</v>
      </c>
    </row>
    <row r="6709" spans="1:2" x14ac:dyDescent="0.25">
      <c r="A6709">
        <f ca="1">40620.987918365*((RANDBETWEEN(1620,2416)))</f>
        <v>80470177.066281036</v>
      </c>
      <c r="B6709">
        <v>171308488.51517951</v>
      </c>
    </row>
    <row r="6710" spans="1:2" x14ac:dyDescent="0.25">
      <c r="A6710">
        <f ca="1">29291.9231148815*((RANDBETWEEN(1620,2416)))</f>
        <v>55010231.60974738</v>
      </c>
      <c r="B6710">
        <v>150833760.97283751</v>
      </c>
    </row>
    <row r="6711" spans="1:2" x14ac:dyDescent="0.25">
      <c r="A6711">
        <f ca="1">28275.6843114703*((RANDBETWEEN(1620,2416)))</f>
        <v>57880325.785579637</v>
      </c>
      <c r="B6711">
        <v>151624299.15080765</v>
      </c>
    </row>
    <row r="6712" spans="1:2" x14ac:dyDescent="0.25">
      <c r="A6712">
        <f ca="1">31913.4555661714*((RANDBETWEEN(1620,2416)))</f>
        <v>73624341.991157398</v>
      </c>
      <c r="B6712">
        <v>166625727.36042207</v>
      </c>
    </row>
    <row r="6713" spans="1:2" x14ac:dyDescent="0.25">
      <c r="A6713">
        <f ca="1">32303.7953432875*((RANDBETWEEN(1620,2416)))</f>
        <v>60343489.701261111</v>
      </c>
      <c r="B6713">
        <v>165271201.71691337</v>
      </c>
    </row>
    <row r="6714" spans="1:2" x14ac:dyDescent="0.25">
      <c r="A6714">
        <f ca="1">36107.145806467*((RANDBETWEEN(1620,2416)))</f>
        <v>76583256.255516559</v>
      </c>
      <c r="B6714">
        <v>148048826.95589131</v>
      </c>
    </row>
    <row r="6715" spans="1:2" x14ac:dyDescent="0.25">
      <c r="A6715">
        <f ca="1">30896.7645686195*((RANDBETWEEN(1620,2416)))</f>
        <v>65470244.120904818</v>
      </c>
      <c r="B6715">
        <v>159483930.15438169</v>
      </c>
    </row>
    <row r="6716" spans="1:2" x14ac:dyDescent="0.25">
      <c r="A6716">
        <f ca="1">30445.3909548405*((RANDBETWEEN(1620,2416)))</f>
        <v>67223423.228287905</v>
      </c>
      <c r="B6716">
        <v>169871807.72353935</v>
      </c>
    </row>
    <row r="6717" spans="1:2" x14ac:dyDescent="0.25">
      <c r="A6717">
        <f ca="1">39637.4439560842*((RANDBETWEEN(1620,2416)))</f>
        <v>77213740.826452032</v>
      </c>
      <c r="B6717">
        <v>145487896.6684145</v>
      </c>
    </row>
    <row r="6718" spans="1:2" x14ac:dyDescent="0.25">
      <c r="A6718">
        <f ca="1">30227.4584472358*((RANDBETWEEN(1620,2416)))</f>
        <v>67377004.878888637</v>
      </c>
      <c r="B6718">
        <v>177353488.41739357</v>
      </c>
    </row>
    <row r="6719" spans="1:2" x14ac:dyDescent="0.25">
      <c r="A6719">
        <f ca="1">36858.9394161608*((RANDBETWEEN(1620,2416)))</f>
        <v>66382949.888505667</v>
      </c>
      <c r="B6719">
        <v>162869288.83122563</v>
      </c>
    </row>
    <row r="6720" spans="1:2" x14ac:dyDescent="0.25">
      <c r="A6720">
        <f ca="1">27441.9480908012*((RANDBETWEEN(1620,2416)))</f>
        <v>60536937.488307476</v>
      </c>
      <c r="B6720">
        <v>201298701.51915061</v>
      </c>
    </row>
    <row r="6721" spans="1:2" x14ac:dyDescent="0.25">
      <c r="A6721">
        <f ca="1">32447.2051780482*((RANDBETWEEN(1620,2416)))</f>
        <v>73103553.266142666</v>
      </c>
      <c r="B6721">
        <v>176597679.67718723</v>
      </c>
    </row>
    <row r="6722" spans="1:2" x14ac:dyDescent="0.25">
      <c r="A6722">
        <f ca="1">32926.9035513237*((RANDBETWEEN(1620,2416)))</f>
        <v>76785539.081686795</v>
      </c>
      <c r="B6722">
        <v>163322806.55832219</v>
      </c>
    </row>
    <row r="6723" spans="1:2" x14ac:dyDescent="0.25">
      <c r="A6723">
        <f ca="1">32175.5529628689*((RANDBETWEEN(1620,2416)))</f>
        <v>67697363.433876172</v>
      </c>
      <c r="B6723">
        <v>172731858.01020563</v>
      </c>
    </row>
    <row r="6724" spans="1:2" x14ac:dyDescent="0.25">
      <c r="A6724">
        <f ca="1">30482.6852190845*((RANDBETWEEN(1620,2416)))</f>
        <v>70963691.190028697</v>
      </c>
      <c r="B6724">
        <v>193426969.47321039</v>
      </c>
    </row>
    <row r="6725" spans="1:2" x14ac:dyDescent="0.25">
      <c r="A6725">
        <f ca="1">34035.834875969*((RANDBETWEEN(1620,2416)))</f>
        <v>58711815.16104655</v>
      </c>
      <c r="B6725">
        <v>157149555.09123063</v>
      </c>
    </row>
    <row r="6726" spans="1:2" x14ac:dyDescent="0.25">
      <c r="A6726">
        <f ca="1">32277.2894782703*((RANDBETWEEN(1620,2416)))</f>
        <v>76755394.37932688</v>
      </c>
      <c r="B6726">
        <v>165759459.09780967</v>
      </c>
    </row>
    <row r="6727" spans="1:2" x14ac:dyDescent="0.25">
      <c r="A6727">
        <f ca="1">31372.4699601371*((RANDBETWEEN(1620,2416)))</f>
        <v>66760616.075171828</v>
      </c>
      <c r="B6727">
        <v>161777997.44437712</v>
      </c>
    </row>
    <row r="6728" spans="1:2" x14ac:dyDescent="0.25">
      <c r="A6728">
        <f ca="1">41963.567179948*((RANDBETWEEN(1620,2416)))</f>
        <v>68988104.443834528</v>
      </c>
      <c r="B6728">
        <v>160825108.26005927</v>
      </c>
    </row>
    <row r="6729" spans="1:2" x14ac:dyDescent="0.25">
      <c r="A6729">
        <f ca="1">33135.334241124*((RANDBETWEEN(1620,2416)))</f>
        <v>74123742.697394341</v>
      </c>
      <c r="B6729">
        <v>153762003.75035065</v>
      </c>
    </row>
    <row r="6730" spans="1:2" x14ac:dyDescent="0.25">
      <c r="A6730">
        <f ca="1">33148.8069471969*((RANDBETWEEN(1620,2416)))</f>
        <v>58143007.385383435</v>
      </c>
      <c r="B6730">
        <v>202315056.15242487</v>
      </c>
    </row>
    <row r="6731" spans="1:2" x14ac:dyDescent="0.25">
      <c r="A6731">
        <f ca="1">31758.4379625889*((RANDBETWEEN(1620,2416)))</f>
        <v>60309273.690956257</v>
      </c>
      <c r="B6731">
        <v>176691616.61095291</v>
      </c>
    </row>
    <row r="6732" spans="1:2" x14ac:dyDescent="0.25">
      <c r="A6732">
        <f ca="1">38457.5949030278*((RANDBETWEEN(1620,2416)))</f>
        <v>66262436.017916873</v>
      </c>
      <c r="B6732">
        <v>170769195.38945889</v>
      </c>
    </row>
    <row r="6733" spans="1:2" x14ac:dyDescent="0.25">
      <c r="A6733">
        <f ca="1">29954.6374486523*((RANDBETWEEN(1620,2416)))</f>
        <v>69225167.143835515</v>
      </c>
      <c r="B6733">
        <v>159100800.75281277</v>
      </c>
    </row>
    <row r="6734" spans="1:2" x14ac:dyDescent="0.25">
      <c r="A6734">
        <f ca="1">28987.3512783236*((RANDBETWEEN(1620,2416)))</f>
        <v>62438754.653508998</v>
      </c>
      <c r="B6734">
        <v>165003054.51209152</v>
      </c>
    </row>
    <row r="6735" spans="1:2" x14ac:dyDescent="0.25">
      <c r="A6735">
        <f ca="1">32820.0209339678*((RANDBETWEEN(1620,2416)))</f>
        <v>67248222.893700033</v>
      </c>
      <c r="B6735">
        <v>150718724.17382365</v>
      </c>
    </row>
    <row r="6736" spans="1:2" x14ac:dyDescent="0.25">
      <c r="A6736">
        <f ca="1">34176.3360613656*((RANDBETWEEN(1620,2416)))</f>
        <v>59501001.082837425</v>
      </c>
      <c r="B6736">
        <v>172009641.93551442</v>
      </c>
    </row>
    <row r="6737" spans="1:2" x14ac:dyDescent="0.25">
      <c r="A6737">
        <f ca="1">33199.7643686795*((RANDBETWEEN(1620,2416)))</f>
        <v>64175144.524657495</v>
      </c>
      <c r="B6737">
        <v>199335084.70989567</v>
      </c>
    </row>
    <row r="6738" spans="1:2" x14ac:dyDescent="0.25">
      <c r="A6738">
        <f ca="1">36721.8460250192*((RANDBETWEEN(1620,2416)))</f>
        <v>67090812.687710159</v>
      </c>
      <c r="B6738">
        <v>169560193.54221612</v>
      </c>
    </row>
    <row r="6739" spans="1:2" x14ac:dyDescent="0.25">
      <c r="A6739">
        <f ca="1">29433.2588507706*((RANDBETWEEN(1620,2416)))</f>
        <v>50301439.375967018</v>
      </c>
      <c r="B6739">
        <v>164499463.23316285</v>
      </c>
    </row>
    <row r="6740" spans="1:2" x14ac:dyDescent="0.25">
      <c r="A6740">
        <f ca="1">30190.4455935112*((RANDBETWEEN(1620,2416)))</f>
        <v>52320042.213554859</v>
      </c>
      <c r="B6740">
        <v>166043337.49119186</v>
      </c>
    </row>
    <row r="6741" spans="1:2" x14ac:dyDescent="0.25">
      <c r="A6741">
        <f ca="1">39158.3716119154*((RANDBETWEEN(1620,2416)))</f>
        <v>76907041.845801875</v>
      </c>
      <c r="B6741">
        <v>152647686.84667498</v>
      </c>
    </row>
    <row r="6742" spans="1:2" x14ac:dyDescent="0.25">
      <c r="A6742">
        <f ca="1">31163.4404902411*((RANDBETWEEN(1620,2416)))</f>
        <v>56094192.882434055</v>
      </c>
      <c r="B6742">
        <v>168029171.32560566</v>
      </c>
    </row>
    <row r="6743" spans="1:2" x14ac:dyDescent="0.25">
      <c r="A6743">
        <f ca="1">28798.9474788632*((RANDBETWEEN(1620,2416)))</f>
        <v>52615677.043883003</v>
      </c>
      <c r="B6743">
        <v>159345263.43912166</v>
      </c>
    </row>
    <row r="6744" spans="1:2" x14ac:dyDescent="0.25">
      <c r="A6744">
        <f ca="1">31001.0402855283*((RANDBETWEEN(1620,2416)))</f>
        <v>73193456.1141323</v>
      </c>
      <c r="B6744">
        <v>192834780.66364998</v>
      </c>
    </row>
    <row r="6745" spans="1:2" x14ac:dyDescent="0.25">
      <c r="A6745">
        <f ca="1">31144.9687345081*((RANDBETWEEN(1620,2416)))</f>
        <v>66868247.872988939</v>
      </c>
      <c r="B6745">
        <v>148372391.33100992</v>
      </c>
    </row>
    <row r="6746" spans="1:2" x14ac:dyDescent="0.25">
      <c r="A6746">
        <f ca="1">36598.1621370886*((RANDBETWEEN(1620,2416)))</f>
        <v>85859288.373609886</v>
      </c>
      <c r="B6746">
        <v>201596272.90452024</v>
      </c>
    </row>
    <row r="6747" spans="1:2" x14ac:dyDescent="0.25">
      <c r="A6747">
        <f ca="1">32451.7652184822*((RANDBETWEEN(1620,2416)))</f>
        <v>65228048.089149266</v>
      </c>
      <c r="B6747">
        <v>167130647.82578033</v>
      </c>
    </row>
    <row r="6748" spans="1:2" x14ac:dyDescent="0.25">
      <c r="A6748">
        <f ca="1">29564.9100015227*((RANDBETWEEN(1620,2416)))</f>
        <v>58627216.533019528</v>
      </c>
      <c r="B6748">
        <v>158333398.48370823</v>
      </c>
    </row>
    <row r="6749" spans="1:2" x14ac:dyDescent="0.25">
      <c r="A6749">
        <f ca="1">30838.1080283799*((RANDBETWEEN(1620,2416)))</f>
        <v>74165649.808253706</v>
      </c>
      <c r="B6749">
        <v>197277577.32281646</v>
      </c>
    </row>
    <row r="6750" spans="1:2" x14ac:dyDescent="0.25">
      <c r="A6750">
        <f ca="1">31939.8288542712*((RANDBETWEEN(1620,2416)))</f>
        <v>60366276.534572475</v>
      </c>
      <c r="B6750">
        <v>184104121.89487588</v>
      </c>
    </row>
    <row r="6751" spans="1:2" x14ac:dyDescent="0.25">
      <c r="A6751">
        <f ca="1">36447.8189212006*((RANDBETWEEN(1620,2416)))</f>
        <v>71328381.628789648</v>
      </c>
      <c r="B6751">
        <v>147449440.13319242</v>
      </c>
    </row>
    <row r="6752" spans="1:2" x14ac:dyDescent="0.25">
      <c r="A6752">
        <f ca="1">32237.2415917399*((RANDBETWEEN(1620,2416)))</f>
        <v>66344243.195800647</v>
      </c>
      <c r="B6752">
        <v>175128030.06965986</v>
      </c>
    </row>
    <row r="6753" spans="1:2" x14ac:dyDescent="0.25">
      <c r="A6753">
        <f ca="1">31416.191145481*((RANDBETWEEN(1620,2416)))</f>
        <v>54224345.917100169</v>
      </c>
      <c r="B6753">
        <v>148062787.94347814</v>
      </c>
    </row>
    <row r="6754" spans="1:2" x14ac:dyDescent="0.25">
      <c r="A6754">
        <f ca="1">32970.4988874433*((RANDBETWEEN(1620,2416)))</f>
        <v>54434293.663168922</v>
      </c>
      <c r="B6754">
        <v>171046201.64467853</v>
      </c>
    </row>
    <row r="6755" spans="1:2" x14ac:dyDescent="0.25">
      <c r="A6755">
        <f ca="1">30366.3798872134*((RANDBETWEEN(1620,2416)))</f>
        <v>64801854.679313362</v>
      </c>
      <c r="B6755">
        <v>195812445.45476231</v>
      </c>
    </row>
    <row r="6756" spans="1:2" x14ac:dyDescent="0.25">
      <c r="A6756">
        <f ca="1">31253.3334316965*((RANDBETWEEN(1620,2416)))</f>
        <v>67007146.87755727</v>
      </c>
      <c r="B6756">
        <v>154968745.06196707</v>
      </c>
    </row>
    <row r="6757" spans="1:2" x14ac:dyDescent="0.25">
      <c r="A6757">
        <f ca="1">37567.9012552528*((RANDBETWEEN(1620,2416)))</f>
        <v>79193135.846072912</v>
      </c>
      <c r="B6757">
        <v>156293757.13400233</v>
      </c>
    </row>
    <row r="6758" spans="1:2" x14ac:dyDescent="0.25">
      <c r="A6758">
        <f ca="1">29467.2832434344*((RANDBETWEEN(1620,2416)))</f>
        <v>58315753.538756616</v>
      </c>
      <c r="B6758">
        <v>162103461.20438078</v>
      </c>
    </row>
    <row r="6759" spans="1:2" x14ac:dyDescent="0.25">
      <c r="A6759">
        <f ca="1">31270.4105654064*((RANDBETWEEN(1620,2416)))</f>
        <v>58819642.2735295</v>
      </c>
      <c r="B6759">
        <v>143703457.02828503</v>
      </c>
    </row>
    <row r="6760" spans="1:2" x14ac:dyDescent="0.25">
      <c r="A6760">
        <f ca="1">36143.3803850461*((RANDBETWEEN(1620,2416)))</f>
        <v>80382877.97634244</v>
      </c>
      <c r="B6760">
        <v>143082872.67851642</v>
      </c>
    </row>
    <row r="6761" spans="1:2" x14ac:dyDescent="0.25">
      <c r="A6761">
        <f ca="1">31860.6691233326*((RANDBETWEEN(1620,2416)))</f>
        <v>54959654.23774875</v>
      </c>
      <c r="B6761">
        <v>197059569.00431156</v>
      </c>
    </row>
    <row r="6762" spans="1:2" x14ac:dyDescent="0.25">
      <c r="A6762">
        <f ca="1">32014.5174620432*((RANDBETWEEN(1620,2416)))</f>
        <v>52055605.393282287</v>
      </c>
      <c r="B6762">
        <v>185595554.76227742</v>
      </c>
    </row>
    <row r="6763" spans="1:2" x14ac:dyDescent="0.25">
      <c r="A6763">
        <f ca="1">39086.7720912906*((RANDBETWEEN(1620,2416)))</f>
        <v>94238207.51210168</v>
      </c>
      <c r="B6763">
        <v>158742575.78266901</v>
      </c>
    </row>
    <row r="6764" spans="1:2" x14ac:dyDescent="0.25">
      <c r="A6764">
        <f ca="1">32785.9955618276*((RANDBETWEEN(1620,2416)))</f>
        <v>65080201.190227859</v>
      </c>
      <c r="B6764">
        <v>200068680.44104493</v>
      </c>
    </row>
    <row r="6765" spans="1:2" x14ac:dyDescent="0.25">
      <c r="A6765">
        <f ca="1">42196.8068309942*((RANDBETWEEN(1620,2416)))</f>
        <v>85153156.184946328</v>
      </c>
      <c r="B6765">
        <v>147832612.97562009</v>
      </c>
    </row>
    <row r="6766" spans="1:2" x14ac:dyDescent="0.25">
      <c r="A6766">
        <f ca="1">28443.5216151386*((RANDBETWEEN(1620,2416)))</f>
        <v>65846752.539045826</v>
      </c>
      <c r="B6766">
        <v>172535279.93889418</v>
      </c>
    </row>
    <row r="6767" spans="1:2" x14ac:dyDescent="0.25">
      <c r="A6767">
        <f ca="1">37937.8823026321*((RANDBETWEEN(1620,2416)))</f>
        <v>64949654.50210616</v>
      </c>
      <c r="B6767">
        <v>194838434.69532084</v>
      </c>
    </row>
    <row r="6768" spans="1:2" x14ac:dyDescent="0.25">
      <c r="A6768">
        <f ca="1">32022.6705570329*((RANDBETWEEN(1620,2416)))</f>
        <v>53669995.85358721</v>
      </c>
      <c r="B6768">
        <v>198350549.27559781</v>
      </c>
    </row>
    <row r="6769" spans="1:2" x14ac:dyDescent="0.25">
      <c r="A6769">
        <f ca="1">33024.1817508765*((RANDBETWEEN(1620,2416)))</f>
        <v>56867640.975009248</v>
      </c>
      <c r="B6769">
        <v>173355398.804809</v>
      </c>
    </row>
    <row r="6770" spans="1:2" x14ac:dyDescent="0.25">
      <c r="A6770">
        <f ca="1">39938.5312806889*((RANDBETWEEN(1620,2416)))</f>
        <v>89182740.349778324</v>
      </c>
      <c r="B6770">
        <v>197335816.26880229</v>
      </c>
    </row>
    <row r="6771" spans="1:2" x14ac:dyDescent="0.25">
      <c r="A6771">
        <f ca="1">31627.285905863*((RANDBETWEEN(1620,2416)))</f>
        <v>55948668.767471679</v>
      </c>
      <c r="B6771">
        <v>153689224.11143795</v>
      </c>
    </row>
    <row r="6772" spans="1:2" x14ac:dyDescent="0.25">
      <c r="A6772">
        <f ca="1">31982.1962458313*((RANDBETWEEN(1620,2416)))</f>
        <v>76501413.420028508</v>
      </c>
      <c r="B6772">
        <v>166747519.08161592</v>
      </c>
    </row>
    <row r="6773" spans="1:2" x14ac:dyDescent="0.25">
      <c r="A6773">
        <f ca="1">34647.756899501*((RANDBETWEEN(1620,2416)))</f>
        <v>59663437.380940758</v>
      </c>
      <c r="B6773">
        <v>146148426.8410852</v>
      </c>
    </row>
    <row r="6774" spans="1:2" x14ac:dyDescent="0.25">
      <c r="A6774">
        <f ca="1">30794.649009531*((RANDBETWEEN(1620,2416)))</f>
        <v>51796599.634031214</v>
      </c>
      <c r="B6774">
        <v>149921950.43938512</v>
      </c>
    </row>
    <row r="6775" spans="1:2" x14ac:dyDescent="0.25">
      <c r="A6775">
        <f ca="1">33456.3070124536*((RANDBETWEEN(1620,2416)))</f>
        <v>69923681.656028017</v>
      </c>
      <c r="B6775">
        <v>166623474.62362608</v>
      </c>
    </row>
    <row r="6776" spans="1:2" x14ac:dyDescent="0.25">
      <c r="A6776">
        <f ca="1">33902.7320805838*((RANDBETWEEN(1620,2416)))</f>
        <v>77772867.39285928</v>
      </c>
      <c r="B6776">
        <v>151003062.71269545</v>
      </c>
    </row>
    <row r="6777" spans="1:2" x14ac:dyDescent="0.25">
      <c r="A6777">
        <f ca="1">32005.6257840156*((RANDBETWEEN(1620,2416)))</f>
        <v>68652067.306713536</v>
      </c>
      <c r="B6777">
        <v>146097447.96403542</v>
      </c>
    </row>
    <row r="6778" spans="1:2" x14ac:dyDescent="0.25">
      <c r="A6778">
        <f ca="1">39823.745786003*((RANDBETWEEN(1620,2416)))</f>
        <v>72399569.838953421</v>
      </c>
      <c r="B6778">
        <v>177150933.1867938</v>
      </c>
    </row>
    <row r="6779" spans="1:2" x14ac:dyDescent="0.25">
      <c r="A6779">
        <f ca="1">29339.2384334728*((RANDBETWEEN(1620,2416)))</f>
        <v>53778824.048555717</v>
      </c>
      <c r="B6779">
        <v>201851840.05942193</v>
      </c>
    </row>
    <row r="6780" spans="1:2" x14ac:dyDescent="0.25">
      <c r="A6780">
        <f ca="1">29372.4109243543*((RANDBETWEEN(1620,2416)))</f>
        <v>62651352.501647793</v>
      </c>
      <c r="B6780">
        <v>166490249.9833982</v>
      </c>
    </row>
    <row r="6781" spans="1:2" x14ac:dyDescent="0.25">
      <c r="A6781">
        <f ca="1">29456.7015137125*((RANDBETWEEN(1620,2416)))</f>
        <v>71079020.752588287</v>
      </c>
      <c r="B6781">
        <v>190206882.00935572</v>
      </c>
    </row>
    <row r="6782" spans="1:2" x14ac:dyDescent="0.25">
      <c r="A6782">
        <f ca="1">30589.519565574*((RANDBETWEEN(1620,2416)))</f>
        <v>65002729.076844655</v>
      </c>
      <c r="B6782">
        <v>155523226.70146942</v>
      </c>
    </row>
    <row r="6783" spans="1:2" x14ac:dyDescent="0.25">
      <c r="A6783">
        <f ca="1">32217.2748626165*((RANDBETWEEN(1620,2416)))</f>
        <v>54189456.318920955</v>
      </c>
      <c r="B6783">
        <v>172589558.35956225</v>
      </c>
    </row>
    <row r="6784" spans="1:2" x14ac:dyDescent="0.25">
      <c r="A6784">
        <f ca="1">35710.6930034078*((RANDBETWEEN(1620,2416)))</f>
        <v>82527411.530875355</v>
      </c>
      <c r="B6784">
        <v>152247894.75801772</v>
      </c>
    </row>
    <row r="6785" spans="1:2" x14ac:dyDescent="0.25">
      <c r="A6785">
        <f ca="1">33106.0282755118*((RANDBETWEEN(1620,2416)))</f>
        <v>79984164.313636422</v>
      </c>
      <c r="B6785">
        <v>186031760.66328782</v>
      </c>
    </row>
    <row r="6786" spans="1:2" x14ac:dyDescent="0.25">
      <c r="A6786">
        <f ca="1">33114.5957781395*((RANDBETWEEN(1620,2416)))</f>
        <v>58977095.080866419</v>
      </c>
      <c r="B6786">
        <v>168316944.11183554</v>
      </c>
    </row>
    <row r="6787" spans="1:2" x14ac:dyDescent="0.25">
      <c r="A6787">
        <f ca="1">30991.0638626888*((RANDBETWEEN(1620,2416)))</f>
        <v>55597968.569663718</v>
      </c>
      <c r="B6787">
        <v>196556022.99277058</v>
      </c>
    </row>
    <row r="6788" spans="1:2" x14ac:dyDescent="0.25">
      <c r="A6788">
        <f ca="1">30038.1472707432*((RANDBETWEEN(1620,2416)))</f>
        <v>65903695.112010539</v>
      </c>
      <c r="B6788">
        <v>187130883.36539072</v>
      </c>
    </row>
    <row r="6789" spans="1:2" x14ac:dyDescent="0.25">
      <c r="A6789">
        <f ca="1">30694.7547839425*((RANDBETWEEN(1620,2416)))</f>
        <v>66484838.862019457</v>
      </c>
      <c r="B6789">
        <v>187266729.31568363</v>
      </c>
    </row>
    <row r="6790" spans="1:2" x14ac:dyDescent="0.25">
      <c r="A6790">
        <f ca="1">28480.228982538*((RANDBETWEEN(1620,2416)))</f>
        <v>60548966.816875853</v>
      </c>
      <c r="B6790">
        <v>144065329.27966803</v>
      </c>
    </row>
    <row r="6791" spans="1:2" x14ac:dyDescent="0.25">
      <c r="A6791">
        <f ca="1">30658.3765950956*((RANDBETWEEN(1620,2416)))</f>
        <v>68858713.832584709</v>
      </c>
      <c r="B6791">
        <v>159951331.01250726</v>
      </c>
    </row>
    <row r="6792" spans="1:2" x14ac:dyDescent="0.25">
      <c r="A6792">
        <f ca="1">37000.7386534621*((RANDBETWEEN(1620,2416)))</f>
        <v>79181580.718408942</v>
      </c>
      <c r="B6792">
        <v>143323925.30556071</v>
      </c>
    </row>
    <row r="6793" spans="1:2" x14ac:dyDescent="0.25">
      <c r="A6793">
        <f ca="1">36855.1727797883*((RANDBETWEEN(1620,2416)))</f>
        <v>83513821.519000351</v>
      </c>
      <c r="B6793">
        <v>185574775.10101658</v>
      </c>
    </row>
    <row r="6794" spans="1:2" x14ac:dyDescent="0.25">
      <c r="A6794">
        <f ca="1">36552.4000576741*((RANDBETWEEN(1620,2416)))</f>
        <v>64588090.901910111</v>
      </c>
      <c r="B6794">
        <v>156929664.33098227</v>
      </c>
    </row>
    <row r="6795" spans="1:2" x14ac:dyDescent="0.25">
      <c r="A6795">
        <f ca="1">32541.1808901314*((RANDBETWEEN(1620,2416)))</f>
        <v>72371586.299652323</v>
      </c>
      <c r="B6795">
        <v>197279441.99881962</v>
      </c>
    </row>
    <row r="6796" spans="1:2" x14ac:dyDescent="0.25">
      <c r="A6796">
        <f ca="1">31325.0819932726*((RANDBETWEEN(1620,2416)))</f>
        <v>73676592.84817715</v>
      </c>
      <c r="B6796">
        <v>154863587.74501792</v>
      </c>
    </row>
    <row r="6797" spans="1:2" x14ac:dyDescent="0.25">
      <c r="A6797">
        <f ca="1">30083.0007436996*((RANDBETWEEN(1620,2416)))</f>
        <v>50629690.251646377</v>
      </c>
      <c r="B6797">
        <v>154958030.39387929</v>
      </c>
    </row>
    <row r="6798" spans="1:2" x14ac:dyDescent="0.25">
      <c r="A6798">
        <f ca="1">32710.1202935382*((RANDBETWEEN(1620,2416)))</f>
        <v>65747341.790011846</v>
      </c>
      <c r="B6798">
        <v>152914738.61533061</v>
      </c>
    </row>
    <row r="6799" spans="1:2" x14ac:dyDescent="0.25">
      <c r="A6799">
        <f ca="1">36212.159921027*((RANDBETWEEN(1620,2416)))</f>
        <v>78833872.148075849</v>
      </c>
      <c r="B6799">
        <v>144657812.99011567</v>
      </c>
    </row>
    <row r="6800" spans="1:2" x14ac:dyDescent="0.25">
      <c r="A6800">
        <f ca="1">31743.1669055115*((RANDBETWEEN(1620,2416)))</f>
        <v>70755519.03238523</v>
      </c>
      <c r="B6800">
        <v>198948145.3025274</v>
      </c>
    </row>
    <row r="6801" spans="1:2" x14ac:dyDescent="0.25">
      <c r="A6801">
        <f ca="1">32736.6647808016*((RANDBETWEEN(1620,2416)))</f>
        <v>64916806.260329567</v>
      </c>
      <c r="B6801">
        <v>186298192.25186652</v>
      </c>
    </row>
    <row r="6802" spans="1:2" x14ac:dyDescent="0.25">
      <c r="A6802">
        <f ca="1">28019.074388432*((RANDBETWEEN(1620,2416)))</f>
        <v>52871993.370971188</v>
      </c>
      <c r="B6802">
        <v>191888419.8147406</v>
      </c>
    </row>
    <row r="6803" spans="1:2" x14ac:dyDescent="0.25">
      <c r="A6803">
        <f ca="1">37794.1405956428*((RANDBETWEEN(1620,2416)))</f>
        <v>61680037.452089012</v>
      </c>
      <c r="B6803">
        <v>187401675.90923297</v>
      </c>
    </row>
    <row r="6804" spans="1:2" x14ac:dyDescent="0.25">
      <c r="A6804">
        <f ca="1">34140.1978603286*((RANDBETWEEN(1620,2416)))</f>
        <v>71762695.902410761</v>
      </c>
      <c r="B6804">
        <v>146355297.4078114</v>
      </c>
    </row>
    <row r="6805" spans="1:2" x14ac:dyDescent="0.25">
      <c r="A6805">
        <f ca="1">38349.3537376524*((RANDBETWEEN(1620,2416)))</f>
        <v>85672456.249915525</v>
      </c>
      <c r="B6805">
        <v>194655034.76701772</v>
      </c>
    </row>
    <row r="6806" spans="1:2" x14ac:dyDescent="0.25">
      <c r="A6806">
        <f ca="1">33246.1593459365*((RANDBETWEEN(1620,2416)))</f>
        <v>78261459.100334495</v>
      </c>
      <c r="B6806">
        <v>199320403.49578348</v>
      </c>
    </row>
    <row r="6807" spans="1:2" x14ac:dyDescent="0.25">
      <c r="A6807">
        <f ca="1">29980.8884195936*((RANDBETWEEN(1620,2416)))</f>
        <v>57233515.993004255</v>
      </c>
      <c r="B6807">
        <v>163225741.84946337</v>
      </c>
    </row>
    <row r="6808" spans="1:2" x14ac:dyDescent="0.25">
      <c r="A6808">
        <f ca="1">38751.2909435481*((RANDBETWEEN(1620,2416)))</f>
        <v>91259290.172055826</v>
      </c>
      <c r="B6808">
        <v>168188294.53643262</v>
      </c>
    </row>
    <row r="6809" spans="1:2" x14ac:dyDescent="0.25">
      <c r="A6809">
        <f ca="1">31697.4572290885*((RANDBETWEEN(1620,2416)))</f>
        <v>59210850.103937283</v>
      </c>
      <c r="B6809">
        <v>146700268.16317815</v>
      </c>
    </row>
    <row r="6810" spans="1:2" x14ac:dyDescent="0.25">
      <c r="A6810">
        <f ca="1">28083.5728418566*((RANDBETWEEN(1620,2416)))</f>
        <v>56447981.412131861</v>
      </c>
      <c r="B6810">
        <v>151441160.932017</v>
      </c>
    </row>
    <row r="6811" spans="1:2" x14ac:dyDescent="0.25">
      <c r="A6811">
        <f ca="1">29550.1820171599*((RANDBETWEEN(1620,2416)))</f>
        <v>70595384.838994995</v>
      </c>
      <c r="B6811">
        <v>168802463.02492082</v>
      </c>
    </row>
    <row r="6812" spans="1:2" x14ac:dyDescent="0.25">
      <c r="A6812">
        <f ca="1">32972.3825340645*((RANDBETWEEN(1620,2416)))</f>
        <v>71879793.924260542</v>
      </c>
      <c r="B6812">
        <v>166353621.41464588</v>
      </c>
    </row>
    <row r="6813" spans="1:2" x14ac:dyDescent="0.25">
      <c r="A6813">
        <f ca="1">31067.0351236967*((RANDBETWEEN(1620,2416)))</f>
        <v>66483455.164710939</v>
      </c>
      <c r="B6813">
        <v>147207046.40155268</v>
      </c>
    </row>
    <row r="6814" spans="1:2" x14ac:dyDescent="0.25">
      <c r="A6814">
        <f ca="1">41903.4036108642*((RANDBETWEEN(1620,2416)))</f>
        <v>96168311.286933228</v>
      </c>
      <c r="B6814">
        <v>154589157.05242789</v>
      </c>
    </row>
    <row r="6815" spans="1:2" x14ac:dyDescent="0.25">
      <c r="A6815">
        <f ca="1">41756.5818492466*((RANDBETWEEN(1620,2416)))</f>
        <v>90528269.449166536</v>
      </c>
      <c r="B6815">
        <v>201606141.63754606</v>
      </c>
    </row>
    <row r="6816" spans="1:2" x14ac:dyDescent="0.25">
      <c r="A6816">
        <f ca="1">30979.1685265841*((RANDBETWEEN(1620,2416)))</f>
        <v>72460275.183680311</v>
      </c>
      <c r="B6816">
        <v>155427518.12370458</v>
      </c>
    </row>
    <row r="6817" spans="1:2" x14ac:dyDescent="0.25">
      <c r="A6817">
        <f ca="1">35254.7909628104*((RANDBETWEEN(1620,2416)))</f>
        <v>71285187.326802671</v>
      </c>
      <c r="B6817">
        <v>202211312.80566064</v>
      </c>
    </row>
    <row r="6818" spans="1:2" x14ac:dyDescent="0.25">
      <c r="A6818">
        <f ca="1">34175.2893947497*((RANDBETWEEN(1620,2416)))</f>
        <v>66402587.293998599</v>
      </c>
      <c r="B6818">
        <v>171758538.01842624</v>
      </c>
    </row>
    <row r="6819" spans="1:2" x14ac:dyDescent="0.25">
      <c r="A6819">
        <f ca="1">38234.1791775434*((RANDBETWEEN(1620,2416)))</f>
        <v>75474269.696470752</v>
      </c>
      <c r="B6819">
        <v>171315766.58014297</v>
      </c>
    </row>
    <row r="6820" spans="1:2" x14ac:dyDescent="0.25">
      <c r="A6820">
        <f ca="1">31815.9591320002*((RANDBETWEEN(1620,2416)))</f>
        <v>72508570.861828402</v>
      </c>
      <c r="B6820">
        <v>150025255.77960429</v>
      </c>
    </row>
    <row r="6821" spans="1:2" x14ac:dyDescent="0.25">
      <c r="A6821">
        <f ca="1">33990.1512447375*((RANDBETWEEN(1620,2416)))</f>
        <v>65838922.961056523</v>
      </c>
      <c r="B6821">
        <v>155269531.43424815</v>
      </c>
    </row>
    <row r="6822" spans="1:2" x14ac:dyDescent="0.25">
      <c r="A6822">
        <f ca="1">28562.0850383014*((RANDBETWEEN(1620,2416)))</f>
        <v>50840511.368176445</v>
      </c>
      <c r="B6822">
        <v>148333414.70090359</v>
      </c>
    </row>
    <row r="6823" spans="1:2" x14ac:dyDescent="0.25">
      <c r="A6823">
        <f ca="1">30342.7908668438*((RANDBETWEEN(1620,2416)))</f>
        <v>68089222.705197498</v>
      </c>
      <c r="B6823">
        <v>199930978.4750973</v>
      </c>
    </row>
    <row r="6824" spans="1:2" x14ac:dyDescent="0.25">
      <c r="A6824">
        <f ca="1">31072.5184012941*((RANDBETWEEN(1620,2416)))</f>
        <v>67644872.559617311</v>
      </c>
      <c r="B6824">
        <v>146763263.83100846</v>
      </c>
    </row>
    <row r="6825" spans="1:2" x14ac:dyDescent="0.25">
      <c r="A6825">
        <f ca="1">37769.3573063956*((RANDBETWEEN(1620,2416)))</f>
        <v>70062157.80336383</v>
      </c>
      <c r="B6825">
        <v>183083369.2319662</v>
      </c>
    </row>
    <row r="6826" spans="1:2" x14ac:dyDescent="0.25">
      <c r="A6826">
        <f ca="1">29439.831422248*((RANDBETWEEN(1620,2416)))</f>
        <v>69330802.999394</v>
      </c>
      <c r="B6826">
        <v>144621406.09535712</v>
      </c>
    </row>
    <row r="6827" spans="1:2" x14ac:dyDescent="0.25">
      <c r="A6827">
        <f ca="1">39199.918629828*((RANDBETWEEN(1620,2416)))</f>
        <v>69658255.405204415</v>
      </c>
      <c r="B6827">
        <v>151015903.28840286</v>
      </c>
    </row>
    <row r="6828" spans="1:2" x14ac:dyDescent="0.25">
      <c r="A6828">
        <f ca="1">30340.836336361*((RANDBETWEEN(1620,2416)))</f>
        <v>52519987.698240846</v>
      </c>
      <c r="B6828">
        <v>174974980.62757641</v>
      </c>
    </row>
    <row r="6829" spans="1:2" x14ac:dyDescent="0.25">
      <c r="A6829">
        <f ca="1">38546.2806306876*((RANDBETWEEN(1620,2416)))</f>
        <v>74201590.214073569</v>
      </c>
      <c r="B6829">
        <v>194640931.77430132</v>
      </c>
    </row>
    <row r="6830" spans="1:2" x14ac:dyDescent="0.25">
      <c r="A6830">
        <f ca="1">31167.6706632881*((RANDBETWEEN(1620,2416)))</f>
        <v>64517078.27300629</v>
      </c>
      <c r="B6830">
        <v>172326207.39372706</v>
      </c>
    </row>
    <row r="6831" spans="1:2" x14ac:dyDescent="0.25">
      <c r="A6831">
        <f ca="1">31116.2632307321*((RANDBETWEEN(1620,2416)))</f>
        <v>51497415.646861702</v>
      </c>
      <c r="B6831">
        <v>151183567.25989538</v>
      </c>
    </row>
    <row r="6832" spans="1:2" x14ac:dyDescent="0.25">
      <c r="A6832">
        <f ca="1">27822.9348674044*((RANDBETWEEN(1620,2416)))</f>
        <v>61989498.884576909</v>
      </c>
      <c r="B6832">
        <v>148204519.9215619</v>
      </c>
    </row>
    <row r="6833" spans="1:2" x14ac:dyDescent="0.25">
      <c r="A6833">
        <f ca="1">32122.4195335734*((RANDBETWEEN(1620,2416)))</f>
        <v>68774100.221380591</v>
      </c>
      <c r="B6833">
        <v>184182711.69224757</v>
      </c>
    </row>
    <row r="6834" spans="1:2" x14ac:dyDescent="0.25">
      <c r="A6834">
        <f ca="1">31276.3069027029*((RANDBETWEEN(1620,2416)))</f>
        <v>51199314.39972467</v>
      </c>
      <c r="B6834">
        <v>198031985.90121478</v>
      </c>
    </row>
    <row r="6835" spans="1:2" x14ac:dyDescent="0.25">
      <c r="A6835">
        <f ca="1">39871.1877899312*((RANDBETWEEN(1620,2416)))</f>
        <v>76433066.993298143</v>
      </c>
      <c r="B6835">
        <v>163028730.33938009</v>
      </c>
    </row>
    <row r="6836" spans="1:2" x14ac:dyDescent="0.25">
      <c r="A6836">
        <f ca="1">31625.7827522173*((RANDBETWEEN(1620,2416)))</f>
        <v>66350892.214151889</v>
      </c>
      <c r="B6836">
        <v>146561308.37315193</v>
      </c>
    </row>
    <row r="6837" spans="1:2" x14ac:dyDescent="0.25">
      <c r="A6837">
        <f ca="1">34663.9019809781*((RANDBETWEEN(1620,2416)))</f>
        <v>62187040.153874651</v>
      </c>
      <c r="B6837">
        <v>181925976.33690479</v>
      </c>
    </row>
    <row r="6838" spans="1:2" x14ac:dyDescent="0.25">
      <c r="A6838">
        <f ca="1">34354.4537387548*((RANDBETWEEN(1620,2416)))</f>
        <v>75820279.401431844</v>
      </c>
      <c r="B6838">
        <v>160883727.74996567</v>
      </c>
    </row>
    <row r="6839" spans="1:2" x14ac:dyDescent="0.25">
      <c r="A6839">
        <f ca="1">37648.5635816256*((RANDBETWEEN(1620,2416)))</f>
        <v>65169663.559793919</v>
      </c>
      <c r="B6839">
        <v>191761643.6437602</v>
      </c>
    </row>
    <row r="6840" spans="1:2" x14ac:dyDescent="0.25">
      <c r="A6840">
        <f ca="1">33009.5406020796*((RANDBETWEEN(1620,2416)))</f>
        <v>67570529.612456918</v>
      </c>
      <c r="B6840">
        <v>157352663.55022869</v>
      </c>
    </row>
    <row r="6841" spans="1:2" x14ac:dyDescent="0.25">
      <c r="A6841">
        <f ca="1">28617.0164337652*((RANDBETWEEN(1620,2416)))</f>
        <v>48505842.855231941</v>
      </c>
      <c r="B6841">
        <v>158195567.48657191</v>
      </c>
    </row>
    <row r="6842" spans="1:2" x14ac:dyDescent="0.25">
      <c r="A6842">
        <f ca="1">32557.2323011924*((RANDBETWEEN(1620,2416)))</f>
        <v>62216870.927578747</v>
      </c>
      <c r="B6842">
        <v>177765284.77680305</v>
      </c>
    </row>
    <row r="6843" spans="1:2" x14ac:dyDescent="0.25">
      <c r="A6843">
        <f ca="1">39554.852306107*((RANDBETWEEN(1620,2416)))</f>
        <v>92162805.873229384</v>
      </c>
      <c r="B6843">
        <v>154215815.93481347</v>
      </c>
    </row>
    <row r="6844" spans="1:2" x14ac:dyDescent="0.25">
      <c r="A6844">
        <f ca="1">32411.7227286404*((RANDBETWEEN(1620,2416)))</f>
        <v>74352491.939501062</v>
      </c>
      <c r="B6844">
        <v>183489032.26398891</v>
      </c>
    </row>
    <row r="6845" spans="1:2" x14ac:dyDescent="0.25">
      <c r="A6845">
        <f ca="1">39214.6803470388*((RANDBETWEEN(1620,2416)))</f>
        <v>84625280.188909724</v>
      </c>
      <c r="B6845">
        <v>160477141.4747389</v>
      </c>
    </row>
    <row r="6846" spans="1:2" x14ac:dyDescent="0.25">
      <c r="A6846">
        <f ca="1">30509.4185448035*((RANDBETWEEN(1620,2416)))</f>
        <v>62910421.039384857</v>
      </c>
      <c r="B6846">
        <v>165994389.10701907</v>
      </c>
    </row>
    <row r="6847" spans="1:2" x14ac:dyDescent="0.25">
      <c r="A6847">
        <f ca="1">31501.070515058*((RANDBETWEEN(1620,2416)))</f>
        <v>67317787.690679014</v>
      </c>
      <c r="B6847">
        <v>150802448.73966819</v>
      </c>
    </row>
    <row r="6848" spans="1:2" x14ac:dyDescent="0.25">
      <c r="A6848">
        <f ca="1">30480.8041929579*((RANDBETWEEN(1620,2416)))</f>
        <v>50567654.156117156</v>
      </c>
      <c r="B6848">
        <v>153115220.1998266</v>
      </c>
    </row>
    <row r="6849" spans="1:2" x14ac:dyDescent="0.25">
      <c r="A6849">
        <f ca="1">33304.784912642*((RANDBETWEEN(1620,2416)))</f>
        <v>75934909.600823715</v>
      </c>
      <c r="B6849">
        <v>162232944.13826728</v>
      </c>
    </row>
    <row r="6850" spans="1:2" x14ac:dyDescent="0.25">
      <c r="A6850">
        <f ca="1">29575.1612563658*((RANDBETWEEN(1620,2416)))</f>
        <v>59061597.02896253</v>
      </c>
      <c r="B6850">
        <v>166721659.16344714</v>
      </c>
    </row>
    <row r="6851" spans="1:2" x14ac:dyDescent="0.25">
      <c r="A6851">
        <f ca="1">37046.9444605124*((RANDBETWEEN(1620,2416)))</f>
        <v>71759931.420012504</v>
      </c>
      <c r="B6851">
        <v>172005465.58419609</v>
      </c>
    </row>
    <row r="6852" spans="1:2" x14ac:dyDescent="0.25">
      <c r="A6852">
        <f ca="1">34404.2486540631*((RANDBETWEEN(1620,2416)))</f>
        <v>76343027.763365939</v>
      </c>
      <c r="B6852">
        <v>155535469.45210856</v>
      </c>
    </row>
    <row r="6853" spans="1:2" x14ac:dyDescent="0.25">
      <c r="A6853">
        <f ca="1">35445.7126764726*((RANDBETWEEN(1620,2416)))</f>
        <v>76385510.817798361</v>
      </c>
      <c r="B6853">
        <v>177391309.31109744</v>
      </c>
    </row>
    <row r="6854" spans="1:2" x14ac:dyDescent="0.25">
      <c r="A6854">
        <f ca="1">28898.9793798023*((RANDBETWEEN(1620,2416)))</f>
        <v>48261295.564269826</v>
      </c>
      <c r="B6854">
        <v>152804031.20214599</v>
      </c>
    </row>
    <row r="6855" spans="1:2" x14ac:dyDescent="0.25">
      <c r="A6855">
        <f ca="1">33010.2569556573*((RANDBETWEEN(1620,2416)))</f>
        <v>66152554.939137302</v>
      </c>
      <c r="B6855">
        <v>151675142.81566346</v>
      </c>
    </row>
    <row r="6856" spans="1:2" x14ac:dyDescent="0.25">
      <c r="A6856">
        <f ca="1">30407.8069595481*((RANDBETWEEN(1620,2416)))</f>
        <v>60450720.235581554</v>
      </c>
      <c r="B6856">
        <v>193713521.51042679</v>
      </c>
    </row>
    <row r="6857" spans="1:2" x14ac:dyDescent="0.25">
      <c r="A6857">
        <f ca="1">32801.8175041877*((RANDBETWEEN(1620,2416)))</f>
        <v>56025504.297152624</v>
      </c>
      <c r="B6857">
        <v>185148482.47721475</v>
      </c>
    </row>
    <row r="6858" spans="1:2" x14ac:dyDescent="0.25">
      <c r="A6858">
        <f ca="1">31055.3273072273*((RANDBETWEEN(1620,2416)))</f>
        <v>60619998.903707713</v>
      </c>
      <c r="B6858">
        <v>162866256.0805583</v>
      </c>
    </row>
    <row r="6859" spans="1:2" x14ac:dyDescent="0.25">
      <c r="A6859">
        <f ca="1">32485.5119226676*((RANDBETWEEN(1620,2416)))</f>
        <v>75431358.684434205</v>
      </c>
      <c r="B6859">
        <v>151014592.21948388</v>
      </c>
    </row>
    <row r="6860" spans="1:2" x14ac:dyDescent="0.25">
      <c r="A6860">
        <f ca="1">35690.7075411978*((RANDBETWEEN(1620,2416)))</f>
        <v>59175193.103305988</v>
      </c>
      <c r="B6860">
        <v>171726110.39064667</v>
      </c>
    </row>
    <row r="6861" spans="1:2" x14ac:dyDescent="0.25">
      <c r="A6861">
        <f ca="1">35469.9230748571*((RANDBETWEEN(1620,2416)))</f>
        <v>60050579.765733033</v>
      </c>
      <c r="B6861">
        <v>162733906.72802329</v>
      </c>
    </row>
    <row r="6862" spans="1:2" x14ac:dyDescent="0.25">
      <c r="A6862">
        <f ca="1">38666.7780418105*((RANDBETWEEN(1620,2416)))</f>
        <v>72732209.496645465</v>
      </c>
      <c r="B6862">
        <v>151493488.2797536</v>
      </c>
    </row>
    <row r="6863" spans="1:2" x14ac:dyDescent="0.25">
      <c r="A6863">
        <f ca="1">36593.6843115845*((RANDBETWEEN(1620,2416)))</f>
        <v>77578610.740559176</v>
      </c>
      <c r="B6863">
        <v>157837726.60987774</v>
      </c>
    </row>
    <row r="6864" spans="1:2" x14ac:dyDescent="0.25">
      <c r="A6864">
        <f ca="1">30130.3046591539*((RANDBETWEEN(1620,2416)))</f>
        <v>56102627.275344536</v>
      </c>
      <c r="B6864">
        <v>181464696.94553441</v>
      </c>
    </row>
    <row r="6865" spans="1:2" x14ac:dyDescent="0.25">
      <c r="A6865">
        <f ca="1">30915.66080113*((RANDBETWEEN(1620,2416)))</f>
        <v>54566141.313994519</v>
      </c>
      <c r="B6865">
        <v>153691657.83585733</v>
      </c>
    </row>
    <row r="6866" spans="1:2" x14ac:dyDescent="0.25">
      <c r="A6866">
        <f ca="1">30125.824367448*((RANDBETWEEN(1620,2416)))</f>
        <v>52298431.10188967</v>
      </c>
      <c r="B6866">
        <v>175377188.36267066</v>
      </c>
    </row>
    <row r="6867" spans="1:2" x14ac:dyDescent="0.25">
      <c r="A6867">
        <f ca="1">31176.6944929795*((RANDBETWEEN(1620,2416)))</f>
        <v>69212261.774414599</v>
      </c>
      <c r="B6867">
        <v>165889067.00572008</v>
      </c>
    </row>
    <row r="6868" spans="1:2" x14ac:dyDescent="0.25">
      <c r="A6868">
        <f ca="1">33759.1505837912*((RANDBETWEEN(1620,2416)))</f>
        <v>74776518.543097541</v>
      </c>
      <c r="B6868">
        <v>162051812.68159783</v>
      </c>
    </row>
    <row r="6869" spans="1:2" x14ac:dyDescent="0.25">
      <c r="A6869">
        <f ca="1">32249.3497018973*((RANDBETWEEN(1620,2416)))</f>
        <v>57436091.819079071</v>
      </c>
      <c r="B6869">
        <v>200210574.08401284</v>
      </c>
    </row>
    <row r="6870" spans="1:2" x14ac:dyDescent="0.25">
      <c r="A6870">
        <f ca="1">29944.373923039*((RANDBETWEEN(1620,2416)))</f>
        <v>49048884.485937938</v>
      </c>
      <c r="B6870">
        <v>179955390.71677369</v>
      </c>
    </row>
    <row r="6871" spans="1:2" x14ac:dyDescent="0.25">
      <c r="A6871">
        <f ca="1">31752.9420114457*((RANDBETWEEN(1620,2416)))</f>
        <v>54297530.839572147</v>
      </c>
      <c r="B6871">
        <v>163592345.23319769</v>
      </c>
    </row>
    <row r="6872" spans="1:2" x14ac:dyDescent="0.25">
      <c r="A6872">
        <f ca="1">37976.0921111355*((RANDBETWEEN(1620,2416)))</f>
        <v>80965028.38094084</v>
      </c>
      <c r="B6872">
        <v>200182620.54544574</v>
      </c>
    </row>
    <row r="6873" spans="1:2" x14ac:dyDescent="0.25">
      <c r="A6873">
        <f ca="1">30748.3520204834*((RANDBETWEEN(1620,2416)))</f>
        <v>50150562.145408444</v>
      </c>
      <c r="B6873">
        <v>153989726.49058625</v>
      </c>
    </row>
    <row r="6874" spans="1:2" x14ac:dyDescent="0.25">
      <c r="A6874">
        <f ca="1">29672.6258276676*((RANDBETWEEN(1620,2416)))</f>
        <v>49078523.118962266</v>
      </c>
      <c r="B6874">
        <v>155247316.16041681</v>
      </c>
    </row>
    <row r="6875" spans="1:2" x14ac:dyDescent="0.25">
      <c r="A6875">
        <f ca="1">30315.4604775774*((RANDBETWEEN(1620,2416)))</f>
        <v>63571520.621479772</v>
      </c>
      <c r="B6875">
        <v>186323152.34345311</v>
      </c>
    </row>
    <row r="6876" spans="1:2" x14ac:dyDescent="0.25">
      <c r="A6876">
        <f ca="1">30861.8454483728*((RANDBETWEEN(1620,2416)))</f>
        <v>65488836.041447103</v>
      </c>
      <c r="B6876">
        <v>198678412.81461856</v>
      </c>
    </row>
    <row r="6877" spans="1:2" x14ac:dyDescent="0.25">
      <c r="A6877">
        <f ca="1">28046.6980077076*((RANDBETWEEN(1620,2416)))</f>
        <v>52980212.536559731</v>
      </c>
      <c r="B6877">
        <v>167051081.57950172</v>
      </c>
    </row>
    <row r="6878" spans="1:2" x14ac:dyDescent="0.25">
      <c r="A6878">
        <f ca="1">32813.2998886275*((RANDBETWEEN(1620,2416)))</f>
        <v>53551305.418240145</v>
      </c>
      <c r="B6878">
        <v>181286809.2976748</v>
      </c>
    </row>
    <row r="6879" spans="1:2" x14ac:dyDescent="0.25">
      <c r="A6879">
        <f ca="1">30051.6823994247*((RANDBETWEEN(1620,2416)))</f>
        <v>72063934.39382045</v>
      </c>
      <c r="B6879">
        <v>179323832.56846967</v>
      </c>
    </row>
    <row r="6880" spans="1:2" x14ac:dyDescent="0.25">
      <c r="A6880">
        <f ca="1">32402.7097891621*((RANDBETWEEN(1620,2416)))</f>
        <v>78025725.172302455</v>
      </c>
      <c r="B6880">
        <v>199611574.65903062</v>
      </c>
    </row>
    <row r="6881" spans="1:2" x14ac:dyDescent="0.25">
      <c r="A6881">
        <f ca="1">34225.8650774334*((RANDBETWEEN(1620,2416)))</f>
        <v>64858014.321736269</v>
      </c>
      <c r="B6881">
        <v>203363705.96739271</v>
      </c>
    </row>
    <row r="6882" spans="1:2" x14ac:dyDescent="0.25">
      <c r="A6882">
        <f ca="1">32654.346205934*((RANDBETWEEN(1620,2416)))</f>
        <v>53324547.354290299</v>
      </c>
      <c r="B6882">
        <v>200031525.97781202</v>
      </c>
    </row>
    <row r="6883" spans="1:2" x14ac:dyDescent="0.25">
      <c r="A6883">
        <f ca="1">27438.4595279951*((RANDBETWEEN(1620,2416)))</f>
        <v>60721310.935453184</v>
      </c>
      <c r="B6883">
        <v>170548373.9937433</v>
      </c>
    </row>
    <row r="6884" spans="1:2" x14ac:dyDescent="0.25">
      <c r="A6884">
        <f ca="1">34244.1412350566*((RANDBETWEEN(1620,2416)))</f>
        <v>76604143.942821667</v>
      </c>
      <c r="B6884">
        <v>181279771.52962312</v>
      </c>
    </row>
    <row r="6885" spans="1:2" x14ac:dyDescent="0.25">
      <c r="A6885">
        <f ca="1">33572.6848982867*((RANDBETWEEN(1620,2416)))</f>
        <v>67682532.754946038</v>
      </c>
      <c r="B6885">
        <v>172166886.13215289</v>
      </c>
    </row>
    <row r="6886" spans="1:2" x14ac:dyDescent="0.25">
      <c r="A6886">
        <f ca="1">28555.866122419*((RANDBETWEEN(1620,2416)))</f>
        <v>62880017.201566644</v>
      </c>
      <c r="B6886">
        <v>147331019.68116888</v>
      </c>
    </row>
    <row r="6887" spans="1:2" x14ac:dyDescent="0.25">
      <c r="A6887">
        <f ca="1">38904.1307087691*((RANDBETWEEN(1620,2416)))</f>
        <v>89246075.845916376</v>
      </c>
      <c r="B6887">
        <v>196337794.39485204</v>
      </c>
    </row>
    <row r="6888" spans="1:2" x14ac:dyDescent="0.25">
      <c r="A6888">
        <f ca="1">30549.055843522*((RANDBETWEEN(1620,2416)))</f>
        <v>50711432.700246483</v>
      </c>
      <c r="B6888">
        <v>159103639.65107635</v>
      </c>
    </row>
    <row r="6889" spans="1:2" x14ac:dyDescent="0.25">
      <c r="A6889">
        <f ca="1">31087.2882978142*((RANDBETWEEN(1620,2416)))</f>
        <v>56858650.296702221</v>
      </c>
      <c r="B6889">
        <v>150312858.61644718</v>
      </c>
    </row>
    <row r="6890" spans="1:2" x14ac:dyDescent="0.25">
      <c r="A6890">
        <f ca="1">32362.877575368*((RANDBETWEEN(1620,2416)))</f>
        <v>69547823.909465775</v>
      </c>
      <c r="B6890">
        <v>152660491.18845537</v>
      </c>
    </row>
    <row r="6891" spans="1:2" x14ac:dyDescent="0.25">
      <c r="A6891">
        <f ca="1">34919.4168261646*((RANDBETWEEN(1620,2416)))</f>
        <v>67918265.726890191</v>
      </c>
      <c r="B6891">
        <v>166752761.32996237</v>
      </c>
    </row>
    <row r="6892" spans="1:2" x14ac:dyDescent="0.25">
      <c r="A6892">
        <f ca="1">29973.4467752918*((RANDBETWEEN(1620,2416)))</f>
        <v>56769708.192402646</v>
      </c>
      <c r="B6892">
        <v>146625668.49257183</v>
      </c>
    </row>
    <row r="6893" spans="1:2" x14ac:dyDescent="0.25">
      <c r="A6893">
        <f ca="1">41413.6461933874*((RANDBETWEEN(1620,2416)))</f>
        <v>98937200.756002486</v>
      </c>
      <c r="B6893">
        <v>197219891.22264957</v>
      </c>
    </row>
    <row r="6894" spans="1:2" x14ac:dyDescent="0.25">
      <c r="A6894">
        <f ca="1">31392.7610787273*((RANDBETWEEN(1620,2416)))</f>
        <v>53713014.205702402</v>
      </c>
      <c r="B6894">
        <v>159428075.94265857</v>
      </c>
    </row>
    <row r="6895" spans="1:2" x14ac:dyDescent="0.25">
      <c r="A6895">
        <f ca="1">27732.5101546613*((RANDBETWEEN(1620,2416)))</f>
        <v>51998456.539989986</v>
      </c>
      <c r="B6895">
        <v>160300070.08859995</v>
      </c>
    </row>
    <row r="6896" spans="1:2" x14ac:dyDescent="0.25">
      <c r="A6896">
        <f ca="1">31908.4969133671*((RANDBETWEEN(1620,2416)))</f>
        <v>72464196.490256667</v>
      </c>
      <c r="B6896">
        <v>147114671.18785167</v>
      </c>
    </row>
    <row r="6897" spans="1:2" x14ac:dyDescent="0.25">
      <c r="A6897">
        <f ca="1">39394.6766134168*((RANDBETWEEN(1620,2416)))</f>
        <v>80286350.938143417</v>
      </c>
      <c r="B6897">
        <v>155003986.23429772</v>
      </c>
    </row>
    <row r="6898" spans="1:2" x14ac:dyDescent="0.25">
      <c r="A6898">
        <f ca="1">27908.5161203441*((RANDBETWEEN(1620,2416)))</f>
        <v>54030887.208986208</v>
      </c>
      <c r="B6898">
        <v>151184216.6196115</v>
      </c>
    </row>
    <row r="6899" spans="1:2" x14ac:dyDescent="0.25">
      <c r="A6899">
        <f ca="1">28744.9398186164*((RANDBETWEEN(1620,2416)))</f>
        <v>49929960.464936711</v>
      </c>
      <c r="B6899">
        <v>153410691.7520293</v>
      </c>
    </row>
    <row r="6900" spans="1:2" x14ac:dyDescent="0.25">
      <c r="A6900">
        <f ca="1">42253.2599800749*((RANDBETWEEN(1620,2416)))</f>
        <v>71492515.886286661</v>
      </c>
      <c r="B6900">
        <v>186839477.58063239</v>
      </c>
    </row>
    <row r="6901" spans="1:2" x14ac:dyDescent="0.25">
      <c r="A6901">
        <f ca="1">30823.9426773347*((RANDBETWEEN(1620,2416)))</f>
        <v>67504434.463362947</v>
      </c>
      <c r="B6901">
        <v>149517432.78090969</v>
      </c>
    </row>
    <row r="6902" spans="1:2" x14ac:dyDescent="0.25">
      <c r="A6902">
        <f ca="1">31955.295713866*((RANDBETWEEN(1620,2416)))</f>
        <v>52470595.562167995</v>
      </c>
      <c r="B6902">
        <v>154802411.09537646</v>
      </c>
    </row>
    <row r="6903" spans="1:2" x14ac:dyDescent="0.25">
      <c r="A6903">
        <f ca="1">38756.2269276348*((RANDBETWEEN(1620,2416)))</f>
        <v>93169969.534034058</v>
      </c>
      <c r="B6903">
        <v>154226394.27833244</v>
      </c>
    </row>
    <row r="6904" spans="1:2" x14ac:dyDescent="0.25">
      <c r="A6904">
        <f ca="1">30917.0337320498*((RANDBETWEEN(1620,2416)))</f>
        <v>54321228.267211504</v>
      </c>
      <c r="B6904">
        <v>154854263.13740864</v>
      </c>
    </row>
    <row r="6905" spans="1:2" x14ac:dyDescent="0.25">
      <c r="A6905">
        <f ca="1">33632.2673016295*((RANDBETWEEN(1620,2416)))</f>
        <v>68777986.631832227</v>
      </c>
      <c r="B6905">
        <v>201167317.1418381</v>
      </c>
    </row>
    <row r="6906" spans="1:2" x14ac:dyDescent="0.25">
      <c r="A6906">
        <f ca="1">31062.9410966889*((RANDBETWEEN(1620,2416)))</f>
        <v>65294302.185240149</v>
      </c>
      <c r="B6906">
        <v>172843998.67771682</v>
      </c>
    </row>
    <row r="6907" spans="1:2" x14ac:dyDescent="0.25">
      <c r="A6907">
        <f ca="1">30856.282463293*((RANDBETWEEN(1620,2416)))</f>
        <v>55849871.258560255</v>
      </c>
      <c r="B6907">
        <v>146631332.70520574</v>
      </c>
    </row>
    <row r="6908" spans="1:2" x14ac:dyDescent="0.25">
      <c r="A6908">
        <f ca="1">30482.5922192952*((RANDBETWEEN(1620,2416)))</f>
        <v>61910144.797388472</v>
      </c>
      <c r="B6908">
        <v>145872393.50561827</v>
      </c>
    </row>
    <row r="6909" spans="1:2" x14ac:dyDescent="0.25">
      <c r="A6909">
        <f ca="1">32447.4593964844*((RANDBETWEEN(1620,2416)))</f>
        <v>56945291.240830183</v>
      </c>
      <c r="B6909">
        <v>158256600.25603086</v>
      </c>
    </row>
    <row r="6910" spans="1:2" x14ac:dyDescent="0.25">
      <c r="A6910">
        <f ca="1">29484.977770677*((RANDBETWEEN(1620,2416)))</f>
        <v>70056307.183128566</v>
      </c>
      <c r="B6910">
        <v>193262528.86806971</v>
      </c>
    </row>
    <row r="6911" spans="1:2" x14ac:dyDescent="0.25">
      <c r="A6911">
        <f ca="1">37090.0380622428*((RANDBETWEEN(1620,2416)))</f>
        <v>84824917.048349395</v>
      </c>
      <c r="B6911">
        <v>166354128.94523692</v>
      </c>
    </row>
    <row r="6912" spans="1:2" x14ac:dyDescent="0.25">
      <c r="A6912">
        <f ca="1">30467.0624470582*((RANDBETWEEN(1620,2416)))</f>
        <v>50301120.100093022</v>
      </c>
      <c r="B6912">
        <v>179786936.92563516</v>
      </c>
    </row>
    <row r="6913" spans="1:2" x14ac:dyDescent="0.25">
      <c r="A6913">
        <f ca="1">39258.7119715413*((RANDBETWEEN(1620,2416)))</f>
        <v>66661292.927677184</v>
      </c>
      <c r="B6913">
        <v>184196106.90299594</v>
      </c>
    </row>
    <row r="6914" spans="1:2" x14ac:dyDescent="0.25">
      <c r="A6914">
        <f ca="1">37265.5709932104*((RANDBETWEEN(1620,2416)))</f>
        <v>65065686.954145387</v>
      </c>
      <c r="B6914">
        <v>144278254.79902995</v>
      </c>
    </row>
    <row r="6915" spans="1:2" x14ac:dyDescent="0.25">
      <c r="A6915">
        <f ca="1">30962.7532477869*((RANDBETWEEN(1620,2416)))</f>
        <v>63721346.183945365</v>
      </c>
      <c r="B6915">
        <v>148216680.00404093</v>
      </c>
    </row>
    <row r="6916" spans="1:2" x14ac:dyDescent="0.25">
      <c r="A6916">
        <f ca="1">30401.4448223636*((RANDBETWEEN(1620,2416)))</f>
        <v>60681283.865437672</v>
      </c>
      <c r="B6916">
        <v>155389797.98104972</v>
      </c>
    </row>
    <row r="6917" spans="1:2" x14ac:dyDescent="0.25">
      <c r="A6917">
        <f ca="1">37296.4717801847*((RANDBETWEEN(1620,2416)))</f>
        <v>75152390.637072116</v>
      </c>
      <c r="B6917">
        <v>159046926.35181713</v>
      </c>
    </row>
    <row r="6918" spans="1:2" x14ac:dyDescent="0.25">
      <c r="A6918">
        <f ca="1">36952.1098183144*((RANDBETWEEN(1620,2416)))</f>
        <v>87539548.159586772</v>
      </c>
      <c r="B6918">
        <v>143719543.17945337</v>
      </c>
    </row>
    <row r="6919" spans="1:2" x14ac:dyDescent="0.25">
      <c r="A6919">
        <f ca="1">32480.0905365925*((RANDBETWEEN(1620,2416)))</f>
        <v>73047723.616796494</v>
      </c>
      <c r="B6919">
        <v>188660758.654827</v>
      </c>
    </row>
    <row r="6920" spans="1:2" x14ac:dyDescent="0.25">
      <c r="A6920">
        <f ca="1">30352.8525688048*((RANDBETWEEN(1620,2416)))</f>
        <v>60311118.054215215</v>
      </c>
      <c r="B6920">
        <v>144564759.62771112</v>
      </c>
    </row>
    <row r="6921" spans="1:2" x14ac:dyDescent="0.25">
      <c r="A6921">
        <f ca="1">34451.5701083666*((RANDBETWEEN(1620,2416)))</f>
        <v>61737213.634192891</v>
      </c>
      <c r="B6921">
        <v>150910996.64441362</v>
      </c>
    </row>
    <row r="6922" spans="1:2" x14ac:dyDescent="0.25">
      <c r="A6922">
        <f ca="1">29655.528870394*((RANDBETWEEN(1620,2416)))</f>
        <v>53528229.61106123</v>
      </c>
      <c r="B6922">
        <v>154148233.07114089</v>
      </c>
    </row>
    <row r="6923" spans="1:2" x14ac:dyDescent="0.25">
      <c r="A6923">
        <f ca="1">31881.7281276325*((RANDBETWEEN(1620,2416)))</f>
        <v>71160017.180875748</v>
      </c>
      <c r="B6923">
        <v>148843797.48625946</v>
      </c>
    </row>
    <row r="6924" spans="1:2" x14ac:dyDescent="0.25">
      <c r="A6924">
        <f ca="1">34781.2955630053*((RANDBETWEEN(1620,2416)))</f>
        <v>81875169.755314574</v>
      </c>
      <c r="B6924">
        <v>152983748.09464031</v>
      </c>
    </row>
    <row r="6925" spans="1:2" x14ac:dyDescent="0.25">
      <c r="A6925">
        <f ca="1">30180.6455806488*((RANDBETWEEN(1620,2416)))</f>
        <v>64586581.542588495</v>
      </c>
      <c r="B6925">
        <v>153978028.5068956</v>
      </c>
    </row>
    <row r="6926" spans="1:2" x14ac:dyDescent="0.25">
      <c r="A6926">
        <f ca="1">38949.4105360723*((RANDBETWEEN(1620,2416)))</f>
        <v>66992986.122044377</v>
      </c>
      <c r="B6926">
        <v>149801310.89472574</v>
      </c>
    </row>
    <row r="6927" spans="1:2" x14ac:dyDescent="0.25">
      <c r="A6927">
        <f ca="1">35207.3176166576*((RANDBETWEEN(1620,2416)))</f>
        <v>77737757.297579899</v>
      </c>
      <c r="B6927">
        <v>200618208.49293545</v>
      </c>
    </row>
    <row r="6928" spans="1:2" x14ac:dyDescent="0.25">
      <c r="A6928">
        <f ca="1">39916.3660464209*((RANDBETWEEN(1620,2416)))</f>
        <v>69534309.652865276</v>
      </c>
      <c r="B6928">
        <v>199530765.08437476</v>
      </c>
    </row>
    <row r="6929" spans="1:2" x14ac:dyDescent="0.25">
      <c r="A6929">
        <f ca="1">37147.727035609*((RANDBETWEEN(1620,2416)))</f>
        <v>79719022.21841681</v>
      </c>
      <c r="B6929">
        <v>176962841.13640016</v>
      </c>
    </row>
    <row r="6930" spans="1:2" x14ac:dyDescent="0.25">
      <c r="A6930">
        <f ca="1">31311.3479111899*((RANDBETWEEN(1620,2416)))</f>
        <v>52321262.359598339</v>
      </c>
      <c r="B6930">
        <v>143986408.00677097</v>
      </c>
    </row>
    <row r="6931" spans="1:2" x14ac:dyDescent="0.25">
      <c r="A6931">
        <f ca="1">35892.2379270908*((RANDBETWEEN(1620,2416)))</f>
        <v>61519295.80703368</v>
      </c>
      <c r="B6931">
        <v>179041290.56089529</v>
      </c>
    </row>
    <row r="6932" spans="1:2" x14ac:dyDescent="0.25">
      <c r="A6932">
        <f ca="1">32676.4828473551*((RANDBETWEEN(1620,2416)))</f>
        <v>66006495.351657212</v>
      </c>
      <c r="B6932">
        <v>169654061.76113701</v>
      </c>
    </row>
    <row r="6933" spans="1:2" x14ac:dyDescent="0.25">
      <c r="A6933">
        <f ca="1">34747.8885009779*((RANDBETWEEN(1620,2416)))</f>
        <v>61642754.200734764</v>
      </c>
      <c r="B6933">
        <v>148962024.31327766</v>
      </c>
    </row>
    <row r="6934" spans="1:2" x14ac:dyDescent="0.25">
      <c r="A6934">
        <f ca="1">36934.6876646056*((RANDBETWEEN(1620,2416)))</f>
        <v>87904556.641761333</v>
      </c>
      <c r="B6934">
        <v>145177280.05597466</v>
      </c>
    </row>
    <row r="6935" spans="1:2" x14ac:dyDescent="0.25">
      <c r="A6935">
        <f ca="1">34328.7195033095*((RANDBETWEEN(1620,2416)))</f>
        <v>74184362.846651942</v>
      </c>
      <c r="B6935">
        <v>142967546.46677494</v>
      </c>
    </row>
    <row r="6936" spans="1:2" x14ac:dyDescent="0.25">
      <c r="A6936">
        <f ca="1">32664.5934927965*((RANDBETWEEN(1620,2416)))</f>
        <v>56019777.84014596</v>
      </c>
      <c r="B6936">
        <v>148761090.4042154</v>
      </c>
    </row>
    <row r="6937" spans="1:2" x14ac:dyDescent="0.25">
      <c r="A6937">
        <f ca="1">31455.9006092485*((RANDBETWEEN(1620,2416)))</f>
        <v>72505850.904317841</v>
      </c>
      <c r="B6937">
        <v>160011557.26841098</v>
      </c>
    </row>
    <row r="6938" spans="1:2" x14ac:dyDescent="0.25">
      <c r="A6938">
        <f ca="1">30326.5090763455*((RANDBETWEEN(1620,2416)))</f>
        <v>66415054.877196722</v>
      </c>
      <c r="B6938">
        <v>145969265.6796357</v>
      </c>
    </row>
    <row r="6939" spans="1:2" x14ac:dyDescent="0.25">
      <c r="A6939">
        <f ca="1">37393.1549929594*((RANDBETWEEN(1620,2416)))</f>
        <v>80769214.784792244</v>
      </c>
      <c r="B6939">
        <v>190040228.68420693</v>
      </c>
    </row>
    <row r="6940" spans="1:2" x14ac:dyDescent="0.25">
      <c r="A6940">
        <f ca="1">31102.0215868766*((RANDBETWEEN(1620,2416)))</f>
        <v>58409596.540154323</v>
      </c>
      <c r="B6940">
        <v>173240161.6511808</v>
      </c>
    </row>
    <row r="6941" spans="1:2" x14ac:dyDescent="0.25">
      <c r="A6941">
        <f ca="1">31960.6812558655*((RANDBETWEEN(1620,2416)))</f>
        <v>57049816.041719854</v>
      </c>
      <c r="B6941">
        <v>199387808.94343245</v>
      </c>
    </row>
    <row r="6942" spans="1:2" x14ac:dyDescent="0.25">
      <c r="A6942">
        <f ca="1">31996.1409218364*((RANDBETWEEN(1620,2416)))</f>
        <v>58552937.886960573</v>
      </c>
      <c r="B6942">
        <v>143225411.54765597</v>
      </c>
    </row>
    <row r="6943" spans="1:2" x14ac:dyDescent="0.25">
      <c r="A6943">
        <f ca="1">31633.5217436582*((RANDBETWEEN(1620,2416)))</f>
        <v>59850623.139001235</v>
      </c>
      <c r="B6943">
        <v>180654383.92364562</v>
      </c>
    </row>
    <row r="6944" spans="1:2" x14ac:dyDescent="0.25">
      <c r="A6944">
        <f ca="1">36759.1053400699*((RANDBETWEEN(1620,2416)))</f>
        <v>63335938.500940502</v>
      </c>
      <c r="B6944">
        <v>182287870.82947958</v>
      </c>
    </row>
    <row r="6945" spans="1:2" x14ac:dyDescent="0.25">
      <c r="A6945">
        <f ca="1">33675.7580240771*((RANDBETWEEN(1620,2416)))</f>
        <v>72874340.364102855</v>
      </c>
      <c r="B6945">
        <v>186259408.36765802</v>
      </c>
    </row>
    <row r="6946" spans="1:2" x14ac:dyDescent="0.25">
      <c r="A6946">
        <f ca="1">31273.2132050474*((RANDBETWEEN(1620,2416)))</f>
        <v>58637274.759463824</v>
      </c>
      <c r="B6946">
        <v>174915888.60398582</v>
      </c>
    </row>
    <row r="6947" spans="1:2" x14ac:dyDescent="0.25">
      <c r="A6947">
        <f ca="1">32169.5202063664*((RANDBETWEEN(1620,2416)))</f>
        <v>66655245.86759124</v>
      </c>
      <c r="B6947">
        <v>143267323.32845917</v>
      </c>
    </row>
    <row r="6948" spans="1:2" x14ac:dyDescent="0.25">
      <c r="A6948">
        <f ca="1">29834.2037608149*((RANDBETWEEN(1620,2416)))</f>
        <v>57550179.054612011</v>
      </c>
      <c r="B6948">
        <v>190445062.1693095</v>
      </c>
    </row>
    <row r="6949" spans="1:2" x14ac:dyDescent="0.25">
      <c r="A6949">
        <f ca="1">30425.2455982134*((RANDBETWEEN(1620,2416)))</f>
        <v>60363687.266855381</v>
      </c>
      <c r="B6949">
        <v>167715361.8826853</v>
      </c>
    </row>
    <row r="6950" spans="1:2" x14ac:dyDescent="0.25">
      <c r="A6950">
        <f ca="1">33292.7256197603*((RANDBETWEEN(1620,2416)))</f>
        <v>70414114.685793087</v>
      </c>
      <c r="B6950">
        <v>181415031.19538498</v>
      </c>
    </row>
    <row r="6951" spans="1:2" x14ac:dyDescent="0.25">
      <c r="A6951">
        <f ca="1">36875.8618973036*((RANDBETWEEN(1620,2416)))</f>
        <v>69990385.881082207</v>
      </c>
      <c r="B6951">
        <v>161973163.12915689</v>
      </c>
    </row>
    <row r="6952" spans="1:2" x14ac:dyDescent="0.25">
      <c r="A6952">
        <f ca="1">39392.1431772698*((RANDBETWEEN(1620,2416)))</f>
        <v>81817481.379189461</v>
      </c>
      <c r="B6952">
        <v>197709158.92775023</v>
      </c>
    </row>
    <row r="6953" spans="1:2" x14ac:dyDescent="0.25">
      <c r="A6953">
        <f ca="1">30233.1942572085*((RANDBETWEEN(1620,2416)))</f>
        <v>50217335.661223292</v>
      </c>
      <c r="B6953">
        <v>143833872.08612445</v>
      </c>
    </row>
    <row r="6954" spans="1:2" x14ac:dyDescent="0.25">
      <c r="A6954">
        <f ca="1">30722.5911638167*((RANDBETWEEN(1620,2416)))</f>
        <v>71307134.091218516</v>
      </c>
      <c r="B6954">
        <v>172164191.17692152</v>
      </c>
    </row>
    <row r="6955" spans="1:2" x14ac:dyDescent="0.25">
      <c r="A6955">
        <f ca="1">33035.7873531003*((RANDBETWEEN(1620,2416)))</f>
        <v>56920661.609391764</v>
      </c>
      <c r="B6955">
        <v>156782865.74505958</v>
      </c>
    </row>
    <row r="6956" spans="1:2" x14ac:dyDescent="0.25">
      <c r="A6956">
        <f ca="1">26937.5826421709*((RANDBETWEEN(1620,2416)))</f>
        <v>52474410.986948974</v>
      </c>
      <c r="B6956">
        <v>182298771.70905373</v>
      </c>
    </row>
    <row r="6957" spans="1:2" x14ac:dyDescent="0.25">
      <c r="A6957">
        <f ca="1">40168.059393428*((RANDBETWEEN(1620,2416)))</f>
        <v>80456622.965036333</v>
      </c>
      <c r="B6957">
        <v>158546061.6956681</v>
      </c>
    </row>
    <row r="6958" spans="1:2" x14ac:dyDescent="0.25">
      <c r="A6958">
        <f ca="1">30794.9073202331*((RANDBETWEEN(1620,2416)))</f>
        <v>67040513.236147411</v>
      </c>
      <c r="B6958">
        <v>154213128.98222059</v>
      </c>
    </row>
    <row r="6959" spans="1:2" x14ac:dyDescent="0.25">
      <c r="A6959">
        <f ca="1">36379.1530710499*((RANDBETWEEN(1620,2416)))</f>
        <v>67046779.10994488</v>
      </c>
      <c r="B6959">
        <v>163684646.758055</v>
      </c>
    </row>
    <row r="6960" spans="1:2" x14ac:dyDescent="0.25">
      <c r="A6960">
        <f ca="1">33718.4379364597*((RANDBETWEEN(1620,2416)))</f>
        <v>78429086.640205294</v>
      </c>
      <c r="B6960">
        <v>164443461.24123204</v>
      </c>
    </row>
    <row r="6961" spans="1:2" x14ac:dyDescent="0.25">
      <c r="A6961">
        <f ca="1">33570.2886775202*((RANDBETWEEN(1620,2416)))</f>
        <v>63246423.868448094</v>
      </c>
      <c r="B6961">
        <v>165551940.25562137</v>
      </c>
    </row>
    <row r="6962" spans="1:2" x14ac:dyDescent="0.25">
      <c r="A6962">
        <f ca="1">32942.6025202412*((RANDBETWEEN(1620,2416)))</f>
        <v>66939368.321130186</v>
      </c>
      <c r="B6962">
        <v>161821661.15342861</v>
      </c>
    </row>
    <row r="6963" spans="1:2" x14ac:dyDescent="0.25">
      <c r="A6963">
        <f ca="1">34587.1300106505*((RANDBETWEEN(1620,2416)))</f>
        <v>73117192.842515215</v>
      </c>
      <c r="B6963">
        <v>148241825.81862697</v>
      </c>
    </row>
    <row r="6964" spans="1:2" x14ac:dyDescent="0.25">
      <c r="A6964">
        <f ca="1">41180.3404474071*((RANDBETWEEN(1620,2416)))</f>
        <v>67906381.397774309</v>
      </c>
      <c r="B6964">
        <v>158261528.4067128</v>
      </c>
    </row>
    <row r="6965" spans="1:2" x14ac:dyDescent="0.25">
      <c r="A6965">
        <f ca="1">34406.1064929976*((RANDBETWEEN(1620,2416)))</f>
        <v>73629067.895014778</v>
      </c>
      <c r="B6965">
        <v>163547297.05468893</v>
      </c>
    </row>
    <row r="6966" spans="1:2" x14ac:dyDescent="0.25">
      <c r="A6966">
        <f ca="1">32359.6842815283*((RANDBETWEEN(1620,2416)))</f>
        <v>72615131.527749389</v>
      </c>
      <c r="B6966">
        <v>165156873.31729624</v>
      </c>
    </row>
    <row r="6967" spans="1:2" x14ac:dyDescent="0.25">
      <c r="A6967">
        <f ca="1">41246.9776866494*((RANDBETWEEN(1620,2416)))</f>
        <v>76760625.474854618</v>
      </c>
      <c r="B6967">
        <v>177587442.60601953</v>
      </c>
    </row>
    <row r="6968" spans="1:2" x14ac:dyDescent="0.25">
      <c r="A6968">
        <f ca="1">34425.6230325259*((RANDBETWEEN(1620,2416)))</f>
        <v>60072712.191757686</v>
      </c>
      <c r="B6968">
        <v>181464593.89925498</v>
      </c>
    </row>
    <row r="6969" spans="1:2" x14ac:dyDescent="0.25">
      <c r="A6969">
        <f ca="1">33362.0409749328*((RANDBETWEEN(1620,2416)))</f>
        <v>65122703.983068772</v>
      </c>
      <c r="B6969">
        <v>151289351.79554942</v>
      </c>
    </row>
    <row r="6970" spans="1:2" x14ac:dyDescent="0.25">
      <c r="A6970">
        <f ca="1">37243.7983666365*((RANDBETWEEN(1620,2416)))</f>
        <v>81414943.229467347</v>
      </c>
      <c r="B6970">
        <v>163762999.32009533</v>
      </c>
    </row>
    <row r="6971" spans="1:2" x14ac:dyDescent="0.25">
      <c r="A6971">
        <f ca="1">32199.8262474023*((RANDBETWEEN(1620,2416)))</f>
        <v>77311782.820012987</v>
      </c>
      <c r="B6971">
        <v>159713706.18857965</v>
      </c>
    </row>
    <row r="6972" spans="1:2" x14ac:dyDescent="0.25">
      <c r="A6972">
        <f ca="1">34960.7193660712*((RANDBETWEEN(1620,2416)))</f>
        <v>74501292.969097704</v>
      </c>
      <c r="B6972">
        <v>150439247.14023593</v>
      </c>
    </row>
    <row r="6973" spans="1:2" x14ac:dyDescent="0.25">
      <c r="A6973">
        <f ca="1">31822.7664631004*((RANDBETWEEN(1620,2416)))</f>
        <v>72460439.236479685</v>
      </c>
      <c r="B6973">
        <v>170089949.91255233</v>
      </c>
    </row>
    <row r="6974" spans="1:2" x14ac:dyDescent="0.25">
      <c r="A6974">
        <f ca="1">32781.6911717308*((RANDBETWEEN(1620,2416)))</f>
        <v>72677009.327727124</v>
      </c>
      <c r="B6974">
        <v>152969553.18866062</v>
      </c>
    </row>
    <row r="6975" spans="1:2" x14ac:dyDescent="0.25">
      <c r="A6975">
        <f ca="1">34794.165035066*((RANDBETWEEN(1620,2416)))</f>
        <v>73172129.068743795</v>
      </c>
      <c r="B6975">
        <v>184103539.97919628</v>
      </c>
    </row>
    <row r="6976" spans="1:2" x14ac:dyDescent="0.25">
      <c r="A6976">
        <f ca="1">39446.7512073653*((RANDBETWEEN(1620,2416)))</f>
        <v>88045148.694839373</v>
      </c>
      <c r="B6976">
        <v>175215522.56734529</v>
      </c>
    </row>
    <row r="6977" spans="1:2" x14ac:dyDescent="0.25">
      <c r="A6977">
        <f ca="1">32467.540489007*((RANDBETWEEN(1620,2416)))</f>
        <v>76785733.256501645</v>
      </c>
      <c r="B6977">
        <v>176947643.17816442</v>
      </c>
    </row>
    <row r="6978" spans="1:2" x14ac:dyDescent="0.25">
      <c r="A6978">
        <f ca="1">29503.0086400075*((RANDBETWEEN(1620,2416)))</f>
        <v>54580565.98401387</v>
      </c>
      <c r="B6978">
        <v>166115987.35544658</v>
      </c>
    </row>
    <row r="6979" spans="1:2" x14ac:dyDescent="0.25">
      <c r="A6979">
        <f ca="1">37443.0122109967*((RANDBETWEEN(1620,2416)))</f>
        <v>67434864.992005125</v>
      </c>
      <c r="B6979">
        <v>180703796.61927298</v>
      </c>
    </row>
    <row r="6980" spans="1:2" x14ac:dyDescent="0.25">
      <c r="A6980">
        <f ca="1">37731.9198061685*((RANDBETWEEN(1620,2416)))</f>
        <v>82557440.535896569</v>
      </c>
      <c r="B6980">
        <v>195576197.15106577</v>
      </c>
    </row>
    <row r="6981" spans="1:2" x14ac:dyDescent="0.25">
      <c r="A6981">
        <f ca="1">37261.1165130103*((RANDBETWEEN(1620,2416)))</f>
        <v>72659177.200370178</v>
      </c>
      <c r="B6981">
        <v>198981254.04162252</v>
      </c>
    </row>
    <row r="6982" spans="1:2" x14ac:dyDescent="0.25">
      <c r="A6982">
        <f ca="1">32834.0627702715*((RANDBETWEEN(1620,2416)))</f>
        <v>62056378.635813117</v>
      </c>
      <c r="B6982">
        <v>161332244.69416878</v>
      </c>
    </row>
    <row r="6983" spans="1:2" x14ac:dyDescent="0.25">
      <c r="A6983">
        <f ca="1">30239.7686461856*((RANDBETWEEN(1620,2416)))</f>
        <v>66104134.26056163</v>
      </c>
      <c r="B6983">
        <v>160797402.53716141</v>
      </c>
    </row>
    <row r="6984" spans="1:2" x14ac:dyDescent="0.25">
      <c r="A6984">
        <f ca="1">36367.0925072766*((RANDBETWEEN(1620,2416)))</f>
        <v>59860234.266977347</v>
      </c>
      <c r="B6984">
        <v>174743366.89309067</v>
      </c>
    </row>
    <row r="6985" spans="1:2" x14ac:dyDescent="0.25">
      <c r="A6985">
        <f ca="1">32218.6928821415*((RANDBETWEEN(1620,2416)))</f>
        <v>75488397.422857612</v>
      </c>
      <c r="B6985">
        <v>156085713.93746853</v>
      </c>
    </row>
    <row r="6986" spans="1:2" x14ac:dyDescent="0.25">
      <c r="A6986">
        <f ca="1">31611.4366673873*((RANDBETWEEN(1620,2416)))</f>
        <v>64645387.984806933</v>
      </c>
      <c r="B6986">
        <v>148415775.95429182</v>
      </c>
    </row>
    <row r="6987" spans="1:2" x14ac:dyDescent="0.25">
      <c r="A6987">
        <f ca="1">30135.1264034166*((RANDBETWEEN(1620,2416)))</f>
        <v>49331201.922393009</v>
      </c>
      <c r="B6987">
        <v>179620128.61230218</v>
      </c>
    </row>
    <row r="6988" spans="1:2" x14ac:dyDescent="0.25">
      <c r="A6988">
        <f ca="1">31808.7690143426*((RANDBETWEEN(1620,2416)))</f>
        <v>58591752.524419017</v>
      </c>
      <c r="B6988">
        <v>146813843.34471434</v>
      </c>
    </row>
    <row r="6989" spans="1:2" x14ac:dyDescent="0.25">
      <c r="A6989">
        <f ca="1">34028.8027933351*((RANDBETWEEN(1620,2416)))</f>
        <v>70643794.598963603</v>
      </c>
      <c r="B6989">
        <v>153008833.42175937</v>
      </c>
    </row>
    <row r="6990" spans="1:2" x14ac:dyDescent="0.25">
      <c r="A6990">
        <f ca="1">39612.0337459302*((RANDBETWEEN(1620,2416)))</f>
        <v>83581391.203912616</v>
      </c>
      <c r="B6990">
        <v>154527186.89012921</v>
      </c>
    </row>
    <row r="6991" spans="1:2" x14ac:dyDescent="0.25">
      <c r="A6991">
        <f ca="1">33695.2823005162*((RANDBETWEEN(1620,2416)))</f>
        <v>61493890.198442012</v>
      </c>
      <c r="B6991">
        <v>173780108.99284914</v>
      </c>
    </row>
    <row r="6992" spans="1:2" x14ac:dyDescent="0.25">
      <c r="A6992">
        <f ca="1">35596.249061787*((RANDBETWEEN(1620,2416)))</f>
        <v>60691604.650346793</v>
      </c>
      <c r="B6992">
        <v>162977947.44344756</v>
      </c>
    </row>
    <row r="6993" spans="1:2" x14ac:dyDescent="0.25">
      <c r="A6993">
        <f ca="1">32560.0506211195*((RANDBETWEEN(1620,2416)))</f>
        <v>64306099.976711072</v>
      </c>
      <c r="B6993">
        <v>182477608.42446721</v>
      </c>
    </row>
    <row r="6994" spans="1:2" x14ac:dyDescent="0.25">
      <c r="A6994">
        <f ca="1">31121.922076049*((RANDBETWEEN(1620,2416)))</f>
        <v>64826963.684409983</v>
      </c>
      <c r="B6994">
        <v>143476446.3262302</v>
      </c>
    </row>
    <row r="6995" spans="1:2" x14ac:dyDescent="0.25">
      <c r="A6995">
        <f ca="1">36140.4338308492*((RANDBETWEEN(1620,2416)))</f>
        <v>76075613.213937521</v>
      </c>
      <c r="B6995">
        <v>151510572.6621691</v>
      </c>
    </row>
    <row r="6996" spans="1:2" x14ac:dyDescent="0.25">
      <c r="A6996">
        <f ca="1">31635.929964022*((RANDBETWEEN(1620,2416)))</f>
        <v>72319735.897754401</v>
      </c>
      <c r="B6996">
        <v>196222489.95911145</v>
      </c>
    </row>
    <row r="6997" spans="1:2" x14ac:dyDescent="0.25">
      <c r="A6997">
        <f ca="1">29731.6269269068*((RANDBETWEEN(1620,2416)))</f>
        <v>59938959.884644143</v>
      </c>
      <c r="B6997">
        <v>195604555.3943941</v>
      </c>
    </row>
    <row r="6998" spans="1:2" x14ac:dyDescent="0.25">
      <c r="A6998">
        <f ca="1">32058.5581289009*((RANDBETWEEN(1620,2416)))</f>
        <v>53088972.261459894</v>
      </c>
      <c r="B6998">
        <v>183600808.64687085</v>
      </c>
    </row>
    <row r="6999" spans="1:2" x14ac:dyDescent="0.25">
      <c r="A6999">
        <f ca="1">37967.5439439217*((RANDBETWEEN(1620,2416)))</f>
        <v>74644191.393750057</v>
      </c>
      <c r="B6999">
        <v>149409470.90858638</v>
      </c>
    </row>
    <row r="7000" spans="1:2" x14ac:dyDescent="0.25">
      <c r="A7000">
        <f ca="1">28664.2339262112*((RANDBETWEEN(1620,2416)))</f>
        <v>68564847.551497132</v>
      </c>
      <c r="B7000">
        <v>181580877.7893824</v>
      </c>
    </row>
    <row r="7001" spans="1:2" x14ac:dyDescent="0.25">
      <c r="A7001">
        <f ca="1">28842.5642293259*((RANDBETWEEN(1620,2416)))</f>
        <v>60454014.624667086</v>
      </c>
      <c r="B7001">
        <v>150671924.33628854</v>
      </c>
    </row>
    <row r="7002" spans="1:2" x14ac:dyDescent="0.25">
      <c r="A7002">
        <f ca="1">31523.5178565584*((RANDBETWEEN(1620,2416)))</f>
        <v>70801821.105830237</v>
      </c>
      <c r="B7002">
        <v>161535698.48003018</v>
      </c>
    </row>
    <row r="7003" spans="1:2" x14ac:dyDescent="0.25">
      <c r="A7003">
        <f ca="1">39120.1558340866*((RANDBETWEEN(1620,2416)))</f>
        <v>66034823.047938183</v>
      </c>
      <c r="B7003">
        <v>150442515.8952378</v>
      </c>
    </row>
    <row r="7004" spans="1:2" x14ac:dyDescent="0.25">
      <c r="A7004">
        <f ca="1">33823.5483317358*((RANDBETWEEN(1620,2416)))</f>
        <v>71705922.463279828</v>
      </c>
      <c r="B7004">
        <v>180600381.99731529</v>
      </c>
    </row>
    <row r="7005" spans="1:2" x14ac:dyDescent="0.25">
      <c r="A7005">
        <f ca="1">38091.4800126969*((RANDBETWEEN(1620,2416)))</f>
        <v>89857801.349951878</v>
      </c>
      <c r="B7005">
        <v>150724516.6000624</v>
      </c>
    </row>
    <row r="7006" spans="1:2" x14ac:dyDescent="0.25">
      <c r="A7006">
        <f ca="1">40989.8573640876*((RANDBETWEEN(1620,2416)))</f>
        <v>92678067.500202149</v>
      </c>
      <c r="B7006">
        <v>145740101.92705536</v>
      </c>
    </row>
    <row r="7007" spans="1:2" x14ac:dyDescent="0.25">
      <c r="A7007">
        <f ca="1">36001.9337378749*((RANDBETWEEN(1620,2416)))</f>
        <v>72111873.276963457</v>
      </c>
      <c r="B7007">
        <v>189603020.95797449</v>
      </c>
    </row>
    <row r="7008" spans="1:2" x14ac:dyDescent="0.25">
      <c r="A7008">
        <f ca="1">38046.4886623239*((RANDBETWEEN(1620,2416)))</f>
        <v>84539297.807683766</v>
      </c>
      <c r="B7008">
        <v>152001604.36509994</v>
      </c>
    </row>
    <row r="7009" spans="1:2" x14ac:dyDescent="0.25">
      <c r="A7009">
        <f ca="1">31867.1926595968*((RANDBETWEEN(1620,2416)))</f>
        <v>70171558.236432239</v>
      </c>
      <c r="B7009">
        <v>188055988.9482522</v>
      </c>
    </row>
    <row r="7010" spans="1:2" x14ac:dyDescent="0.25">
      <c r="A7010">
        <f ca="1">40878.1421823313*((RANDBETWEEN(1620,2416)))</f>
        <v>88542055.966929644</v>
      </c>
      <c r="B7010">
        <v>158520103.89640874</v>
      </c>
    </row>
    <row r="7011" spans="1:2" x14ac:dyDescent="0.25">
      <c r="A7011">
        <f ca="1">31335.7033871716*((RANDBETWEEN(1620,2416)))</f>
        <v>68029812.053549632</v>
      </c>
      <c r="B7011">
        <v>150052075.94296584</v>
      </c>
    </row>
    <row r="7012" spans="1:2" x14ac:dyDescent="0.25">
      <c r="A7012">
        <f ca="1">30612.345512355*((RANDBETWEEN(1620,2416)))</f>
        <v>62326735.463154882</v>
      </c>
      <c r="B7012">
        <v>174485257.7454322</v>
      </c>
    </row>
    <row r="7013" spans="1:2" x14ac:dyDescent="0.25">
      <c r="A7013">
        <f ca="1">32572.2516369511*((RANDBETWEEN(1620,2416)))</f>
        <v>63157595.924048096</v>
      </c>
      <c r="B7013">
        <v>145798904.52739269</v>
      </c>
    </row>
    <row r="7014" spans="1:2" x14ac:dyDescent="0.25">
      <c r="A7014">
        <f ca="1">39588.5599827073*((RANDBETWEEN(1620,2416)))</f>
        <v>92874761.719431415</v>
      </c>
      <c r="B7014">
        <v>168324464.8693921</v>
      </c>
    </row>
    <row r="7015" spans="1:2" x14ac:dyDescent="0.25">
      <c r="A7015">
        <f ca="1">30181.0001207353*((RANDBETWEEN(1620,2416)))</f>
        <v>53782542.215150394</v>
      </c>
      <c r="B7015">
        <v>143058541.72959489</v>
      </c>
    </row>
    <row r="7016" spans="1:2" x14ac:dyDescent="0.25">
      <c r="A7016">
        <f ca="1">30230.7664636142*((RANDBETWEEN(1620,2416)))</f>
        <v>72191070.315110803</v>
      </c>
      <c r="B7016">
        <v>177287112.80410898</v>
      </c>
    </row>
    <row r="7017" spans="1:2" x14ac:dyDescent="0.25">
      <c r="A7017">
        <f ca="1">28987.9910758181*((RANDBETWEEN(1620,2416)))</f>
        <v>57048366.437209971</v>
      </c>
      <c r="B7017">
        <v>144521233.92427999</v>
      </c>
    </row>
    <row r="7018" spans="1:2" x14ac:dyDescent="0.25">
      <c r="A7018">
        <f ca="1">37884.558266732*((RANDBETWEEN(1620,2416)))</f>
        <v>80959301.016006202</v>
      </c>
      <c r="B7018">
        <v>152870390.57535103</v>
      </c>
    </row>
    <row r="7019" spans="1:2" x14ac:dyDescent="0.25">
      <c r="A7019">
        <f ca="1">40939.6073609266*((RANDBETWEEN(1620,2416)))</f>
        <v>72585923.850922942</v>
      </c>
      <c r="B7019">
        <v>202170630.37352723</v>
      </c>
    </row>
    <row r="7020" spans="1:2" x14ac:dyDescent="0.25">
      <c r="A7020">
        <f ca="1">38579.3465849557*((RANDBETWEEN(1620,2416)))</f>
        <v>78971922.459404334</v>
      </c>
      <c r="B7020">
        <v>156673266.79495513</v>
      </c>
    </row>
    <row r="7021" spans="1:2" x14ac:dyDescent="0.25">
      <c r="A7021">
        <f ca="1">36356.3023659755*((RANDBETWEEN(1620,2416)))</f>
        <v>73585155.988734409</v>
      </c>
      <c r="B7021">
        <v>160262616.52808529</v>
      </c>
    </row>
    <row r="7022" spans="1:2" x14ac:dyDescent="0.25">
      <c r="A7022">
        <f ca="1">34088.0783686071*((RANDBETWEEN(1620,2416)))</f>
        <v>57745204.756420426</v>
      </c>
      <c r="B7022">
        <v>165238804.36808348</v>
      </c>
    </row>
    <row r="7023" spans="1:2" x14ac:dyDescent="0.25">
      <c r="A7023">
        <f ca="1">30733.2753272239*((RANDBETWEEN(1620,2416)))</f>
        <v>58239556.745089293</v>
      </c>
      <c r="B7023">
        <v>146136488.97974059</v>
      </c>
    </row>
    <row r="7024" spans="1:2" x14ac:dyDescent="0.25">
      <c r="A7024">
        <f ca="1">30954.4478336075*((RANDBETWEEN(1620,2416)))</f>
        <v>57699090.761844367</v>
      </c>
      <c r="B7024">
        <v>196156276.2888231</v>
      </c>
    </row>
    <row r="7025" spans="1:2" x14ac:dyDescent="0.25">
      <c r="A7025">
        <f ca="1">33162.9811202324*((RANDBETWEEN(1620,2416)))</f>
        <v>53823518.358137242</v>
      </c>
      <c r="B7025">
        <v>202057925.04467049</v>
      </c>
    </row>
    <row r="7026" spans="1:2" x14ac:dyDescent="0.25">
      <c r="A7026">
        <f ca="1">37991.7013921584*((RANDBETWEEN(1620,2416)))</f>
        <v>83429776.257179946</v>
      </c>
      <c r="B7026">
        <v>178149413.16570055</v>
      </c>
    </row>
    <row r="7027" spans="1:2" x14ac:dyDescent="0.25">
      <c r="A7027">
        <f ca="1">32197.2271585708*((RANDBETWEEN(1620,2416)))</f>
        <v>65167187.768947244</v>
      </c>
      <c r="B7027">
        <v>148628420.79644862</v>
      </c>
    </row>
    <row r="7028" spans="1:2" x14ac:dyDescent="0.25">
      <c r="A7028">
        <f ca="1">39501.997032954*((RANDBETWEEN(1620,2416)))</f>
        <v>81374113.887885168</v>
      </c>
      <c r="B7028">
        <v>197937178.86566567</v>
      </c>
    </row>
    <row r="7029" spans="1:2" x14ac:dyDescent="0.25">
      <c r="A7029">
        <f ca="1">33818.4457188168*((RANDBETWEEN(1620,2416)))</f>
        <v>80183534.799314588</v>
      </c>
      <c r="B7029">
        <v>201361098.65530017</v>
      </c>
    </row>
    <row r="7030" spans="1:2" x14ac:dyDescent="0.25">
      <c r="A7030">
        <f ca="1">32176.6888771707*((RANDBETWEEN(1620,2416)))</f>
        <v>72654963.484651402</v>
      </c>
      <c r="B7030">
        <v>143485826.21941295</v>
      </c>
    </row>
    <row r="7031" spans="1:2" x14ac:dyDescent="0.25">
      <c r="A7031">
        <f ca="1">31976.649129648*((RANDBETWEEN(1620,2416)))</f>
        <v>58741104.451163359</v>
      </c>
      <c r="B7031">
        <v>181700296.13999632</v>
      </c>
    </row>
    <row r="7032" spans="1:2" x14ac:dyDescent="0.25">
      <c r="A7032">
        <f ca="1">32588.8915654617*((RANDBETWEEN(1620,2416)))</f>
        <v>71825917.010277584</v>
      </c>
      <c r="B7032">
        <v>185566335.00535354</v>
      </c>
    </row>
    <row r="7033" spans="1:2" x14ac:dyDescent="0.25">
      <c r="A7033">
        <f ca="1">34962.3480464781*((RANDBETWEEN(1620,2416)))</f>
        <v>57303288.448177539</v>
      </c>
      <c r="B7033">
        <v>161566091.70473725</v>
      </c>
    </row>
    <row r="7034" spans="1:2" x14ac:dyDescent="0.25">
      <c r="A7034">
        <f ca="1">34813.4920874064*((RANDBETWEEN(1620,2416)))</f>
        <v>82751670.6917651</v>
      </c>
      <c r="B7034">
        <v>156024449.0885691</v>
      </c>
    </row>
    <row r="7035" spans="1:2" x14ac:dyDescent="0.25">
      <c r="A7035">
        <f ca="1">33844.1914768278*((RANDBETWEEN(1620,2416)))</f>
        <v>74423377.057544425</v>
      </c>
      <c r="B7035">
        <v>153515939.65065023</v>
      </c>
    </row>
    <row r="7036" spans="1:2" x14ac:dyDescent="0.25">
      <c r="A7036">
        <f ca="1">31505.5421388073*((RANDBETWEEN(1620,2416)))</f>
        <v>59797518.979456164</v>
      </c>
      <c r="B7036">
        <v>171585626.81348959</v>
      </c>
    </row>
    <row r="7037" spans="1:2" x14ac:dyDescent="0.25">
      <c r="A7037">
        <f ca="1">30021.6362404976*((RANDBETWEEN(1620,2416)))</f>
        <v>64336366.463386565</v>
      </c>
      <c r="B7037">
        <v>145688203.32544053</v>
      </c>
    </row>
    <row r="7038" spans="1:2" x14ac:dyDescent="0.25">
      <c r="A7038">
        <f ca="1">39071.1242724406*((RANDBETWEEN(1620,2416)))</f>
        <v>82518214.463394493</v>
      </c>
      <c r="B7038">
        <v>159793739.7023882</v>
      </c>
    </row>
    <row r="7039" spans="1:2" x14ac:dyDescent="0.25">
      <c r="A7039">
        <f ca="1">31072.8901715358*((RANDBETWEEN(1620,2416)))</f>
        <v>62052561.672556914</v>
      </c>
      <c r="B7039">
        <v>200295518.73954678</v>
      </c>
    </row>
    <row r="7040" spans="1:2" x14ac:dyDescent="0.25">
      <c r="A7040">
        <f ca="1">30411.0572912217*((RANDBETWEEN(1620,2416)))</f>
        <v>70310364.457304612</v>
      </c>
      <c r="B7040">
        <v>153504578.94529715</v>
      </c>
    </row>
    <row r="7041" spans="1:2" x14ac:dyDescent="0.25">
      <c r="A7041">
        <f ca="1">38576.9228640694*((RANDBETWEEN(1620,2416)))</f>
        <v>63883384.262898996</v>
      </c>
      <c r="B7041">
        <v>144737138.92838576</v>
      </c>
    </row>
    <row r="7042" spans="1:2" x14ac:dyDescent="0.25">
      <c r="A7042">
        <f ca="1">30166.3923917227*((RANDBETWEEN(1620,2416)))</f>
        <v>61177443.770413585</v>
      </c>
      <c r="B7042">
        <v>194870586.77979749</v>
      </c>
    </row>
    <row r="7043" spans="1:2" x14ac:dyDescent="0.25">
      <c r="A7043">
        <f ca="1">29761.790866416*((RANDBETWEEN(1620,2416)))</f>
        <v>71547345.242864087</v>
      </c>
      <c r="B7043">
        <v>144441897.24801594</v>
      </c>
    </row>
    <row r="7044" spans="1:2" x14ac:dyDescent="0.25">
      <c r="A7044">
        <f ca="1">30903.1740291044*((RANDBETWEEN(1620,2416)))</f>
        <v>60044867.138549797</v>
      </c>
      <c r="B7044">
        <v>181177640.85691565</v>
      </c>
    </row>
    <row r="7045" spans="1:2" x14ac:dyDescent="0.25">
      <c r="A7045">
        <f ca="1">31452.2999482234*((RANDBETWEEN(1620,2416)))</f>
        <v>57306090.50566306</v>
      </c>
      <c r="B7045">
        <v>153044472.1213848</v>
      </c>
    </row>
    <row r="7046" spans="1:2" x14ac:dyDescent="0.25">
      <c r="A7046">
        <f ca="1">32502.6306430147*((RANDBETWEEN(1620,2416)))</f>
        <v>61267458.762082696</v>
      </c>
      <c r="B7046">
        <v>169454883.72453031</v>
      </c>
    </row>
    <row r="7047" spans="1:2" x14ac:dyDescent="0.25">
      <c r="A7047">
        <f ca="1">29436.9046278563*((RANDBETWEEN(1620,2416)))</f>
        <v>58962119.969596244</v>
      </c>
      <c r="B7047">
        <v>196114887.31382492</v>
      </c>
    </row>
    <row r="7048" spans="1:2" x14ac:dyDescent="0.25">
      <c r="A7048">
        <f ca="1">31231.2435364799*((RANDBETWEEN(1620,2416)))</f>
        <v>63149574.430762343</v>
      </c>
      <c r="B7048">
        <v>188829704.69284251</v>
      </c>
    </row>
    <row r="7049" spans="1:2" x14ac:dyDescent="0.25">
      <c r="A7049">
        <f ca="1">42605.3407462852*((RANDBETWEEN(1620,2416)))</f>
        <v>72769921.994655162</v>
      </c>
      <c r="B7049">
        <v>201171946.10520187</v>
      </c>
    </row>
    <row r="7050" spans="1:2" x14ac:dyDescent="0.25">
      <c r="A7050">
        <f ca="1">34681.9470719089*((RANDBETWEEN(1620,2416)))</f>
        <v>66485292.53684929</v>
      </c>
      <c r="B7050">
        <v>188804052.01201063</v>
      </c>
    </row>
    <row r="7051" spans="1:2" x14ac:dyDescent="0.25">
      <c r="A7051">
        <f ca="1">35216.0329594986*((RANDBETWEEN(1620,2416)))</f>
        <v>66945678.656006776</v>
      </c>
      <c r="B7051">
        <v>148844478.39171112</v>
      </c>
    </row>
    <row r="7052" spans="1:2" x14ac:dyDescent="0.25">
      <c r="A7052">
        <f ca="1">30843.4450628805*((RANDBETWEEN(1620,2416)))</f>
        <v>72451252.452706233</v>
      </c>
      <c r="B7052">
        <v>145574343.52604452</v>
      </c>
    </row>
    <row r="7053" spans="1:2" x14ac:dyDescent="0.25">
      <c r="A7053">
        <f ca="1">38574.4412814959*((RANDBETWEEN(1620,2416)))</f>
        <v>67119527.829802871</v>
      </c>
      <c r="B7053">
        <v>171085656.07190078</v>
      </c>
    </row>
    <row r="7054" spans="1:2" x14ac:dyDescent="0.25">
      <c r="A7054">
        <f ca="1">38478.4459868778*((RANDBETWEEN(1620,2416)))</f>
        <v>62719866.958610803</v>
      </c>
      <c r="B7054">
        <v>145489526.38130912</v>
      </c>
    </row>
    <row r="7055" spans="1:2" x14ac:dyDescent="0.25">
      <c r="A7055">
        <f ca="1">40490.2339599847*((RANDBETWEEN(1620,2416)))</f>
        <v>88876063.542166308</v>
      </c>
      <c r="B7055">
        <v>169146604.81953412</v>
      </c>
    </row>
    <row r="7056" spans="1:2" x14ac:dyDescent="0.25">
      <c r="A7056">
        <f ca="1">39389.074519099*((RANDBETWEEN(1620,2416)))</f>
        <v>66016088.894009896</v>
      </c>
      <c r="B7056">
        <v>167989317.67214733</v>
      </c>
    </row>
    <row r="7057" spans="1:2" x14ac:dyDescent="0.25">
      <c r="A7057">
        <f ca="1">31642.1727635029*((RANDBETWEEN(1620,2416)))</f>
        <v>59487284.795385413</v>
      </c>
      <c r="B7057">
        <v>166641877.66565615</v>
      </c>
    </row>
    <row r="7058" spans="1:2" x14ac:dyDescent="0.25">
      <c r="A7058">
        <f ca="1">42523.2682191303*((RANDBETWEEN(1620,2416)))</f>
        <v>82325047.272236228</v>
      </c>
      <c r="B7058">
        <v>147973773.29457223</v>
      </c>
    </row>
    <row r="7059" spans="1:2" x14ac:dyDescent="0.25">
      <c r="A7059">
        <f ca="1">37629.0752967153*((RANDBETWEEN(1620,2416)))</f>
        <v>65060671.18802081</v>
      </c>
      <c r="B7059">
        <v>173710762.19583014</v>
      </c>
    </row>
    <row r="7060" spans="1:2" x14ac:dyDescent="0.25">
      <c r="A7060">
        <f ca="1">39880.5245467549*((RANDBETWEEN(1620,2416)))</f>
        <v>87338348.757393211</v>
      </c>
      <c r="B7060">
        <v>152616799.28017727</v>
      </c>
    </row>
    <row r="7061" spans="1:2" x14ac:dyDescent="0.25">
      <c r="A7061">
        <f ca="1">28899.1056960204*((RANDBETWEEN(1620,2416)))</f>
        <v>48955085.049058482</v>
      </c>
      <c r="B7061">
        <v>176603334.63044292</v>
      </c>
    </row>
    <row r="7062" spans="1:2" x14ac:dyDescent="0.25">
      <c r="A7062">
        <f ca="1">29882.0200053388*((RANDBETWEEN(1620,2416)))</f>
        <v>54803624.689791359</v>
      </c>
      <c r="B7062">
        <v>171769057.66936463</v>
      </c>
    </row>
    <row r="7063" spans="1:2" x14ac:dyDescent="0.25">
      <c r="A7063">
        <f ca="1">34286.2371231929*((RANDBETWEEN(1620,2416)))</f>
        <v>61543795.636131316</v>
      </c>
      <c r="B7063">
        <v>156515864.56640247</v>
      </c>
    </row>
    <row r="7064" spans="1:2" x14ac:dyDescent="0.25">
      <c r="A7064">
        <f ca="1">30478.0515200232*((RANDBETWEEN(1620,2416)))</f>
        <v>53702326.77828081</v>
      </c>
      <c r="B7064">
        <v>170046408.87083298</v>
      </c>
    </row>
    <row r="7065" spans="1:2" x14ac:dyDescent="0.25">
      <c r="A7065">
        <f ca="1">31436.9812604342*((RANDBETWEEN(1620,2416)))</f>
        <v>57026684.006427586</v>
      </c>
      <c r="B7065">
        <v>148836988.97852367</v>
      </c>
    </row>
    <row r="7066" spans="1:2" x14ac:dyDescent="0.25">
      <c r="A7066">
        <f ca="1">28027.8588737766*((RANDBETWEEN(1620,2416)))</f>
        <v>53533210.448913269</v>
      </c>
      <c r="B7066">
        <v>145883915.53187796</v>
      </c>
    </row>
    <row r="7067" spans="1:2" x14ac:dyDescent="0.25">
      <c r="A7067">
        <f ca="1">30286.3729604512*((RANDBETWEEN(1620,2416)))</f>
        <v>49821083.519942179</v>
      </c>
      <c r="B7067">
        <v>203604481.45410591</v>
      </c>
    </row>
    <row r="7068" spans="1:2" x14ac:dyDescent="0.25">
      <c r="A7068">
        <f ca="1">32035.7866235683*((RANDBETWEEN(1620,2416)))</f>
        <v>56447056.030727327</v>
      </c>
      <c r="B7068">
        <v>161179179.34070098</v>
      </c>
    </row>
    <row r="7069" spans="1:2" x14ac:dyDescent="0.25">
      <c r="A7069">
        <f ca="1">39652.9912435022*((RANDBETWEEN(1620,2416)))</f>
        <v>91281185.842542127</v>
      </c>
      <c r="B7069">
        <v>183103638.58134425</v>
      </c>
    </row>
    <row r="7070" spans="1:2" x14ac:dyDescent="0.25">
      <c r="A7070">
        <f ca="1">30634.8996740349*((RANDBETWEEN(1620,2416)))</f>
        <v>65252336.305694267</v>
      </c>
      <c r="B7070">
        <v>167592181.7026827</v>
      </c>
    </row>
    <row r="7071" spans="1:2" x14ac:dyDescent="0.25">
      <c r="A7071">
        <f ca="1">38385.1547585182*((RANDBETWEEN(1620,2416)))</f>
        <v>77499627.457448199</v>
      </c>
      <c r="B7071">
        <v>187481595.13101095</v>
      </c>
    </row>
    <row r="7072" spans="1:2" x14ac:dyDescent="0.25">
      <c r="A7072">
        <f ca="1">26321.6036871129*((RANDBETWEEN(1620,2416)))</f>
        <v>60723939.706169501</v>
      </c>
      <c r="B7072">
        <v>182886973.40843701</v>
      </c>
    </row>
    <row r="7073" spans="1:2" x14ac:dyDescent="0.25">
      <c r="A7073">
        <f ca="1">29423.1444802763*((RANDBETWEEN(1620,2416)))</f>
        <v>59317059.2722371</v>
      </c>
      <c r="B7073">
        <v>199453035.72822684</v>
      </c>
    </row>
    <row r="7074" spans="1:2" x14ac:dyDescent="0.25">
      <c r="A7074">
        <f ca="1">29925.8998674322*((RANDBETWEEN(1620,2416)))</f>
        <v>48659513.184444688</v>
      </c>
      <c r="B7074">
        <v>161852641.84032941</v>
      </c>
    </row>
    <row r="7075" spans="1:2" x14ac:dyDescent="0.25">
      <c r="A7075">
        <f ca="1">29201.066961417*((RANDBETWEEN(1620,2416)))</f>
        <v>56883678.440840282</v>
      </c>
      <c r="B7075">
        <v>154387143.98573539</v>
      </c>
    </row>
    <row r="7076" spans="1:2" x14ac:dyDescent="0.25">
      <c r="A7076">
        <f ca="1">31553.0497848046*((RANDBETWEEN(1620,2416)))</f>
        <v>67807503.987545103</v>
      </c>
      <c r="B7076">
        <v>169157630.2740261</v>
      </c>
    </row>
    <row r="7077" spans="1:2" x14ac:dyDescent="0.25">
      <c r="A7077">
        <f ca="1">33248.108690294*((RANDBETWEEN(1620,2416)))</f>
        <v>56621529.099570744</v>
      </c>
      <c r="B7077">
        <v>153985656.2861861</v>
      </c>
    </row>
    <row r="7078" spans="1:2" x14ac:dyDescent="0.25">
      <c r="A7078">
        <f ca="1">33861.4232410071*((RANDBETWEEN(1620,2416)))</f>
        <v>75273943.8647587</v>
      </c>
      <c r="B7078">
        <v>158707459.40082985</v>
      </c>
    </row>
    <row r="7079" spans="1:2" x14ac:dyDescent="0.25">
      <c r="A7079">
        <f ca="1">28994.9363850287*((RANDBETWEEN(1620,2416)))</f>
        <v>65267601.802699588</v>
      </c>
      <c r="B7079">
        <v>197293936.25868767</v>
      </c>
    </row>
    <row r="7080" spans="1:2" x14ac:dyDescent="0.25">
      <c r="A7080">
        <f ca="1">35103.6565655468*((RANDBETWEEN(1620,2416)))</f>
        <v>56903027.292751431</v>
      </c>
      <c r="B7080">
        <v>153096304.41838062</v>
      </c>
    </row>
    <row r="7081" spans="1:2" x14ac:dyDescent="0.25">
      <c r="A7081">
        <f ca="1">31351.8646898775*((RANDBETWEEN(1620,2416)))</f>
        <v>69507084.017458364</v>
      </c>
      <c r="B7081">
        <v>155453600.46148315</v>
      </c>
    </row>
    <row r="7082" spans="1:2" x14ac:dyDescent="0.25">
      <c r="A7082">
        <f ca="1">41908.6063433416*((RANDBETWEEN(1620,2416)))</f>
        <v>69191109.072856963</v>
      </c>
      <c r="B7082">
        <v>188573442.6286087</v>
      </c>
    </row>
    <row r="7083" spans="1:2" x14ac:dyDescent="0.25">
      <c r="A7083">
        <f ca="1">29585.1823661286*((RANDBETWEEN(1620,2416)))</f>
        <v>52217846.876216896</v>
      </c>
      <c r="B7083">
        <v>147180724.34565803</v>
      </c>
    </row>
    <row r="7084" spans="1:2" x14ac:dyDescent="0.25">
      <c r="A7084">
        <f ca="1">33679.887868765*((RANDBETWEEN(1620,2416)))</f>
        <v>75779747.704721242</v>
      </c>
      <c r="B7084">
        <v>151186011.46052921</v>
      </c>
    </row>
    <row r="7085" spans="1:2" x14ac:dyDescent="0.25">
      <c r="A7085">
        <f ca="1">33748.5578167685*((RANDBETWEEN(1620,2416)))</f>
        <v>65809687.74269858</v>
      </c>
      <c r="B7085">
        <v>169808617.16842109</v>
      </c>
    </row>
    <row r="7086" spans="1:2" x14ac:dyDescent="0.25">
      <c r="A7086">
        <f ca="1">39790.582483034*((RANDBETWEEN(1620,2416)))</f>
        <v>89409438.839377329</v>
      </c>
      <c r="B7086">
        <v>158092343.67481667</v>
      </c>
    </row>
    <row r="7087" spans="1:2" x14ac:dyDescent="0.25">
      <c r="A7087">
        <f ca="1">31581.5609858378*((RANDBETWEEN(1620,2416)))</f>
        <v>74437739.243619651</v>
      </c>
      <c r="B7087">
        <v>160218520.05850351</v>
      </c>
    </row>
    <row r="7088" spans="1:2" x14ac:dyDescent="0.25">
      <c r="A7088">
        <f ca="1">37662.8399146248*((RANDBETWEEN(1620,2416)))</f>
        <v>77962078.623273313</v>
      </c>
      <c r="B7088">
        <v>178491479.51467657</v>
      </c>
    </row>
    <row r="7089" spans="1:2" x14ac:dyDescent="0.25">
      <c r="A7089">
        <f ca="1">30250.7033001103*((RANDBETWEEN(1620,2416)))</f>
        <v>51728702.64318867</v>
      </c>
      <c r="B7089">
        <v>154878856.37568384</v>
      </c>
    </row>
    <row r="7090" spans="1:2" x14ac:dyDescent="0.25">
      <c r="A7090">
        <f ca="1">39507.6973364766*((RANDBETWEEN(1620,2416)))</f>
        <v>79924071.71169211</v>
      </c>
      <c r="B7090">
        <v>186594753.02283511</v>
      </c>
    </row>
    <row r="7091" spans="1:2" x14ac:dyDescent="0.25">
      <c r="A7091">
        <f ca="1">28382.2264313435*((RANDBETWEEN(1620,2416)))</f>
        <v>50662274.179948173</v>
      </c>
      <c r="B7091">
        <v>169116918.24610782</v>
      </c>
    </row>
    <row r="7092" spans="1:2" x14ac:dyDescent="0.25">
      <c r="A7092">
        <f ca="1">35846.7236136266*((RANDBETWEEN(1620,2416)))</f>
        <v>66674905.921345517</v>
      </c>
      <c r="B7092">
        <v>189560306.21698353</v>
      </c>
    </row>
    <row r="7093" spans="1:2" x14ac:dyDescent="0.25">
      <c r="A7093">
        <f ca="1">30895.2459084068*((RANDBETWEEN(1620,2416)))</f>
        <v>69823255.75299944</v>
      </c>
      <c r="B7093">
        <v>158699063.21531215</v>
      </c>
    </row>
    <row r="7094" spans="1:2" x14ac:dyDescent="0.25">
      <c r="A7094">
        <f ca="1">36510.3037431448*((RANDBETWEEN(1620,2416)))</f>
        <v>76781168.771833465</v>
      </c>
      <c r="B7094">
        <v>155412245.59786025</v>
      </c>
    </row>
    <row r="7095" spans="1:2" x14ac:dyDescent="0.25">
      <c r="A7095">
        <f ca="1">32896.0580049914*((RANDBETWEEN(1620,2416)))</f>
        <v>57535205.450729921</v>
      </c>
      <c r="B7095">
        <v>196183334.51417539</v>
      </c>
    </row>
    <row r="7096" spans="1:2" x14ac:dyDescent="0.25">
      <c r="A7096">
        <f ca="1">30290.984739286*((RANDBETWEEN(1620,2416)))</f>
        <v>63096121.211932763</v>
      </c>
      <c r="B7096">
        <v>171002799.31108826</v>
      </c>
    </row>
    <row r="7097" spans="1:2" x14ac:dyDescent="0.25">
      <c r="A7097">
        <f ca="1">31910.199952254*((RANDBETWEEN(1620,2416)))</f>
        <v>71670309.092762485</v>
      </c>
      <c r="B7097">
        <v>148061000.89588344</v>
      </c>
    </row>
    <row r="7098" spans="1:2" x14ac:dyDescent="0.25">
      <c r="A7098">
        <f ca="1">30624.4366176146*((RANDBETWEEN(1620,2416)))</f>
        <v>54358374.996265963</v>
      </c>
      <c r="B7098">
        <v>202097193.39590546</v>
      </c>
    </row>
    <row r="7099" spans="1:2" x14ac:dyDescent="0.25">
      <c r="A7099">
        <f ca="1">31411.6906210464*((RANDBETWEEN(1620,2416)))</f>
        <v>67880663.432081282</v>
      </c>
      <c r="B7099">
        <v>182053608.30834696</v>
      </c>
    </row>
    <row r="7100" spans="1:2" x14ac:dyDescent="0.25">
      <c r="A7100">
        <f ca="1">39179.2969806958*((RANDBETWEEN(1620,2416)))</f>
        <v>63587998.999669246</v>
      </c>
      <c r="B7100">
        <v>170567204.92688358</v>
      </c>
    </row>
    <row r="7101" spans="1:2" x14ac:dyDescent="0.25">
      <c r="A7101">
        <f ca="1">29832.3271885688*((RANDBETWEEN(1620,2416)))</f>
        <v>60291133.248097554</v>
      </c>
      <c r="B7101">
        <v>145312581.43555379</v>
      </c>
    </row>
    <row r="7102" spans="1:2" x14ac:dyDescent="0.25">
      <c r="A7102">
        <f ca="1">32392.3183617466*((RANDBETWEEN(1620,2416)))</f>
        <v>69319561.294137776</v>
      </c>
      <c r="B7102">
        <v>168415904.91928026</v>
      </c>
    </row>
    <row r="7103" spans="1:2" x14ac:dyDescent="0.25">
      <c r="A7103">
        <f ca="1">29159.2184580137*((RANDBETWEEN(1620,2416)))</f>
        <v>66803769.487309486</v>
      </c>
      <c r="B7103">
        <v>146612909.85411924</v>
      </c>
    </row>
    <row r="7104" spans="1:2" x14ac:dyDescent="0.25">
      <c r="A7104">
        <f ca="1">30335.2893467371*((RANDBETWEEN(1620,2416)))</f>
        <v>50690268.498397633</v>
      </c>
      <c r="B7104">
        <v>150850360.97524124</v>
      </c>
    </row>
    <row r="7105" spans="1:2" x14ac:dyDescent="0.25">
      <c r="A7105">
        <f ca="1">30993.3957468025*((RANDBETWEEN(1620,2416)))</f>
        <v>59786260.39558205</v>
      </c>
      <c r="B7105">
        <v>152589911.81887487</v>
      </c>
    </row>
    <row r="7106" spans="1:2" x14ac:dyDescent="0.25">
      <c r="A7106">
        <f ca="1">33133.9509146479*((RANDBETWEEN(1620,2416)))</f>
        <v>56559654.21130392</v>
      </c>
      <c r="B7106">
        <v>162806567.65005553</v>
      </c>
    </row>
    <row r="7107" spans="1:2" x14ac:dyDescent="0.25">
      <c r="A7107">
        <f ca="1">29207.7158932476*((RANDBETWEEN(1620,2416)))</f>
        <v>62913420.034055226</v>
      </c>
      <c r="B7107">
        <v>185379726.53357828</v>
      </c>
    </row>
    <row r="7108" spans="1:2" x14ac:dyDescent="0.25">
      <c r="A7108">
        <f ca="1">34013.4929529189*((RANDBETWEEN(1620,2416)))</f>
        <v>58843342.80854968</v>
      </c>
      <c r="B7108">
        <v>181710706.2361111</v>
      </c>
    </row>
    <row r="7109" spans="1:2" x14ac:dyDescent="0.25">
      <c r="A7109">
        <f ca="1">34168.0509048277*((RANDBETWEEN(1620,2416)))</f>
        <v>62800877.5630733</v>
      </c>
      <c r="B7109">
        <v>179098310.6102612</v>
      </c>
    </row>
    <row r="7110" spans="1:2" x14ac:dyDescent="0.25">
      <c r="A7110">
        <f ca="1">36421.0655213515*((RANDBETWEEN(1620,2416)))</f>
        <v>66213497.117816985</v>
      </c>
      <c r="B7110">
        <v>157603814.68734235</v>
      </c>
    </row>
    <row r="7111" spans="1:2" x14ac:dyDescent="0.25">
      <c r="A7111">
        <f ca="1">30921.6348840423*((RANDBETWEEN(1620,2416)))</f>
        <v>73531647.754252672</v>
      </c>
      <c r="B7111">
        <v>203361145.79695982</v>
      </c>
    </row>
    <row r="7112" spans="1:2" x14ac:dyDescent="0.25">
      <c r="A7112">
        <f ca="1">29250.8618507455*((RANDBETWEEN(1620,2416)))</f>
        <v>48848939.290744916</v>
      </c>
      <c r="B7112">
        <v>189612924.06922209</v>
      </c>
    </row>
    <row r="7113" spans="1:2" x14ac:dyDescent="0.25">
      <c r="A7113">
        <f ca="1">30479.903132816*((RANDBETWEEN(1620,2416)))</f>
        <v>59374851.302725628</v>
      </c>
      <c r="B7113">
        <v>192394366.50395468</v>
      </c>
    </row>
    <row r="7114" spans="1:2" x14ac:dyDescent="0.25">
      <c r="A7114">
        <f ca="1">35311.7564874078*((RANDBETWEEN(1620,2416)))</f>
        <v>60453727.106442079</v>
      </c>
      <c r="B7114">
        <v>170435481.09425211</v>
      </c>
    </row>
    <row r="7115" spans="1:2" x14ac:dyDescent="0.25">
      <c r="A7115">
        <f ca="1">32228.0431456393*((RANDBETWEEN(1620,2416)))</f>
        <v>61072141.760986432</v>
      </c>
      <c r="B7115">
        <v>169093663.34431028</v>
      </c>
    </row>
    <row r="7116" spans="1:2" x14ac:dyDescent="0.25">
      <c r="A7116">
        <f ca="1">30794.3504358881*((RANDBETWEEN(1620,2416)))</f>
        <v>56538427.400290519</v>
      </c>
      <c r="B7116">
        <v>176411018.20679778</v>
      </c>
    </row>
    <row r="7117" spans="1:2" x14ac:dyDescent="0.25">
      <c r="A7117">
        <f ca="1">34702.2964618267*((RANDBETWEEN(1620,2416)))</f>
        <v>74714044.28231284</v>
      </c>
      <c r="B7117">
        <v>143689229.51754037</v>
      </c>
    </row>
    <row r="7118" spans="1:2" x14ac:dyDescent="0.25">
      <c r="A7118">
        <f ca="1">31345.6989147324*((RANDBETWEEN(1620,2416)))</f>
        <v>54917664.498611219</v>
      </c>
      <c r="B7118">
        <v>165374391.64229235</v>
      </c>
    </row>
    <row r="7119" spans="1:2" x14ac:dyDescent="0.25">
      <c r="A7119">
        <f ca="1">33794.7322551872*((RANDBETWEEN(1620,2416)))</f>
        <v>68231564.423222944</v>
      </c>
      <c r="B7119">
        <v>170206560.44494152</v>
      </c>
    </row>
    <row r="7120" spans="1:2" x14ac:dyDescent="0.25">
      <c r="A7120">
        <f ca="1">32845.9508124512*((RANDBETWEEN(1620,2416)))</f>
        <v>59089865.511599667</v>
      </c>
      <c r="B7120">
        <v>144619939.73199522</v>
      </c>
    </row>
    <row r="7121" spans="1:2" x14ac:dyDescent="0.25">
      <c r="A7121">
        <f ca="1">31470.985250261*((RANDBETWEEN(1620,2416)))</f>
        <v>73767989.426611677</v>
      </c>
      <c r="B7121">
        <v>163358921.78404251</v>
      </c>
    </row>
    <row r="7122" spans="1:2" x14ac:dyDescent="0.25">
      <c r="A7122">
        <f ca="1">36435.6029880806*((RANDBETWEEN(1620,2416)))</f>
        <v>60811021.387106486</v>
      </c>
      <c r="B7122">
        <v>151038184.10703832</v>
      </c>
    </row>
    <row r="7123" spans="1:2" x14ac:dyDescent="0.25">
      <c r="A7123">
        <f ca="1">36806.7447234781*((RANDBETWEEN(1620,2416)))</f>
        <v>74828112.022830993</v>
      </c>
      <c r="B7123">
        <v>183988498.59678343</v>
      </c>
    </row>
    <row r="7124" spans="1:2" x14ac:dyDescent="0.25">
      <c r="A7124">
        <f ca="1">28539.2814460756*((RANDBETWEEN(1620,2416)))</f>
        <v>58362830.557224572</v>
      </c>
      <c r="B7124">
        <v>178955131.62114662</v>
      </c>
    </row>
    <row r="7125" spans="1:2" x14ac:dyDescent="0.25">
      <c r="A7125">
        <f ca="1">31612.5565068358*((RANDBETWEEN(1620,2416)))</f>
        <v>68472797.393806249</v>
      </c>
      <c r="B7125">
        <v>187304160.21255448</v>
      </c>
    </row>
    <row r="7126" spans="1:2" x14ac:dyDescent="0.25">
      <c r="A7126">
        <f ca="1">33249.6751305336*((RANDBETWEEN(1620,2416)))</f>
        <v>77870739.155709729</v>
      </c>
      <c r="B7126">
        <v>167263049.05416709</v>
      </c>
    </row>
    <row r="7127" spans="1:2" x14ac:dyDescent="0.25">
      <c r="A7127">
        <f ca="1">31834.5280423743*((RANDBETWEEN(1620,2416)))</f>
        <v>74842975.427622095</v>
      </c>
      <c r="B7127">
        <v>148504565.51127601</v>
      </c>
    </row>
    <row r="7128" spans="1:2" x14ac:dyDescent="0.25">
      <c r="A7128">
        <f ca="1">29916.603245563*((RANDBETWEEN(1620,2416)))</f>
        <v>64649779.613661751</v>
      </c>
      <c r="B7128">
        <v>154169249.67758933</v>
      </c>
    </row>
    <row r="7129" spans="1:2" x14ac:dyDescent="0.25">
      <c r="A7129">
        <f ca="1">32004.4307603566*((RANDBETWEEN(1620,2416)))</f>
        <v>69129570.44237034</v>
      </c>
      <c r="B7129">
        <v>147877770.2277309</v>
      </c>
    </row>
    <row r="7130" spans="1:2" x14ac:dyDescent="0.25">
      <c r="A7130">
        <f ca="1">30503.5073379318*((RANDBETWEEN(1620,2416)))</f>
        <v>54906313.208277188</v>
      </c>
      <c r="B7130">
        <v>165162014.45462364</v>
      </c>
    </row>
    <row r="7131" spans="1:2" x14ac:dyDescent="0.25">
      <c r="A7131">
        <f ca="1">39975.703794132*((RANDBETWEEN(1620,2416)))</f>
        <v>86267568.787736818</v>
      </c>
      <c r="B7131">
        <v>148476642.29039824</v>
      </c>
    </row>
    <row r="7132" spans="1:2" x14ac:dyDescent="0.25">
      <c r="A7132">
        <f ca="1">33267.471740097*((RANDBETWEEN(1620,2416)))</f>
        <v>70161097.899864659</v>
      </c>
      <c r="B7132">
        <v>171555107.04370159</v>
      </c>
    </row>
    <row r="7133" spans="1:2" x14ac:dyDescent="0.25">
      <c r="A7133">
        <f ca="1">36781.240893846*((RANDBETWEEN(1620,2416)))</f>
        <v>76321074.854730427</v>
      </c>
      <c r="B7133">
        <v>157247109.80720887</v>
      </c>
    </row>
    <row r="7134" spans="1:2" x14ac:dyDescent="0.25">
      <c r="A7134">
        <f ca="1">28717.1611369238*((RANDBETWEEN(1620,2416)))</f>
        <v>48244830.710031912</v>
      </c>
      <c r="B7134">
        <v>161224744.82883134</v>
      </c>
    </row>
    <row r="7135" spans="1:2" x14ac:dyDescent="0.25">
      <c r="A7135">
        <f ca="1">28802.9759671931*((RANDBETWEEN(1620,2416)))</f>
        <v>47640122.249737337</v>
      </c>
      <c r="B7135">
        <v>172556504.82841757</v>
      </c>
    </row>
    <row r="7136" spans="1:2" x14ac:dyDescent="0.25">
      <c r="A7136">
        <f ca="1">35634.813203725*((RANDBETWEEN(1620,2416)))</f>
        <v>74690568.475007638</v>
      </c>
      <c r="B7136">
        <v>158581164.9013305</v>
      </c>
    </row>
    <row r="7137" spans="1:2" x14ac:dyDescent="0.25">
      <c r="A7137">
        <f ca="1">33523.9321421648*((RANDBETWEEN(1620,2416)))</f>
        <v>64734712.966520198</v>
      </c>
      <c r="B7137">
        <v>170318635.41164485</v>
      </c>
    </row>
    <row r="7138" spans="1:2" x14ac:dyDescent="0.25">
      <c r="A7138">
        <f ca="1">34090.9743501215*((RANDBETWEEN(1620,2416)))</f>
        <v>73227412.904061034</v>
      </c>
      <c r="B7138">
        <v>147038777.92929226</v>
      </c>
    </row>
    <row r="7139" spans="1:2" x14ac:dyDescent="0.25">
      <c r="A7139">
        <f ca="1">30719.0976320044*((RANDBETWEEN(1620,2416)))</f>
        <v>59994397.675304614</v>
      </c>
      <c r="B7139">
        <v>189992316.96072018</v>
      </c>
    </row>
    <row r="7140" spans="1:2" x14ac:dyDescent="0.25">
      <c r="A7140">
        <f ca="1">34738.8164012205*((RANDBETWEEN(1620,2416)))</f>
        <v>81080397.480448559</v>
      </c>
      <c r="B7140">
        <v>156509788.70257795</v>
      </c>
    </row>
    <row r="7141" spans="1:2" x14ac:dyDescent="0.25">
      <c r="A7141">
        <f ca="1">32102.8572628765*((RANDBETWEEN(1620,2416)))</f>
        <v>53643874.486266695</v>
      </c>
      <c r="B7141">
        <v>158383162.51499128</v>
      </c>
    </row>
    <row r="7142" spans="1:2" x14ac:dyDescent="0.25">
      <c r="A7142">
        <f ca="1">32276.7002947419*((RANDBETWEEN(1620,2416)))</f>
        <v>60066939.248514645</v>
      </c>
      <c r="B7142">
        <v>187777484.38396215</v>
      </c>
    </row>
    <row r="7143" spans="1:2" x14ac:dyDescent="0.25">
      <c r="A7143">
        <f ca="1">32551.3337027253*((RANDBETWEEN(1620,2416)))</f>
        <v>64614397.399909668</v>
      </c>
      <c r="B7143">
        <v>190483763.06163147</v>
      </c>
    </row>
    <row r="7144" spans="1:2" x14ac:dyDescent="0.25">
      <c r="A7144">
        <f ca="1">33604.7962117536*((RANDBETWEEN(1620,2416)))</f>
        <v>78097546.396115303</v>
      </c>
      <c r="B7144">
        <v>187482867.53840086</v>
      </c>
    </row>
    <row r="7145" spans="1:2" x14ac:dyDescent="0.25">
      <c r="A7145">
        <f ca="1">32562.6090859175*((RANDBETWEEN(1620,2416)))</f>
        <v>78182824.415287793</v>
      </c>
      <c r="B7145">
        <v>166850315.4785212</v>
      </c>
    </row>
    <row r="7146" spans="1:2" x14ac:dyDescent="0.25">
      <c r="A7146">
        <f ca="1">32074.6485201228*((RANDBETWEEN(1620,2416)))</f>
        <v>68928419.669743896</v>
      </c>
      <c r="B7146">
        <v>154598787.3769111</v>
      </c>
    </row>
    <row r="7147" spans="1:2" x14ac:dyDescent="0.25">
      <c r="A7147">
        <f ca="1">32014.9174437927*((RANDBETWEEN(1620,2416)))</f>
        <v>73058041.606735036</v>
      </c>
      <c r="B7147">
        <v>152951984.56210035</v>
      </c>
    </row>
    <row r="7148" spans="1:2" x14ac:dyDescent="0.25">
      <c r="A7148">
        <f ca="1">30664.0598441831*((RANDBETWEEN(1620,2416)))</f>
        <v>72765814.010246575</v>
      </c>
      <c r="B7148">
        <v>186840854.31173268</v>
      </c>
    </row>
    <row r="7149" spans="1:2" x14ac:dyDescent="0.25">
      <c r="A7149">
        <f ca="1">33979.8768797959*((RANDBETWEEN(1620,2416)))</f>
        <v>72343157.877085418</v>
      </c>
      <c r="B7149">
        <v>166245798.80066803</v>
      </c>
    </row>
    <row r="7150" spans="1:2" x14ac:dyDescent="0.25">
      <c r="A7150">
        <f ca="1">33185.1176556393*((RANDBETWEEN(1620,2416)))</f>
        <v>57277513.073633499</v>
      </c>
      <c r="B7150">
        <v>158074599.57349467</v>
      </c>
    </row>
    <row r="7151" spans="1:2" x14ac:dyDescent="0.25">
      <c r="A7151">
        <f ca="1">33637.9073320066*((RANDBETWEEN(1620,2416)))</f>
        <v>63441093.228164352</v>
      </c>
      <c r="B7151">
        <v>146658967.4050563</v>
      </c>
    </row>
    <row r="7152" spans="1:2" x14ac:dyDescent="0.25">
      <c r="A7152">
        <f ca="1">39723.9301448914*((RANDBETWEEN(1620,2416)))</f>
        <v>69397705.963125303</v>
      </c>
      <c r="B7152">
        <v>166570912.62159622</v>
      </c>
    </row>
    <row r="7153" spans="1:2" x14ac:dyDescent="0.25">
      <c r="A7153">
        <f ca="1">34867.8644308383*((RANDBETWEEN(1620,2416)))</f>
        <v>65760792.316560991</v>
      </c>
      <c r="B7153">
        <v>144772892.72234845</v>
      </c>
    </row>
    <row r="7154" spans="1:2" x14ac:dyDescent="0.25">
      <c r="A7154">
        <f ca="1">32151.3371248154*((RANDBETWEEN(1620,2416)))</f>
        <v>67678564.647736445</v>
      </c>
      <c r="B7154">
        <v>172882052.6329034</v>
      </c>
    </row>
    <row r="7155" spans="1:2" x14ac:dyDescent="0.25">
      <c r="A7155">
        <f ca="1">41990.1439461402*((RANDBETWEEN(1620,2416)))</f>
        <v>76799973.277490497</v>
      </c>
      <c r="B7155">
        <v>191586919.84012753</v>
      </c>
    </row>
    <row r="7156" spans="1:2" x14ac:dyDescent="0.25">
      <c r="A7156">
        <f ca="1">36904.8968750395*((RANDBETWEEN(1620,2416)))</f>
        <v>65210952.778194845</v>
      </c>
      <c r="B7156">
        <v>177413286.02356336</v>
      </c>
    </row>
    <row r="7157" spans="1:2" x14ac:dyDescent="0.25">
      <c r="A7157">
        <f ca="1">31178.4231790055*((RANDBETWEEN(1620,2416)))</f>
        <v>73768149.241526961</v>
      </c>
      <c r="B7157">
        <v>183318935.18837842</v>
      </c>
    </row>
    <row r="7158" spans="1:2" x14ac:dyDescent="0.25">
      <c r="A7158">
        <f ca="1">32689.0956789694*((RANDBETWEEN(1620,2416)))</f>
        <v>75021474.583234861</v>
      </c>
      <c r="B7158">
        <v>192247477.85180965</v>
      </c>
    </row>
    <row r="7159" spans="1:2" x14ac:dyDescent="0.25">
      <c r="A7159">
        <f ca="1">29030.2611888155*((RANDBETWEEN(1620,2416)))</f>
        <v>47203204.693014018</v>
      </c>
      <c r="B7159">
        <v>146824656.13004693</v>
      </c>
    </row>
    <row r="7160" spans="1:2" x14ac:dyDescent="0.25">
      <c r="A7160">
        <f ca="1">32954.3294249502*((RANDBETWEEN(1620,2416)))</f>
        <v>53715556.962668851</v>
      </c>
      <c r="B7160">
        <v>180792784.96865633</v>
      </c>
    </row>
    <row r="7161" spans="1:2" x14ac:dyDescent="0.25">
      <c r="A7161">
        <f ca="1">36675.8029978618*((RANDBETWEEN(1620,2416)))</f>
        <v>81713689.079236165</v>
      </c>
      <c r="B7161">
        <v>187961446.12243751</v>
      </c>
    </row>
    <row r="7162" spans="1:2" x14ac:dyDescent="0.25">
      <c r="A7162">
        <f ca="1">38806.648418309*((RANDBETWEEN(1620,2416)))</f>
        <v>77380456.946108222</v>
      </c>
      <c r="B7162">
        <v>155982469.35909432</v>
      </c>
    </row>
    <row r="7163" spans="1:2" x14ac:dyDescent="0.25">
      <c r="A7163">
        <f ca="1">35582.3975990801*((RANDBETWEEN(1620,2416)))</f>
        <v>69207763.330210835</v>
      </c>
      <c r="B7163">
        <v>156852020.34214842</v>
      </c>
    </row>
    <row r="7164" spans="1:2" x14ac:dyDescent="0.25">
      <c r="A7164">
        <f ca="1">35868.5672297653*((RANDBETWEEN(1620,2416)))</f>
        <v>74247934.165614232</v>
      </c>
      <c r="B7164">
        <v>149644059.10882771</v>
      </c>
    </row>
    <row r="7165" spans="1:2" x14ac:dyDescent="0.25">
      <c r="A7165">
        <f ca="1">31846.5799969051*((RANDBETWEEN(1620,2416)))</f>
        <v>73724832.692835271</v>
      </c>
      <c r="B7165">
        <v>163912553.14456457</v>
      </c>
    </row>
    <row r="7166" spans="1:2" x14ac:dyDescent="0.25">
      <c r="A7166">
        <f ca="1">31639.7294463753*((RANDBETWEEN(1620,2416)))</f>
        <v>58122182.992991365</v>
      </c>
      <c r="B7166">
        <v>179747098.68062773</v>
      </c>
    </row>
    <row r="7167" spans="1:2" x14ac:dyDescent="0.25">
      <c r="A7167">
        <f ca="1">36135.0189089638*((RANDBETWEEN(1620,2416)))</f>
        <v>84266864.095703483</v>
      </c>
      <c r="B7167">
        <v>179119091.84350967</v>
      </c>
    </row>
    <row r="7168" spans="1:2" x14ac:dyDescent="0.25">
      <c r="A7168">
        <f ca="1">39505.5184056334*((RANDBETWEEN(1620,2416)))</f>
        <v>66053226.774219029</v>
      </c>
      <c r="B7168">
        <v>151968243.76161724</v>
      </c>
    </row>
    <row r="7169" spans="1:2" x14ac:dyDescent="0.25">
      <c r="A7169">
        <f ca="1">30302.1601012272*((RANDBETWEEN(1620,2416)))</f>
        <v>60846737.483264245</v>
      </c>
      <c r="B7169">
        <v>172049777.93852195</v>
      </c>
    </row>
    <row r="7170" spans="1:2" x14ac:dyDescent="0.25">
      <c r="A7170">
        <f ca="1">30665.3327316742*((RANDBETWEEN(1620,2416)))</f>
        <v>61116008.134226583</v>
      </c>
      <c r="B7170">
        <v>165637505.83236149</v>
      </c>
    </row>
    <row r="7171" spans="1:2" x14ac:dyDescent="0.25">
      <c r="A7171">
        <f ca="1">35949.0873564637*((RANDBETWEEN(1620,2416)))</f>
        <v>68950349.549697354</v>
      </c>
      <c r="B7171">
        <v>154942215.04633796</v>
      </c>
    </row>
    <row r="7172" spans="1:2" x14ac:dyDescent="0.25">
      <c r="A7172">
        <f ca="1">32556.2686439497*((RANDBETWEEN(1620,2416)))</f>
        <v>60522103.409102559</v>
      </c>
      <c r="B7172">
        <v>160166381.22062999</v>
      </c>
    </row>
    <row r="7173" spans="1:2" x14ac:dyDescent="0.25">
      <c r="A7173">
        <f ca="1">30675.8073057511*((RANDBETWEEN(1620,2416)))</f>
        <v>51197922.393298514</v>
      </c>
      <c r="B7173">
        <v>150515980.70506394</v>
      </c>
    </row>
    <row r="7174" spans="1:2" x14ac:dyDescent="0.25">
      <c r="A7174">
        <f ca="1">32277.7295098281*((RANDBETWEEN(1620,2416)))</f>
        <v>57938524.470141485</v>
      </c>
      <c r="B7174">
        <v>143032626.43705401</v>
      </c>
    </row>
    <row r="7175" spans="1:2" x14ac:dyDescent="0.25">
      <c r="A7175">
        <f ca="1">31471.7035636181*((RANDBETWEEN(1620,2416)))</f>
        <v>52872461.986878417</v>
      </c>
      <c r="B7175">
        <v>162060926.72355771</v>
      </c>
    </row>
    <row r="7176" spans="1:2" x14ac:dyDescent="0.25">
      <c r="A7176">
        <f ca="1">34294.9393294604*((RANDBETWEEN(1620,2416)))</f>
        <v>65949168.330552533</v>
      </c>
      <c r="B7176">
        <v>147170733.4311735</v>
      </c>
    </row>
    <row r="7177" spans="1:2" x14ac:dyDescent="0.25">
      <c r="A7177">
        <f ca="1">31528.2639461937*((RANDBETWEEN(1620,2416)))</f>
        <v>74753513.816425145</v>
      </c>
      <c r="B7177">
        <v>176322525.67998368</v>
      </c>
    </row>
    <row r="7178" spans="1:2" x14ac:dyDescent="0.25">
      <c r="A7178">
        <f ca="1">28525.716932684*((RANDBETWEEN(1620,2416)))</f>
        <v>66978383.357942127</v>
      </c>
      <c r="B7178">
        <v>191863105.75582331</v>
      </c>
    </row>
    <row r="7179" spans="1:2" x14ac:dyDescent="0.25">
      <c r="A7179">
        <f ca="1">32080.9876546344*((RANDBETWEEN(1620,2416)))</f>
        <v>71957655.309344903</v>
      </c>
      <c r="B7179">
        <v>177208244.50047019</v>
      </c>
    </row>
    <row r="7180" spans="1:2" x14ac:dyDescent="0.25">
      <c r="A7180">
        <f ca="1">35109.6939094359*((RANDBETWEEN(1620,2416)))</f>
        <v>65163591.895913035</v>
      </c>
      <c r="B7180">
        <v>195263655.0742698</v>
      </c>
    </row>
    <row r="7181" spans="1:2" x14ac:dyDescent="0.25">
      <c r="A7181">
        <f ca="1">30536.7112797557*((RANDBETWEEN(1620,2416)))</f>
        <v>69501554.872724056</v>
      </c>
      <c r="B7181">
        <v>155741750.02652553</v>
      </c>
    </row>
    <row r="7182" spans="1:2" x14ac:dyDescent="0.25">
      <c r="A7182">
        <f ca="1">31312.4429836256*((RANDBETWEEN(1620,2416)))</f>
        <v>63313759.71289099</v>
      </c>
      <c r="B7182">
        <v>203082330.99941987</v>
      </c>
    </row>
    <row r="7183" spans="1:2" x14ac:dyDescent="0.25">
      <c r="A7183">
        <f ca="1">34479.8075292175*((RANDBETWEEN(1620,2416)))</f>
        <v>63442845.853760235</v>
      </c>
      <c r="B7183">
        <v>147208167.71811149</v>
      </c>
    </row>
    <row r="7184" spans="1:2" x14ac:dyDescent="0.25">
      <c r="A7184">
        <f ca="1">35468.3242950705*((RANDBETWEEN(1620,2416)))</f>
        <v>72178039.94046852</v>
      </c>
      <c r="B7184">
        <v>165257006.6449284</v>
      </c>
    </row>
    <row r="7185" spans="1:2" x14ac:dyDescent="0.25">
      <c r="A7185">
        <f ca="1">31036.807548476*((RANDBETWEEN(1620,2416)))</f>
        <v>58752676.689265154</v>
      </c>
      <c r="B7185">
        <v>167547794.36514133</v>
      </c>
    </row>
    <row r="7186" spans="1:2" x14ac:dyDescent="0.25">
      <c r="A7186">
        <f ca="1">31917.1316922242*((RANDBETWEEN(1620,2416)))</f>
        <v>63483174.935833938</v>
      </c>
      <c r="B7186">
        <v>169565033.27251419</v>
      </c>
    </row>
    <row r="7187" spans="1:2" x14ac:dyDescent="0.25">
      <c r="A7187">
        <f ca="1">34884.5583434318*((RANDBETWEEN(1620,2416)))</f>
        <v>83827593.699266657</v>
      </c>
      <c r="B7187">
        <v>166145217.09969801</v>
      </c>
    </row>
    <row r="7188" spans="1:2" x14ac:dyDescent="0.25">
      <c r="A7188">
        <f ca="1">39450.0083991094*((RANDBETWEEN(1620,2416)))</f>
        <v>71956815.3199756</v>
      </c>
      <c r="B7188">
        <v>189566279.67689845</v>
      </c>
    </row>
    <row r="7189" spans="1:2" x14ac:dyDescent="0.25">
      <c r="A7189">
        <f ca="1">29473.1844959352*((RANDBETWEEN(1620,2416)))</f>
        <v>52786473.432219937</v>
      </c>
      <c r="B7189">
        <v>163616207.16662645</v>
      </c>
    </row>
    <row r="7190" spans="1:2" x14ac:dyDescent="0.25">
      <c r="A7190">
        <f ca="1">30388.5116358463*((RANDBETWEEN(1620,2416)))</f>
        <v>56796128.247396693</v>
      </c>
      <c r="B7190">
        <v>195231541.28064695</v>
      </c>
    </row>
    <row r="7191" spans="1:2" x14ac:dyDescent="0.25">
      <c r="A7191">
        <f ca="1">33161.6090564417*((RANDBETWEEN(1620,2416)))</f>
        <v>79720508.1716858</v>
      </c>
      <c r="B7191">
        <v>178594447.06786612</v>
      </c>
    </row>
    <row r="7192" spans="1:2" x14ac:dyDescent="0.25">
      <c r="A7192">
        <f ca="1">40177.9651742503*((RANDBETWEEN(1620,2416)))</f>
        <v>67298091.666869313</v>
      </c>
      <c r="B7192">
        <v>176970324.71921235</v>
      </c>
    </row>
    <row r="7193" spans="1:2" x14ac:dyDescent="0.25">
      <c r="A7193">
        <f ca="1">30664.2163625634*((RANDBETWEEN(1620,2416)))</f>
        <v>49921344.238253266</v>
      </c>
      <c r="B7193">
        <v>189212291.01587516</v>
      </c>
    </row>
    <row r="7194" spans="1:2" x14ac:dyDescent="0.25">
      <c r="A7194">
        <f ca="1">30018.3541973511*((RANDBETWEEN(1620,2416)))</f>
        <v>49770431.259208106</v>
      </c>
      <c r="B7194">
        <v>192833905.04867703</v>
      </c>
    </row>
    <row r="7195" spans="1:2" x14ac:dyDescent="0.25">
      <c r="A7195">
        <f ca="1">38582.852753743*((RANDBETWEEN(1620,2416)))</f>
        <v>72728677.440805644</v>
      </c>
      <c r="B7195">
        <v>169302045.68891537</v>
      </c>
    </row>
    <row r="7196" spans="1:2" x14ac:dyDescent="0.25">
      <c r="A7196">
        <f ca="1">31284.0116121771*((RANDBETWEEN(1620,2416)))</f>
        <v>54903440.379370876</v>
      </c>
      <c r="B7196">
        <v>157499048.93328363</v>
      </c>
    </row>
    <row r="7197" spans="1:2" x14ac:dyDescent="0.25">
      <c r="A7197">
        <f ca="1">32144.9491002004*((RANDBETWEEN(1620,2416)))</f>
        <v>55900066.485248521</v>
      </c>
      <c r="B7197">
        <v>195503006.48069641</v>
      </c>
    </row>
    <row r="7198" spans="1:2" x14ac:dyDescent="0.25">
      <c r="A7198">
        <f ca="1">38676.4936767269*((RANDBETWEEN(1620,2416)))</f>
        <v>81839460.619954214</v>
      </c>
      <c r="B7198">
        <v>152739894.88098693</v>
      </c>
    </row>
    <row r="7199" spans="1:2" x14ac:dyDescent="0.25">
      <c r="A7199">
        <f ca="1">31748.9268721861*((RANDBETWEEN(1620,2416)))</f>
        <v>74832220.637742728</v>
      </c>
      <c r="B7199">
        <v>154696267.97279453</v>
      </c>
    </row>
    <row r="7200" spans="1:2" x14ac:dyDescent="0.25">
      <c r="A7200">
        <f ca="1">30452.2295784124*((RANDBETWEEN(1620,2416)))</f>
        <v>50855223.395948738</v>
      </c>
      <c r="B7200">
        <v>150582009.23132849</v>
      </c>
    </row>
    <row r="7201" spans="1:2" x14ac:dyDescent="0.25">
      <c r="A7201">
        <f ca="1">29594.5741329223*((RANDBETWEEN(1620,2416)))</f>
        <v>65048873.944163285</v>
      </c>
      <c r="B7201">
        <v>161863961.19102696</v>
      </c>
    </row>
    <row r="7202" spans="1:2" x14ac:dyDescent="0.25">
      <c r="A7202">
        <f ca="1">35678.5318021492*((RANDBETWEEN(1620,2416)))</f>
        <v>69894243.80041036</v>
      </c>
      <c r="B7202">
        <v>164557633.29313594</v>
      </c>
    </row>
    <row r="7203" spans="1:2" x14ac:dyDescent="0.25">
      <c r="A7203">
        <f ca="1">41720.3514308829*((RANDBETWEEN(1620,2416)))</f>
        <v>80728880.018758327</v>
      </c>
      <c r="B7203">
        <v>167342174.60443816</v>
      </c>
    </row>
    <row r="7204" spans="1:2" x14ac:dyDescent="0.25">
      <c r="A7204">
        <f ca="1">29604.5767268613*((RANDBETWEEN(1620,2416)))</f>
        <v>66077415.254354455</v>
      </c>
      <c r="B7204">
        <v>161761871.4608984</v>
      </c>
    </row>
    <row r="7205" spans="1:2" x14ac:dyDescent="0.25">
      <c r="A7205">
        <f ca="1">39181.9418538206*((RANDBETWEEN(1620,2416)))</f>
        <v>89805010.728956729</v>
      </c>
      <c r="B7205">
        <v>144234161.61140311</v>
      </c>
    </row>
    <row r="7206" spans="1:2" x14ac:dyDescent="0.25">
      <c r="A7206">
        <f ca="1">30094.286114125*((RANDBETWEEN(1620,2416)))</f>
        <v>58623669.350315437</v>
      </c>
      <c r="B7206">
        <v>145254481.66330376</v>
      </c>
    </row>
    <row r="7207" spans="1:2" x14ac:dyDescent="0.25">
      <c r="A7207">
        <f ca="1">36562.6928524062*((RANDBETWEEN(1620,2416)))</f>
        <v>69615367.190981314</v>
      </c>
      <c r="B7207">
        <v>197573206.67673194</v>
      </c>
    </row>
    <row r="7208" spans="1:2" x14ac:dyDescent="0.25">
      <c r="A7208">
        <f ca="1">41191.6327795043*((RANDBETWEEN(1620,2416)))</f>
        <v>88809160.272611335</v>
      </c>
      <c r="B7208">
        <v>158887733.12746781</v>
      </c>
    </row>
    <row r="7209" spans="1:2" x14ac:dyDescent="0.25">
      <c r="A7209">
        <f ca="1">31011.8407796861*((RANDBETWEEN(1620,2416)))</f>
        <v>60845231.609744146</v>
      </c>
      <c r="B7209">
        <v>149449906.91489881</v>
      </c>
    </row>
    <row r="7210" spans="1:2" x14ac:dyDescent="0.25">
      <c r="A7210">
        <f ca="1">33903.9761075068*((RANDBETWEEN(1620,2416)))</f>
        <v>78928456.378275722</v>
      </c>
      <c r="B7210">
        <v>157882688.65931472</v>
      </c>
    </row>
    <row r="7211" spans="1:2" x14ac:dyDescent="0.25">
      <c r="A7211">
        <f ca="1">34010.1316519501*((RANDBETWEEN(1620,2416)))</f>
        <v>71795387.917266637</v>
      </c>
      <c r="B7211">
        <v>186594940.93995586</v>
      </c>
    </row>
    <row r="7212" spans="1:2" x14ac:dyDescent="0.25">
      <c r="A7212">
        <f ca="1">34240.6103648798*((RANDBETWEEN(1620,2416)))</f>
        <v>61051008.280580722</v>
      </c>
      <c r="B7212">
        <v>151772725.41661426</v>
      </c>
    </row>
    <row r="7213" spans="1:2" x14ac:dyDescent="0.25">
      <c r="A7213">
        <f ca="1">38396.4405005146*((RANDBETWEEN(1620,2416)))</f>
        <v>87236712.817169219</v>
      </c>
      <c r="B7213">
        <v>144715398.05706155</v>
      </c>
    </row>
    <row r="7214" spans="1:2" x14ac:dyDescent="0.25">
      <c r="A7214">
        <f ca="1">32057.6175302564*((RANDBETWEEN(1620,2416)))</f>
        <v>53151529.865165144</v>
      </c>
      <c r="B7214">
        <v>169358106.63067266</v>
      </c>
    </row>
    <row r="7215" spans="1:2" x14ac:dyDescent="0.25">
      <c r="A7215">
        <f ca="1">32295.7409765596*((RANDBETWEEN(1620,2416)))</f>
        <v>54999646.883080915</v>
      </c>
      <c r="B7215">
        <v>173535491.54174769</v>
      </c>
    </row>
    <row r="7216" spans="1:2" x14ac:dyDescent="0.25">
      <c r="A7216">
        <f ca="1">30372.3833157123*((RANDBETWEEN(1620,2416)))</f>
        <v>73015209.490972325</v>
      </c>
      <c r="B7216">
        <v>152783241.94114751</v>
      </c>
    </row>
    <row r="7217" spans="1:2" x14ac:dyDescent="0.25">
      <c r="A7217">
        <f ca="1">42231.585569897*((RANDBETWEEN(1620,2416)))</f>
        <v>86067971.391450137</v>
      </c>
      <c r="B7217">
        <v>174498238.74623248</v>
      </c>
    </row>
    <row r="7218" spans="1:2" x14ac:dyDescent="0.25">
      <c r="A7218">
        <f ca="1">32274.5910578264*((RANDBETWEEN(1620,2416)))</f>
        <v>55996415.485328853</v>
      </c>
      <c r="B7218">
        <v>201971419.52076983</v>
      </c>
    </row>
    <row r="7219" spans="1:2" x14ac:dyDescent="0.25">
      <c r="A7219">
        <f ca="1">30368.1981277567*((RANDBETWEEN(1620,2416)))</f>
        <v>64684262.012121722</v>
      </c>
      <c r="B7219">
        <v>166353984.96902615</v>
      </c>
    </row>
    <row r="7220" spans="1:2" x14ac:dyDescent="0.25">
      <c r="A7220">
        <f ca="1">39822.0024311687*((RANDBETWEEN(1620,2416)))</f>
        <v>86891609.304810181</v>
      </c>
      <c r="B7220">
        <v>174955144.99068633</v>
      </c>
    </row>
    <row r="7221" spans="1:2" x14ac:dyDescent="0.25">
      <c r="A7221">
        <f ca="1">27102.4568493262*((RANDBETWEEN(1620,2416)))</f>
        <v>46805942.97878629</v>
      </c>
      <c r="B7221">
        <v>144174958.43386051</v>
      </c>
    </row>
    <row r="7222" spans="1:2" x14ac:dyDescent="0.25">
      <c r="A7222">
        <f ca="1">34364.5044424449*((RANDBETWEEN(1620,2416)))</f>
        <v>56323422.781167217</v>
      </c>
      <c r="B7222">
        <v>144568096.63661909</v>
      </c>
    </row>
    <row r="7223" spans="1:2" x14ac:dyDescent="0.25">
      <c r="A7223">
        <f ca="1">27524.3278236495*((RANDBETWEEN(1620,2416)))</f>
        <v>55241325.942064628</v>
      </c>
      <c r="B7223">
        <v>202924272.76660648</v>
      </c>
    </row>
    <row r="7224" spans="1:2" x14ac:dyDescent="0.25">
      <c r="A7224">
        <f ca="1">35429.2620024561*((RANDBETWEEN(1620,2416)))</f>
        <v>62072067.028303079</v>
      </c>
      <c r="B7224">
        <v>186649568.75140342</v>
      </c>
    </row>
    <row r="7225" spans="1:2" x14ac:dyDescent="0.25">
      <c r="A7225">
        <f ca="1">32126.3277522876*((RANDBETWEEN(1620,2416)))</f>
        <v>76878302.311224297</v>
      </c>
      <c r="B7225">
        <v>174295411.38729835</v>
      </c>
    </row>
    <row r="7226" spans="1:2" x14ac:dyDescent="0.25">
      <c r="A7226">
        <f ca="1">31450.3660983178*((RANDBETWEEN(1620,2416)))</f>
        <v>68121492.968956307</v>
      </c>
      <c r="B7226">
        <v>157753591.22490096</v>
      </c>
    </row>
    <row r="7227" spans="1:2" x14ac:dyDescent="0.25">
      <c r="A7227">
        <f ca="1">29877.4763383485*((RANDBETWEEN(1620,2416)))</f>
        <v>61487846.304321155</v>
      </c>
      <c r="B7227">
        <v>143655721.35884678</v>
      </c>
    </row>
    <row r="7228" spans="1:2" x14ac:dyDescent="0.25">
      <c r="A7228">
        <f ca="1">32576.462010672*((RANDBETWEEN(1620,2416)))</f>
        <v>73036427.827926725</v>
      </c>
      <c r="B7228">
        <v>170958613.17378002</v>
      </c>
    </row>
    <row r="7229" spans="1:2" x14ac:dyDescent="0.25">
      <c r="A7229">
        <f ca="1">30174.8222148162*((RANDBETWEEN(1620,2416)))</f>
        <v>55944120.386269294</v>
      </c>
      <c r="B7229">
        <v>148415004.78792506</v>
      </c>
    </row>
    <row r="7230" spans="1:2" x14ac:dyDescent="0.25">
      <c r="A7230">
        <f ca="1">34381.1269614322*((RANDBETWEEN(1620,2416)))</f>
        <v>64464613.052685462</v>
      </c>
      <c r="B7230">
        <v>180013535.69470757</v>
      </c>
    </row>
    <row r="7231" spans="1:2" x14ac:dyDescent="0.25">
      <c r="A7231">
        <f ca="1">35055.1850218478*((RANDBETWEEN(1620,2416)))</f>
        <v>69128824.863083884</v>
      </c>
      <c r="B7231">
        <v>198991190.4588871</v>
      </c>
    </row>
    <row r="7232" spans="1:2" x14ac:dyDescent="0.25">
      <c r="A7232">
        <f ca="1">36304.999189543*((RANDBETWEEN(1620,2416)))</f>
        <v>70613223.423661083</v>
      </c>
      <c r="B7232">
        <v>147424900.72771448</v>
      </c>
    </row>
    <row r="7233" spans="1:2" x14ac:dyDescent="0.25">
      <c r="A7233">
        <f ca="1">39140.19481449*((RANDBETWEEN(1620,2416)))</f>
        <v>71704836.90014565</v>
      </c>
      <c r="B7233">
        <v>154402499.86501595</v>
      </c>
    </row>
    <row r="7234" spans="1:2" x14ac:dyDescent="0.25">
      <c r="A7234">
        <f ca="1">37413.9011868216*((RANDBETWEEN(1620,2416)))</f>
        <v>64389323.94252003</v>
      </c>
      <c r="B7234">
        <v>169565849.97629577</v>
      </c>
    </row>
    <row r="7235" spans="1:2" x14ac:dyDescent="0.25">
      <c r="A7235">
        <f ca="1">36803.8458030454*((RANDBETWEEN(1620,2416)))</f>
        <v>81814949.220169872</v>
      </c>
      <c r="B7235">
        <v>198549138.23616213</v>
      </c>
    </row>
    <row r="7236" spans="1:2" x14ac:dyDescent="0.25">
      <c r="A7236">
        <f ca="1">36522.0084024024*((RANDBETWEEN(1620,2416)))</f>
        <v>63584816.628582612</v>
      </c>
      <c r="B7236">
        <v>146597972.38063926</v>
      </c>
    </row>
    <row r="7237" spans="1:2" x14ac:dyDescent="0.25">
      <c r="A7237">
        <f ca="1">31363.1293988537*((RANDBETWEEN(1620,2416)))</f>
        <v>64576683.43223983</v>
      </c>
      <c r="B7237">
        <v>194852058.89674768</v>
      </c>
    </row>
    <row r="7238" spans="1:2" x14ac:dyDescent="0.25">
      <c r="A7238">
        <f ca="1">32248.7425982025*((RANDBETWEEN(1620,2416)))</f>
        <v>52436455.464677319</v>
      </c>
      <c r="B7238">
        <v>147083539.31044924</v>
      </c>
    </row>
    <row r="7239" spans="1:2" x14ac:dyDescent="0.25">
      <c r="A7239">
        <f ca="1">30210.3222985957*((RANDBETWEEN(1620,2416)))</f>
        <v>67701332.271152973</v>
      </c>
      <c r="B7239">
        <v>143862435.21158013</v>
      </c>
    </row>
    <row r="7240" spans="1:2" x14ac:dyDescent="0.25">
      <c r="A7240">
        <f ca="1">31898.1277150213*((RANDBETWEEN(1620,2416)))</f>
        <v>68868057.736731067</v>
      </c>
      <c r="B7240">
        <v>167386445.38934612</v>
      </c>
    </row>
    <row r="7241" spans="1:2" x14ac:dyDescent="0.25">
      <c r="A7241">
        <f ca="1">41728.3586951174*((RANDBETWEEN(1620,2416)))</f>
        <v>96434236.94441621</v>
      </c>
      <c r="B7241">
        <v>170306156.41268098</v>
      </c>
    </row>
    <row r="7242" spans="1:2" x14ac:dyDescent="0.25">
      <c r="A7242">
        <f ca="1">39676.1698082129*((RANDBETWEEN(1620,2416)))</f>
        <v>64751509.127003491</v>
      </c>
      <c r="B7242">
        <v>192984570.0417743</v>
      </c>
    </row>
    <row r="7243" spans="1:2" x14ac:dyDescent="0.25">
      <c r="A7243">
        <f ca="1">33771.5728348118*((RANDBETWEEN(1620,2416)))</f>
        <v>59978313.354625687</v>
      </c>
      <c r="B7243">
        <v>158210923.95941561</v>
      </c>
    </row>
    <row r="7244" spans="1:2" x14ac:dyDescent="0.25">
      <c r="A7244">
        <f ca="1">35489.3872759026*((RANDBETWEEN(1620,2416)))</f>
        <v>69275283.962561801</v>
      </c>
      <c r="B7244">
        <v>184862750.62563211</v>
      </c>
    </row>
    <row r="7245" spans="1:2" x14ac:dyDescent="0.25">
      <c r="A7245">
        <f ca="1">30074.01311538*((RANDBETWEEN(1620,2416)))</f>
        <v>55546702.224106871</v>
      </c>
      <c r="B7245">
        <v>149434576.8632583</v>
      </c>
    </row>
    <row r="7246" spans="1:2" x14ac:dyDescent="0.25">
      <c r="A7246">
        <f ca="1">40639.0035486081*((RANDBETWEEN(1620,2416)))</f>
        <v>81481202.114959195</v>
      </c>
      <c r="B7246">
        <v>179018404.64880013</v>
      </c>
    </row>
    <row r="7247" spans="1:2" x14ac:dyDescent="0.25">
      <c r="A7247">
        <f ca="1">37149.8717411816*((RANDBETWEEN(1620,2416)))</f>
        <v>65495223.879703216</v>
      </c>
      <c r="B7247">
        <v>193267611.124841</v>
      </c>
    </row>
    <row r="7248" spans="1:2" x14ac:dyDescent="0.25">
      <c r="A7248">
        <f ca="1">33602.0817141207*((RANDBETWEEN(1620,2416)))</f>
        <v>75369469.284772679</v>
      </c>
      <c r="B7248">
        <v>147295002.58270875</v>
      </c>
    </row>
    <row r="7249" spans="1:2" x14ac:dyDescent="0.25">
      <c r="A7249">
        <f ca="1">32495.4878668328*((RANDBETWEEN(1620,2416)))</f>
        <v>54884879.007080659</v>
      </c>
      <c r="B7249">
        <v>147895218.03131688</v>
      </c>
    </row>
    <row r="7250" spans="1:2" x14ac:dyDescent="0.25">
      <c r="A7250">
        <f ca="1">29976.5869420188*((RANDBETWEEN(1620,2416)))</f>
        <v>58214531.841400437</v>
      </c>
      <c r="B7250">
        <v>166026647.74714804</v>
      </c>
    </row>
    <row r="7251" spans="1:2" x14ac:dyDescent="0.25">
      <c r="A7251">
        <f ca="1">31667.3042377543*((RANDBETWEEN(1620,2416)))</f>
        <v>57317820.67033536</v>
      </c>
      <c r="B7251">
        <v>156116752.75514746</v>
      </c>
    </row>
    <row r="7252" spans="1:2" x14ac:dyDescent="0.25">
      <c r="A7252">
        <f ca="1">38609.9712969699*((RANDBETWEEN(1620,2416)))</f>
        <v>65714171.147442788</v>
      </c>
      <c r="B7252">
        <v>155611561.15535286</v>
      </c>
    </row>
    <row r="7253" spans="1:2" x14ac:dyDescent="0.25">
      <c r="A7253">
        <f ca="1">31816.4259375309*((RANDBETWEEN(1620,2416)))</f>
        <v>62010214.15224763</v>
      </c>
      <c r="B7253">
        <v>160766274.06310806</v>
      </c>
    </row>
    <row r="7254" spans="1:2" x14ac:dyDescent="0.25">
      <c r="A7254">
        <f ca="1">31085.1978983491*((RANDBETWEEN(1620,2416)))</f>
        <v>51850110.094446346</v>
      </c>
      <c r="B7254">
        <v>155003025.99231818</v>
      </c>
    </row>
    <row r="7255" spans="1:2" x14ac:dyDescent="0.25">
      <c r="A7255">
        <f ca="1">30370.2735415523*((RANDBETWEEN(1620,2416)))</f>
        <v>58432406.293946624</v>
      </c>
      <c r="B7255">
        <v>192191146.13842219</v>
      </c>
    </row>
    <row r="7256" spans="1:2" x14ac:dyDescent="0.25">
      <c r="A7256">
        <f ca="1">38322.7029729629*((RANDBETWEEN(1620,2416)))</f>
        <v>82393811.39187023</v>
      </c>
      <c r="B7256">
        <v>147145798.54745993</v>
      </c>
    </row>
    <row r="7257" spans="1:2" x14ac:dyDescent="0.25">
      <c r="A7257">
        <f ca="1">39164.9210627681*((RANDBETWEEN(1620,2416)))</f>
        <v>87416103.812098399</v>
      </c>
      <c r="B7257">
        <v>187662493.03758416</v>
      </c>
    </row>
    <row r="7258" spans="1:2" x14ac:dyDescent="0.25">
      <c r="A7258">
        <f ca="1">37624.4064836847*((RANDBETWEEN(1620,2416)))</f>
        <v>73066597.391315684</v>
      </c>
      <c r="B7258">
        <v>142988349.28985059</v>
      </c>
    </row>
    <row r="7259" spans="1:2" x14ac:dyDescent="0.25">
      <c r="A7259">
        <f ca="1">30907.5682801647*((RANDBETWEEN(1620,2416)))</f>
        <v>72756415.731507644</v>
      </c>
      <c r="B7259">
        <v>170091599.47902977</v>
      </c>
    </row>
    <row r="7260" spans="1:2" x14ac:dyDescent="0.25">
      <c r="A7260">
        <f ca="1">39219.6878406099*((RANDBETWEEN(1620,2416)))</f>
        <v>73183937.510578081</v>
      </c>
      <c r="B7260">
        <v>156042090.75842464</v>
      </c>
    </row>
    <row r="7261" spans="1:2" x14ac:dyDescent="0.25">
      <c r="A7261">
        <f ca="1">41247.2505079035*((RANDBETWEEN(1620,2416)))</f>
        <v>83773165.781552076</v>
      </c>
      <c r="B7261">
        <v>153645170.60751367</v>
      </c>
    </row>
    <row r="7262" spans="1:2" x14ac:dyDescent="0.25">
      <c r="A7262">
        <f ca="1">33027.437863589*((RANDBETWEEN(1620,2416)))</f>
        <v>62256720.37286517</v>
      </c>
      <c r="B7262">
        <v>201293676.68651384</v>
      </c>
    </row>
    <row r="7263" spans="1:2" x14ac:dyDescent="0.25">
      <c r="A7263">
        <f ca="1">36784.4564131272*((RANDBETWEEN(1620,2416)))</f>
        <v>63085342.748513192</v>
      </c>
      <c r="B7263">
        <v>164867224.67525613</v>
      </c>
    </row>
    <row r="7264" spans="1:2" x14ac:dyDescent="0.25">
      <c r="A7264">
        <f ca="1">32361.9397633517*((RANDBETWEEN(1620,2416)))</f>
        <v>76859606.937960267</v>
      </c>
      <c r="B7264">
        <v>176275577.65839934</v>
      </c>
    </row>
    <row r="7265" spans="1:2" x14ac:dyDescent="0.25">
      <c r="A7265">
        <f ca="1">41222.6150048947*((RANDBETWEEN(1620,2416)))</f>
        <v>78364191.124304906</v>
      </c>
      <c r="B7265">
        <v>143883801.62508234</v>
      </c>
    </row>
    <row r="7266" spans="1:2" x14ac:dyDescent="0.25">
      <c r="A7266">
        <f ca="1">39283.2407705879*((RANDBETWEEN(1620,2416)))</f>
        <v>83909002.285975695</v>
      </c>
      <c r="B7266">
        <v>162445903.62614402</v>
      </c>
    </row>
    <row r="7267" spans="1:2" x14ac:dyDescent="0.25">
      <c r="A7267">
        <f ca="1">30993.0757679905*((RANDBETWEEN(1620,2416)))</f>
        <v>51417512.69909618</v>
      </c>
      <c r="B7267">
        <v>194274614.90395775</v>
      </c>
    </row>
    <row r="7268" spans="1:2" x14ac:dyDescent="0.25">
      <c r="A7268">
        <f ca="1">30442.9092214442*((RANDBETWEEN(1620,2416)))</f>
        <v>50930987.127476178</v>
      </c>
      <c r="B7268">
        <v>147390698.1473037</v>
      </c>
    </row>
    <row r="7269" spans="1:2" x14ac:dyDescent="0.25">
      <c r="A7269">
        <f ca="1">38782.9257445926*((RANDBETWEEN(1620,2416)))</f>
        <v>93583199.821702063</v>
      </c>
      <c r="B7269">
        <v>196024747.75938535</v>
      </c>
    </row>
    <row r="7270" spans="1:2" x14ac:dyDescent="0.25">
      <c r="A7270">
        <f ca="1">32958.9114187198*((RANDBETWEEN(1620,2416)))</f>
        <v>70136563.499035642</v>
      </c>
      <c r="B7270">
        <v>155233827.99362561</v>
      </c>
    </row>
    <row r="7271" spans="1:2" x14ac:dyDescent="0.25">
      <c r="A7271">
        <f ca="1">32606.3184891971*((RANDBETWEEN(1620,2416)))</f>
        <v>53017873.863434434</v>
      </c>
      <c r="B7271">
        <v>167637967.11490476</v>
      </c>
    </row>
    <row r="7272" spans="1:2" x14ac:dyDescent="0.25">
      <c r="A7272">
        <f ca="1">32241.9147810595*((RANDBETWEEN(1620,2416)))</f>
        <v>70609793.370520383</v>
      </c>
      <c r="B7272">
        <v>143504662.9694269</v>
      </c>
    </row>
    <row r="7273" spans="1:2" x14ac:dyDescent="0.25">
      <c r="A7273">
        <f ca="1">30836.6284041012*((RANDBETWEEN(1620,2416)))</f>
        <v>72589423.263254121</v>
      </c>
      <c r="B7273">
        <v>164454917.20765767</v>
      </c>
    </row>
    <row r="7274" spans="1:2" x14ac:dyDescent="0.25">
      <c r="A7274">
        <f ca="1">40761.6868048351*((RANDBETWEEN(1620,2416)))</f>
        <v>77365681.555577099</v>
      </c>
      <c r="B7274">
        <v>178218364.13328892</v>
      </c>
    </row>
    <row r="7275" spans="1:2" x14ac:dyDescent="0.25">
      <c r="A7275">
        <f ca="1">32123.3391659808*((RANDBETWEEN(1620,2416)))</f>
        <v>62319277.982002713</v>
      </c>
      <c r="B7275">
        <v>143891521.55486631</v>
      </c>
    </row>
    <row r="7276" spans="1:2" x14ac:dyDescent="0.25">
      <c r="A7276">
        <f ca="1">29370.2790344776*((RANDBETWEEN(1620,2416)))</f>
        <v>65143278.898471221</v>
      </c>
      <c r="B7276">
        <v>200331406.38178623</v>
      </c>
    </row>
    <row r="7277" spans="1:2" x14ac:dyDescent="0.25">
      <c r="A7277">
        <f ca="1">33532.7066665952*((RANDBETWEEN(1620,2416)))</f>
        <v>59990012.226538785</v>
      </c>
      <c r="B7277">
        <v>163727426.78811532</v>
      </c>
    </row>
    <row r="7278" spans="1:2" x14ac:dyDescent="0.25">
      <c r="A7278">
        <f ca="1">41002.3066207289*((RANDBETWEEN(1620,2416)))</f>
        <v>71877043.506137729</v>
      </c>
      <c r="B7278">
        <v>189696342.09091264</v>
      </c>
    </row>
    <row r="7279" spans="1:2" x14ac:dyDescent="0.25">
      <c r="A7279">
        <f ca="1">29725.5902646159*((RANDBETWEEN(1620,2416)))</f>
        <v>71044160.732432052</v>
      </c>
      <c r="B7279">
        <v>143347845.60476291</v>
      </c>
    </row>
    <row r="7280" spans="1:2" x14ac:dyDescent="0.25">
      <c r="A7280">
        <f ca="1">29797.3343093974*((RANDBETWEEN(1620,2416)))</f>
        <v>53813985.762771651</v>
      </c>
      <c r="B7280">
        <v>162562751.21800718</v>
      </c>
    </row>
    <row r="7281" spans="1:2" x14ac:dyDescent="0.25">
      <c r="A7281">
        <f ca="1">37503.3333962196*((RANDBETWEEN(1620,2416)))</f>
        <v>72981486.789043397</v>
      </c>
      <c r="B7281">
        <v>169266506.08715975</v>
      </c>
    </row>
    <row r="7282" spans="1:2" x14ac:dyDescent="0.25">
      <c r="A7282">
        <f ca="1">30670.5410964471*((RANDBETWEEN(1620,2416)))</f>
        <v>66708426.884772375</v>
      </c>
      <c r="B7282">
        <v>148433750.88384482</v>
      </c>
    </row>
    <row r="7283" spans="1:2" x14ac:dyDescent="0.25">
      <c r="A7283">
        <f ca="1">36888.3879609916*((RANDBETWEEN(1620,2416)))</f>
        <v>62452040.817958847</v>
      </c>
      <c r="B7283">
        <v>157539084.71436417</v>
      </c>
    </row>
    <row r="7284" spans="1:2" x14ac:dyDescent="0.25">
      <c r="A7284">
        <f ca="1">30800.7899821771*((RANDBETWEEN(1620,2416)))</f>
        <v>62340798.923926473</v>
      </c>
      <c r="B7284">
        <v>144876640.03909341</v>
      </c>
    </row>
    <row r="7285" spans="1:2" x14ac:dyDescent="0.25">
      <c r="A7285">
        <f ca="1">27914.9411211569*((RANDBETWEEN(1620,2416)))</f>
        <v>49995659.547992088</v>
      </c>
      <c r="B7285">
        <v>144687584.94996592</v>
      </c>
    </row>
    <row r="7286" spans="1:2" x14ac:dyDescent="0.25">
      <c r="A7286">
        <f ca="1">30177.1079439462*((RANDBETWEEN(1620,2416)))</f>
        <v>49882759.431343101</v>
      </c>
      <c r="B7286">
        <v>146306073.61500913</v>
      </c>
    </row>
    <row r="7287" spans="1:2" x14ac:dyDescent="0.25">
      <c r="A7287">
        <f ca="1">34684.4102993325*((RANDBETWEEN(1620,2416)))</f>
        <v>75230485.939252183</v>
      </c>
      <c r="B7287">
        <v>152252168.8157323</v>
      </c>
    </row>
    <row r="7288" spans="1:2" x14ac:dyDescent="0.25">
      <c r="A7288">
        <f ca="1">27263.1921054431*((RANDBETWEEN(1620,2416)))</f>
        <v>54962595.284573197</v>
      </c>
      <c r="B7288">
        <v>152616344.55646774</v>
      </c>
    </row>
    <row r="7289" spans="1:2" x14ac:dyDescent="0.25">
      <c r="A7289">
        <f ca="1">38785.0906532186*((RANDBETWEEN(1620,2416)))</f>
        <v>70511294.807551429</v>
      </c>
      <c r="B7289">
        <v>146301433.90834427</v>
      </c>
    </row>
    <row r="7290" spans="1:2" x14ac:dyDescent="0.25">
      <c r="A7290">
        <f ca="1">34536.4607153252*((RANDBETWEEN(1620,2416)))</f>
        <v>61025926.083979554</v>
      </c>
      <c r="B7290">
        <v>152077358.46392584</v>
      </c>
    </row>
    <row r="7291" spans="1:2" x14ac:dyDescent="0.25">
      <c r="A7291">
        <f ca="1">33265.0029347017*((RANDBETWEEN(1620,2416)))</f>
        <v>69224471.107114226</v>
      </c>
      <c r="B7291">
        <v>152831081.8378357</v>
      </c>
    </row>
    <row r="7292" spans="1:2" x14ac:dyDescent="0.25">
      <c r="A7292">
        <f ca="1">32790.6491636283*((RANDBETWEEN(1620,2416)))</f>
        <v>71516405.825873226</v>
      </c>
      <c r="B7292">
        <v>186476021.27382421</v>
      </c>
    </row>
    <row r="7293" spans="1:2" x14ac:dyDescent="0.25">
      <c r="A7293">
        <f ca="1">36276.9142472125*((RANDBETWEEN(1620,2416)))</f>
        <v>60727554.449833691</v>
      </c>
      <c r="B7293">
        <v>194229783.05229887</v>
      </c>
    </row>
    <row r="7294" spans="1:2" x14ac:dyDescent="0.25">
      <c r="A7294">
        <f ca="1">30427.0412171741*((RANDBETWEEN(1620,2416)))</f>
        <v>50813158.832680807</v>
      </c>
      <c r="B7294">
        <v>167085044.54611829</v>
      </c>
    </row>
    <row r="7295" spans="1:2" x14ac:dyDescent="0.25">
      <c r="A7295">
        <f ca="1">31692.722678764*((RANDBETWEEN(1620,2416)))</f>
        <v>73622194.782768682</v>
      </c>
      <c r="B7295">
        <v>161046480.76764345</v>
      </c>
    </row>
    <row r="7296" spans="1:2" x14ac:dyDescent="0.25">
      <c r="A7296">
        <f ca="1">28505.7659794193*((RANDBETWEEN(1620,2416)))</f>
        <v>60147166.216574714</v>
      </c>
      <c r="B7296">
        <v>156805609.17067176</v>
      </c>
    </row>
    <row r="7297" spans="1:2" x14ac:dyDescent="0.25">
      <c r="A7297">
        <f ca="1">30760.3956844498*((RANDBETWEEN(1620,2416)))</f>
        <v>61920676.512797542</v>
      </c>
      <c r="B7297">
        <v>177350757.01810431</v>
      </c>
    </row>
    <row r="7298" spans="1:2" x14ac:dyDescent="0.25">
      <c r="A7298">
        <f ca="1">36053.1960260896*((RANDBETWEEN(1620,2416)))</f>
        <v>79100712.081240654</v>
      </c>
      <c r="B7298">
        <v>197118390.03929645</v>
      </c>
    </row>
    <row r="7299" spans="1:2" x14ac:dyDescent="0.25">
      <c r="A7299">
        <f ca="1">38561.2858421805*((RANDBETWEEN(1620,2416)))</f>
        <v>80554526.124315083</v>
      </c>
      <c r="B7299">
        <v>147813400.00411043</v>
      </c>
    </row>
    <row r="7300" spans="1:2" x14ac:dyDescent="0.25">
      <c r="A7300">
        <f ca="1">31883.338685612*((RANDBETWEEN(1620,2416)))</f>
        <v>64946360.902591735</v>
      </c>
      <c r="B7300">
        <v>201955540.36859304</v>
      </c>
    </row>
    <row r="7301" spans="1:2" x14ac:dyDescent="0.25">
      <c r="A7301">
        <f ca="1">37934.3140772021*((RANDBETWEEN(1620,2416)))</f>
        <v>77386000.717492297</v>
      </c>
      <c r="B7301">
        <v>165204684.24664339</v>
      </c>
    </row>
    <row r="7302" spans="1:2" x14ac:dyDescent="0.25">
      <c r="A7302">
        <f ca="1">30458.4578259661*((RANDBETWEEN(1620,2416)))</f>
        <v>67891902.494078353</v>
      </c>
      <c r="B7302">
        <v>167930171.13867474</v>
      </c>
    </row>
    <row r="7303" spans="1:2" x14ac:dyDescent="0.25">
      <c r="A7303">
        <f ca="1">29139.6479750242*((RANDBETWEEN(1620,2416)))</f>
        <v>62825081.03415212</v>
      </c>
      <c r="B7303">
        <v>170430420.74399659</v>
      </c>
    </row>
    <row r="7304" spans="1:2" x14ac:dyDescent="0.25">
      <c r="A7304">
        <f ca="1">35088.2120767589*((RANDBETWEEN(1620,2416)))</f>
        <v>57474491.381731182</v>
      </c>
      <c r="B7304">
        <v>159825954.51126823</v>
      </c>
    </row>
    <row r="7305" spans="1:2" x14ac:dyDescent="0.25">
      <c r="A7305">
        <f ca="1">31223.2416341628*((RANDBETWEEN(1620,2416)))</f>
        <v>72937492.457404375</v>
      </c>
      <c r="B7305">
        <v>143423741.26327291</v>
      </c>
    </row>
    <row r="7306" spans="1:2" x14ac:dyDescent="0.25">
      <c r="A7306">
        <f ca="1">35503.4402961392*((RANDBETWEEN(1620,2416)))</f>
        <v>83078050.29296571</v>
      </c>
      <c r="B7306">
        <v>173102705.78384486</v>
      </c>
    </row>
    <row r="7307" spans="1:2" x14ac:dyDescent="0.25">
      <c r="A7307">
        <f ca="1">30451.4387621938*((RANDBETWEEN(1620,2416)))</f>
        <v>70251469.224381179</v>
      </c>
      <c r="B7307">
        <v>155722355.81451449</v>
      </c>
    </row>
    <row r="7308" spans="1:2" x14ac:dyDescent="0.25">
      <c r="A7308">
        <f ca="1">30399.4036990091*((RANDBETWEEN(1620,2416)))</f>
        <v>56117299.228370719</v>
      </c>
      <c r="B7308">
        <v>171154535.77667204</v>
      </c>
    </row>
    <row r="7309" spans="1:2" x14ac:dyDescent="0.25">
      <c r="A7309">
        <f ca="1">36818.1918555669*((RANDBETWEEN(1620,2416)))</f>
        <v>73857292.862267256</v>
      </c>
      <c r="B7309">
        <v>192953567.31574017</v>
      </c>
    </row>
    <row r="7310" spans="1:2" x14ac:dyDescent="0.25">
      <c r="A7310">
        <f ca="1">31400.6810675065*((RANDBETWEEN(1620,2416)))</f>
        <v>67040454.07912638</v>
      </c>
      <c r="B7310">
        <v>177873634.14280936</v>
      </c>
    </row>
    <row r="7311" spans="1:2" x14ac:dyDescent="0.25">
      <c r="A7311">
        <f ca="1">30973.3976344987*((RANDBETWEEN(1620,2416)))</f>
        <v>64145906.501046911</v>
      </c>
      <c r="B7311">
        <v>175952414.50219741</v>
      </c>
    </row>
    <row r="7312" spans="1:2" x14ac:dyDescent="0.25">
      <c r="A7312">
        <f ca="1">31920.5007912895*((RANDBETWEEN(1620,2416)))</f>
        <v>68469474.197315916</v>
      </c>
      <c r="B7312">
        <v>151388922.33327457</v>
      </c>
    </row>
    <row r="7313" spans="1:2" x14ac:dyDescent="0.25">
      <c r="A7313">
        <f ca="1">29555.51121924*((RANDBETWEEN(1620,2416)))</f>
        <v>48855260.045403697</v>
      </c>
      <c r="B7313">
        <v>194983818.34427357</v>
      </c>
    </row>
    <row r="7314" spans="1:2" x14ac:dyDescent="0.25">
      <c r="A7314">
        <f ca="1">31391.572924278*((RANDBETWEEN(1620,2416)))</f>
        <v>56567614.409548968</v>
      </c>
      <c r="B7314">
        <v>146179123.23843738</v>
      </c>
    </row>
    <row r="7315" spans="1:2" x14ac:dyDescent="0.25">
      <c r="A7315">
        <f ca="1">41354.6891143577*((RANDBETWEEN(1620,2416)))</f>
        <v>76547529.550676107</v>
      </c>
      <c r="B7315">
        <v>173240571.6179305</v>
      </c>
    </row>
    <row r="7316" spans="1:2" x14ac:dyDescent="0.25">
      <c r="A7316">
        <f ca="1">33327.5527541047*((RANDBETWEEN(1620,2416)))</f>
        <v>65788589.136602648</v>
      </c>
      <c r="B7316">
        <v>195408713.10541973</v>
      </c>
    </row>
    <row r="7317" spans="1:2" x14ac:dyDescent="0.25">
      <c r="A7317">
        <f ca="1">28239.5918145308*((RANDBETWEEN(1620,2416)))</f>
        <v>49729921.185388781</v>
      </c>
      <c r="B7317">
        <v>164996267.16246855</v>
      </c>
    </row>
    <row r="7318" spans="1:2" x14ac:dyDescent="0.25">
      <c r="A7318">
        <f ca="1">27548.0957665451*((RANDBETWEEN(1620,2416)))</f>
        <v>61542445.942461863</v>
      </c>
      <c r="B7318">
        <v>199347917.47013605</v>
      </c>
    </row>
    <row r="7319" spans="1:2" x14ac:dyDescent="0.25">
      <c r="A7319">
        <f ca="1">29603.5055175917*((RANDBETWEEN(1620,2416)))</f>
        <v>63795554.390410155</v>
      </c>
      <c r="B7319">
        <v>177817608.10772684</v>
      </c>
    </row>
    <row r="7320" spans="1:2" x14ac:dyDescent="0.25">
      <c r="A7320">
        <f ca="1">32595.3209404179*((RANDBETWEEN(1620,2416)))</f>
        <v>55933570.733757138</v>
      </c>
      <c r="B7320">
        <v>161216504.1860466</v>
      </c>
    </row>
    <row r="7321" spans="1:2" x14ac:dyDescent="0.25">
      <c r="A7321">
        <f ca="1">30447.345996039*((RANDBETWEEN(1620,2416)))</f>
        <v>69480843.562961072</v>
      </c>
      <c r="B7321">
        <v>168498546.75755459</v>
      </c>
    </row>
    <row r="7322" spans="1:2" x14ac:dyDescent="0.25">
      <c r="A7322">
        <f ca="1">40179.2182971728*((RANDBETWEEN(1620,2416)))</f>
        <v>91488080.062662408</v>
      </c>
      <c r="B7322">
        <v>154308864.82728317</v>
      </c>
    </row>
    <row r="7323" spans="1:2" x14ac:dyDescent="0.25">
      <c r="A7323">
        <f ca="1">30565.2666614278*((RANDBETWEEN(1620,2416)))</f>
        <v>64217625.255659789</v>
      </c>
      <c r="B7323">
        <v>144964339.21317095</v>
      </c>
    </row>
    <row r="7324" spans="1:2" x14ac:dyDescent="0.25">
      <c r="A7324">
        <f ca="1">33705.6472556198*((RANDBETWEEN(1620,2416)))</f>
        <v>68995459.932253674</v>
      </c>
      <c r="B7324">
        <v>161867775.47842658</v>
      </c>
    </row>
    <row r="7325" spans="1:2" x14ac:dyDescent="0.25">
      <c r="A7325">
        <f ca="1">27082.5159781217*((RANDBETWEEN(1620,2416)))</f>
        <v>60773165.854905128</v>
      </c>
      <c r="B7325">
        <v>194890419.66683659</v>
      </c>
    </row>
    <row r="7326" spans="1:2" x14ac:dyDescent="0.25">
      <c r="A7326">
        <f ca="1">30461.1205242433*((RANDBETWEEN(1620,2416)))</f>
        <v>59246879.419653282</v>
      </c>
      <c r="B7326">
        <v>160599278.52366513</v>
      </c>
    </row>
    <row r="7327" spans="1:2" x14ac:dyDescent="0.25">
      <c r="A7327">
        <f ca="1">30558.6543974814*((RANDBETWEEN(1620,2416)))</f>
        <v>66098369.461752176</v>
      </c>
      <c r="B7327">
        <v>149135618.50959009</v>
      </c>
    </row>
    <row r="7328" spans="1:2" x14ac:dyDescent="0.25">
      <c r="A7328">
        <f ca="1">35127.6176974457*((RANDBETWEEN(1620,2416)))</f>
        <v>84271154.856172293</v>
      </c>
      <c r="B7328">
        <v>177294704.00698125</v>
      </c>
    </row>
    <row r="7329" spans="1:2" x14ac:dyDescent="0.25">
      <c r="A7329">
        <f ca="1">32378.7910199232*((RANDBETWEEN(1620,2416)))</f>
        <v>64174763.801487729</v>
      </c>
      <c r="B7329">
        <v>183522303.06756127</v>
      </c>
    </row>
    <row r="7330" spans="1:2" x14ac:dyDescent="0.25">
      <c r="A7330">
        <f ca="1">31133.7122328362*((RANDBETWEEN(1620,2416)))</f>
        <v>65629865.386818901</v>
      </c>
      <c r="B7330">
        <v>146109132.93516204</v>
      </c>
    </row>
    <row r="7331" spans="1:2" x14ac:dyDescent="0.25">
      <c r="A7331">
        <f ca="1">37204.5592930321*((RANDBETWEEN(1620,2416)))</f>
        <v>66186910.982304156</v>
      </c>
      <c r="B7331">
        <v>148491039.19706595</v>
      </c>
    </row>
    <row r="7332" spans="1:2" x14ac:dyDescent="0.25">
      <c r="A7332">
        <f ca="1">40704.5657514491*((RANDBETWEEN(1620,2416)))</f>
        <v>90119908.573708251</v>
      </c>
      <c r="B7332">
        <v>151678245.70945689</v>
      </c>
    </row>
    <row r="7333" spans="1:2" x14ac:dyDescent="0.25">
      <c r="A7333">
        <f ca="1">37140.7252258081*((RANDBETWEEN(1620,2416)))</f>
        <v>82675254.352648765</v>
      </c>
      <c r="B7333">
        <v>151573465.76866996</v>
      </c>
    </row>
    <row r="7334" spans="1:2" x14ac:dyDescent="0.25">
      <c r="A7334">
        <f ca="1">29790.1433419645*((RANDBETWEEN(1620,2416)))</f>
        <v>53979739.735639624</v>
      </c>
      <c r="B7334">
        <v>156161104.38550228</v>
      </c>
    </row>
    <row r="7335" spans="1:2" x14ac:dyDescent="0.25">
      <c r="A7335">
        <f ca="1">37304.8141773025*((RANDBETWEEN(1620,2416)))</f>
        <v>78414719.40068996</v>
      </c>
      <c r="B7335">
        <v>146595159.29061687</v>
      </c>
    </row>
    <row r="7336" spans="1:2" x14ac:dyDescent="0.25">
      <c r="A7336">
        <f ca="1">37591.8021123548*((RANDBETWEEN(1620,2416)))</f>
        <v>71950709.243047178</v>
      </c>
      <c r="B7336">
        <v>198494388.23390901</v>
      </c>
    </row>
    <row r="7337" spans="1:2" x14ac:dyDescent="0.25">
      <c r="A7337">
        <f ca="1">39376.061918923*((RANDBETWEEN(1620,2416)))</f>
        <v>93281890.685928598</v>
      </c>
      <c r="B7337">
        <v>145861215.67222273</v>
      </c>
    </row>
    <row r="7338" spans="1:2" x14ac:dyDescent="0.25">
      <c r="A7338">
        <f ca="1">41913.9524641853*((RANDBETWEEN(1620,2416)))</f>
        <v>72469223.810576349</v>
      </c>
      <c r="B7338">
        <v>168085006.22194284</v>
      </c>
    </row>
    <row r="7339" spans="1:2" x14ac:dyDescent="0.25">
      <c r="A7339">
        <f ca="1">29739.9505501573*((RANDBETWEEN(1620,2416)))</f>
        <v>59598860.902515262</v>
      </c>
      <c r="B7339">
        <v>180378407.94604725</v>
      </c>
    </row>
    <row r="7340" spans="1:2" x14ac:dyDescent="0.25">
      <c r="A7340">
        <f ca="1">40207.0973761886*((RANDBETWEEN(1620,2416)))</f>
        <v>89380377.467267156</v>
      </c>
      <c r="B7340">
        <v>160744959.61364186</v>
      </c>
    </row>
    <row r="7341" spans="1:2" x14ac:dyDescent="0.25">
      <c r="A7341">
        <f ca="1">34783.0729917665*((RANDBETWEEN(1620,2416)))</f>
        <v>57983382.677274749</v>
      </c>
      <c r="B7341">
        <v>202752105.92929173</v>
      </c>
    </row>
    <row r="7342" spans="1:2" x14ac:dyDescent="0.25">
      <c r="A7342">
        <f ca="1">38812.8549526465*((RANDBETWEEN(1620,2416)))</f>
        <v>71920220.227253944</v>
      </c>
      <c r="B7342">
        <v>175502071.93470532</v>
      </c>
    </row>
    <row r="7343" spans="1:2" x14ac:dyDescent="0.25">
      <c r="A7343">
        <f ca="1">30473.2983754945*((RANDBETWEEN(1620,2416)))</f>
        <v>49732422.948807061</v>
      </c>
      <c r="B7343">
        <v>173417233.40961319</v>
      </c>
    </row>
    <row r="7344" spans="1:2" x14ac:dyDescent="0.25">
      <c r="A7344">
        <f ca="1">32091.3952254764*((RANDBETWEEN(1620,2416)))</f>
        <v>74195305.761301354</v>
      </c>
      <c r="B7344">
        <v>156560170.56615871</v>
      </c>
    </row>
    <row r="7345" spans="1:2" x14ac:dyDescent="0.25">
      <c r="A7345">
        <f ca="1">29842.5204743998*((RANDBETWEEN(1620,2416)))</f>
        <v>70010553.032941997</v>
      </c>
      <c r="B7345">
        <v>163339926.19517988</v>
      </c>
    </row>
    <row r="7346" spans="1:2" x14ac:dyDescent="0.25">
      <c r="A7346">
        <f ca="1">33770.2008385142*((RANDBETWEEN(1620,2416)))</f>
        <v>59705715.082493022</v>
      </c>
      <c r="B7346">
        <v>201554353.51543546</v>
      </c>
    </row>
    <row r="7347" spans="1:2" x14ac:dyDescent="0.25">
      <c r="A7347">
        <f ca="1">32026.0720643722*((RANDBETWEEN(1620,2416)))</f>
        <v>66998542.758666635</v>
      </c>
      <c r="B7347">
        <v>150647877.204974</v>
      </c>
    </row>
    <row r="7348" spans="1:2" x14ac:dyDescent="0.25">
      <c r="A7348">
        <f ca="1">31239.386019219*((RANDBETWEEN(1620,2416)))</f>
        <v>72412896.792549685</v>
      </c>
      <c r="B7348">
        <v>165177334.46442845</v>
      </c>
    </row>
    <row r="7349" spans="1:2" x14ac:dyDescent="0.25">
      <c r="A7349">
        <f ca="1">30813.0487589473*((RANDBETWEEN(1620,2416)))</f>
        <v>68928790.073765218</v>
      </c>
      <c r="B7349">
        <v>150198771.81475228</v>
      </c>
    </row>
    <row r="7350" spans="1:2" x14ac:dyDescent="0.25">
      <c r="A7350">
        <f ca="1">32987.5177332942*((RANDBETWEEN(1620,2416)))</f>
        <v>70560300.431516364</v>
      </c>
      <c r="B7350">
        <v>200083672.98429295</v>
      </c>
    </row>
    <row r="7351" spans="1:2" x14ac:dyDescent="0.25">
      <c r="A7351">
        <f ca="1">41757.3679799658*((RANDBETWEEN(1620,2416)))</f>
        <v>70444679.782202363</v>
      </c>
      <c r="B7351">
        <v>173505391.10308179</v>
      </c>
    </row>
    <row r="7352" spans="1:2" x14ac:dyDescent="0.25">
      <c r="A7352">
        <f ca="1">33040.3956740982*((RANDBETWEEN(1620,2416)))</f>
        <v>65519104.621736638</v>
      </c>
      <c r="B7352">
        <v>163056928.31882745</v>
      </c>
    </row>
    <row r="7353" spans="1:2" x14ac:dyDescent="0.25">
      <c r="A7353">
        <f ca="1">30862.4685806978*((RANDBETWEEN(1620,2416)))</f>
        <v>64533421.802239001</v>
      </c>
      <c r="B7353">
        <v>171507692.95388222</v>
      </c>
    </row>
    <row r="7354" spans="1:2" x14ac:dyDescent="0.25">
      <c r="A7354">
        <f ca="1">35738.9581407461*((RANDBETWEEN(1620,2416)))</f>
        <v>69262100.876765996</v>
      </c>
      <c r="B7354">
        <v>148877940.36273652</v>
      </c>
    </row>
    <row r="7355" spans="1:2" x14ac:dyDescent="0.25">
      <c r="A7355">
        <f ca="1">33553.0945180804*((RANDBETWEEN(1620,2416)))</f>
        <v>64421941.474714309</v>
      </c>
      <c r="B7355">
        <v>161967298.44083688</v>
      </c>
    </row>
    <row r="7356" spans="1:2" x14ac:dyDescent="0.25">
      <c r="A7356">
        <f ca="1">29798.5838847916*((RANDBETWEEN(1620,2416)))</f>
        <v>55008185.851325296</v>
      </c>
      <c r="B7356">
        <v>176191435.01251391</v>
      </c>
    </row>
    <row r="7357" spans="1:2" x14ac:dyDescent="0.25">
      <c r="A7357">
        <f ca="1">32645.8594896075*((RANDBETWEEN(1620,2416)))</f>
        <v>55138856.677947059</v>
      </c>
      <c r="B7357">
        <v>166121685.67899045</v>
      </c>
    </row>
    <row r="7358" spans="1:2" x14ac:dyDescent="0.25">
      <c r="A7358">
        <f ca="1">34230.893013597*((RANDBETWEEN(1620,2416)))</f>
        <v>79518364.470585883</v>
      </c>
      <c r="B7358">
        <v>161086455.80280983</v>
      </c>
    </row>
    <row r="7359" spans="1:2" x14ac:dyDescent="0.25">
      <c r="A7359">
        <f ca="1">41340.8116323103*((RANDBETWEEN(1620,2416)))</f>
        <v>85410116.832353055</v>
      </c>
      <c r="B7359">
        <v>187497550.65152875</v>
      </c>
    </row>
    <row r="7360" spans="1:2" x14ac:dyDescent="0.25">
      <c r="A7360">
        <f ca="1">31624.8705730116*((RANDBETWEEN(1620,2416)))</f>
        <v>55691397.079073466</v>
      </c>
      <c r="B7360">
        <v>195827970.56556311</v>
      </c>
    </row>
    <row r="7361" spans="1:2" x14ac:dyDescent="0.25">
      <c r="A7361">
        <f ca="1">33575.6503612421*((RANDBETWEEN(1620,2416)))</f>
        <v>72019770.024864361</v>
      </c>
      <c r="B7361">
        <v>152883276.55619639</v>
      </c>
    </row>
    <row r="7362" spans="1:2" x14ac:dyDescent="0.25">
      <c r="A7362">
        <f ca="1">30079.813419541*((RANDBETWEEN(1620,2416)))</f>
        <v>49330894.008047245</v>
      </c>
      <c r="B7362">
        <v>173003580.6983268</v>
      </c>
    </row>
    <row r="7363" spans="1:2" x14ac:dyDescent="0.25">
      <c r="A7363">
        <f ca="1">38788.4705134724*((RANDBETWEEN(1620,2416)))</f>
        <v>65242207.403660588</v>
      </c>
      <c r="B7363">
        <v>173615056.3647055</v>
      </c>
    </row>
    <row r="7364" spans="1:2" x14ac:dyDescent="0.25">
      <c r="A7364">
        <f ca="1">31794.5755001521*((RANDBETWEEN(1620,2416)))</f>
        <v>62508135.433299072</v>
      </c>
      <c r="B7364">
        <v>160250352.6826731</v>
      </c>
    </row>
    <row r="7365" spans="1:2" x14ac:dyDescent="0.25">
      <c r="A7365">
        <f ca="1">32988.2897510651*((RANDBETWEEN(1620,2416)))</f>
        <v>66273474.10988988</v>
      </c>
      <c r="B7365">
        <v>203382501.6315743</v>
      </c>
    </row>
    <row r="7366" spans="1:2" x14ac:dyDescent="0.25">
      <c r="A7366">
        <f ca="1">27391.4424331529*((RANDBETWEEN(1620,2416)))</f>
        <v>53002441.108150914</v>
      </c>
      <c r="B7366">
        <v>202344890.3392188</v>
      </c>
    </row>
    <row r="7367" spans="1:2" x14ac:dyDescent="0.25">
      <c r="A7367">
        <f ca="1">33797.7156349336*((RANDBETWEEN(1620,2416)))</f>
        <v>65195793.459786914</v>
      </c>
      <c r="B7367">
        <v>163307372.98068458</v>
      </c>
    </row>
    <row r="7368" spans="1:2" x14ac:dyDescent="0.25">
      <c r="A7368">
        <f ca="1">36172.8793569239*((RANDBETWEEN(1620,2416)))</f>
        <v>61747105.062269084</v>
      </c>
      <c r="B7368">
        <v>171438487.27482671</v>
      </c>
    </row>
    <row r="7369" spans="1:2" x14ac:dyDescent="0.25">
      <c r="A7369">
        <f ca="1">31460.4105105685*((RANDBETWEEN(1620,2416)))</f>
        <v>72233102.532265291</v>
      </c>
      <c r="B7369">
        <v>160607562.35294232</v>
      </c>
    </row>
    <row r="7370" spans="1:2" x14ac:dyDescent="0.25">
      <c r="A7370">
        <f ca="1">33828.6924003355*((RANDBETWEEN(1620,2416)))</f>
        <v>55276083.382148124</v>
      </c>
      <c r="B7370">
        <v>157338674.19159815</v>
      </c>
    </row>
    <row r="7371" spans="1:2" x14ac:dyDescent="0.25">
      <c r="A7371">
        <f ca="1">37442.6366851057*((RANDBETWEEN(1620,2416)))</f>
        <v>82972882.89419429</v>
      </c>
      <c r="B7371">
        <v>147023232.50747561</v>
      </c>
    </row>
    <row r="7372" spans="1:2" x14ac:dyDescent="0.25">
      <c r="A7372">
        <f ca="1">30940.5855803016*((RANDBETWEEN(1620,2416)))</f>
        <v>70235129.267284721</v>
      </c>
      <c r="B7372">
        <v>145740494.51596507</v>
      </c>
    </row>
    <row r="7373" spans="1:2" x14ac:dyDescent="0.25">
      <c r="A7373">
        <f ca="1">33348.6103812519*((RANDBETWEEN(1620,2416)))</f>
        <v>61428140.32226593</v>
      </c>
      <c r="B7373">
        <v>150149825.09716344</v>
      </c>
    </row>
    <row r="7374" spans="1:2" x14ac:dyDescent="0.25">
      <c r="A7374">
        <f ca="1">31287.856416502*((RANDBETWEEN(1620,2416)))</f>
        <v>71586615.480956569</v>
      </c>
      <c r="B7374">
        <v>154547755.65502417</v>
      </c>
    </row>
    <row r="7375" spans="1:2" x14ac:dyDescent="0.25">
      <c r="A7375">
        <f ca="1">29079.6779691231*((RANDBETWEEN(1620,2416)))</f>
        <v>52139862.598637745</v>
      </c>
      <c r="B7375">
        <v>158599361.57628095</v>
      </c>
    </row>
    <row r="7376" spans="1:2" x14ac:dyDescent="0.25">
      <c r="A7376">
        <f ca="1">28992.2064920021*((RANDBETWEEN(1620,2416)))</f>
        <v>68363622.908140972</v>
      </c>
      <c r="B7376">
        <v>164175838.69601744</v>
      </c>
    </row>
    <row r="7377" spans="1:2" x14ac:dyDescent="0.25">
      <c r="A7377">
        <f ca="1">33968.8308055246*((RANDBETWEEN(1620,2416)))</f>
        <v>77720684.883040175</v>
      </c>
      <c r="B7377">
        <v>145788302.93426108</v>
      </c>
    </row>
    <row r="7378" spans="1:2" x14ac:dyDescent="0.25">
      <c r="A7378">
        <f ca="1">29098.3341720757*((RANDBETWEEN(1620,2416)))</f>
        <v>47895858.047236674</v>
      </c>
      <c r="B7378">
        <v>145878292.12052357</v>
      </c>
    </row>
    <row r="7379" spans="1:2" x14ac:dyDescent="0.25">
      <c r="A7379">
        <f ca="1">41016.2424560262*((RANDBETWEEN(1620,2416)))</f>
        <v>69727612.175244585</v>
      </c>
      <c r="B7379">
        <v>203456704.58285415</v>
      </c>
    </row>
    <row r="7380" spans="1:2" x14ac:dyDescent="0.25">
      <c r="A7380">
        <f ca="1">36485.3752266139*((RANDBETWEEN(1620,2416)))</f>
        <v>82274521.136014417</v>
      </c>
      <c r="B7380">
        <v>197487236.36052364</v>
      </c>
    </row>
    <row r="7381" spans="1:2" x14ac:dyDescent="0.25">
      <c r="A7381">
        <f ca="1">30364.0885258881*((RANDBETWEEN(1620,2416)))</f>
        <v>52833514.035045333</v>
      </c>
      <c r="B7381">
        <v>152868478.0108259</v>
      </c>
    </row>
    <row r="7382" spans="1:2" x14ac:dyDescent="0.25">
      <c r="A7382">
        <f ca="1">29680.687605725*((RANDBETWEEN(1620,2416)))</f>
        <v>58975526.272575624</v>
      </c>
      <c r="B7382">
        <v>154315887.67635882</v>
      </c>
    </row>
    <row r="7383" spans="1:2" x14ac:dyDescent="0.25">
      <c r="A7383">
        <f ca="1">30204.349882448*((RANDBETWEEN(1620,2416)))</f>
        <v>71523900.521636948</v>
      </c>
      <c r="B7383">
        <v>144843391.9119527</v>
      </c>
    </row>
    <row r="7384" spans="1:2" x14ac:dyDescent="0.25">
      <c r="A7384">
        <f ca="1">32916.6470115496*((RANDBETWEEN(1620,2416)))</f>
        <v>61817463.08769013</v>
      </c>
      <c r="B7384">
        <v>201504145.66772616</v>
      </c>
    </row>
    <row r="7385" spans="1:2" x14ac:dyDescent="0.25">
      <c r="A7385">
        <f ca="1">32023.7038863601*((RANDBETWEEN(1620,2416)))</f>
        <v>57706714.403220825</v>
      </c>
      <c r="B7385">
        <v>160958382.1382519</v>
      </c>
    </row>
    <row r="7386" spans="1:2" x14ac:dyDescent="0.25">
      <c r="A7386">
        <f ca="1">32095.8001421639*((RANDBETWEEN(1620,2416)))</f>
        <v>57162620.053193972</v>
      </c>
      <c r="B7386">
        <v>165390272.89303547</v>
      </c>
    </row>
    <row r="7387" spans="1:2" x14ac:dyDescent="0.25">
      <c r="A7387">
        <f ca="1">39706.6371740761*((RANDBETWEEN(1620,2416)))</f>
        <v>65118884.965484917</v>
      </c>
      <c r="B7387">
        <v>155754853.40292948</v>
      </c>
    </row>
    <row r="7388" spans="1:2" x14ac:dyDescent="0.25">
      <c r="A7388">
        <f ca="1">30803.4462151953*((RANDBETWEEN(1620,2416)))</f>
        <v>70909533.187379628</v>
      </c>
      <c r="B7388">
        <v>161201275.92311448</v>
      </c>
    </row>
    <row r="7389" spans="1:2" x14ac:dyDescent="0.25">
      <c r="A7389">
        <f ca="1">38856.0216142294*((RANDBETWEEN(1620,2416)))</f>
        <v>64190147.706706889</v>
      </c>
      <c r="B7389">
        <v>169650660.10351449</v>
      </c>
    </row>
    <row r="7390" spans="1:2" x14ac:dyDescent="0.25">
      <c r="A7390">
        <f ca="1">31469.6158955434*((RANDBETWEEN(1620,2416)))</f>
        <v>53813043.181379274</v>
      </c>
      <c r="B7390">
        <v>181844286.99175364</v>
      </c>
    </row>
    <row r="7391" spans="1:2" x14ac:dyDescent="0.25">
      <c r="A7391">
        <f ca="1">28212.3338589892*((RANDBETWEEN(1620,2416)))</f>
        <v>59133051.768441439</v>
      </c>
      <c r="B7391">
        <v>147447430.01905569</v>
      </c>
    </row>
    <row r="7392" spans="1:2" x14ac:dyDescent="0.25">
      <c r="A7392">
        <f ca="1">29056.1741952284*((RANDBETWEEN(1620,2416)))</f>
        <v>50325293.706135586</v>
      </c>
      <c r="B7392">
        <v>166573028.92796326</v>
      </c>
    </row>
    <row r="7393" spans="1:2" x14ac:dyDescent="0.25">
      <c r="A7393">
        <f ca="1">37442.9358492865*((RANDBETWEEN(1620,2416)))</f>
        <v>78143407.117460862</v>
      </c>
      <c r="B7393">
        <v>163423419.21666971</v>
      </c>
    </row>
    <row r="7394" spans="1:2" x14ac:dyDescent="0.25">
      <c r="A7394">
        <f ca="1">30288.1040653303*((RANDBETWEEN(1620,2416)))</f>
        <v>49854219.291533642</v>
      </c>
      <c r="B7394">
        <v>163243641.79106927</v>
      </c>
    </row>
    <row r="7395" spans="1:2" x14ac:dyDescent="0.25">
      <c r="A7395">
        <f ca="1">30893.6975376763*((RANDBETWEEN(1620,2416)))</f>
        <v>65649107.267562106</v>
      </c>
      <c r="B7395">
        <v>173172156.47249344</v>
      </c>
    </row>
    <row r="7396" spans="1:2" x14ac:dyDescent="0.25">
      <c r="A7396">
        <f ca="1">28111.6433969322*((RANDBETWEEN(1620,2416)))</f>
        <v>55632942.282528803</v>
      </c>
      <c r="B7396">
        <v>190667035.20475385</v>
      </c>
    </row>
    <row r="7397" spans="1:2" x14ac:dyDescent="0.25">
      <c r="A7397">
        <f ca="1">35793.7461609551*((RANDBETWEEN(1620,2416)))</f>
        <v>81108628.800724164</v>
      </c>
      <c r="B7397">
        <v>145514283.16144037</v>
      </c>
    </row>
    <row r="7398" spans="1:2" x14ac:dyDescent="0.25">
      <c r="A7398">
        <f ca="1">32167.8306927209*((RANDBETWEEN(1620,2416)))</f>
        <v>64206990.062670983</v>
      </c>
      <c r="B7398">
        <v>147034978.4784236</v>
      </c>
    </row>
    <row r="7399" spans="1:2" x14ac:dyDescent="0.25">
      <c r="A7399">
        <f ca="1">38020.1191099786*((RANDBETWEEN(1620,2416)))</f>
        <v>84252583.947712645</v>
      </c>
      <c r="B7399">
        <v>166998436.14301574</v>
      </c>
    </row>
    <row r="7400" spans="1:2" x14ac:dyDescent="0.25">
      <c r="A7400">
        <f ca="1">32382.3681490085*((RANDBETWEEN(1620,2416)))</f>
        <v>77458624.612428412</v>
      </c>
      <c r="B7400">
        <v>166550040.25715917</v>
      </c>
    </row>
    <row r="7401" spans="1:2" x14ac:dyDescent="0.25">
      <c r="A7401">
        <f ca="1">41300.273654215*((RANDBETWEEN(1620,2416)))</f>
        <v>97716447.465872765</v>
      </c>
      <c r="B7401">
        <v>169267627.05944595</v>
      </c>
    </row>
    <row r="7402" spans="1:2" x14ac:dyDescent="0.25">
      <c r="A7402">
        <f ca="1">31183.6748403625*((RANDBETWEEN(1620,2416)))</f>
        <v>57658614.779830262</v>
      </c>
      <c r="B7402">
        <v>147305115.03416261</v>
      </c>
    </row>
    <row r="7403" spans="1:2" x14ac:dyDescent="0.25">
      <c r="A7403">
        <f ca="1">30562.9324855812*((RANDBETWEEN(1620,2416)))</f>
        <v>63418084.907581031</v>
      </c>
      <c r="B7403">
        <v>175917338.78405184</v>
      </c>
    </row>
    <row r="7404" spans="1:2" x14ac:dyDescent="0.25">
      <c r="A7404">
        <f ca="1">29837.2240329766*((RANDBETWEEN(1620,2416)))</f>
        <v>53498142.691126965</v>
      </c>
      <c r="B7404">
        <v>151582965.79372135</v>
      </c>
    </row>
    <row r="7405" spans="1:2" x14ac:dyDescent="0.25">
      <c r="A7405">
        <f ca="1">30548.9234826579*((RANDBETWEEN(1620,2416)))</f>
        <v>49489256.041905776</v>
      </c>
      <c r="B7405">
        <v>181767957.71977937</v>
      </c>
    </row>
    <row r="7406" spans="1:2" x14ac:dyDescent="0.25">
      <c r="A7406">
        <f ca="1">37334.7518527295*((RANDBETWEEN(1620,2416)))</f>
        <v>75341529.23880814</v>
      </c>
      <c r="B7406">
        <v>150229311.78696856</v>
      </c>
    </row>
    <row r="7407" spans="1:2" x14ac:dyDescent="0.25">
      <c r="A7407">
        <f ca="1">30131.8662967793*((RANDBETWEEN(1620,2416)))</f>
        <v>64361666.409920506</v>
      </c>
      <c r="B7407">
        <v>154492767.94962645</v>
      </c>
    </row>
    <row r="7408" spans="1:2" x14ac:dyDescent="0.25">
      <c r="A7408">
        <f ca="1">29286.3708018038*((RANDBETWEEN(1620,2416)))</f>
        <v>64166438.426752046</v>
      </c>
      <c r="B7408">
        <v>193083537.70516479</v>
      </c>
    </row>
    <row r="7409" spans="1:2" x14ac:dyDescent="0.25">
      <c r="A7409">
        <f ca="1">36494.3396143115*((RANDBETWEEN(1620,2416)))</f>
        <v>83499049.037544623</v>
      </c>
      <c r="B7409">
        <v>189876331.63265792</v>
      </c>
    </row>
    <row r="7410" spans="1:2" x14ac:dyDescent="0.25">
      <c r="A7410">
        <f ca="1">30507.9521458048*((RANDBETWEEN(1620,2416)))</f>
        <v>70992004.643287718</v>
      </c>
      <c r="B7410">
        <v>158945499.77789941</v>
      </c>
    </row>
    <row r="7411" spans="1:2" x14ac:dyDescent="0.25">
      <c r="A7411">
        <f ca="1">31128.2481690452*((RANDBETWEEN(1620,2416)))</f>
        <v>65991886.118375927</v>
      </c>
      <c r="B7411">
        <v>156977236.872778</v>
      </c>
    </row>
    <row r="7412" spans="1:2" x14ac:dyDescent="0.25">
      <c r="A7412">
        <f ca="1">28372.2679499454*((RANDBETWEEN(1620,2416)))</f>
        <v>68405538.027318254</v>
      </c>
      <c r="B7412">
        <v>143575182.01677021</v>
      </c>
    </row>
    <row r="7413" spans="1:2" x14ac:dyDescent="0.25">
      <c r="A7413">
        <f ca="1">35870.8898859233*((RANDBETWEEN(1620,2416)))</f>
        <v>74683192.742492303</v>
      </c>
      <c r="B7413">
        <v>181429511.47383192</v>
      </c>
    </row>
    <row r="7414" spans="1:2" x14ac:dyDescent="0.25">
      <c r="A7414">
        <f ca="1">32307.4239124492*((RANDBETWEEN(1620,2416)))</f>
        <v>77796276.78117764</v>
      </c>
      <c r="B7414">
        <v>169382065.66828656</v>
      </c>
    </row>
    <row r="7415" spans="1:2" x14ac:dyDescent="0.25">
      <c r="A7415">
        <f ca="1">32243.9223028014*((RANDBETWEEN(1620,2416)))</f>
        <v>59973695.483210564</v>
      </c>
      <c r="B7415">
        <v>185026463.76651496</v>
      </c>
    </row>
    <row r="7416" spans="1:2" x14ac:dyDescent="0.25">
      <c r="A7416">
        <f ca="1">40978.433602035*((RANDBETWEEN(1620,2416)))</f>
        <v>67204631.1073374</v>
      </c>
      <c r="B7416">
        <v>160264583.20930225</v>
      </c>
    </row>
    <row r="7417" spans="1:2" x14ac:dyDescent="0.25">
      <c r="A7417">
        <f ca="1">29966.9869757654*((RANDBETWEEN(1620,2416)))</f>
        <v>60293577.795240007</v>
      </c>
      <c r="B7417">
        <v>176885840.88312918</v>
      </c>
    </row>
    <row r="7418" spans="1:2" x14ac:dyDescent="0.25">
      <c r="A7418">
        <f ca="1">34126.5026828264*((RANDBETWEEN(1620,2416)))</f>
        <v>77160022.565870389</v>
      </c>
      <c r="B7418">
        <v>148610046.74742663</v>
      </c>
    </row>
    <row r="7419" spans="1:2" x14ac:dyDescent="0.25">
      <c r="A7419">
        <f ca="1">32937.8441346364*((RANDBETWEEN(1620,2416)))</f>
        <v>69531788.968217507</v>
      </c>
      <c r="B7419">
        <v>151553849.19357926</v>
      </c>
    </row>
    <row r="7420" spans="1:2" x14ac:dyDescent="0.25">
      <c r="A7420">
        <f ca="1">30916.8810407755*((RANDBETWEEN(1620,2416)))</f>
        <v>60226084.2674307</v>
      </c>
      <c r="B7420">
        <v>157136343.44918829</v>
      </c>
    </row>
    <row r="7421" spans="1:2" x14ac:dyDescent="0.25">
      <c r="A7421">
        <f ca="1">33412.9913649424*((RANDBETWEEN(1620,2416)))</f>
        <v>69599261.013174981</v>
      </c>
      <c r="B7421">
        <v>181336786.61417514</v>
      </c>
    </row>
    <row r="7422" spans="1:2" x14ac:dyDescent="0.25">
      <c r="A7422">
        <f ca="1">36224.1911125441*((RANDBETWEEN(1620,2416)))</f>
        <v>83967674.998877332</v>
      </c>
      <c r="B7422">
        <v>180678782.73988888</v>
      </c>
    </row>
    <row r="7423" spans="1:2" x14ac:dyDescent="0.25">
      <c r="A7423">
        <f ca="1">36295.5836737674*((RANDBETWEEN(1620,2416)))</f>
        <v>80648786.923111215</v>
      </c>
      <c r="B7423">
        <v>147550933.92116386</v>
      </c>
    </row>
    <row r="7424" spans="1:2" x14ac:dyDescent="0.25">
      <c r="A7424">
        <f ca="1">28637.4937718323*((RANDBETWEEN(1620,2416)))</f>
        <v>61083774.215318374</v>
      </c>
      <c r="B7424">
        <v>188026213.76785266</v>
      </c>
    </row>
    <row r="7425" spans="1:2" x14ac:dyDescent="0.25">
      <c r="A7425">
        <f ca="1">42629.0768126151*((RANDBETWEEN(1620,2416)))</f>
        <v>78053839.643898204</v>
      </c>
      <c r="B7425">
        <v>159539723.03200355</v>
      </c>
    </row>
    <row r="7426" spans="1:2" x14ac:dyDescent="0.25">
      <c r="A7426">
        <f ca="1">37188.5000886251*((RANDBETWEEN(1620,2416)))</f>
        <v>67571504.661031842</v>
      </c>
      <c r="B7426">
        <v>199146068.52077556</v>
      </c>
    </row>
    <row r="7427" spans="1:2" x14ac:dyDescent="0.25">
      <c r="A7427">
        <f ca="1">30052.8163963012*((RANDBETWEEN(1620,2416)))</f>
        <v>52742692.775508665</v>
      </c>
      <c r="B7427">
        <v>200090864.35201469</v>
      </c>
    </row>
    <row r="7428" spans="1:2" x14ac:dyDescent="0.25">
      <c r="A7428">
        <f ca="1">38599.5608367516*((RANDBETWEEN(1620,2416)))</f>
        <v>90400171.479672208</v>
      </c>
      <c r="B7428">
        <v>146191667.76138669</v>
      </c>
    </row>
    <row r="7429" spans="1:2" x14ac:dyDescent="0.25">
      <c r="A7429">
        <f ca="1">34801.0815852514*((RANDBETWEEN(1620,2416)))</f>
        <v>64556006.340641387</v>
      </c>
      <c r="B7429">
        <v>171129599.62634584</v>
      </c>
    </row>
    <row r="7430" spans="1:2" x14ac:dyDescent="0.25">
      <c r="A7430">
        <f ca="1">34732.6750879485*((RANDBETWEEN(1620,2416)))</f>
        <v>71306181.955558375</v>
      </c>
      <c r="B7430">
        <v>203500986.4537051</v>
      </c>
    </row>
    <row r="7431" spans="1:2" x14ac:dyDescent="0.25">
      <c r="A7431">
        <f ca="1">39849.2049565647*((RANDBETWEEN(1620,2416)))</f>
        <v>86552473.165658519</v>
      </c>
      <c r="B7431">
        <v>172118701.53479889</v>
      </c>
    </row>
    <row r="7432" spans="1:2" x14ac:dyDescent="0.25">
      <c r="A7432">
        <f ca="1">34459.226442046*((RANDBETWEEN(1620,2416)))</f>
        <v>60682697.764442936</v>
      </c>
      <c r="B7432">
        <v>152143328.01516253</v>
      </c>
    </row>
    <row r="7433" spans="1:2" x14ac:dyDescent="0.25">
      <c r="A7433">
        <f ca="1">32036.3584747096*((RANDBETWEEN(1620,2416)))</f>
        <v>75958205.943536565</v>
      </c>
      <c r="B7433">
        <v>144977693.52597991</v>
      </c>
    </row>
    <row r="7434" spans="1:2" x14ac:dyDescent="0.25">
      <c r="A7434">
        <f ca="1">30294.1535877327*((RANDBETWEEN(1620,2416)))</f>
        <v>57437715.202341169</v>
      </c>
      <c r="B7434">
        <v>173289266.43894517</v>
      </c>
    </row>
    <row r="7435" spans="1:2" x14ac:dyDescent="0.25">
      <c r="A7435">
        <f ca="1">35351.6006256397*((RANDBETWEEN(1620,2416)))</f>
        <v>58436195.834182352</v>
      </c>
      <c r="B7435">
        <v>200202303.06186187</v>
      </c>
    </row>
    <row r="7436" spans="1:2" x14ac:dyDescent="0.25">
      <c r="A7436">
        <f ca="1">33035.6285178631*((RANDBETWEEN(1620,2416)))</f>
        <v>68714107.317155346</v>
      </c>
      <c r="B7436">
        <v>182735950.81216729</v>
      </c>
    </row>
    <row r="7437" spans="1:2" x14ac:dyDescent="0.25">
      <c r="A7437">
        <f ca="1">29521.083512243*((RANDBETWEEN(1620,2416)))</f>
        <v>58186055.602631047</v>
      </c>
      <c r="B7437">
        <v>176299340.61002409</v>
      </c>
    </row>
    <row r="7438" spans="1:2" x14ac:dyDescent="0.25">
      <c r="A7438">
        <f ca="1">36214.9261208207*((RANDBETWEEN(1620,2416)))</f>
        <v>77463726.97243537</v>
      </c>
      <c r="B7438">
        <v>149691250.02635676</v>
      </c>
    </row>
    <row r="7439" spans="1:2" x14ac:dyDescent="0.25">
      <c r="A7439">
        <f ca="1">34512.7598220717*((RANDBETWEEN(1620,2416)))</f>
        <v>74720125.01478529</v>
      </c>
      <c r="B7439">
        <v>145161674.7090379</v>
      </c>
    </row>
    <row r="7440" spans="1:2" x14ac:dyDescent="0.25">
      <c r="A7440">
        <f ca="1">31909.8061507138*((RANDBETWEEN(1620,2416)))</f>
        <v>66978683.11034821</v>
      </c>
      <c r="B7440">
        <v>185838086.5296973</v>
      </c>
    </row>
    <row r="7441" spans="1:2" x14ac:dyDescent="0.25">
      <c r="A7441">
        <f ca="1">38139.7590283733*((RANDBETWEEN(1620,2416)))</f>
        <v>65333407.215603463</v>
      </c>
      <c r="B7441">
        <v>147190592.41763324</v>
      </c>
    </row>
    <row r="7442" spans="1:2" x14ac:dyDescent="0.25">
      <c r="A7442">
        <f ca="1">32510.6878433276*((RANDBETWEEN(1620,2416)))</f>
        <v>69410318.545504466</v>
      </c>
      <c r="B7442">
        <v>146471347.7905938</v>
      </c>
    </row>
    <row r="7443" spans="1:2" x14ac:dyDescent="0.25">
      <c r="A7443">
        <f ca="1">36110.3037373655*((RANDBETWEEN(1620,2416)))</f>
        <v>59979214.507764138</v>
      </c>
      <c r="B7443">
        <v>154799460.21606663</v>
      </c>
    </row>
    <row r="7444" spans="1:2" x14ac:dyDescent="0.25">
      <c r="A7444">
        <f ca="1">32166.4644555837*((RANDBETWEEN(1620,2416)))</f>
        <v>63625266.693144619</v>
      </c>
      <c r="B7444">
        <v>145369338.46585634</v>
      </c>
    </row>
    <row r="7445" spans="1:2" x14ac:dyDescent="0.25">
      <c r="A7445">
        <f ca="1">39268.7337149441*((RANDBETWEEN(1620,2416)))</f>
        <v>85605839.498578191</v>
      </c>
      <c r="B7445">
        <v>143868543.58535957</v>
      </c>
    </row>
    <row r="7446" spans="1:2" x14ac:dyDescent="0.25">
      <c r="A7446">
        <f ca="1">30121.2673079422*((RANDBETWEEN(1620,2416)))</f>
        <v>56326769.865851998</v>
      </c>
      <c r="B7446">
        <v>165543246.59254557</v>
      </c>
    </row>
    <row r="7447" spans="1:2" x14ac:dyDescent="0.25">
      <c r="A7447">
        <f ca="1">40867.1346812589*((RANDBETWEEN(1620,2416)))</f>
        <v>66981233.742583394</v>
      </c>
      <c r="B7447">
        <v>178375019.21812212</v>
      </c>
    </row>
    <row r="7448" spans="1:2" x14ac:dyDescent="0.25">
      <c r="A7448">
        <f ca="1">34730.8381877053*((RANDBETWEEN(1620,2416)))</f>
        <v>76095266.469262242</v>
      </c>
      <c r="B7448">
        <v>153991770.11191499</v>
      </c>
    </row>
    <row r="7449" spans="1:2" x14ac:dyDescent="0.25">
      <c r="A7449">
        <f ca="1">30513.4580417964*((RANDBETWEEN(1620,2416)))</f>
        <v>53276497.74097655</v>
      </c>
      <c r="B7449">
        <v>151755549.9622193</v>
      </c>
    </row>
    <row r="7450" spans="1:2" x14ac:dyDescent="0.25">
      <c r="A7450">
        <f ca="1">37810.9234382707*((RANDBETWEEN(1620,2416)))</f>
        <v>88515371.768991679</v>
      </c>
      <c r="B7450">
        <v>160809574.24776882</v>
      </c>
    </row>
    <row r="7451" spans="1:2" x14ac:dyDescent="0.25">
      <c r="A7451">
        <f ca="1">35567.7651595602*((RANDBETWEEN(1620,2416)))</f>
        <v>69570548.652099743</v>
      </c>
      <c r="B7451">
        <v>178430781.70627853</v>
      </c>
    </row>
    <row r="7452" spans="1:2" x14ac:dyDescent="0.25">
      <c r="A7452">
        <f ca="1">33133.8237080326*((RANDBETWEEN(1620,2416)))</f>
        <v>78626563.659161329</v>
      </c>
      <c r="B7452">
        <v>154963041.50205761</v>
      </c>
    </row>
    <row r="7453" spans="1:2" x14ac:dyDescent="0.25">
      <c r="A7453">
        <f ca="1">38740.6805279328*((RANDBETWEEN(1620,2416)))</f>
        <v>77055213.570058256</v>
      </c>
      <c r="B7453">
        <v>146400281.23956394</v>
      </c>
    </row>
    <row r="7454" spans="1:2" x14ac:dyDescent="0.25">
      <c r="A7454">
        <f ca="1">42291.3756833334*((RANDBETWEEN(1620,2416)))</f>
        <v>81072567.184950158</v>
      </c>
      <c r="B7454">
        <v>174929009.06814963</v>
      </c>
    </row>
    <row r="7455" spans="1:2" x14ac:dyDescent="0.25">
      <c r="A7455">
        <f ca="1">32975.2072463273*((RANDBETWEEN(1620,2416)))</f>
        <v>76931158.505681664</v>
      </c>
      <c r="B7455">
        <v>149711245.6503416</v>
      </c>
    </row>
    <row r="7456" spans="1:2" x14ac:dyDescent="0.25">
      <c r="A7456">
        <f ca="1">33017.9429079069*((RANDBETWEEN(1620,2416)))</f>
        <v>61842607.066509709</v>
      </c>
      <c r="B7456">
        <v>196612381.4337737</v>
      </c>
    </row>
    <row r="7457" spans="1:2" x14ac:dyDescent="0.25">
      <c r="A7457">
        <f ca="1">29073.1851801153*((RANDBETWEEN(1620,2416)))</f>
        <v>62914372.729769491</v>
      </c>
      <c r="B7457">
        <v>159883702.54556763</v>
      </c>
    </row>
    <row r="7458" spans="1:2" x14ac:dyDescent="0.25">
      <c r="A7458">
        <f ca="1">29658.8709057445*((RANDBETWEEN(1620,2416)))</f>
        <v>60088872.455038458</v>
      </c>
      <c r="B7458">
        <v>182870496.7250787</v>
      </c>
    </row>
    <row r="7459" spans="1:2" x14ac:dyDescent="0.25">
      <c r="A7459">
        <f ca="1">39204.6960442531*((RANDBETWEEN(1620,2416)))</f>
        <v>75782677.453541189</v>
      </c>
      <c r="B7459">
        <v>189566917.87536645</v>
      </c>
    </row>
    <row r="7460" spans="1:2" x14ac:dyDescent="0.25">
      <c r="A7460">
        <f ca="1">33470.7613563504*((RANDBETWEEN(1620,2416)))</f>
        <v>67075405.758126169</v>
      </c>
      <c r="B7460">
        <v>154976466.84636259</v>
      </c>
    </row>
    <row r="7461" spans="1:2" x14ac:dyDescent="0.25">
      <c r="A7461">
        <f ca="1">29751.3947333882*((RANDBETWEEN(1620,2416)))</f>
        <v>55248340.019901887</v>
      </c>
      <c r="B7461">
        <v>163364861.60584736</v>
      </c>
    </row>
    <row r="7462" spans="1:2" x14ac:dyDescent="0.25">
      <c r="A7462">
        <f ca="1">36269.5530995086*((RANDBETWEEN(1620,2416)))</f>
        <v>86248997.270631373</v>
      </c>
      <c r="B7462">
        <v>163718728.93178943</v>
      </c>
    </row>
    <row r="7463" spans="1:2" x14ac:dyDescent="0.25">
      <c r="A7463">
        <f ca="1">33711.9833566274*((RANDBETWEEN(1620,2416)))</f>
        <v>65165263.828360714</v>
      </c>
      <c r="B7463">
        <v>203238834.16427281</v>
      </c>
    </row>
    <row r="7464" spans="1:2" x14ac:dyDescent="0.25">
      <c r="A7464">
        <f ca="1">36088.8844749086*((RANDBETWEEN(1620,2416)))</f>
        <v>74703990.863060862</v>
      </c>
      <c r="B7464">
        <v>158228874.52961573</v>
      </c>
    </row>
    <row r="7465" spans="1:2" x14ac:dyDescent="0.25">
      <c r="A7465">
        <f ca="1">35212.4685261365*((RANDBETWEEN(1620,2416)))</f>
        <v>73030659.723207042</v>
      </c>
      <c r="B7465">
        <v>196985546.79830167</v>
      </c>
    </row>
    <row r="7466" spans="1:2" x14ac:dyDescent="0.25">
      <c r="A7466">
        <f ca="1">30137.6489765752*((RANDBETWEEN(1620,2416)))</f>
        <v>59732820.271572076</v>
      </c>
      <c r="B7466">
        <v>169951940.31597793</v>
      </c>
    </row>
    <row r="7467" spans="1:2" x14ac:dyDescent="0.25">
      <c r="A7467">
        <f ca="1">39391.4493984232*((RANDBETWEEN(1620,2416)))</f>
        <v>80713079.817369118</v>
      </c>
      <c r="B7467">
        <v>153093853.07754329</v>
      </c>
    </row>
    <row r="7468" spans="1:2" x14ac:dyDescent="0.25">
      <c r="A7468">
        <f ca="1">39251.826967359*((RANDBETWEEN(1620,2416)))</f>
        <v>65118780.9388486</v>
      </c>
      <c r="B7468">
        <v>156611674.93342856</v>
      </c>
    </row>
    <row r="7469" spans="1:2" x14ac:dyDescent="0.25">
      <c r="A7469">
        <f ca="1">32716.3346586339*((RANDBETWEEN(1620,2416)))</f>
        <v>54636278.879918687</v>
      </c>
      <c r="B7469">
        <v>167651690.52343792</v>
      </c>
    </row>
    <row r="7470" spans="1:2" x14ac:dyDescent="0.25">
      <c r="A7470">
        <f ca="1">40030.5217778242*((RANDBETWEEN(1620,2416)))</f>
        <v>89067910.955658764</v>
      </c>
      <c r="B7470">
        <v>188968739.18692017</v>
      </c>
    </row>
    <row r="7471" spans="1:2" x14ac:dyDescent="0.25">
      <c r="A7471">
        <f ca="1">40604.4682963064*((RANDBETWEEN(1620,2416)))</f>
        <v>92740605.588763878</v>
      </c>
      <c r="B7471">
        <v>164781565.79006818</v>
      </c>
    </row>
    <row r="7472" spans="1:2" x14ac:dyDescent="0.25">
      <c r="A7472">
        <f ca="1">30726.88572755*((RANDBETWEEN(1620,2416)))</f>
        <v>54970398.566586912</v>
      </c>
      <c r="B7472">
        <v>184746968.90299848</v>
      </c>
    </row>
    <row r="7473" spans="1:2" x14ac:dyDescent="0.25">
      <c r="A7473">
        <f ca="1">29443.318417453*((RANDBETWEEN(1620,2416)))</f>
        <v>62213731.816078141</v>
      </c>
      <c r="B7473">
        <v>194012637.62711686</v>
      </c>
    </row>
    <row r="7474" spans="1:2" x14ac:dyDescent="0.25">
      <c r="A7474">
        <f ca="1">29657.5819318651*((RANDBETWEEN(1620,2416)))</f>
        <v>67559971.640788659</v>
      </c>
      <c r="B7474">
        <v>180148734.05511698</v>
      </c>
    </row>
    <row r="7475" spans="1:2" x14ac:dyDescent="0.25">
      <c r="A7475">
        <f ca="1">36598.9405013076*((RANDBETWEEN(1620,2416)))</f>
        <v>65182713.032828748</v>
      </c>
      <c r="B7475">
        <v>164650892.48808241</v>
      </c>
    </row>
    <row r="7476" spans="1:2" x14ac:dyDescent="0.25">
      <c r="A7476">
        <f ca="1">41140.9529639312*((RANDBETWEEN(1620,2416)))</f>
        <v>96804662.324130103</v>
      </c>
      <c r="B7476">
        <v>147714925.02655894</v>
      </c>
    </row>
    <row r="7477" spans="1:2" x14ac:dyDescent="0.25">
      <c r="A7477">
        <f ca="1">31984.3817820361*((RANDBETWEEN(1620,2416)))</f>
        <v>67391092.414750099</v>
      </c>
      <c r="B7477">
        <v>189350470.88007453</v>
      </c>
    </row>
    <row r="7478" spans="1:2" x14ac:dyDescent="0.25">
      <c r="A7478">
        <f ca="1">28903.9408421527*((RANDBETWEEN(1620,2416)))</f>
        <v>63993325.024526037</v>
      </c>
      <c r="B7478">
        <v>145695911.79369122</v>
      </c>
    </row>
    <row r="7479" spans="1:2" x14ac:dyDescent="0.25">
      <c r="A7479">
        <f ca="1">38578.9939380052*((RANDBETWEEN(1620,2416)))</f>
        <v>67397502.409695029</v>
      </c>
      <c r="B7479">
        <v>155169421.70951414</v>
      </c>
    </row>
    <row r="7480" spans="1:2" x14ac:dyDescent="0.25">
      <c r="A7480">
        <f ca="1">35929.6500393131*((RANDBETWEEN(1620,2416)))</f>
        <v>79009300.436449438</v>
      </c>
      <c r="B7480">
        <v>197080591.22217202</v>
      </c>
    </row>
    <row r="7481" spans="1:2" x14ac:dyDescent="0.25">
      <c r="A7481">
        <f ca="1">29432.1066259742*((RANDBETWEEN(1620,2416)))</f>
        <v>63661646.631982133</v>
      </c>
      <c r="B7481">
        <v>164087890.12701368</v>
      </c>
    </row>
    <row r="7482" spans="1:2" x14ac:dyDescent="0.25">
      <c r="A7482">
        <f ca="1">33913.9508878587*((RANDBETWEEN(1620,2416)))</f>
        <v>72982822.310671911</v>
      </c>
      <c r="B7482">
        <v>148491514.99314994</v>
      </c>
    </row>
    <row r="7483" spans="1:2" x14ac:dyDescent="0.25">
      <c r="A7483">
        <f ca="1">36066.5629199288*((RANDBETWEEN(1620,2416)))</f>
        <v>59221296.31452316</v>
      </c>
      <c r="B7483">
        <v>167106280.18161488</v>
      </c>
    </row>
    <row r="7484" spans="1:2" x14ac:dyDescent="0.25">
      <c r="A7484">
        <f ca="1">28694.3404658159*((RANDBETWEEN(1620,2416)))</f>
        <v>56298295.993930772</v>
      </c>
      <c r="B7484">
        <v>179279706.68000966</v>
      </c>
    </row>
    <row r="7485" spans="1:2" x14ac:dyDescent="0.25">
      <c r="A7485">
        <f ca="1">31643.9723133263*((RANDBETWEEN(1620,2416)))</f>
        <v>64965075.15925882</v>
      </c>
      <c r="B7485">
        <v>155793473.92154801</v>
      </c>
    </row>
    <row r="7486" spans="1:2" x14ac:dyDescent="0.25">
      <c r="A7486">
        <f ca="1">29945.1946061116*((RANDBETWEEN(1620,2416)))</f>
        <v>71958302.638486132</v>
      </c>
      <c r="B7486">
        <v>156752017.78455833</v>
      </c>
    </row>
    <row r="7487" spans="1:2" x14ac:dyDescent="0.25">
      <c r="A7487">
        <f ca="1">31108.6783232094*((RANDBETWEEN(1620,2416)))</f>
        <v>56057838.338423401</v>
      </c>
      <c r="B7487">
        <v>195474659.99560151</v>
      </c>
    </row>
    <row r="7488" spans="1:2" x14ac:dyDescent="0.25">
      <c r="A7488">
        <f ca="1">32106.6733492479*((RANDBETWEEN(1620,2416)))</f>
        <v>52654944.292766571</v>
      </c>
      <c r="B7488">
        <v>168103581.85911947</v>
      </c>
    </row>
    <row r="7489" spans="1:2" x14ac:dyDescent="0.25">
      <c r="A7489">
        <f ca="1">38143.4253685091*((RANDBETWEEN(1620,2416)))</f>
        <v>87462874.369991288</v>
      </c>
      <c r="B7489">
        <v>198653885.4968515</v>
      </c>
    </row>
    <row r="7490" spans="1:2" x14ac:dyDescent="0.25">
      <c r="A7490">
        <f ca="1">32303.4672349605*((RANDBETWEEN(1620,2416)))</f>
        <v>67352729.18489255</v>
      </c>
      <c r="B7490">
        <v>166015859.97087508</v>
      </c>
    </row>
    <row r="7491" spans="1:2" x14ac:dyDescent="0.25">
      <c r="A7491">
        <f ca="1">30263.2399827447*((RANDBETWEEN(1620,2416)))</f>
        <v>53596198.009440884</v>
      </c>
      <c r="B7491">
        <v>145370636.52427661</v>
      </c>
    </row>
    <row r="7492" spans="1:2" x14ac:dyDescent="0.25">
      <c r="A7492">
        <f ca="1">33124.2619971363*((RANDBETWEEN(1620,2416)))</f>
        <v>61147387.646713562</v>
      </c>
      <c r="B7492">
        <v>167939008.32309213</v>
      </c>
    </row>
    <row r="7493" spans="1:2" x14ac:dyDescent="0.25">
      <c r="A7493">
        <f ca="1">34059.2691992203*((RANDBETWEEN(1620,2416)))</f>
        <v>77280481.813030913</v>
      </c>
      <c r="B7493">
        <v>158926783.63532829</v>
      </c>
    </row>
    <row r="7494" spans="1:2" x14ac:dyDescent="0.25">
      <c r="A7494">
        <f ca="1">31445.93068734*((RANDBETWEEN(1620,2416)))</f>
        <v>68332007.383589923</v>
      </c>
      <c r="B7494">
        <v>173659193.88405493</v>
      </c>
    </row>
    <row r="7495" spans="1:2" x14ac:dyDescent="0.25">
      <c r="A7495">
        <f ca="1">34211.6093272454*((RANDBETWEEN(1620,2416)))</f>
        <v>56483366.999282204</v>
      </c>
      <c r="B7495">
        <v>200492294.00918785</v>
      </c>
    </row>
    <row r="7496" spans="1:2" x14ac:dyDescent="0.25">
      <c r="A7496">
        <f ca="1">28869.9425090979*((RANDBETWEEN(1620,2416)))</f>
        <v>54564191.342194967</v>
      </c>
      <c r="B7496">
        <v>187092419.72085881</v>
      </c>
    </row>
    <row r="7497" spans="1:2" x14ac:dyDescent="0.25">
      <c r="A7497">
        <f ca="1">30780.4880911381*((RANDBETWEEN(1620,2416)))</f>
        <v>55497220.028321967</v>
      </c>
      <c r="B7497">
        <v>147229498.0087328</v>
      </c>
    </row>
    <row r="7498" spans="1:2" x14ac:dyDescent="0.25">
      <c r="A7498">
        <f ca="1">40574.9559407278*((RANDBETWEEN(1620,2416)))</f>
        <v>79283463.908182085</v>
      </c>
      <c r="B7498">
        <v>168611190.13219717</v>
      </c>
    </row>
    <row r="7499" spans="1:2" x14ac:dyDescent="0.25">
      <c r="A7499">
        <f ca="1">30209.5080943426*((RANDBETWEEN(1620,2416)))</f>
        <v>55555285.385495998</v>
      </c>
      <c r="B7499">
        <v>160845447.03682312</v>
      </c>
    </row>
    <row r="7500" spans="1:2" x14ac:dyDescent="0.25">
      <c r="A7500">
        <f ca="1">31826.3447726992*((RANDBETWEEN(1620,2416)))</f>
        <v>54518528.595633693</v>
      </c>
      <c r="B7500">
        <v>154476110.52926117</v>
      </c>
    </row>
    <row r="7501" spans="1:2" x14ac:dyDescent="0.25">
      <c r="A7501">
        <f ca="1">29720.8002296109*((RANDBETWEEN(1620,2416)))</f>
        <v>61403173.274376109</v>
      </c>
      <c r="B7501">
        <v>158773276.05240604</v>
      </c>
    </row>
    <row r="7502" spans="1:2" x14ac:dyDescent="0.25">
      <c r="A7502">
        <f ca="1">35194.8564142201*((RANDBETWEEN(1620,2416)))</f>
        <v>73592444.762134239</v>
      </c>
      <c r="B7502">
        <v>183339656.96600717</v>
      </c>
    </row>
    <row r="7503" spans="1:2" x14ac:dyDescent="0.25">
      <c r="A7503">
        <f ca="1">35737.3668754118*((RANDBETWEEN(1620,2416)))</f>
        <v>75941904.610250115</v>
      </c>
      <c r="B7503">
        <v>180068742.88141906</v>
      </c>
    </row>
    <row r="7504" spans="1:2" x14ac:dyDescent="0.25">
      <c r="A7504">
        <f ca="1">34645.2614141101*((RANDBETWEEN(1620,2416)))</f>
        <v>73136146.845186427</v>
      </c>
      <c r="B7504">
        <v>170037634.40204221</v>
      </c>
    </row>
    <row r="7505" spans="1:2" x14ac:dyDescent="0.25">
      <c r="A7505">
        <f ca="1">36103.6443631951*((RANDBETWEEN(1620,2416)))</f>
        <v>82280205.50372152</v>
      </c>
      <c r="B7505">
        <v>144026168.90980947</v>
      </c>
    </row>
    <row r="7506" spans="1:2" x14ac:dyDescent="0.25">
      <c r="A7506">
        <f ca="1">32529.1830318403*((RANDBETWEEN(1620,2416)))</f>
        <v>57088716.220879756</v>
      </c>
      <c r="B7506">
        <v>166876309.56236845</v>
      </c>
    </row>
    <row r="7507" spans="1:2" x14ac:dyDescent="0.25">
      <c r="A7507">
        <f ca="1">33912.1410341805*((RANDBETWEEN(1620,2416)))</f>
        <v>77421417.981034085</v>
      </c>
      <c r="B7507">
        <v>187666429.47913432</v>
      </c>
    </row>
    <row r="7508" spans="1:2" x14ac:dyDescent="0.25">
      <c r="A7508">
        <f ca="1">38364.1654202365*((RANDBETWEEN(1620,2416)))</f>
        <v>79989284.901193202</v>
      </c>
      <c r="B7508">
        <v>147675362.79437265</v>
      </c>
    </row>
    <row r="7509" spans="1:2" x14ac:dyDescent="0.25">
      <c r="A7509">
        <f ca="1">30372.7792555285*((RANDBETWEEN(1620,2416)))</f>
        <v>52301925.878020063</v>
      </c>
      <c r="B7509">
        <v>169361404.48811311</v>
      </c>
    </row>
    <row r="7510" spans="1:2" x14ac:dyDescent="0.25">
      <c r="A7510">
        <f ca="1">30813.1565753663*((RANDBETWEEN(1620,2416)))</f>
        <v>74259707.346632734</v>
      </c>
      <c r="B7510">
        <v>149834119.01840052</v>
      </c>
    </row>
    <row r="7511" spans="1:2" x14ac:dyDescent="0.25">
      <c r="A7511">
        <f ca="1">30451.6290217063*((RANDBETWEEN(1620,2416)))</f>
        <v>71561328.201009825</v>
      </c>
      <c r="B7511">
        <v>170821307.15306044</v>
      </c>
    </row>
    <row r="7512" spans="1:2" x14ac:dyDescent="0.25">
      <c r="A7512">
        <f ca="1">31631.6730170126*((RANDBETWEEN(1620,2416)))</f>
        <v>71993687.786720663</v>
      </c>
      <c r="B7512">
        <v>190454829.39678717</v>
      </c>
    </row>
    <row r="7513" spans="1:2" x14ac:dyDescent="0.25">
      <c r="A7513">
        <f ca="1">40228.0813473021*((RANDBETWEEN(1620,2416)))</f>
        <v>70881879.333946392</v>
      </c>
      <c r="B7513">
        <v>201140607.55548742</v>
      </c>
    </row>
    <row r="7514" spans="1:2" x14ac:dyDescent="0.25">
      <c r="A7514">
        <f ca="1">31869.3259927127*((RANDBETWEEN(1620,2416)))</f>
        <v>66829976.60671863</v>
      </c>
      <c r="B7514">
        <v>171649391.90147042</v>
      </c>
    </row>
    <row r="7515" spans="1:2" x14ac:dyDescent="0.25">
      <c r="A7515">
        <f ca="1">31820.0315171446*((RANDBETWEEN(1620,2416)))</f>
        <v>53298552.791217126</v>
      </c>
      <c r="B7515">
        <v>188912117.58298272</v>
      </c>
    </row>
    <row r="7516" spans="1:2" x14ac:dyDescent="0.25">
      <c r="A7516">
        <f ca="1">30012.6507200971*((RANDBETWEEN(1620,2416)))</f>
        <v>59965276.13875404</v>
      </c>
      <c r="B7516">
        <v>153483711.02519029</v>
      </c>
    </row>
    <row r="7517" spans="1:2" x14ac:dyDescent="0.25">
      <c r="A7517">
        <f ca="1">32714.949522462*((RANDBETWEEN(1620,2416)))</f>
        <v>71907459.050371528</v>
      </c>
      <c r="B7517">
        <v>184691649.52114388</v>
      </c>
    </row>
    <row r="7518" spans="1:2" x14ac:dyDescent="0.25">
      <c r="A7518">
        <f ca="1">37832.1250564964*((RANDBETWEEN(1620,2416)))</f>
        <v>87013887.629941791</v>
      </c>
      <c r="B7518">
        <v>166460617.47884679</v>
      </c>
    </row>
    <row r="7519" spans="1:2" x14ac:dyDescent="0.25">
      <c r="A7519">
        <f ca="1">32259.039415705*((RANDBETWEEN(1620,2416)))</f>
        <v>63550307.648938783</v>
      </c>
      <c r="B7519">
        <v>194025960.30222243</v>
      </c>
    </row>
    <row r="7520" spans="1:2" x14ac:dyDescent="0.25">
      <c r="A7520">
        <f ca="1">30801.9856016524*((RANDBETWEEN(1620,2416)))</f>
        <v>60125475.894425534</v>
      </c>
      <c r="B7520">
        <v>178481392.06040114</v>
      </c>
    </row>
    <row r="7521" spans="1:2" x14ac:dyDescent="0.25">
      <c r="A7521">
        <f ca="1">43097.7559302415*((RANDBETWEEN(1620,2416)))</f>
        <v>88608986.192576542</v>
      </c>
      <c r="B7521">
        <v>151584850.87465006</v>
      </c>
    </row>
    <row r="7522" spans="1:2" x14ac:dyDescent="0.25">
      <c r="A7522">
        <f ca="1">29478.845707076*((RANDBETWEEN(1620,2416)))</f>
        <v>64823981.709860086</v>
      </c>
      <c r="B7522">
        <v>149467725.33051586</v>
      </c>
    </row>
    <row r="7523" spans="1:2" x14ac:dyDescent="0.25">
      <c r="A7523">
        <f ca="1">33039.2790366697*((RANDBETWEEN(1620,2416)))</f>
        <v>55539028.060641862</v>
      </c>
      <c r="B7523">
        <v>196137110.05953389</v>
      </c>
    </row>
    <row r="7524" spans="1:2" x14ac:dyDescent="0.25">
      <c r="A7524">
        <f ca="1">29316.4410658394*((RANDBETWEEN(1620,2416)))</f>
        <v>69450648.88497363</v>
      </c>
      <c r="B7524">
        <v>166503928.07566205</v>
      </c>
    </row>
    <row r="7525" spans="1:2" x14ac:dyDescent="0.25">
      <c r="A7525">
        <f ca="1">32866.1809213061*((RANDBETWEEN(1620,2416)))</f>
        <v>57680147.516892128</v>
      </c>
      <c r="B7525">
        <v>177048092.42677727</v>
      </c>
    </row>
    <row r="7526" spans="1:2" x14ac:dyDescent="0.25">
      <c r="A7526">
        <f ca="1">35232.4629496782*((RANDBETWEEN(1620,2416)))</f>
        <v>64933429.216256961</v>
      </c>
      <c r="B7526">
        <v>181269402.06906828</v>
      </c>
    </row>
    <row r="7527" spans="1:2" x14ac:dyDescent="0.25">
      <c r="A7527">
        <f ca="1">38287.6042523741*((RANDBETWEEN(1620,2416)))</f>
        <v>68649674.424506783</v>
      </c>
      <c r="B7527">
        <v>147849866.53284273</v>
      </c>
    </row>
    <row r="7528" spans="1:2" x14ac:dyDescent="0.25">
      <c r="A7528">
        <f ca="1">32687.3780463255*((RANDBETWEEN(1620,2416)))</f>
        <v>62465579.446528099</v>
      </c>
      <c r="B7528">
        <v>150196859.17183274</v>
      </c>
    </row>
    <row r="7529" spans="1:2" x14ac:dyDescent="0.25">
      <c r="A7529">
        <f ca="1">39667.5047400986*((RANDBETWEEN(1620,2416)))</f>
        <v>73146878.74074176</v>
      </c>
      <c r="B7529">
        <v>150801160.22110417</v>
      </c>
    </row>
    <row r="7530" spans="1:2" x14ac:dyDescent="0.25">
      <c r="A7530">
        <f ca="1">27703.0245418833*((RANDBETWEEN(1620,2416)))</f>
        <v>50419504.666227564</v>
      </c>
      <c r="B7530">
        <v>158123166.45763966</v>
      </c>
    </row>
    <row r="7531" spans="1:2" x14ac:dyDescent="0.25">
      <c r="A7531">
        <f ca="1">36668.4647849455*((RANDBETWEEN(1620,2416)))</f>
        <v>71466837.865858853</v>
      </c>
      <c r="B7531">
        <v>158051143.70274085</v>
      </c>
    </row>
    <row r="7532" spans="1:2" x14ac:dyDescent="0.25">
      <c r="A7532">
        <f ca="1">33020.0135461095*((RANDBETWEEN(1620,2416)))</f>
        <v>60987965.019664176</v>
      </c>
      <c r="B7532">
        <v>189903539.58403865</v>
      </c>
    </row>
    <row r="7533" spans="1:2" x14ac:dyDescent="0.25">
      <c r="A7533">
        <f ca="1">27785.1894805326*((RANDBETWEEN(1620,2416)))</f>
        <v>56542860.592883848</v>
      </c>
      <c r="B7533">
        <v>155705159.1551736</v>
      </c>
    </row>
    <row r="7534" spans="1:2" x14ac:dyDescent="0.25">
      <c r="A7534">
        <f ca="1">29535.8223102489*((RANDBETWEEN(1620,2416)))</f>
        <v>59869111.822874598</v>
      </c>
      <c r="B7534">
        <v>167898896.86953205</v>
      </c>
    </row>
    <row r="7535" spans="1:2" x14ac:dyDescent="0.25">
      <c r="A7535">
        <f ca="1">28071.373740541*((RANDBETWEEN(1620,2416)))</f>
        <v>51342542.571449429</v>
      </c>
      <c r="B7535">
        <v>144858811.34754401</v>
      </c>
    </row>
    <row r="7536" spans="1:2" x14ac:dyDescent="0.25">
      <c r="A7536">
        <f ca="1">29807.3899647025*((RANDBETWEEN(1620,2416)))</f>
        <v>53832146.276252732</v>
      </c>
      <c r="B7536">
        <v>172579612.02971226</v>
      </c>
    </row>
    <row r="7537" spans="1:2" x14ac:dyDescent="0.25">
      <c r="A7537">
        <f ca="1">32804.0629923399*((RANDBETWEEN(1620,2416)))</f>
        <v>60753124.661813527</v>
      </c>
      <c r="B7537">
        <v>177273769.88699317</v>
      </c>
    </row>
    <row r="7538" spans="1:2" x14ac:dyDescent="0.25">
      <c r="A7538">
        <f ca="1">29944.4719842296*((RANDBETWEEN(1620,2416)))</f>
        <v>67345117.492532283</v>
      </c>
      <c r="B7538">
        <v>154620284.32699353</v>
      </c>
    </row>
    <row r="7539" spans="1:2" x14ac:dyDescent="0.25">
      <c r="A7539">
        <f ca="1">30784.1771428877*((RANDBETWEEN(1620,2416)))</f>
        <v>49962719.502906784</v>
      </c>
      <c r="B7539">
        <v>177966943.79869926</v>
      </c>
    </row>
    <row r="7540" spans="1:2" x14ac:dyDescent="0.25">
      <c r="A7540">
        <f ca="1">33112.3412771585*((RANDBETWEEN(1620,2416)))</f>
        <v>59171753.862282313</v>
      </c>
      <c r="B7540">
        <v>169363866.90509409</v>
      </c>
    </row>
    <row r="7541" spans="1:2" x14ac:dyDescent="0.25">
      <c r="A7541">
        <f ca="1">38511.169586317*((RANDBETWEEN(1620,2416)))</f>
        <v>83261148.64561744</v>
      </c>
      <c r="B7541">
        <v>151157224.06827128</v>
      </c>
    </row>
    <row r="7542" spans="1:2" x14ac:dyDescent="0.25">
      <c r="A7542">
        <f ca="1">31596.0160925816*((RANDBETWEEN(1620,2416)))</f>
        <v>68121010.695605829</v>
      </c>
      <c r="B7542">
        <v>154621195.6551491</v>
      </c>
    </row>
    <row r="7543" spans="1:2" x14ac:dyDescent="0.25">
      <c r="A7543">
        <f ca="1">32126.1967291712*((RANDBETWEEN(1620,2416)))</f>
        <v>70645506.607447416</v>
      </c>
      <c r="B7543">
        <v>185751320.22568583</v>
      </c>
    </row>
    <row r="7544" spans="1:2" x14ac:dyDescent="0.25">
      <c r="A7544">
        <f ca="1">34000.3892254265*((RANDBETWEEN(1620,2416)))</f>
        <v>81804936.476376221</v>
      </c>
      <c r="B7544">
        <v>197763385.84942347</v>
      </c>
    </row>
    <row r="7545" spans="1:2" x14ac:dyDescent="0.25">
      <c r="A7545">
        <f ca="1">29575.9319732829*((RANDBETWEEN(1620,2416)))</f>
        <v>65510689.320821732</v>
      </c>
      <c r="B7545">
        <v>168843444.12733892</v>
      </c>
    </row>
    <row r="7546" spans="1:2" x14ac:dyDescent="0.25">
      <c r="A7546">
        <f ca="1">31997.5135544134*((RANDBETWEEN(1620,2416)))</f>
        <v>73722271.229368567</v>
      </c>
      <c r="B7546">
        <v>174035053.3590928</v>
      </c>
    </row>
    <row r="7547" spans="1:2" x14ac:dyDescent="0.25">
      <c r="A7547">
        <f ca="1">36813.0765989478*((RANDBETWEEN(1620,2416)))</f>
        <v>77675591.623779789</v>
      </c>
      <c r="B7547">
        <v>162113044.5280734</v>
      </c>
    </row>
    <row r="7548" spans="1:2" x14ac:dyDescent="0.25">
      <c r="A7548">
        <f ca="1">32881.919096844*((RANDBETWEEN(1620,2416)))</f>
        <v>76877926.84842138</v>
      </c>
      <c r="B7548">
        <v>144189556.62703532</v>
      </c>
    </row>
    <row r="7549" spans="1:2" x14ac:dyDescent="0.25">
      <c r="A7549">
        <f ca="1">30592.9222192773*((RANDBETWEEN(1620,2416)))</f>
        <v>64092172.04938589</v>
      </c>
      <c r="B7549">
        <v>168701304.19258812</v>
      </c>
    </row>
    <row r="7550" spans="1:2" x14ac:dyDescent="0.25">
      <c r="A7550">
        <f ca="1">30871.5066128407*((RANDBETWEEN(1620,2416)))</f>
        <v>67083783.869702876</v>
      </c>
      <c r="B7550">
        <v>147743252.18476355</v>
      </c>
    </row>
    <row r="7551" spans="1:2" x14ac:dyDescent="0.25">
      <c r="A7551">
        <f ca="1">31415.6614659528*((RANDBETWEEN(1620,2416)))</f>
        <v>75711744.132946283</v>
      </c>
      <c r="B7551">
        <v>195566161.77354866</v>
      </c>
    </row>
    <row r="7552" spans="1:2" x14ac:dyDescent="0.25">
      <c r="A7552">
        <f ca="1">30229.9827190169*((RANDBETWEEN(1620,2416)))</f>
        <v>70194019.87355724</v>
      </c>
      <c r="B7552">
        <v>143230669.54567021</v>
      </c>
    </row>
    <row r="7553" spans="1:2" x14ac:dyDescent="0.25">
      <c r="A7553">
        <f ca="1">38835.8750578876*((RANDBETWEEN(1620,2416)))</f>
        <v>81477665.871448278</v>
      </c>
      <c r="B7553">
        <v>151126727.08576861</v>
      </c>
    </row>
    <row r="7554" spans="1:2" x14ac:dyDescent="0.25">
      <c r="A7554">
        <f ca="1">37932.2115382676*((RANDBETWEEN(1620,2416)))</f>
        <v>72981574.999626964</v>
      </c>
      <c r="B7554">
        <v>174847107.14460653</v>
      </c>
    </row>
    <row r="7555" spans="1:2" x14ac:dyDescent="0.25">
      <c r="A7555">
        <f ca="1">30068.2587345312*((RANDBETWEEN(1620,2416)))</f>
        <v>58452694.979928702</v>
      </c>
      <c r="B7555">
        <v>157299581.51395518</v>
      </c>
    </row>
    <row r="7556" spans="1:2" x14ac:dyDescent="0.25">
      <c r="A7556">
        <f ca="1">34966.6865098121*((RANDBETWEEN(1620,2416)))</f>
        <v>77765910.797822222</v>
      </c>
      <c r="B7556">
        <v>200905935.29446945</v>
      </c>
    </row>
    <row r="7557" spans="1:2" x14ac:dyDescent="0.25">
      <c r="A7557">
        <f ca="1">33773.7032708299*((RANDBETWEEN(1620,2416)))</f>
        <v>57651711.483306617</v>
      </c>
      <c r="B7557">
        <v>192849610.20816502</v>
      </c>
    </row>
    <row r="7558" spans="1:2" x14ac:dyDescent="0.25">
      <c r="A7558">
        <f ca="1">39613.7186336596*((RANDBETWEEN(1620,2416)))</f>
        <v>82673830.788447484</v>
      </c>
      <c r="B7558">
        <v>190399457.226401</v>
      </c>
    </row>
    <row r="7559" spans="1:2" x14ac:dyDescent="0.25">
      <c r="A7559">
        <f ca="1">29374.6512549921*((RANDBETWEEN(1620,2416)))</f>
        <v>59806789.955163941</v>
      </c>
      <c r="B7559">
        <v>176899201.14119136</v>
      </c>
    </row>
    <row r="7560" spans="1:2" x14ac:dyDescent="0.25">
      <c r="A7560">
        <f ca="1">36838.5805594444*((RANDBETWEEN(1620,2416)))</f>
        <v>85944408.445183694</v>
      </c>
      <c r="B7560">
        <v>179066331.78641632</v>
      </c>
    </row>
    <row r="7561" spans="1:2" x14ac:dyDescent="0.25">
      <c r="A7561">
        <f ca="1">34119.6376969915*((RANDBETWEEN(1620,2416)))</f>
        <v>64417875.971919976</v>
      </c>
      <c r="B7561">
        <v>193611301.96353918</v>
      </c>
    </row>
    <row r="7562" spans="1:2" x14ac:dyDescent="0.25">
      <c r="A7562">
        <f ca="1">30781.6138405586*((RANDBETWEEN(1620,2416)))</f>
        <v>54945180.705397047</v>
      </c>
      <c r="B7562">
        <v>175320848.80402005</v>
      </c>
    </row>
    <row r="7563" spans="1:2" x14ac:dyDescent="0.25">
      <c r="A7563">
        <f ca="1">32487.8203015828*((RANDBETWEEN(1620,2416)))</f>
        <v>65885299.571609996</v>
      </c>
      <c r="B7563">
        <v>149924235.44536388</v>
      </c>
    </row>
    <row r="7564" spans="1:2" x14ac:dyDescent="0.25">
      <c r="A7564">
        <f ca="1">28024.3582934343*((RANDBETWEEN(1620,2416)))</f>
        <v>53890840.998274155</v>
      </c>
      <c r="B7564">
        <v>150251456.04286811</v>
      </c>
    </row>
    <row r="7565" spans="1:2" x14ac:dyDescent="0.25">
      <c r="A7565">
        <f ca="1">32135.9031834413*((RANDBETWEEN(1620,2416)))</f>
        <v>58776566.922514275</v>
      </c>
      <c r="B7565">
        <v>168010134.23281643</v>
      </c>
    </row>
    <row r="7566" spans="1:2" x14ac:dyDescent="0.25">
      <c r="A7566">
        <f ca="1">29633.8375218633*((RANDBETWEEN(1620,2416)))</f>
        <v>54229922.665009893</v>
      </c>
      <c r="B7566">
        <v>153976437.82251021</v>
      </c>
    </row>
    <row r="7567" spans="1:2" x14ac:dyDescent="0.25">
      <c r="A7567">
        <f ca="1">28244.3162745764*((RANDBETWEEN(1620,2416)))</f>
        <v>49597019.378156245</v>
      </c>
      <c r="B7567">
        <v>153184921.74583551</v>
      </c>
    </row>
    <row r="7568" spans="1:2" x14ac:dyDescent="0.25">
      <c r="A7568">
        <f ca="1">31407.4717956116*((RANDBETWEEN(1620,2416)))</f>
        <v>52262033.067897737</v>
      </c>
      <c r="B7568">
        <v>143657223.48916939</v>
      </c>
    </row>
    <row r="7569" spans="1:2" x14ac:dyDescent="0.25">
      <c r="A7569">
        <f ca="1">35192.4687848175*((RANDBETWEEN(1620,2416)))</f>
        <v>67041653.035077341</v>
      </c>
      <c r="B7569">
        <v>196884773.00072125</v>
      </c>
    </row>
    <row r="7570" spans="1:2" x14ac:dyDescent="0.25">
      <c r="A7570">
        <f ca="1">37998.0491565046*((RANDBETWEEN(1620,2416)))</f>
        <v>88649448.682125226</v>
      </c>
      <c r="B7570">
        <v>174482125.18099642</v>
      </c>
    </row>
    <row r="7571" spans="1:2" x14ac:dyDescent="0.25">
      <c r="A7571">
        <f ca="1">33737.3122189163*((RANDBETWEEN(1620,2416)))</f>
        <v>57319693.459938914</v>
      </c>
      <c r="B7571">
        <v>200848214.8864066</v>
      </c>
    </row>
    <row r="7572" spans="1:2" x14ac:dyDescent="0.25">
      <c r="A7572">
        <f ca="1">39205.1019077649*((RANDBETWEEN(1620,2416)))</f>
        <v>69314620.172928318</v>
      </c>
      <c r="B7572">
        <v>159641678.5303452</v>
      </c>
    </row>
    <row r="7573" spans="1:2" x14ac:dyDescent="0.25">
      <c r="A7573">
        <f ca="1">32366.8030868383*((RANDBETWEEN(1620,2416)))</f>
        <v>58130778.343961559</v>
      </c>
      <c r="B7573">
        <v>147155686.58348966</v>
      </c>
    </row>
    <row r="7574" spans="1:2" x14ac:dyDescent="0.25">
      <c r="A7574">
        <f ca="1">33995.5379197342*((RANDBETWEEN(1620,2416)))</f>
        <v>60410070.883367732</v>
      </c>
      <c r="B7574">
        <v>161581444.15117034</v>
      </c>
    </row>
    <row r="7575" spans="1:2" x14ac:dyDescent="0.25">
      <c r="A7575">
        <f ca="1">36624.9790463904*((RANDBETWEEN(1620,2416)))</f>
        <v>70173459.852884039</v>
      </c>
      <c r="B7575">
        <v>164081077.3763487</v>
      </c>
    </row>
    <row r="7576" spans="1:2" x14ac:dyDescent="0.25">
      <c r="A7576">
        <f ca="1">34767.6000014763*((RANDBETWEEN(1620,2416)))</f>
        <v>82086303.603485659</v>
      </c>
      <c r="B7576">
        <v>181335604.20927674</v>
      </c>
    </row>
    <row r="7577" spans="1:2" x14ac:dyDescent="0.25">
      <c r="A7577">
        <f ca="1">29165.8093969459*((RANDBETWEEN(1620,2416)))</f>
        <v>61656521.0651436</v>
      </c>
      <c r="B7577">
        <v>193116143.87589234</v>
      </c>
    </row>
    <row r="7578" spans="1:2" x14ac:dyDescent="0.25">
      <c r="A7578">
        <f ca="1">31887.0740447815*((RANDBETWEEN(1620,2416)))</f>
        <v>59373731.871383175</v>
      </c>
      <c r="B7578">
        <v>165956306.47338107</v>
      </c>
    </row>
    <row r="7579" spans="1:2" x14ac:dyDescent="0.25">
      <c r="A7579">
        <f ca="1">32681.7802432781*((RANDBETWEEN(1620,2416)))</f>
        <v>56408752.69989799</v>
      </c>
      <c r="B7579">
        <v>150252770.6391075</v>
      </c>
    </row>
    <row r="7580" spans="1:2" x14ac:dyDescent="0.25">
      <c r="A7580">
        <f ca="1">31992.8011823725*((RANDBETWEEN(1620,2416)))</f>
        <v>74511233.953745604</v>
      </c>
      <c r="B7580">
        <v>151525403.27753189</v>
      </c>
    </row>
    <row r="7581" spans="1:2" x14ac:dyDescent="0.25">
      <c r="A7581">
        <f ca="1">36944.9672845909*((RANDBETWEEN(1620,2416)))</f>
        <v>80466138.74583894</v>
      </c>
      <c r="B7581">
        <v>200920927.19756949</v>
      </c>
    </row>
    <row r="7582" spans="1:2" x14ac:dyDescent="0.25">
      <c r="A7582">
        <f ca="1">32969.8304778519*((RANDBETWEEN(1620,2416)))</f>
        <v>74445877.218989491</v>
      </c>
      <c r="B7582">
        <v>203667608.92951041</v>
      </c>
    </row>
    <row r="7583" spans="1:2" x14ac:dyDescent="0.25">
      <c r="A7583">
        <f ca="1">38732.9868371445*((RANDBETWEEN(1620,2416)))</f>
        <v>80603345.608097717</v>
      </c>
      <c r="B7583">
        <v>167464564.36518294</v>
      </c>
    </row>
    <row r="7584" spans="1:2" x14ac:dyDescent="0.25">
      <c r="A7584">
        <f ca="1">31683.5783775056*((RANDBETWEEN(1620,2416)))</f>
        <v>65204804.300906561</v>
      </c>
      <c r="B7584">
        <v>156649745.21983844</v>
      </c>
    </row>
    <row r="7585" spans="1:2" x14ac:dyDescent="0.25">
      <c r="A7585">
        <f ca="1">30344.9044457189*((RANDBETWEEN(1620,2416)))</f>
        <v>58504975.771346085</v>
      </c>
      <c r="B7585">
        <v>143354639.9647882</v>
      </c>
    </row>
    <row r="7586" spans="1:2" x14ac:dyDescent="0.25">
      <c r="A7586">
        <f ca="1">30284.522741902*((RANDBETWEEN(1620,2416)))</f>
        <v>52059094.593329586</v>
      </c>
      <c r="B7586">
        <v>142904678.21716672</v>
      </c>
    </row>
    <row r="7587" spans="1:2" x14ac:dyDescent="0.25">
      <c r="A7587">
        <f ca="1">31704.1958485663*((RANDBETWEEN(1620,2416)))</f>
        <v>56084722.456113696</v>
      </c>
      <c r="B7587">
        <v>200177809.30531836</v>
      </c>
    </row>
    <row r="7588" spans="1:2" x14ac:dyDescent="0.25">
      <c r="A7588">
        <f ca="1">30856.7586372439*((RANDBETWEEN(1620,2416)))</f>
        <v>55233597.9606665</v>
      </c>
      <c r="B7588">
        <v>171195465.28612518</v>
      </c>
    </row>
    <row r="7589" spans="1:2" x14ac:dyDescent="0.25">
      <c r="A7589">
        <f ca="1">31025.6771517603*((RANDBETWEEN(1620,2416)))</f>
        <v>66891359.939195141</v>
      </c>
      <c r="B7589">
        <v>191962506.31971022</v>
      </c>
    </row>
    <row r="7590" spans="1:2" x14ac:dyDescent="0.25">
      <c r="A7590">
        <f ca="1">31723.31687496*((RANDBETWEEN(1620,2416)))</f>
        <v>71789866.088034511</v>
      </c>
      <c r="B7590">
        <v>188608640.33802265</v>
      </c>
    </row>
    <row r="7591" spans="1:2" x14ac:dyDescent="0.25">
      <c r="A7591">
        <f ca="1">34111.6837888238*((RANDBETWEEN(1620,2416)))</f>
        <v>80742355.528145939</v>
      </c>
      <c r="B7591">
        <v>162764164.51514709</v>
      </c>
    </row>
    <row r="7592" spans="1:2" x14ac:dyDescent="0.25">
      <c r="A7592">
        <f ca="1">30966.7945500454*((RANDBETWEEN(1620,2416)))</f>
        <v>57288569.917584032</v>
      </c>
      <c r="B7592">
        <v>179703712.64843002</v>
      </c>
    </row>
    <row r="7593" spans="1:2" x14ac:dyDescent="0.25">
      <c r="A7593">
        <f ca="1">41542.9679556738*((RANDBETWEEN(1620,2416)))</f>
        <v>99786209.029528394</v>
      </c>
      <c r="B7593">
        <v>202761583.46894538</v>
      </c>
    </row>
    <row r="7594" spans="1:2" x14ac:dyDescent="0.25">
      <c r="A7594">
        <f ca="1">30341.0185305089*((RANDBETWEEN(1620,2416)))</f>
        <v>52611326.131902486</v>
      </c>
      <c r="B7594">
        <v>169047019.37322581</v>
      </c>
    </row>
    <row r="7595" spans="1:2" x14ac:dyDescent="0.25">
      <c r="A7595">
        <f ca="1">35043.5504945133*((RANDBETWEEN(1620,2416)))</f>
        <v>70017013.888037533</v>
      </c>
      <c r="B7595">
        <v>183917547.39732903</v>
      </c>
    </row>
    <row r="7596" spans="1:2" x14ac:dyDescent="0.25">
      <c r="A7596">
        <f ca="1">32977.3610723488*((RANDBETWEEN(1620,2416)))</f>
        <v>60546434.928832412</v>
      </c>
      <c r="B7596">
        <v>155097738.50311619</v>
      </c>
    </row>
    <row r="7597" spans="1:2" x14ac:dyDescent="0.25">
      <c r="A7597">
        <f ca="1">31532.0955993559*((RANDBETWEEN(1620,2416)))</f>
        <v>57136157.226032935</v>
      </c>
      <c r="B7597">
        <v>153954030.42827764</v>
      </c>
    </row>
    <row r="7598" spans="1:2" x14ac:dyDescent="0.25">
      <c r="A7598">
        <f ca="1">36347.6952912099*((RANDBETWEEN(1620,2416)))</f>
        <v>77820415.618480474</v>
      </c>
      <c r="B7598">
        <v>147183321.80586514</v>
      </c>
    </row>
    <row r="7599" spans="1:2" x14ac:dyDescent="0.25">
      <c r="A7599">
        <f ca="1">28639.3317843815*((RANDBETWEEN(1620,2416)))</f>
        <v>58395597.508353829</v>
      </c>
      <c r="B7599">
        <v>175427361.80522269</v>
      </c>
    </row>
    <row r="7600" spans="1:2" x14ac:dyDescent="0.25">
      <c r="A7600">
        <f ca="1">41500.1736411361*((RANDBETWEEN(1620,2416)))</f>
        <v>95201398.332766309</v>
      </c>
      <c r="B7600">
        <v>172196446.5007464</v>
      </c>
    </row>
    <row r="7601" spans="1:2" x14ac:dyDescent="0.25">
      <c r="A7601">
        <f ca="1">34221.0105147686*((RANDBETWEEN(1620,2416)))</f>
        <v>67004738.587916926</v>
      </c>
      <c r="B7601">
        <v>162052253.4517884</v>
      </c>
    </row>
    <row r="7602" spans="1:2" x14ac:dyDescent="0.25">
      <c r="A7602">
        <f ca="1">31297.3638377803*((RANDBETWEEN(1620,2416)))</f>
        <v>73079344.561216936</v>
      </c>
      <c r="B7602">
        <v>177457229.2462306</v>
      </c>
    </row>
    <row r="7603" spans="1:2" x14ac:dyDescent="0.25">
      <c r="A7603">
        <f ca="1">31330.7901435335*((RANDBETWEEN(1620,2416)))</f>
        <v>74065987.899313122</v>
      </c>
      <c r="B7603">
        <v>143751837.73337507</v>
      </c>
    </row>
    <row r="7604" spans="1:2" x14ac:dyDescent="0.25">
      <c r="A7604">
        <f ca="1">31504.6083626602*((RANDBETWEEN(1620,2416)))</f>
        <v>57243873.394953728</v>
      </c>
      <c r="B7604">
        <v>145808174.91057891</v>
      </c>
    </row>
    <row r="7605" spans="1:2" x14ac:dyDescent="0.25">
      <c r="A7605">
        <f ca="1">35999.3208080113*((RANDBETWEEN(1620,2416)))</f>
        <v>85678383.523066908</v>
      </c>
      <c r="B7605">
        <v>143870027.48889697</v>
      </c>
    </row>
    <row r="7606" spans="1:2" x14ac:dyDescent="0.25">
      <c r="A7606">
        <f ca="1">38712.5043601928*((RANDBETWEEN(1620,2416)))</f>
        <v>87296697.33223477</v>
      </c>
      <c r="B7606">
        <v>163483221.87514845</v>
      </c>
    </row>
    <row r="7607" spans="1:2" x14ac:dyDescent="0.25">
      <c r="A7607">
        <f ca="1">32209.4636598304*((RANDBETWEEN(1620,2416)))</f>
        <v>66705799.239508815</v>
      </c>
      <c r="B7607">
        <v>152115575.06402627</v>
      </c>
    </row>
    <row r="7608" spans="1:2" x14ac:dyDescent="0.25">
      <c r="A7608">
        <f ca="1">31453.679790118*((RANDBETWEEN(1620,2416)))</f>
        <v>62278285.984433733</v>
      </c>
      <c r="B7608">
        <v>150138763.86683884</v>
      </c>
    </row>
    <row r="7609" spans="1:2" x14ac:dyDescent="0.25">
      <c r="A7609">
        <f ca="1">40120.4596139313*((RANDBETWEEN(1620,2416)))</f>
        <v>94483682.39080818</v>
      </c>
      <c r="B7609">
        <v>146441738.39999419</v>
      </c>
    </row>
    <row r="7610" spans="1:2" x14ac:dyDescent="0.25">
      <c r="A7610">
        <f ca="1">29848.6770673129*((RANDBETWEEN(1620,2416)))</f>
        <v>49369711.869335487</v>
      </c>
      <c r="B7610">
        <v>145868806.06375256</v>
      </c>
    </row>
    <row r="7611" spans="1:2" x14ac:dyDescent="0.25">
      <c r="A7611">
        <f ca="1">38905.3642285344*((RANDBETWEEN(1620,2416)))</f>
        <v>76682472.894441366</v>
      </c>
      <c r="B7611">
        <v>201233731.25175905</v>
      </c>
    </row>
    <row r="7612" spans="1:2" x14ac:dyDescent="0.25">
      <c r="A7612">
        <f ca="1">29898.0840796647*((RANDBETWEEN(1620,2416)))</f>
        <v>72173974.968310639</v>
      </c>
      <c r="B7612">
        <v>177460999.33808595</v>
      </c>
    </row>
    <row r="7613" spans="1:2" x14ac:dyDescent="0.25">
      <c r="A7613">
        <f ca="1">36381.1894809648*((RANDBETWEEN(1620,2416)))</f>
        <v>70797794.729957461</v>
      </c>
      <c r="B7613">
        <v>202028647.34854835</v>
      </c>
    </row>
    <row r="7614" spans="1:2" x14ac:dyDescent="0.25">
      <c r="A7614">
        <f ca="1">35156.9258937307*((RANDBETWEEN(1620,2416)))</f>
        <v>68626319.344562352</v>
      </c>
      <c r="B7614">
        <v>167349714.66254395</v>
      </c>
    </row>
    <row r="7615" spans="1:2" x14ac:dyDescent="0.25">
      <c r="A7615">
        <f ca="1">39105.8204566759*((RANDBETWEEN(1620,2416)))</f>
        <v>89865175.409441099</v>
      </c>
      <c r="B7615">
        <v>147932420.91495144</v>
      </c>
    </row>
    <row r="7616" spans="1:2" x14ac:dyDescent="0.25">
      <c r="A7616">
        <f ca="1">31794.9563914294*((RANDBETWEEN(1620,2416)))</f>
        <v>65338635.384387501</v>
      </c>
      <c r="B7616">
        <v>184794627.14595899</v>
      </c>
    </row>
    <row r="7617" spans="1:2" x14ac:dyDescent="0.25">
      <c r="A7617">
        <f ca="1">36458.0840888583*((RANDBETWEEN(1620,2416)))</f>
        <v>65770383.696300305</v>
      </c>
      <c r="B7617">
        <v>177201620.63300568</v>
      </c>
    </row>
    <row r="7618" spans="1:2" x14ac:dyDescent="0.25">
      <c r="A7618">
        <f ca="1">41327.7355456936*((RANDBETWEEN(1620,2416)))</f>
        <v>89391891.985335171</v>
      </c>
      <c r="B7618">
        <v>173006745.00440818</v>
      </c>
    </row>
    <row r="7619" spans="1:2" x14ac:dyDescent="0.25">
      <c r="A7619">
        <f ca="1">32755.6330616044*((RANDBETWEEN(1620,2416)))</f>
        <v>72062392.735529691</v>
      </c>
      <c r="B7619">
        <v>148231243.76638055</v>
      </c>
    </row>
    <row r="7620" spans="1:2" x14ac:dyDescent="0.25">
      <c r="A7620">
        <f ca="1">29903.159853179*((RANDBETWEEN(1620,2416)))</f>
        <v>52749173.981007718</v>
      </c>
      <c r="B7620">
        <v>161950690.50159395</v>
      </c>
    </row>
    <row r="7621" spans="1:2" x14ac:dyDescent="0.25">
      <c r="A7621">
        <f ca="1">29778.4736918044*((RANDBETWEEN(1620,2416)))</f>
        <v>64738401.805982776</v>
      </c>
      <c r="B7621">
        <v>170425829.82942277</v>
      </c>
    </row>
    <row r="7622" spans="1:2" x14ac:dyDescent="0.25">
      <c r="A7622">
        <f ca="1">29891.8461904656*((RANDBETWEEN(1620,2416)))</f>
        <v>66569141.466166899</v>
      </c>
      <c r="B7622">
        <v>168275589.69618544</v>
      </c>
    </row>
    <row r="7623" spans="1:2" x14ac:dyDescent="0.25">
      <c r="A7623">
        <f ca="1">34751.1732891873*((RANDBETWEEN(1620,2416)))</f>
        <v>78954665.713033527</v>
      </c>
      <c r="B7623">
        <v>159250326.83857927</v>
      </c>
    </row>
    <row r="7624" spans="1:2" x14ac:dyDescent="0.25">
      <c r="A7624">
        <f ca="1">37049.5861913501*((RANDBETWEEN(1620,2416)))</f>
        <v>85139949.067722619</v>
      </c>
      <c r="B7624">
        <v>152604243.58735606</v>
      </c>
    </row>
    <row r="7625" spans="1:2" x14ac:dyDescent="0.25">
      <c r="A7625">
        <f ca="1">34025.1114450376*((RANDBETWEEN(1620,2416)))</f>
        <v>56413634.775872424</v>
      </c>
      <c r="B7625">
        <v>148347760.09248903</v>
      </c>
    </row>
    <row r="7626" spans="1:2" x14ac:dyDescent="0.25">
      <c r="A7626">
        <f ca="1">29956.6010599685*((RANDBETWEEN(1620,2416)))</f>
        <v>59643592.710397221</v>
      </c>
      <c r="B7626">
        <v>172740886.51725736</v>
      </c>
    </row>
    <row r="7627" spans="1:2" x14ac:dyDescent="0.25">
      <c r="A7627">
        <f ca="1">28375.6597001418*((RANDBETWEEN(1620,2416)))</f>
        <v>53431367.215366997</v>
      </c>
      <c r="B7627">
        <v>165083163.04438925</v>
      </c>
    </row>
    <row r="7628" spans="1:2" x14ac:dyDescent="0.25">
      <c r="A7628">
        <f ca="1">34464.5534907133*((RANDBETWEEN(1620,2416)))</f>
        <v>59589212.985443339</v>
      </c>
      <c r="B7628">
        <v>163796191.4319225</v>
      </c>
    </row>
    <row r="7629" spans="1:2" x14ac:dyDescent="0.25">
      <c r="A7629">
        <f ca="1">32436.9497831511*((RANDBETWEEN(1620,2416)))</f>
        <v>67144486.05112271</v>
      </c>
      <c r="B7629">
        <v>161805635.54273617</v>
      </c>
    </row>
    <row r="7630" spans="1:2" x14ac:dyDescent="0.25">
      <c r="A7630">
        <f ca="1">34220.7891730403*((RANDBETWEEN(1620,2416)))</f>
        <v>56635406.081381656</v>
      </c>
      <c r="B7630">
        <v>155341418.25035816</v>
      </c>
    </row>
    <row r="7631" spans="1:2" x14ac:dyDescent="0.25">
      <c r="A7631">
        <f ca="1">30985.1246250905*((RANDBETWEEN(1620,2416)))</f>
        <v>64418074.095563114</v>
      </c>
      <c r="B7631">
        <v>150538655.48618987</v>
      </c>
    </row>
    <row r="7632" spans="1:2" x14ac:dyDescent="0.25">
      <c r="A7632">
        <f ca="1">32008.6476530777*((RANDBETWEEN(1620,2416)))</f>
        <v>53198372.399415158</v>
      </c>
      <c r="B7632">
        <v>155856598.11766964</v>
      </c>
    </row>
    <row r="7633" spans="1:2" x14ac:dyDescent="0.25">
      <c r="A7633">
        <f ca="1">32093.585761334*((RANDBETWEEN(1620,2416)))</f>
        <v>61138280.875341274</v>
      </c>
      <c r="B7633">
        <v>155075697.17599496</v>
      </c>
    </row>
    <row r="7634" spans="1:2" x14ac:dyDescent="0.25">
      <c r="A7634">
        <f ca="1">31937.5626966876*((RANDBETWEEN(1620,2416)))</f>
        <v>52473415.510657728</v>
      </c>
      <c r="B7634">
        <v>171789570.63599145</v>
      </c>
    </row>
    <row r="7635" spans="1:2" x14ac:dyDescent="0.25">
      <c r="A7635">
        <f ca="1">30736.0679931621*((RANDBETWEEN(1620,2416)))</f>
        <v>54617992.823849037</v>
      </c>
      <c r="B7635">
        <v>158208120.73323959</v>
      </c>
    </row>
    <row r="7636" spans="1:2" x14ac:dyDescent="0.25">
      <c r="A7636">
        <f ca="1">29786.187956067*((RANDBETWEEN(1620,2416)))</f>
        <v>70593265.455878899</v>
      </c>
      <c r="B7636">
        <v>164830272.26497999</v>
      </c>
    </row>
    <row r="7637" spans="1:2" x14ac:dyDescent="0.25">
      <c r="A7637">
        <f ca="1">28778.3968497209*((RANDBETWEEN(1620,2416)))</f>
        <v>50765092.04290764</v>
      </c>
      <c r="B7637">
        <v>155021825.8697744</v>
      </c>
    </row>
    <row r="7638" spans="1:2" x14ac:dyDescent="0.25">
      <c r="A7638">
        <f ca="1">29695.243596078*((RANDBETWEEN(1620,2416)))</f>
        <v>66547040.898810834</v>
      </c>
      <c r="B7638">
        <v>187585261.9062807</v>
      </c>
    </row>
    <row r="7639" spans="1:2" x14ac:dyDescent="0.25">
      <c r="A7639">
        <f ca="1">31364.6811323689*((RANDBETWEEN(1620,2416)))</f>
        <v>52692664.302379712</v>
      </c>
      <c r="B7639">
        <v>148604405.49570608</v>
      </c>
    </row>
    <row r="7640" spans="1:2" x14ac:dyDescent="0.25">
      <c r="A7640">
        <f ca="1">31823.1950335595*((RANDBETWEEN(1620,2416)))</f>
        <v>68419869.322152942</v>
      </c>
      <c r="B7640">
        <v>179787021.08465776</v>
      </c>
    </row>
    <row r="7641" spans="1:2" x14ac:dyDescent="0.25">
      <c r="A7641">
        <f ca="1">29331.4714454888*((RANDBETWEEN(1620,2416)))</f>
        <v>69456924.382917434</v>
      </c>
      <c r="B7641">
        <v>157959990.31858033</v>
      </c>
    </row>
    <row r="7642" spans="1:2" x14ac:dyDescent="0.25">
      <c r="A7642">
        <f ca="1">30817.8017023563*((RANDBETWEEN(1620,2416)))</f>
        <v>50017292.162924297</v>
      </c>
      <c r="B7642">
        <v>160380484.30436626</v>
      </c>
    </row>
    <row r="7643" spans="1:2" x14ac:dyDescent="0.25">
      <c r="A7643">
        <f ca="1">28620.2556781396*((RANDBETWEEN(1620,2416)))</f>
        <v>47137561.101895869</v>
      </c>
      <c r="B7643">
        <v>142904157.4419069</v>
      </c>
    </row>
    <row r="7644" spans="1:2" x14ac:dyDescent="0.25">
      <c r="A7644">
        <f ca="1">29395.9638739379*((RANDBETWEEN(1620,2416)))</f>
        <v>70697293.116820604</v>
      </c>
      <c r="B7644">
        <v>190563854.18606025</v>
      </c>
    </row>
    <row r="7645" spans="1:2" x14ac:dyDescent="0.25">
      <c r="A7645">
        <f ca="1">34792.8580094273*((RANDBETWEEN(1620,2416)))</f>
        <v>75152573.300363004</v>
      </c>
      <c r="B7645">
        <v>196000000.38779095</v>
      </c>
    </row>
    <row r="7646" spans="1:2" x14ac:dyDescent="0.25">
      <c r="A7646">
        <f ca="1">29022.9557422007*((RANDBETWEEN(1620,2416)))</f>
        <v>60687000.456941627</v>
      </c>
      <c r="B7646">
        <v>180713903.39228648</v>
      </c>
    </row>
    <row r="7647" spans="1:2" x14ac:dyDescent="0.25">
      <c r="A7647">
        <f ca="1">28308.425378326*((RANDBETWEEN(1620,2416)))</f>
        <v>49737903.389718696</v>
      </c>
      <c r="B7647">
        <v>185379536.0493674</v>
      </c>
    </row>
    <row r="7648" spans="1:2" x14ac:dyDescent="0.25">
      <c r="A7648">
        <f ca="1">34692.8914660341*((RANDBETWEEN(1620,2416)))</f>
        <v>63002290.902317934</v>
      </c>
      <c r="B7648">
        <v>191712865.20078266</v>
      </c>
    </row>
    <row r="7649" spans="1:2" x14ac:dyDescent="0.25">
      <c r="A7649">
        <f ca="1">31944.355843355*((RANDBETWEEN(1620,2416)))</f>
        <v>66923425.491828635</v>
      </c>
      <c r="B7649">
        <v>150136875.77398771</v>
      </c>
    </row>
    <row r="7650" spans="1:2" x14ac:dyDescent="0.25">
      <c r="A7650">
        <f ca="1">37214.607421946*((RANDBETWEEN(1620,2416)))</f>
        <v>71154329.39076066</v>
      </c>
      <c r="B7650">
        <v>197060380.08046678</v>
      </c>
    </row>
    <row r="7651" spans="1:2" x14ac:dyDescent="0.25">
      <c r="A7651">
        <f ca="1">32435.6670280743*((RANDBETWEEN(1620,2416)))</f>
        <v>59681627.331656761</v>
      </c>
      <c r="B7651">
        <v>147479691.22639465</v>
      </c>
    </row>
    <row r="7652" spans="1:2" x14ac:dyDescent="0.25">
      <c r="A7652">
        <f ca="1">29848.6185003898*((RANDBETWEEN(1620,2416)))</f>
        <v>69218946.302403882</v>
      </c>
      <c r="B7652">
        <v>149908413.220783</v>
      </c>
    </row>
    <row r="7653" spans="1:2" x14ac:dyDescent="0.25">
      <c r="A7653">
        <f ca="1">31361.0331249424*((RANDBETWEEN(1620,2416)))</f>
        <v>54474114.538024917</v>
      </c>
      <c r="B7653">
        <v>190216298.36320931</v>
      </c>
    </row>
    <row r="7654" spans="1:2" x14ac:dyDescent="0.25">
      <c r="A7654">
        <f ca="1">32511.9488081901*((RANDBETWEEN(1620,2416)))</f>
        <v>76630663.340904102</v>
      </c>
      <c r="B7654">
        <v>159372356.64283559</v>
      </c>
    </row>
    <row r="7655" spans="1:2" x14ac:dyDescent="0.25">
      <c r="A7655">
        <f ca="1">36720.8301756527*((RANDBETWEEN(1620,2416)))</f>
        <v>81630405.480475903</v>
      </c>
      <c r="B7655">
        <v>148371525.98902234</v>
      </c>
    </row>
    <row r="7656" spans="1:2" x14ac:dyDescent="0.25">
      <c r="A7656">
        <f ca="1">36241.3877929826*((RANDBETWEEN(1620,2416)))</f>
        <v>76795500.733330041</v>
      </c>
      <c r="B7656">
        <v>143912507.90681002</v>
      </c>
    </row>
    <row r="7657" spans="1:2" x14ac:dyDescent="0.25">
      <c r="A7657">
        <f ca="1">31802.8505912168*((RANDBETWEEN(1620,2416)))</f>
        <v>61602121.595186934</v>
      </c>
      <c r="B7657">
        <v>146282682.60552597</v>
      </c>
    </row>
    <row r="7658" spans="1:2" x14ac:dyDescent="0.25">
      <c r="A7658">
        <f ca="1">31049.4256021831*((RANDBETWEEN(1620,2416)))</f>
        <v>56478905.170371093</v>
      </c>
      <c r="B7658">
        <v>171493874.26806122</v>
      </c>
    </row>
    <row r="7659" spans="1:2" x14ac:dyDescent="0.25">
      <c r="A7659">
        <f ca="1">34100.7952935347*((RANDBETWEEN(1620,2416)))</f>
        <v>56266312.234332263</v>
      </c>
      <c r="B7659">
        <v>155882030.94715324</v>
      </c>
    </row>
    <row r="7660" spans="1:2" x14ac:dyDescent="0.25">
      <c r="A7660">
        <f ca="1">30670.6821252342*((RANDBETWEEN(1620,2416)))</f>
        <v>53489669.62640851</v>
      </c>
      <c r="B7660">
        <v>152494719.16483754</v>
      </c>
    </row>
    <row r="7661" spans="1:2" x14ac:dyDescent="0.25">
      <c r="A7661">
        <f ca="1">30792.9635145005*((RANDBETWEEN(1620,2416)))</f>
        <v>56227951.377477884</v>
      </c>
      <c r="B7661">
        <v>188733981.62144709</v>
      </c>
    </row>
    <row r="7662" spans="1:2" x14ac:dyDescent="0.25">
      <c r="A7662">
        <f ca="1">37252.4014744502*((RANDBETWEEN(1620,2416)))</f>
        <v>64446654.550798856</v>
      </c>
      <c r="B7662">
        <v>162081785.23318255</v>
      </c>
    </row>
    <row r="7663" spans="1:2" x14ac:dyDescent="0.25">
      <c r="A7663">
        <f ca="1">39146.2270730575*((RANDBETWEEN(1620,2416)))</f>
        <v>93246312.888022959</v>
      </c>
      <c r="B7663">
        <v>161672861.23108327</v>
      </c>
    </row>
    <row r="7664" spans="1:2" x14ac:dyDescent="0.25">
      <c r="A7664">
        <f ca="1">33910.0979605804*((RANDBETWEEN(1620,2416)))</f>
        <v>80706033.146181449</v>
      </c>
      <c r="B7664">
        <v>166350649.41827363</v>
      </c>
    </row>
    <row r="7665" spans="1:2" x14ac:dyDescent="0.25">
      <c r="A7665">
        <f ca="1">38968.7799059599*((RANDBETWEEN(1620,2416)))</f>
        <v>89355412.324366197</v>
      </c>
      <c r="B7665">
        <v>177922871.23430681</v>
      </c>
    </row>
    <row r="7666" spans="1:2" x14ac:dyDescent="0.25">
      <c r="A7666">
        <f ca="1">30944.4463426366*((RANDBETWEEN(1620,2416)))</f>
        <v>68170615.292828515</v>
      </c>
      <c r="B7666">
        <v>165269027.53642887</v>
      </c>
    </row>
    <row r="7667" spans="1:2" x14ac:dyDescent="0.25">
      <c r="A7667">
        <f ca="1">34721.2909446992*((RANDBETWEEN(1620,2416)))</f>
        <v>82532508.57555005</v>
      </c>
      <c r="B7667">
        <v>167593404.67396253</v>
      </c>
    </row>
    <row r="7668" spans="1:2" x14ac:dyDescent="0.25">
      <c r="A7668">
        <f ca="1">37777.7857626702*((RANDBETWEEN(1620,2416)))</f>
        <v>63428902.295523211</v>
      </c>
      <c r="B7668">
        <v>182377081.86795038</v>
      </c>
    </row>
    <row r="7669" spans="1:2" x14ac:dyDescent="0.25">
      <c r="A7669">
        <f ca="1">37846.842484973*((RANDBETWEEN(1620,2416)))</f>
        <v>86858503.503013</v>
      </c>
      <c r="B7669">
        <v>179068221.0102855</v>
      </c>
    </row>
    <row r="7670" spans="1:2" x14ac:dyDescent="0.25">
      <c r="A7670">
        <f ca="1">34352.4821327021*((RANDBETWEEN(1620,2416)))</f>
        <v>71040933.050428003</v>
      </c>
      <c r="B7670">
        <v>167777901.25792575</v>
      </c>
    </row>
    <row r="7671" spans="1:2" x14ac:dyDescent="0.25">
      <c r="A7671">
        <f ca="1">31806.9898758669*((RANDBETWEEN(1620,2416)))</f>
        <v>74841847.177914709</v>
      </c>
      <c r="B7671">
        <v>152918512.5917666</v>
      </c>
    </row>
    <row r="7672" spans="1:2" x14ac:dyDescent="0.25">
      <c r="A7672">
        <f ca="1">32982.7102375744*((RANDBETWEEN(1620,2416)))</f>
        <v>62271356.928540386</v>
      </c>
      <c r="B7672">
        <v>161445975.9445622</v>
      </c>
    </row>
    <row r="7673" spans="1:2" x14ac:dyDescent="0.25">
      <c r="A7673">
        <f ca="1">37421.9306996509*((RANDBETWEEN(1620,2416)))</f>
        <v>62943687.436812893</v>
      </c>
      <c r="B7673">
        <v>195635319.29843387</v>
      </c>
    </row>
    <row r="7674" spans="1:2" x14ac:dyDescent="0.25">
      <c r="A7674">
        <f ca="1">38125.7469343299*((RANDBETWEEN(1620,2416)))</f>
        <v>68130709.771647528</v>
      </c>
      <c r="B7674">
        <v>146324746.1581859</v>
      </c>
    </row>
    <row r="7675" spans="1:2" x14ac:dyDescent="0.25">
      <c r="A7675">
        <f ca="1">32539.209934367*((RANDBETWEEN(1620,2416)))</f>
        <v>61141175.466675572</v>
      </c>
      <c r="B7675">
        <v>154824538.17417216</v>
      </c>
    </row>
    <row r="7676" spans="1:2" x14ac:dyDescent="0.25">
      <c r="A7676">
        <f ca="1">30987.1686169967*((RANDBETWEEN(1620,2416)))</f>
        <v>71704308.179730445</v>
      </c>
      <c r="B7676">
        <v>151651107.2168991</v>
      </c>
    </row>
    <row r="7677" spans="1:2" x14ac:dyDescent="0.25">
      <c r="A7677">
        <f ca="1">30339.5175145849*((RANDBETWEEN(1620,2416)))</f>
        <v>52548044.335261062</v>
      </c>
      <c r="B7677">
        <v>150607819.51122352</v>
      </c>
    </row>
    <row r="7678" spans="1:2" x14ac:dyDescent="0.25">
      <c r="A7678">
        <f ca="1">31179.7662566064*((RANDBETWEEN(1620,2416)))</f>
        <v>73210091.170511916</v>
      </c>
      <c r="B7678">
        <v>152169056.41758263</v>
      </c>
    </row>
    <row r="7679" spans="1:2" x14ac:dyDescent="0.25">
      <c r="A7679">
        <f ca="1">38287.9835086476*((RANDBETWEEN(1620,2416)))</f>
        <v>78030910.390623748</v>
      </c>
      <c r="B7679">
        <v>148088003.78886732</v>
      </c>
    </row>
    <row r="7680" spans="1:2" x14ac:dyDescent="0.25">
      <c r="A7680">
        <f ca="1">30757.1438665754*((RANDBETWEEN(1620,2416)))</f>
        <v>52348658.860911377</v>
      </c>
      <c r="B7680">
        <v>189472573.62294558</v>
      </c>
    </row>
    <row r="7681" spans="1:2" x14ac:dyDescent="0.25">
      <c r="A7681">
        <f ca="1">32165.0400075035*((RANDBETWEEN(1620,2416)))</f>
        <v>53233141.212418228</v>
      </c>
      <c r="B7681">
        <v>185628305.18189511</v>
      </c>
    </row>
    <row r="7682" spans="1:2" x14ac:dyDescent="0.25">
      <c r="A7682">
        <f ca="1">30090.0361119831*((RANDBETWEEN(1620,2416)))</f>
        <v>64332497.20741985</v>
      </c>
      <c r="B7682">
        <v>187297455.25928596</v>
      </c>
    </row>
    <row r="7683" spans="1:2" x14ac:dyDescent="0.25">
      <c r="A7683">
        <f ca="1">40668.0787910647*((RANDBETWEEN(1620,2416)))</f>
        <v>69867759.363049194</v>
      </c>
      <c r="B7683">
        <v>148764891.47422436</v>
      </c>
    </row>
    <row r="7684" spans="1:2" x14ac:dyDescent="0.25">
      <c r="A7684">
        <f ca="1">31477.480127117*((RANDBETWEEN(1620,2416)))</f>
        <v>65126906.383005157</v>
      </c>
      <c r="B7684">
        <v>182281662.9508146</v>
      </c>
    </row>
    <row r="7685" spans="1:2" x14ac:dyDescent="0.25">
      <c r="A7685">
        <f ca="1">33217.9507901563*((RANDBETWEEN(1620,2416)))</f>
        <v>69990222.314859495</v>
      </c>
      <c r="B7685">
        <v>175507443.53209138</v>
      </c>
    </row>
    <row r="7686" spans="1:2" x14ac:dyDescent="0.25">
      <c r="A7686">
        <f ca="1">26741.6746830245*((RANDBETWEEN(1620,2416)))</f>
        <v>55890100.087521166</v>
      </c>
      <c r="B7686">
        <v>154513443.208956</v>
      </c>
    </row>
    <row r="7687" spans="1:2" x14ac:dyDescent="0.25">
      <c r="A7687">
        <f ca="1">40371.8592772918*((RANDBETWEEN(1620,2416)))</f>
        <v>76908391.92324087</v>
      </c>
      <c r="B7687">
        <v>150912450.43680286</v>
      </c>
    </row>
    <row r="7688" spans="1:2" x14ac:dyDescent="0.25">
      <c r="A7688">
        <f ca="1">31183.8896530604*((RANDBETWEEN(1620,2416)))</f>
        <v>52388934.617141411</v>
      </c>
      <c r="B7688">
        <v>173470993.99096</v>
      </c>
    </row>
    <row r="7689" spans="1:2" x14ac:dyDescent="0.25">
      <c r="A7689">
        <f ca="1">32153.7369844685*((RANDBETWEEN(1620,2416)))</f>
        <v>65850853.344191507</v>
      </c>
      <c r="B7689">
        <v>166486241.54487938</v>
      </c>
    </row>
    <row r="7690" spans="1:2" x14ac:dyDescent="0.25">
      <c r="A7690">
        <f ca="1">33015.9958592634*((RANDBETWEEN(1620,2416)))</f>
        <v>61112608.335496485</v>
      </c>
      <c r="B7690">
        <v>143901952.9353705</v>
      </c>
    </row>
    <row r="7691" spans="1:2" x14ac:dyDescent="0.25">
      <c r="A7691">
        <f ca="1">31571.6074812144*((RANDBETWEEN(1620,2416)))</f>
        <v>66268804.103069022</v>
      </c>
      <c r="B7691">
        <v>199834503.5411123</v>
      </c>
    </row>
    <row r="7692" spans="1:2" x14ac:dyDescent="0.25">
      <c r="A7692">
        <f ca="1">34272.6132022014*((RANDBETWEEN(1620,2416)))</f>
        <v>74645751.554394647</v>
      </c>
      <c r="B7692">
        <v>189292426.76602799</v>
      </c>
    </row>
    <row r="7693" spans="1:2" x14ac:dyDescent="0.25">
      <c r="A7693">
        <f ca="1">39233.3546544307*((RANDBETWEEN(1620,2416)))</f>
        <v>75131874.163234875</v>
      </c>
      <c r="B7693">
        <v>177390103.43585601</v>
      </c>
    </row>
    <row r="7694" spans="1:2" x14ac:dyDescent="0.25">
      <c r="A7694">
        <f ca="1">33009.6645251258*((RANDBETWEEN(1620,2416)))</f>
        <v>60770792.390756577</v>
      </c>
      <c r="B7694">
        <v>169675216.01737967</v>
      </c>
    </row>
    <row r="7695" spans="1:2" x14ac:dyDescent="0.25">
      <c r="A7695">
        <f ca="1">32819.9770528367*((RANDBETWEEN(1620,2416)))</f>
        <v>61504636.997015975</v>
      </c>
      <c r="B7695">
        <v>169298642.34484765</v>
      </c>
    </row>
    <row r="7696" spans="1:2" x14ac:dyDescent="0.25">
      <c r="A7696">
        <f ca="1">30048.5017230089*((RANDBETWEEN(1620,2416)))</f>
        <v>54988758.153106324</v>
      </c>
      <c r="B7696">
        <v>171562096.53821719</v>
      </c>
    </row>
    <row r="7697" spans="1:2" x14ac:dyDescent="0.25">
      <c r="A7697">
        <f ca="1">40229.7169651603*((RANDBETWEEN(1620,2416)))</f>
        <v>81465176.854449525</v>
      </c>
      <c r="B7697">
        <v>200651572.55959466</v>
      </c>
    </row>
    <row r="7698" spans="1:2" x14ac:dyDescent="0.25">
      <c r="A7698">
        <f ca="1">34979.7265159263*((RANDBETWEEN(1620,2416)))</f>
        <v>70938885.374298498</v>
      </c>
      <c r="B7698">
        <v>148539355.96254238</v>
      </c>
    </row>
    <row r="7699" spans="1:2" x14ac:dyDescent="0.25">
      <c r="A7699">
        <f ca="1">40535.1821482716*((RANDBETWEEN(1620,2416)))</f>
        <v>74909016.610005841</v>
      </c>
      <c r="B7699">
        <v>172443990.62672651</v>
      </c>
    </row>
    <row r="7700" spans="1:2" x14ac:dyDescent="0.25">
      <c r="A7700">
        <f ca="1">30806.8549052742*((RANDBETWEEN(1620,2416)))</f>
        <v>68853320.713287756</v>
      </c>
      <c r="B7700">
        <v>160730628.78661203</v>
      </c>
    </row>
    <row r="7701" spans="1:2" x14ac:dyDescent="0.25">
      <c r="A7701">
        <f ca="1">31725.2091188285*((RANDBETWEEN(1620,2416)))</f>
        <v>73348683.482731417</v>
      </c>
      <c r="B7701">
        <v>156283606.86283875</v>
      </c>
    </row>
    <row r="7702" spans="1:2" x14ac:dyDescent="0.25">
      <c r="A7702">
        <f ca="1">31691.4298769657*((RANDBETWEEN(1620,2416)))</f>
        <v>76566494.582749128</v>
      </c>
      <c r="B7702">
        <v>197760397.7370286</v>
      </c>
    </row>
    <row r="7703" spans="1:2" x14ac:dyDescent="0.25">
      <c r="A7703">
        <f ca="1">29566.956261087*((RANDBETWEEN(1620,2416)))</f>
        <v>55260641.251971677</v>
      </c>
      <c r="B7703">
        <v>182950761.45546877</v>
      </c>
    </row>
    <row r="7704" spans="1:2" x14ac:dyDescent="0.25">
      <c r="A7704">
        <f ca="1">33644.0212102635*((RANDBETWEEN(1620,2416)))</f>
        <v>60155509.923951223</v>
      </c>
      <c r="B7704">
        <v>175425904.05302805</v>
      </c>
    </row>
    <row r="7705" spans="1:2" x14ac:dyDescent="0.25">
      <c r="A7705">
        <f ca="1">27773.3090799355*((RANDBETWEEN(1620,2416)))</f>
        <v>64128570.665570974</v>
      </c>
      <c r="B7705">
        <v>184751890.49319732</v>
      </c>
    </row>
    <row r="7706" spans="1:2" x14ac:dyDescent="0.25">
      <c r="A7706">
        <f ca="1">37781.2438453637*((RANDBETWEEN(1620,2416)))</f>
        <v>83572111.385944411</v>
      </c>
      <c r="B7706">
        <v>184964669.64746243</v>
      </c>
    </row>
    <row r="7707" spans="1:2" x14ac:dyDescent="0.25">
      <c r="A7707">
        <f ca="1">31158.3281914868*((RANDBETWEEN(1620,2416)))</f>
        <v>67893997.129249632</v>
      </c>
      <c r="B7707">
        <v>170668986.58627835</v>
      </c>
    </row>
    <row r="7708" spans="1:2" x14ac:dyDescent="0.25">
      <c r="A7708">
        <f ca="1">37960.7057138492*((RANDBETWEEN(1620,2416)))</f>
        <v>87233701.730425477</v>
      </c>
      <c r="B7708">
        <v>184102443.04937166</v>
      </c>
    </row>
    <row r="7709" spans="1:2" x14ac:dyDescent="0.25">
      <c r="A7709">
        <f ca="1">36019.3900940837*((RANDBETWEEN(1620,2416)))</f>
        <v>86194400.495142177</v>
      </c>
      <c r="B7709">
        <v>177775489.71700093</v>
      </c>
    </row>
    <row r="7710" spans="1:2" x14ac:dyDescent="0.25">
      <c r="A7710">
        <f ca="1">30012.8471797109*((RANDBETWEEN(1620,2416)))</f>
        <v>52192341.245517217</v>
      </c>
      <c r="B7710">
        <v>144312419.93614733</v>
      </c>
    </row>
    <row r="7711" spans="1:2" x14ac:dyDescent="0.25">
      <c r="A7711">
        <f ca="1">29789.3254465524*((RANDBETWEEN(1620,2416)))</f>
        <v>67294086.18376188</v>
      </c>
      <c r="B7711">
        <v>162353381.32190949</v>
      </c>
    </row>
    <row r="7712" spans="1:2" x14ac:dyDescent="0.25">
      <c r="A7712">
        <f ca="1">35472.3117673695*((RANDBETWEEN(1620,2416)))</f>
        <v>72079737.511294797</v>
      </c>
      <c r="B7712">
        <v>201310598.98161072</v>
      </c>
    </row>
    <row r="7713" spans="1:2" x14ac:dyDescent="0.25">
      <c r="A7713">
        <f ca="1">35779.5325800098*((RANDBETWEEN(1620,2416)))</f>
        <v>84475476.42140305</v>
      </c>
      <c r="B7713">
        <v>149651340.5186829</v>
      </c>
    </row>
    <row r="7714" spans="1:2" x14ac:dyDescent="0.25">
      <c r="A7714">
        <f ca="1">33533.1722434596*((RANDBETWEEN(1620,2416)))</f>
        <v>63612427.745842934</v>
      </c>
      <c r="B7714">
        <v>183809258.25233555</v>
      </c>
    </row>
    <row r="7715" spans="1:2" x14ac:dyDescent="0.25">
      <c r="A7715">
        <f ca="1">31423.8055499122*((RANDBETWEEN(1620,2416)))</f>
        <v>68755286.543207988</v>
      </c>
      <c r="B7715">
        <v>155933348.8872658</v>
      </c>
    </row>
    <row r="7716" spans="1:2" x14ac:dyDescent="0.25">
      <c r="A7716">
        <f ca="1">32113.6902505423*((RANDBETWEEN(1620,2416)))</f>
        <v>57933097.211978227</v>
      </c>
      <c r="B7716">
        <v>169757871.49179596</v>
      </c>
    </row>
    <row r="7717" spans="1:2" x14ac:dyDescent="0.25">
      <c r="A7717">
        <f ca="1">33220.2606133902*((RANDBETWEEN(1620,2416)))</f>
        <v>56806645.648897208</v>
      </c>
      <c r="B7717">
        <v>161460468.41977862</v>
      </c>
    </row>
    <row r="7718" spans="1:2" x14ac:dyDescent="0.25">
      <c r="A7718">
        <f ca="1">33090.0279205453*((RANDBETWEEN(1620,2416)))</f>
        <v>56319227.520768136</v>
      </c>
      <c r="B7718">
        <v>184868145.81589854</v>
      </c>
    </row>
    <row r="7719" spans="1:2" x14ac:dyDescent="0.25">
      <c r="A7719">
        <f ca="1">29319.2044567216*((RANDBETWEEN(1620,2416)))</f>
        <v>65293868.325118959</v>
      </c>
      <c r="B7719">
        <v>178873907.79033542</v>
      </c>
    </row>
    <row r="7720" spans="1:2" x14ac:dyDescent="0.25">
      <c r="A7720">
        <f ca="1">32891.023426897*((RANDBETWEEN(1620,2416)))</f>
        <v>57756637.137631081</v>
      </c>
      <c r="B7720">
        <v>169904436.94009867</v>
      </c>
    </row>
    <row r="7721" spans="1:2" x14ac:dyDescent="0.25">
      <c r="A7721">
        <f ca="1">31943.8133820905*((RANDBETWEEN(1620,2416)))</f>
        <v>69637513.172957346</v>
      </c>
      <c r="B7721">
        <v>172453207.04891908</v>
      </c>
    </row>
    <row r="7722" spans="1:2" x14ac:dyDescent="0.25">
      <c r="A7722">
        <f ca="1">33846.9001223372*((RANDBETWEEN(1620,2416)))</f>
        <v>80521775.391040206</v>
      </c>
      <c r="B7722">
        <v>143746614.43142909</v>
      </c>
    </row>
    <row r="7723" spans="1:2" x14ac:dyDescent="0.25">
      <c r="A7723">
        <f ca="1">34970.0993805322*((RANDBETWEEN(1620,2416)))</f>
        <v>71024271.841860846</v>
      </c>
      <c r="B7723">
        <v>171135726.11131561</v>
      </c>
    </row>
    <row r="7724" spans="1:2" x14ac:dyDescent="0.25">
      <c r="A7724">
        <f ca="1">29005.8118807048*((RANDBETWEEN(1620,2416)))</f>
        <v>69062838.087958008</v>
      </c>
      <c r="B7724">
        <v>164460932.61220282</v>
      </c>
    </row>
    <row r="7725" spans="1:2" x14ac:dyDescent="0.25">
      <c r="A7725">
        <f ca="1">31664.7492389807*((RANDBETWEEN(1620,2416)))</f>
        <v>74253836.96540983</v>
      </c>
      <c r="B7725">
        <v>145194198.84011543</v>
      </c>
    </row>
    <row r="7726" spans="1:2" x14ac:dyDescent="0.25">
      <c r="A7726">
        <f ca="1">34305.0246099564*((RANDBETWEEN(1620,2416)))</f>
        <v>69261844.687501907</v>
      </c>
      <c r="B7726">
        <v>154961110.59260291</v>
      </c>
    </row>
    <row r="7727" spans="1:2" x14ac:dyDescent="0.25">
      <c r="A7727">
        <f ca="1">30624.1032602133*((RANDBETWEEN(1620,2416)))</f>
        <v>63422517.851901837</v>
      </c>
      <c r="B7727">
        <v>151366500.60850471</v>
      </c>
    </row>
    <row r="7728" spans="1:2" x14ac:dyDescent="0.25">
      <c r="A7728">
        <f ca="1">35454.3057577627*((RANDBETWEEN(1620,2416)))</f>
        <v>65732282.874892063</v>
      </c>
      <c r="B7728">
        <v>172368439.85564405</v>
      </c>
    </row>
    <row r="7729" spans="1:2" x14ac:dyDescent="0.25">
      <c r="A7729">
        <f ca="1">39708.6258838309*((RANDBETWEEN(1620,2416)))</f>
        <v>64605934.312992938</v>
      </c>
      <c r="B7729">
        <v>160885452.93837383</v>
      </c>
    </row>
    <row r="7730" spans="1:2" x14ac:dyDescent="0.25">
      <c r="A7730">
        <f ca="1">32544.3938368818*((RANDBETWEEN(1620,2416)))</f>
        <v>73810685.222048014</v>
      </c>
      <c r="B7730">
        <v>154555636.96604198</v>
      </c>
    </row>
    <row r="7731" spans="1:2" x14ac:dyDescent="0.25">
      <c r="A7731">
        <f ca="1">30488.8517442623*((RANDBETWEEN(1620,2416)))</f>
        <v>54270156.104786836</v>
      </c>
      <c r="B7731">
        <v>148329056.52623951</v>
      </c>
    </row>
    <row r="7732" spans="1:2" x14ac:dyDescent="0.25">
      <c r="A7732">
        <f ca="1">33033.7397918763*((RANDBETWEEN(1620,2416)))</f>
        <v>63358712.920818776</v>
      </c>
      <c r="B7732">
        <v>153328331.3263897</v>
      </c>
    </row>
    <row r="7733" spans="1:2" x14ac:dyDescent="0.25">
      <c r="A7733">
        <f ca="1">32251.9894976652*((RANDBETWEEN(1620,2416)))</f>
        <v>75308395.477048323</v>
      </c>
      <c r="B7733">
        <v>161986234.62749538</v>
      </c>
    </row>
    <row r="7734" spans="1:2" x14ac:dyDescent="0.25">
      <c r="A7734">
        <f ca="1">31627.9976291835*((RANDBETWEEN(1620,2416)))</f>
        <v>70593690.70833762</v>
      </c>
      <c r="B7734">
        <v>156357309.88666478</v>
      </c>
    </row>
    <row r="7735" spans="1:2" x14ac:dyDescent="0.25">
      <c r="A7735">
        <f ca="1">31646.8857843247*((RANDBETWEEN(1620,2416)))</f>
        <v>59686026.589236312</v>
      </c>
      <c r="B7735">
        <v>182866329.12611365</v>
      </c>
    </row>
    <row r="7736" spans="1:2" x14ac:dyDescent="0.25">
      <c r="A7736">
        <f ca="1">31136.2056684092*((RANDBETWEEN(1620,2416)))</f>
        <v>66600343.924727246</v>
      </c>
      <c r="B7736">
        <v>146406288.00153136</v>
      </c>
    </row>
    <row r="7737" spans="1:2" x14ac:dyDescent="0.25">
      <c r="A7737">
        <f ca="1">38202.0895431291*((RANDBETWEEN(1620,2416)))</f>
        <v>86947955.800161809</v>
      </c>
      <c r="B7737">
        <v>146202721.04584903</v>
      </c>
    </row>
    <row r="7738" spans="1:2" x14ac:dyDescent="0.25">
      <c r="A7738">
        <f ca="1">29693.4863131417*((RANDBETWEEN(1620,2416)))</f>
        <v>57902298.310626253</v>
      </c>
      <c r="B7738">
        <v>192740637.43295616</v>
      </c>
    </row>
    <row r="7739" spans="1:2" x14ac:dyDescent="0.25">
      <c r="A7739">
        <f ca="1">31816.840862838*((RANDBETWEEN(1620,2416)))</f>
        <v>60451997.639392212</v>
      </c>
      <c r="B7739">
        <v>145309291.46467009</v>
      </c>
    </row>
    <row r="7740" spans="1:2" x14ac:dyDescent="0.25">
      <c r="A7740">
        <f ca="1">36804.5107506478*((RANDBETWEEN(1620,2416)))</f>
        <v>68714021.571459517</v>
      </c>
      <c r="B7740">
        <v>143118876.58514249</v>
      </c>
    </row>
    <row r="7741" spans="1:2" x14ac:dyDescent="0.25">
      <c r="A7741">
        <f ca="1">29726.0223440892*((RANDBETWEEN(1620,2416)))</f>
        <v>60135743.202092439</v>
      </c>
      <c r="B7741">
        <v>187336932.4350017</v>
      </c>
    </row>
    <row r="7742" spans="1:2" x14ac:dyDescent="0.25">
      <c r="A7742">
        <f ca="1">30631.0320331032*((RANDBETWEEN(1620,2416)))</f>
        <v>66653125.704032533</v>
      </c>
      <c r="B7742">
        <v>182532560.41969061</v>
      </c>
    </row>
    <row r="7743" spans="1:2" x14ac:dyDescent="0.25">
      <c r="A7743">
        <f ca="1">38116.8458708331*((RANDBETWEEN(1620,2416)))</f>
        <v>77910832.959982753</v>
      </c>
      <c r="B7743">
        <v>168387072.44976199</v>
      </c>
    </row>
    <row r="7744" spans="1:2" x14ac:dyDescent="0.25">
      <c r="A7744">
        <f ca="1">34591.8952475559*((RANDBETWEEN(1620,2416)))</f>
        <v>76932375.030564308</v>
      </c>
      <c r="B7744">
        <v>189027081.25918069</v>
      </c>
    </row>
    <row r="7745" spans="1:2" x14ac:dyDescent="0.25">
      <c r="A7745">
        <f ca="1">31942.3604262479*((RANDBETWEEN(1620,2416)))</f>
        <v>52832664.145013958</v>
      </c>
      <c r="B7745">
        <v>155512224.34223309</v>
      </c>
    </row>
    <row r="7746" spans="1:2" x14ac:dyDescent="0.25">
      <c r="A7746">
        <f ca="1">34645.4007786719*((RANDBETWEEN(1620,2416)))</f>
        <v>74799420.281152561</v>
      </c>
      <c r="B7746">
        <v>173634195.80102891</v>
      </c>
    </row>
    <row r="7747" spans="1:2" x14ac:dyDescent="0.25">
      <c r="A7747">
        <f ca="1">33332.6260354113*((RANDBETWEEN(1620,2416)))</f>
        <v>79031656.329960242</v>
      </c>
      <c r="B7747">
        <v>147689147.30954835</v>
      </c>
    </row>
    <row r="7748" spans="1:2" x14ac:dyDescent="0.25">
      <c r="A7748">
        <f ca="1">36709.4311252517*((RANDBETWEEN(1620,2416)))</f>
        <v>81898740.840436563</v>
      </c>
      <c r="B7748">
        <v>175196019.98361897</v>
      </c>
    </row>
    <row r="7749" spans="1:2" x14ac:dyDescent="0.25">
      <c r="A7749">
        <f ca="1">30926.5149238204*((RANDBETWEEN(1620,2416)))</f>
        <v>54956417.019628853</v>
      </c>
      <c r="B7749">
        <v>147160099.19939882</v>
      </c>
    </row>
    <row r="7750" spans="1:2" x14ac:dyDescent="0.25">
      <c r="A7750">
        <f ca="1">32658.5743161935*((RANDBETWEEN(1620,2416)))</f>
        <v>77466138.278010994</v>
      </c>
      <c r="B7750">
        <v>151282438.50015819</v>
      </c>
    </row>
    <row r="7751" spans="1:2" x14ac:dyDescent="0.25">
      <c r="A7751">
        <f ca="1">29431.0680790969*((RANDBETWEEN(1620,2416)))</f>
        <v>67456008.037289977</v>
      </c>
      <c r="B7751">
        <v>146786964.59375152</v>
      </c>
    </row>
    <row r="7752" spans="1:2" x14ac:dyDescent="0.25">
      <c r="A7752">
        <f ca="1">32574.9123614888*((RANDBETWEEN(1620,2416)))</f>
        <v>68733065.082741439</v>
      </c>
      <c r="B7752">
        <v>146725183.6529713</v>
      </c>
    </row>
    <row r="7753" spans="1:2" x14ac:dyDescent="0.25">
      <c r="A7753">
        <f ca="1">37387.5782776533*((RANDBETWEEN(1620,2416)))</f>
        <v>77354899.456464589</v>
      </c>
      <c r="B7753">
        <v>148501660.71958232</v>
      </c>
    </row>
    <row r="7754" spans="1:2" x14ac:dyDescent="0.25">
      <c r="A7754">
        <f ca="1">30641.8846048921*((RANDBETWEEN(1620,2416)))</f>
        <v>62969072.863053359</v>
      </c>
      <c r="B7754">
        <v>167479549.36967444</v>
      </c>
    </row>
    <row r="7755" spans="1:2" x14ac:dyDescent="0.25">
      <c r="A7755">
        <f ca="1">41020.466401744*((RANDBETWEEN(1620,2416)))</f>
        <v>77036435.902475163</v>
      </c>
      <c r="B7755">
        <v>169376363.54018882</v>
      </c>
    </row>
    <row r="7756" spans="1:2" x14ac:dyDescent="0.25">
      <c r="A7756">
        <f ca="1">30821.6249805647*((RANDBETWEEN(1620,2416)))</f>
        <v>53752913.966104902</v>
      </c>
      <c r="B7756">
        <v>147220543.39050546</v>
      </c>
    </row>
    <row r="7757" spans="1:2" x14ac:dyDescent="0.25">
      <c r="A7757">
        <f ca="1">30406.8877653254*((RANDBETWEEN(1620,2416)))</f>
        <v>55401349.508422919</v>
      </c>
      <c r="B7757">
        <v>155211888.70527881</v>
      </c>
    </row>
    <row r="7758" spans="1:2" x14ac:dyDescent="0.25">
      <c r="A7758">
        <f ca="1">29719.4016606322*((RANDBETWEEN(1620,2416)))</f>
        <v>65709597.071657754</v>
      </c>
      <c r="B7758">
        <v>150172681.259413</v>
      </c>
    </row>
    <row r="7759" spans="1:2" x14ac:dyDescent="0.25">
      <c r="A7759">
        <f ca="1">34492.9839593937*((RANDBETWEEN(1620,2416)))</f>
        <v>80058215.769752696</v>
      </c>
      <c r="B7759">
        <v>192668005.0593397</v>
      </c>
    </row>
    <row r="7760" spans="1:2" x14ac:dyDescent="0.25">
      <c r="A7760">
        <f ca="1">32024.7669112459*((RANDBETWEEN(1620,2416)))</f>
        <v>74905929.805404171</v>
      </c>
      <c r="B7760">
        <v>152842714.81987774</v>
      </c>
    </row>
    <row r="7761" spans="1:2" x14ac:dyDescent="0.25">
      <c r="A7761">
        <f ca="1">32351.6735954259*((RANDBETWEEN(1620,2416)))</f>
        <v>53024393.02290307</v>
      </c>
      <c r="B7761">
        <v>157497532.34501651</v>
      </c>
    </row>
    <row r="7762" spans="1:2" x14ac:dyDescent="0.25">
      <c r="A7762">
        <f ca="1">36847.7258327492*((RANDBETWEEN(1620,2416)))</f>
        <v>86039439.819469362</v>
      </c>
      <c r="B7762">
        <v>197626974.44586056</v>
      </c>
    </row>
    <row r="7763" spans="1:2" x14ac:dyDescent="0.25">
      <c r="A7763">
        <f ca="1">32707.6007000114*((RANDBETWEEN(1620,2416)))</f>
        <v>63223792.153122067</v>
      </c>
      <c r="B7763">
        <v>171768787.18841285</v>
      </c>
    </row>
    <row r="7764" spans="1:2" x14ac:dyDescent="0.25">
      <c r="A7764">
        <f ca="1">31713.8938850868*((RANDBETWEEN(1620,2416)))</f>
        <v>71863683.543606594</v>
      </c>
      <c r="B7764">
        <v>202611788.17851147</v>
      </c>
    </row>
    <row r="7765" spans="1:2" x14ac:dyDescent="0.25">
      <c r="A7765">
        <f ca="1">39810.1550100525*((RANDBETWEEN(1620,2416)))</f>
        <v>68632707.237330481</v>
      </c>
      <c r="B7765">
        <v>149554396.83819944</v>
      </c>
    </row>
    <row r="7766" spans="1:2" x14ac:dyDescent="0.25">
      <c r="A7766">
        <f ca="1">31805.9365871797*((RANDBETWEEN(1620,2416)))</f>
        <v>64597857.208561957</v>
      </c>
      <c r="B7766">
        <v>151552582.75690925</v>
      </c>
    </row>
    <row r="7767" spans="1:2" x14ac:dyDescent="0.25">
      <c r="A7767">
        <f ca="1">33278.6850335632*((RANDBETWEEN(1620,2416)))</f>
        <v>69552451.720147088</v>
      </c>
      <c r="B7767">
        <v>156246614.51458842</v>
      </c>
    </row>
    <row r="7768" spans="1:2" x14ac:dyDescent="0.25">
      <c r="A7768">
        <f ca="1">31045.8860945116*((RANDBETWEEN(1620,2416)))</f>
        <v>56379329.147633024</v>
      </c>
      <c r="B7768">
        <v>180468121.66954157</v>
      </c>
    </row>
    <row r="7769" spans="1:2" x14ac:dyDescent="0.25">
      <c r="A7769">
        <f ca="1">31257.1935171956*((RANDBETWEEN(1620,2416)))</f>
        <v>72266631.411756322</v>
      </c>
      <c r="B7769">
        <v>156567295.02128842</v>
      </c>
    </row>
    <row r="7770" spans="1:2" x14ac:dyDescent="0.25">
      <c r="A7770">
        <f ca="1">29389.0816943048*((RANDBETWEEN(1620,2416)))</f>
        <v>64567812.482387587</v>
      </c>
      <c r="B7770">
        <v>145339230.91534612</v>
      </c>
    </row>
    <row r="7771" spans="1:2" x14ac:dyDescent="0.25">
      <c r="A7771">
        <f ca="1">28929.3553243346*((RANDBETWEEN(1620,2416)))</f>
        <v>53201084.441451259</v>
      </c>
      <c r="B7771">
        <v>143489999.14576709</v>
      </c>
    </row>
    <row r="7772" spans="1:2" x14ac:dyDescent="0.25">
      <c r="A7772">
        <f ca="1">31540.7561039713*((RANDBETWEEN(1620,2416)))</f>
        <v>73521502.478357211</v>
      </c>
      <c r="B7772">
        <v>169082564.10040799</v>
      </c>
    </row>
    <row r="7773" spans="1:2" x14ac:dyDescent="0.25">
      <c r="A7773">
        <f ca="1">30240.7574104668*((RANDBETWEEN(1620,2416)))</f>
        <v>52225788.047876202</v>
      </c>
      <c r="B7773">
        <v>150936111.84916946</v>
      </c>
    </row>
    <row r="7774" spans="1:2" x14ac:dyDescent="0.25">
      <c r="A7774">
        <f ca="1">38031.215634903*((RANDBETWEEN(1620,2416)))</f>
        <v>68113907.202111363</v>
      </c>
      <c r="B7774">
        <v>197913433.51479393</v>
      </c>
    </row>
    <row r="7775" spans="1:2" x14ac:dyDescent="0.25">
      <c r="A7775">
        <f ca="1">28834.1029671497*((RANDBETWEEN(1620,2416)))</f>
        <v>55274975.388025962</v>
      </c>
      <c r="B7775">
        <v>166201474.70736092</v>
      </c>
    </row>
    <row r="7776" spans="1:2" x14ac:dyDescent="0.25">
      <c r="A7776">
        <f ca="1">31653.9909494459*((RANDBETWEEN(1620,2416)))</f>
        <v>64669103.509717904</v>
      </c>
      <c r="B7776">
        <v>169538725.36232704</v>
      </c>
    </row>
    <row r="7777" spans="1:2" x14ac:dyDescent="0.25">
      <c r="A7777">
        <f ca="1">32784.1460916465*((RANDBETWEEN(1620,2416)))</f>
        <v>64093005.609168977</v>
      </c>
      <c r="B7777">
        <v>152284927.10838085</v>
      </c>
    </row>
    <row r="7778" spans="1:2" x14ac:dyDescent="0.25">
      <c r="A7778">
        <f ca="1">35645.3788238142*((RANDBETWEEN(1620,2416)))</f>
        <v>72609636.664109603</v>
      </c>
      <c r="B7778">
        <v>146754292.97703671</v>
      </c>
    </row>
    <row r="7779" spans="1:2" x14ac:dyDescent="0.25">
      <c r="A7779">
        <f ca="1">30851.8700728487*((RANDBETWEEN(1620,2416)))</f>
        <v>61271813.964677617</v>
      </c>
      <c r="B7779">
        <v>181026490.32505774</v>
      </c>
    </row>
    <row r="7780" spans="1:2" x14ac:dyDescent="0.25">
      <c r="A7780">
        <f ca="1">31618.9512600489*((RANDBETWEEN(1620,2416)))</f>
        <v>59032582.002511211</v>
      </c>
      <c r="B7780">
        <v>179023726.71844634</v>
      </c>
    </row>
    <row r="7781" spans="1:2" x14ac:dyDescent="0.25">
      <c r="A7781">
        <f ca="1">34054.7306508218*((RANDBETWEEN(1620,2416)))</f>
        <v>62422321.282956362</v>
      </c>
      <c r="B7781">
        <v>200756202.38990471</v>
      </c>
    </row>
    <row r="7782" spans="1:2" x14ac:dyDescent="0.25">
      <c r="A7782">
        <f ca="1">32222.4761583509*((RANDBETWEEN(1620,2416)))</f>
        <v>53005973.280487269</v>
      </c>
      <c r="B7782">
        <v>176909298.98852259</v>
      </c>
    </row>
    <row r="7783" spans="1:2" x14ac:dyDescent="0.25">
      <c r="A7783">
        <f ca="1">33749.3695925374*((RANDBETWEEN(1620,2416)))</f>
        <v>65440027.639930055</v>
      </c>
      <c r="B7783">
        <v>161820000.84213191</v>
      </c>
    </row>
    <row r="7784" spans="1:2" x14ac:dyDescent="0.25">
      <c r="A7784">
        <f ca="1">32706.411398061*((RANDBETWEEN(1620,2416)))</f>
        <v>63908327.871811152</v>
      </c>
      <c r="B7784">
        <v>143920898.0298979</v>
      </c>
    </row>
    <row r="7785" spans="1:2" x14ac:dyDescent="0.25">
      <c r="A7785">
        <f ca="1">31560.3682781294*((RANDBETWEEN(1620,2416)))</f>
        <v>65582445.28195288</v>
      </c>
      <c r="B7785">
        <v>155624626.52574372</v>
      </c>
    </row>
    <row r="7786" spans="1:2" x14ac:dyDescent="0.25">
      <c r="A7786">
        <f ca="1">32411.5122300066*((RANDBETWEEN(1620,2416)))</f>
        <v>65665723.777993381</v>
      </c>
      <c r="B7786">
        <v>151701583.16269583</v>
      </c>
    </row>
    <row r="7787" spans="1:2" x14ac:dyDescent="0.25">
      <c r="A7787">
        <f ca="1">30336.5174620493*((RANDBETWEEN(1620,2416)))</f>
        <v>70259374.442106292</v>
      </c>
      <c r="B7787">
        <v>148827928.2041834</v>
      </c>
    </row>
    <row r="7788" spans="1:2" x14ac:dyDescent="0.25">
      <c r="A7788">
        <f ca="1">31156.2081317055*((RANDBETWEEN(1620,2416)))</f>
        <v>69665281.382493496</v>
      </c>
      <c r="B7788">
        <v>159052406.23015338</v>
      </c>
    </row>
    <row r="7789" spans="1:2" x14ac:dyDescent="0.25">
      <c r="A7789">
        <f ca="1">31921.0395297743*((RANDBETWEEN(1620,2416)))</f>
        <v>72205391.416349575</v>
      </c>
      <c r="B7789">
        <v>155390161.94852847</v>
      </c>
    </row>
    <row r="7790" spans="1:2" x14ac:dyDescent="0.25">
      <c r="A7790">
        <f ca="1">33770.8228827127*((RANDBETWEEN(1620,2416)))</f>
        <v>74768601.862325817</v>
      </c>
      <c r="B7790">
        <v>163280678.33448723</v>
      </c>
    </row>
    <row r="7791" spans="1:2" x14ac:dyDescent="0.25">
      <c r="A7791">
        <f ca="1">34919.4463643958*((RANDBETWEEN(1620,2416)))</f>
        <v>69000826.016046107</v>
      </c>
      <c r="B7791">
        <v>202584122.62505871</v>
      </c>
    </row>
    <row r="7792" spans="1:2" x14ac:dyDescent="0.25">
      <c r="A7792">
        <f ca="1">37511.6929961547*((RANDBETWEEN(1620,2416)))</f>
        <v>67708605.858059183</v>
      </c>
      <c r="B7792">
        <v>173473164.7697289</v>
      </c>
    </row>
    <row r="7793" spans="1:2" x14ac:dyDescent="0.25">
      <c r="A7793">
        <f ca="1">40133.4483190329*((RANDBETWEEN(1620,2416)))</f>
        <v>70835536.28309305</v>
      </c>
      <c r="B7793">
        <v>193610757.90330553</v>
      </c>
    </row>
    <row r="7794" spans="1:2" x14ac:dyDescent="0.25">
      <c r="A7794">
        <f ca="1">32248.8743102312*((RANDBETWEEN(1620,2416)))</f>
        <v>71141016.728370056</v>
      </c>
      <c r="B7794">
        <v>181177915.2556892</v>
      </c>
    </row>
    <row r="7795" spans="1:2" x14ac:dyDescent="0.25">
      <c r="A7795">
        <f ca="1">31676.7767746501*((RANDBETWEEN(1620,2416)))</f>
        <v>75770850.044962928</v>
      </c>
      <c r="B7795">
        <v>169512337.4870905</v>
      </c>
    </row>
    <row r="7796" spans="1:2" x14ac:dyDescent="0.25">
      <c r="A7796">
        <f ca="1">31148.0050599973*((RANDBETWEEN(1620,2416)))</f>
        <v>69740383.329333901</v>
      </c>
      <c r="B7796">
        <v>145244162.62089491</v>
      </c>
    </row>
    <row r="7797" spans="1:2" x14ac:dyDescent="0.25">
      <c r="A7797">
        <f ca="1">32077.9299355481*((RANDBETWEEN(1620,2416)))</f>
        <v>54019234.011463031</v>
      </c>
      <c r="B7797">
        <v>159301525.03088632</v>
      </c>
    </row>
    <row r="7798" spans="1:2" x14ac:dyDescent="0.25">
      <c r="A7798">
        <f ca="1">30382.5735376693*((RANDBETWEEN(1620,2416)))</f>
        <v>67844286.709615469</v>
      </c>
      <c r="B7798">
        <v>158998599.97986186</v>
      </c>
    </row>
    <row r="7799" spans="1:2" x14ac:dyDescent="0.25">
      <c r="A7799">
        <f ca="1">29981.1034245963*((RANDBETWEEN(1620,2416)))</f>
        <v>50548140.373869441</v>
      </c>
      <c r="B7799">
        <v>185725322.75301975</v>
      </c>
    </row>
    <row r="7800" spans="1:2" x14ac:dyDescent="0.25">
      <c r="A7800">
        <f ca="1">32142.5884993492*((RANDBETWEEN(1620,2416)))</f>
        <v>73927953.548503175</v>
      </c>
      <c r="B7800">
        <v>182369722.23804834</v>
      </c>
    </row>
    <row r="7801" spans="1:2" x14ac:dyDescent="0.25">
      <c r="A7801">
        <f ca="1">34680.3039176304*((RANDBETWEEN(1620,2416)))</f>
        <v>81325312.686843365</v>
      </c>
      <c r="B7801">
        <v>157763484.84491554</v>
      </c>
    </row>
    <row r="7802" spans="1:2" x14ac:dyDescent="0.25">
      <c r="A7802">
        <f ca="1">30723.3360714789*((RANDBETWEEN(1620,2416)))</f>
        <v>68328699.422968984</v>
      </c>
      <c r="B7802">
        <v>171664539.95940802</v>
      </c>
    </row>
    <row r="7803" spans="1:2" x14ac:dyDescent="0.25">
      <c r="A7803">
        <f ca="1">30017.6168978428*((RANDBETWEEN(1620,2416)))</f>
        <v>56853366.404514313</v>
      </c>
      <c r="B7803">
        <v>167448973.1716775</v>
      </c>
    </row>
    <row r="7804" spans="1:2" x14ac:dyDescent="0.25">
      <c r="A7804">
        <f ca="1">31824.8692753077*((RANDBETWEEN(1620,2416)))</f>
        <v>74756617.927697718</v>
      </c>
      <c r="B7804">
        <v>188198084.99604869</v>
      </c>
    </row>
    <row r="7805" spans="1:2" x14ac:dyDescent="0.25">
      <c r="A7805">
        <f ca="1">30895.4584876138*((RANDBETWEEN(1620,2416)))</f>
        <v>58423312.000077732</v>
      </c>
      <c r="B7805">
        <v>150883792.35562137</v>
      </c>
    </row>
    <row r="7806" spans="1:2" x14ac:dyDescent="0.25">
      <c r="A7806">
        <f ca="1">32686.0334063286*((RANDBETWEEN(1620,2416)))</f>
        <v>71288238.859202653</v>
      </c>
      <c r="B7806">
        <v>158847715.27291963</v>
      </c>
    </row>
    <row r="7807" spans="1:2" x14ac:dyDescent="0.25">
      <c r="A7807">
        <f ca="1">31137.1792120431*((RANDBETWEEN(1620,2416)))</f>
        <v>54770298.233983755</v>
      </c>
      <c r="B7807">
        <v>143406213.19192857</v>
      </c>
    </row>
    <row r="7808" spans="1:2" x14ac:dyDescent="0.25">
      <c r="A7808">
        <f ca="1">40268.8666998978*((RANDBETWEEN(1620,2416)))</f>
        <v>72403422.326416254</v>
      </c>
      <c r="B7808">
        <v>171309869.35418516</v>
      </c>
    </row>
    <row r="7809" spans="1:2" x14ac:dyDescent="0.25">
      <c r="A7809">
        <f ca="1">30838.7762650703*((RANDBETWEEN(1620,2416)))</f>
        <v>71330089.501107544</v>
      </c>
      <c r="B7809">
        <v>146867126.62650585</v>
      </c>
    </row>
    <row r="7810" spans="1:2" x14ac:dyDescent="0.25">
      <c r="A7810">
        <f ca="1">31844.4722813036*((RANDBETWEEN(1620,2416)))</f>
        <v>61364298.086071976</v>
      </c>
      <c r="B7810">
        <v>143758353.26205248</v>
      </c>
    </row>
    <row r="7811" spans="1:2" x14ac:dyDescent="0.25">
      <c r="A7811">
        <f ca="1">32834.0419078192*((RANDBETWEEN(1620,2416)))</f>
        <v>73810926.208777517</v>
      </c>
      <c r="B7811">
        <v>190824254.08124605</v>
      </c>
    </row>
    <row r="7812" spans="1:2" x14ac:dyDescent="0.25">
      <c r="A7812">
        <f ca="1">37504.1828249797*((RANDBETWEEN(1620,2416)))</f>
        <v>69457746.591862336</v>
      </c>
      <c r="B7812">
        <v>183047203.69046196</v>
      </c>
    </row>
    <row r="7813" spans="1:2" x14ac:dyDescent="0.25">
      <c r="A7813">
        <f ca="1">35985.8523431251*((RANDBETWEEN(1620,2416)))</f>
        <v>80860210.215002</v>
      </c>
      <c r="B7813">
        <v>164105566.31509629</v>
      </c>
    </row>
    <row r="7814" spans="1:2" x14ac:dyDescent="0.25">
      <c r="A7814">
        <f ca="1">30190.5741721412*((RANDBETWEEN(1620,2416)))</f>
        <v>59384859.396601647</v>
      </c>
      <c r="B7814">
        <v>176756709.32542139</v>
      </c>
    </row>
    <row r="7815" spans="1:2" x14ac:dyDescent="0.25">
      <c r="A7815">
        <f ca="1">30811.763347882*((RANDBETWEEN(1620,2416)))</f>
        <v>73177937.951219872</v>
      </c>
      <c r="B7815">
        <v>157041349.28863734</v>
      </c>
    </row>
    <row r="7816" spans="1:2" x14ac:dyDescent="0.25">
      <c r="A7816">
        <f ca="1">31989.2261413692*((RANDBETWEEN(1620,2416)))</f>
        <v>52750233.907117881</v>
      </c>
      <c r="B7816">
        <v>171706905.03283444</v>
      </c>
    </row>
    <row r="7817" spans="1:2" x14ac:dyDescent="0.25">
      <c r="A7817">
        <f ca="1">29855.8618703947*((RANDBETWEEN(1620,2416)))</f>
        <v>59413165.122085623</v>
      </c>
      <c r="B7817">
        <v>155435041.36655754</v>
      </c>
    </row>
    <row r="7818" spans="1:2" x14ac:dyDescent="0.25">
      <c r="A7818">
        <f ca="1">32898.8585056977*((RANDBETWEEN(1620,2416)))</f>
        <v>78529575.25310047</v>
      </c>
      <c r="B7818">
        <v>152406293.73947114</v>
      </c>
    </row>
    <row r="7819" spans="1:2" x14ac:dyDescent="0.25">
      <c r="A7819">
        <f ca="1">42086.3148599373*((RANDBETWEEN(1620,2416)))</f>
        <v>87497448.593809679</v>
      </c>
      <c r="B7819">
        <v>142918257.94829178</v>
      </c>
    </row>
    <row r="7820" spans="1:2" x14ac:dyDescent="0.25">
      <c r="A7820">
        <f ca="1">32093.534940932*((RANDBETWEEN(1620,2416)))</f>
        <v>56869743.915331528</v>
      </c>
      <c r="B7820">
        <v>172890787.72414237</v>
      </c>
    </row>
    <row r="7821" spans="1:2" x14ac:dyDescent="0.25">
      <c r="A7821">
        <f ca="1">34965.6676460639*((RANDBETWEEN(1620,2416)))</f>
        <v>69616644.28331314</v>
      </c>
      <c r="B7821">
        <v>144942327.12401581</v>
      </c>
    </row>
    <row r="7822" spans="1:2" x14ac:dyDescent="0.25">
      <c r="A7822">
        <f ca="1">29512.0333535802*((RANDBETWEEN(1620,2416)))</f>
        <v>63096727.309954554</v>
      </c>
      <c r="B7822">
        <v>157146648.13033378</v>
      </c>
    </row>
    <row r="7823" spans="1:2" x14ac:dyDescent="0.25">
      <c r="A7823">
        <f ca="1">30372.0286939337*((RANDBETWEEN(1620,2416)))</f>
        <v>61351497.961746082</v>
      </c>
      <c r="B7823">
        <v>158024426.58978245</v>
      </c>
    </row>
    <row r="7824" spans="1:2" x14ac:dyDescent="0.25">
      <c r="A7824">
        <f ca="1">30078.34133856*((RANDBETWEEN(1620,2416)))</f>
        <v>61480129.696016558</v>
      </c>
      <c r="B7824">
        <v>147010097.74406832</v>
      </c>
    </row>
    <row r="7825" spans="1:2" x14ac:dyDescent="0.25">
      <c r="A7825">
        <f ca="1">30399.3043523509*((RANDBETWEEN(1620,2416)))</f>
        <v>64324928.009574495</v>
      </c>
      <c r="B7825">
        <v>152196016.13344324</v>
      </c>
    </row>
    <row r="7826" spans="1:2" x14ac:dyDescent="0.25">
      <c r="A7826">
        <f ca="1">42416.3287804799*((RANDBETWEEN(1620,2416)))</f>
        <v>71938093.611693934</v>
      </c>
      <c r="B7826">
        <v>197780704.82973939</v>
      </c>
    </row>
    <row r="7827" spans="1:2" x14ac:dyDescent="0.25">
      <c r="A7827">
        <f ca="1">41939.2080596103*((RANDBETWEEN(1620,2416)))</f>
        <v>95956908.04038848</v>
      </c>
      <c r="B7827">
        <v>168074014.80869034</v>
      </c>
    </row>
    <row r="7828" spans="1:2" x14ac:dyDescent="0.25">
      <c r="A7828">
        <f ca="1">31497.3217288597*((RANDBETWEEN(1620,2416)))</f>
        <v>69231113.160033718</v>
      </c>
      <c r="B7828">
        <v>192725137.35129026</v>
      </c>
    </row>
    <row r="7829" spans="1:2" x14ac:dyDescent="0.25">
      <c r="A7829">
        <f ca="1">29928.2143016038*((RANDBETWEEN(1620,2416)))</f>
        <v>60903916.103763796</v>
      </c>
      <c r="B7829">
        <v>143528775.57600197</v>
      </c>
    </row>
    <row r="7830" spans="1:2" x14ac:dyDescent="0.25">
      <c r="A7830">
        <f ca="1">29862.8692014768*((RANDBETWEEN(1620,2416)))</f>
        <v>51722489.456957899</v>
      </c>
      <c r="B7830">
        <v>166742882.00244057</v>
      </c>
    </row>
    <row r="7831" spans="1:2" x14ac:dyDescent="0.25">
      <c r="A7831">
        <f ca="1">41177.1490953784*((RANDBETWEEN(1620,2416)))</f>
        <v>82889601.128996745</v>
      </c>
      <c r="B7831">
        <v>187330373.76728874</v>
      </c>
    </row>
    <row r="7832" spans="1:2" x14ac:dyDescent="0.25">
      <c r="A7832">
        <f ca="1">37227.1159563196*((RANDBETWEEN(1620,2416)))</f>
        <v>76427269.058324233</v>
      </c>
      <c r="B7832">
        <v>172430808.76287419</v>
      </c>
    </row>
    <row r="7833" spans="1:2" x14ac:dyDescent="0.25">
      <c r="A7833">
        <f ca="1">32591.0857123762*((RANDBETWEEN(1620,2416)))</f>
        <v>78511925.481114328</v>
      </c>
      <c r="B7833">
        <v>193015634.49216911</v>
      </c>
    </row>
    <row r="7834" spans="1:2" x14ac:dyDescent="0.25">
      <c r="A7834">
        <f ca="1">32737.3624098956*((RANDBETWEEN(1620,2416)))</f>
        <v>72185884.113819823</v>
      </c>
      <c r="B7834">
        <v>143523302.90879384</v>
      </c>
    </row>
    <row r="7835" spans="1:2" x14ac:dyDescent="0.25">
      <c r="A7835">
        <f ca="1">29595.3111021281*((RANDBETWEEN(1620,2416)))</f>
        <v>50371219.495822072</v>
      </c>
      <c r="B7835">
        <v>150881334.41032675</v>
      </c>
    </row>
    <row r="7836" spans="1:2" x14ac:dyDescent="0.25">
      <c r="A7836">
        <f ca="1">34523.6928737463*((RANDBETWEEN(1620,2416)))</f>
        <v>74122368.599933296</v>
      </c>
      <c r="B7836">
        <v>148091144.25323081</v>
      </c>
    </row>
    <row r="7837" spans="1:2" x14ac:dyDescent="0.25">
      <c r="A7837">
        <f ca="1">30496.3789703576*((RANDBETWEEN(1620,2416)))</f>
        <v>66909055.460964516</v>
      </c>
      <c r="B7837">
        <v>161894535.84160104</v>
      </c>
    </row>
    <row r="7838" spans="1:2" x14ac:dyDescent="0.25">
      <c r="A7838">
        <f ca="1">31767.3097557848*((RANDBETWEEN(1620,2416)))</f>
        <v>69888081.462726519</v>
      </c>
      <c r="B7838">
        <v>180581576.82917249</v>
      </c>
    </row>
    <row r="7839" spans="1:2" x14ac:dyDescent="0.25">
      <c r="A7839">
        <f ca="1">37080.0979609852*((RANDBETWEEN(1620,2416)))</f>
        <v>81984096.591738313</v>
      </c>
      <c r="B7839">
        <v>201384002.57029551</v>
      </c>
    </row>
    <row r="7840" spans="1:2" x14ac:dyDescent="0.25">
      <c r="A7840">
        <f ca="1">36863.5433662598*((RANDBETWEEN(1620,2416)))</f>
        <v>79772707.844586179</v>
      </c>
      <c r="B7840">
        <v>195072000.14683753</v>
      </c>
    </row>
    <row r="7841" spans="1:2" x14ac:dyDescent="0.25">
      <c r="A7841">
        <f ca="1">36056.2246216023*((RANDBETWEEN(1620,2416)))</f>
        <v>76835814.668634534</v>
      </c>
      <c r="B7841">
        <v>199813247.97137216</v>
      </c>
    </row>
    <row r="7842" spans="1:2" x14ac:dyDescent="0.25">
      <c r="A7842">
        <f ca="1">31292.6662472719*((RANDBETWEEN(1620,2416)))</f>
        <v>51789362.639235072</v>
      </c>
      <c r="B7842">
        <v>149873265.09857398</v>
      </c>
    </row>
    <row r="7843" spans="1:2" x14ac:dyDescent="0.25">
      <c r="A7843">
        <f ca="1">31473.3411002231*((RANDBETWEEN(1620,2416)))</f>
        <v>69776397.219194546</v>
      </c>
      <c r="B7843">
        <v>157963570.95066556</v>
      </c>
    </row>
    <row r="7844" spans="1:2" x14ac:dyDescent="0.25">
      <c r="A7844">
        <f ca="1">42266.8374925258*((RANDBETWEEN(1620,2416)))</f>
        <v>74854569.199263126</v>
      </c>
      <c r="B7844">
        <v>146699290.96770063</v>
      </c>
    </row>
    <row r="7845" spans="1:2" x14ac:dyDescent="0.25">
      <c r="A7845">
        <f ca="1">38158.8299611307*((RANDBETWEEN(1620,2416)))</f>
        <v>69945135.318752557</v>
      </c>
      <c r="B7845">
        <v>167637172.78327298</v>
      </c>
    </row>
    <row r="7846" spans="1:2" x14ac:dyDescent="0.25">
      <c r="A7846">
        <f ca="1">31120.7290448621*((RANDBETWEEN(1620,2416)))</f>
        <v>57697831.649174288</v>
      </c>
      <c r="B7846">
        <v>203438840.28344589</v>
      </c>
    </row>
    <row r="7847" spans="1:2" x14ac:dyDescent="0.25">
      <c r="A7847">
        <f ca="1">30176.3143579471*((RANDBETWEEN(1620,2416)))</f>
        <v>60171570.829746522</v>
      </c>
      <c r="B7847">
        <v>164784110.7451418</v>
      </c>
    </row>
    <row r="7848" spans="1:2" x14ac:dyDescent="0.25">
      <c r="A7848">
        <f ca="1">29724.5678185809*((RANDBETWEEN(1620,2416)))</f>
        <v>60489495.510812193</v>
      </c>
      <c r="B7848">
        <v>148320089.55324817</v>
      </c>
    </row>
    <row r="7849" spans="1:2" x14ac:dyDescent="0.25">
      <c r="A7849">
        <f ca="1">31598.809803781*((RANDBETWEEN(1620,2416)))</f>
        <v>63292416.036973305</v>
      </c>
      <c r="B7849">
        <v>184578780.9206211</v>
      </c>
    </row>
    <row r="7850" spans="1:2" x14ac:dyDescent="0.25">
      <c r="A7850">
        <f ca="1">28133.26220817*((RANDBETWEEN(1620,2416)))</f>
        <v>53228132.09785755</v>
      </c>
      <c r="B7850">
        <v>165689492.52921587</v>
      </c>
    </row>
    <row r="7851" spans="1:2" x14ac:dyDescent="0.25">
      <c r="A7851">
        <f ca="1">33259.7024710386*((RANDBETWEEN(1620,2416)))</f>
        <v>78991793.368716791</v>
      </c>
      <c r="B7851">
        <v>166365510.42399162</v>
      </c>
    </row>
    <row r="7852" spans="1:2" x14ac:dyDescent="0.25">
      <c r="A7852">
        <f ca="1">30060.4378618946*((RANDBETWEEN(1620,2416)))</f>
        <v>49659843.347849935</v>
      </c>
      <c r="B7852">
        <v>176938761.79784489</v>
      </c>
    </row>
    <row r="7853" spans="1:2" x14ac:dyDescent="0.25">
      <c r="A7853">
        <f ca="1">37130.5625077846*((RANDBETWEEN(1620,2416)))</f>
        <v>80721842.891923636</v>
      </c>
      <c r="B7853">
        <v>164778897.73335984</v>
      </c>
    </row>
    <row r="7854" spans="1:2" x14ac:dyDescent="0.25">
      <c r="A7854">
        <f ca="1">30880.5686973446*((RANDBETWEEN(1620,2416)))</f>
        <v>57715782.895337097</v>
      </c>
      <c r="B7854">
        <v>154989391.78483862</v>
      </c>
    </row>
    <row r="7855" spans="1:2" x14ac:dyDescent="0.25">
      <c r="A7855">
        <f ca="1">28333.420536227*((RANDBETWEEN(1620,2416)))</f>
        <v>46098475.212441355</v>
      </c>
      <c r="B7855">
        <v>163433107.5806368</v>
      </c>
    </row>
    <row r="7856" spans="1:2" x14ac:dyDescent="0.25">
      <c r="A7856">
        <f ca="1">38899.3936598785*((RANDBETWEEN(1620,2416)))</f>
        <v>83867092.730698138</v>
      </c>
      <c r="B7856">
        <v>170285187.61072734</v>
      </c>
    </row>
    <row r="7857" spans="1:2" x14ac:dyDescent="0.25">
      <c r="A7857">
        <f ca="1">33159.5290947184*((RANDBETWEEN(1620,2416)))</f>
        <v>66750132.067668237</v>
      </c>
      <c r="B7857">
        <v>186447816.47939342</v>
      </c>
    </row>
    <row r="7858" spans="1:2" x14ac:dyDescent="0.25">
      <c r="A7858">
        <f ca="1">29628.7866654283*((RANDBETWEEN(1620,2416)))</f>
        <v>54042906.877741233</v>
      </c>
      <c r="B7858">
        <v>165348830.98965296</v>
      </c>
    </row>
    <row r="7859" spans="1:2" x14ac:dyDescent="0.25">
      <c r="A7859">
        <f ca="1">43364.2827140083*((RANDBETWEEN(1620,2416)))</f>
        <v>88246315.323006839</v>
      </c>
      <c r="B7859">
        <v>176080339.22649869</v>
      </c>
    </row>
    <row r="7860" spans="1:2" x14ac:dyDescent="0.25">
      <c r="A7860">
        <f ca="1">33809.5371633472*((RANDBETWEEN(1620,2416)))</f>
        <v>57712879.937833585</v>
      </c>
      <c r="B7860">
        <v>166355473.30028117</v>
      </c>
    </row>
    <row r="7861" spans="1:2" x14ac:dyDescent="0.25">
      <c r="A7861">
        <f ca="1">34970.9153992072*((RANDBETWEEN(1620,2416)))</f>
        <v>82776156.749923363</v>
      </c>
      <c r="B7861">
        <v>173790554.35047257</v>
      </c>
    </row>
    <row r="7862" spans="1:2" x14ac:dyDescent="0.25">
      <c r="A7862">
        <f ca="1">32271.318146531*((RANDBETWEEN(1620,2416)))</f>
        <v>61509132.387288034</v>
      </c>
      <c r="B7862">
        <v>150456600.70162615</v>
      </c>
    </row>
    <row r="7863" spans="1:2" x14ac:dyDescent="0.25">
      <c r="A7863">
        <f ca="1">33680.1099867855*((RANDBETWEEN(1620,2416)))</f>
        <v>73119518.781311333</v>
      </c>
      <c r="B7863">
        <v>145137236.87636584</v>
      </c>
    </row>
    <row r="7864" spans="1:2" x14ac:dyDescent="0.25">
      <c r="A7864">
        <f ca="1">33952.5493386764*((RANDBETWEEN(1620,2416)))</f>
        <v>67361857.887934014</v>
      </c>
      <c r="B7864">
        <v>168263610.71364543</v>
      </c>
    </row>
    <row r="7865" spans="1:2" x14ac:dyDescent="0.25">
      <c r="A7865">
        <f ca="1">30694.8576518299*((RANDBETWEEN(1620,2416)))</f>
        <v>61420410.161311716</v>
      </c>
      <c r="B7865">
        <v>177006411.79864427</v>
      </c>
    </row>
    <row r="7866" spans="1:2" x14ac:dyDescent="0.25">
      <c r="A7866">
        <f ca="1">32026.0953840155*((RANDBETWEEN(1620,2416)))</f>
        <v>68215583.167952925</v>
      </c>
      <c r="B7866">
        <v>202358208.54723653</v>
      </c>
    </row>
    <row r="7867" spans="1:2" x14ac:dyDescent="0.25">
      <c r="A7867">
        <f ca="1">32461.7022556552*((RANDBETWEEN(1620,2416)))</f>
        <v>66968491.753416605</v>
      </c>
      <c r="B7867">
        <v>143160680.98785889</v>
      </c>
    </row>
    <row r="7868" spans="1:2" x14ac:dyDescent="0.25">
      <c r="A7868">
        <f ca="1">30217.7470947249*((RANDBETWEEN(1620,2416)))</f>
        <v>55963267.619430594</v>
      </c>
      <c r="B7868">
        <v>146370618.11108404</v>
      </c>
    </row>
    <row r="7869" spans="1:2" x14ac:dyDescent="0.25">
      <c r="A7869">
        <f ca="1">33507.0166182165*((RANDBETWEEN(1620,2416)))</f>
        <v>68655877.050725579</v>
      </c>
      <c r="B7869">
        <v>177702069.88132179</v>
      </c>
    </row>
    <row r="7870" spans="1:2" x14ac:dyDescent="0.25">
      <c r="A7870">
        <f ca="1">32940.2513346615*((RANDBETWEEN(1620,2416)))</f>
        <v>77211949.128446639</v>
      </c>
      <c r="B7870">
        <v>144653797.70820582</v>
      </c>
    </row>
    <row r="7871" spans="1:2" x14ac:dyDescent="0.25">
      <c r="A7871">
        <f ca="1">30556.7766209002*((RANDBETWEEN(1620,2416)))</f>
        <v>67530476.3321895</v>
      </c>
      <c r="B7871">
        <v>185290228.79596505</v>
      </c>
    </row>
    <row r="7872" spans="1:2" x14ac:dyDescent="0.25">
      <c r="A7872">
        <f ca="1">30715.3145803213*((RANDBETWEEN(1620,2416)))</f>
        <v>51816735.697001979</v>
      </c>
      <c r="B7872">
        <v>198241329.92942658</v>
      </c>
    </row>
    <row r="7873" spans="1:2" x14ac:dyDescent="0.25">
      <c r="A7873">
        <f ca="1">31795.2829397944*((RANDBETWEEN(1620,2416)))</f>
        <v>67564976.2470631</v>
      </c>
      <c r="B7873">
        <v>172196963.76737246</v>
      </c>
    </row>
    <row r="7874" spans="1:2" x14ac:dyDescent="0.25">
      <c r="A7874">
        <f ca="1">30756.495240095*((RANDBETWEEN(1620,2416)))</f>
        <v>63020058.746954747</v>
      </c>
      <c r="B7874">
        <v>179426221.71540654</v>
      </c>
    </row>
    <row r="7875" spans="1:2" x14ac:dyDescent="0.25">
      <c r="A7875">
        <f ca="1">30112.3885417226*((RANDBETWEEN(1620,2416)))</f>
        <v>58448146.159483574</v>
      </c>
      <c r="B7875">
        <v>144022866.76152623</v>
      </c>
    </row>
    <row r="7876" spans="1:2" x14ac:dyDescent="0.25">
      <c r="A7876">
        <f ca="1">38345.9998355284*((RANDBETWEEN(1620,2416)))</f>
        <v>65725043.718095712</v>
      </c>
      <c r="B7876">
        <v>195189664.33621696</v>
      </c>
    </row>
    <row r="7877" spans="1:2" x14ac:dyDescent="0.25">
      <c r="A7877">
        <f ca="1">37286.1075767425*((RANDBETWEEN(1620,2416)))</f>
        <v>83148019.896135792</v>
      </c>
      <c r="B7877">
        <v>181390041.99719238</v>
      </c>
    </row>
    <row r="7878" spans="1:2" x14ac:dyDescent="0.25">
      <c r="A7878">
        <f ca="1">37918.2957735512*((RANDBETWEEN(1620,2416)))</f>
        <v>89563014.617127955</v>
      </c>
      <c r="B7878">
        <v>187070233.15764627</v>
      </c>
    </row>
    <row r="7879" spans="1:2" x14ac:dyDescent="0.25">
      <c r="A7879">
        <f ca="1">32150.8921856181*((RANDBETWEEN(1620,2416)))</f>
        <v>75458143.959645584</v>
      </c>
      <c r="B7879">
        <v>144253119.92825782</v>
      </c>
    </row>
    <row r="7880" spans="1:2" x14ac:dyDescent="0.25">
      <c r="A7880">
        <f ca="1">27949.4555331916*((RANDBETWEEN(1620,2416)))</f>
        <v>67414086.746058106</v>
      </c>
      <c r="B7880">
        <v>186092392.34056136</v>
      </c>
    </row>
    <row r="7881" spans="1:2" x14ac:dyDescent="0.25">
      <c r="A7881">
        <f ca="1">37690.8441168736*((RANDBETWEEN(1620,2416)))</f>
        <v>66901248.307450622</v>
      </c>
      <c r="B7881">
        <v>151048744.36988643</v>
      </c>
    </row>
    <row r="7882" spans="1:2" x14ac:dyDescent="0.25">
      <c r="A7882">
        <f ca="1">32234.2469900858*((RANDBETWEEN(1620,2416)))</f>
        <v>66853828.2574379</v>
      </c>
      <c r="B7882">
        <v>189862109.4972201</v>
      </c>
    </row>
    <row r="7883" spans="1:2" x14ac:dyDescent="0.25">
      <c r="A7883">
        <f ca="1">29865.462182411*((RANDBETWEEN(1620,2416)))</f>
        <v>52413886.130131356</v>
      </c>
      <c r="B7883">
        <v>168652762.56059629</v>
      </c>
    </row>
    <row r="7884" spans="1:2" x14ac:dyDescent="0.25">
      <c r="A7884">
        <f ca="1">31771.3054696643*((RANDBETWEEN(1620,2416)))</f>
        <v>76378218.349072993</v>
      </c>
      <c r="B7884">
        <v>200245269.25378755</v>
      </c>
    </row>
    <row r="7885" spans="1:2" x14ac:dyDescent="0.25">
      <c r="A7885">
        <f ca="1">34000.4245500947*((RANDBETWEEN(1620,2416)))</f>
        <v>65178813.862531513</v>
      </c>
      <c r="B7885">
        <v>155803342.21035251</v>
      </c>
    </row>
    <row r="7886" spans="1:2" x14ac:dyDescent="0.25">
      <c r="A7886">
        <f ca="1">33997.4924158535*((RANDBETWEEN(1620,2416)))</f>
        <v>61297478.825783871</v>
      </c>
      <c r="B7886">
        <v>153054056.44982329</v>
      </c>
    </row>
    <row r="7887" spans="1:2" x14ac:dyDescent="0.25">
      <c r="A7887">
        <f ca="1">32454.2400547986*((RANDBETWEEN(1620,2416)))</f>
        <v>71204602.680228025</v>
      </c>
      <c r="B7887">
        <v>162359316.175753</v>
      </c>
    </row>
    <row r="7888" spans="1:2" x14ac:dyDescent="0.25">
      <c r="A7888">
        <f ca="1">30925.5740280117*((RANDBETWEEN(1620,2416)))</f>
        <v>52078666.663171701</v>
      </c>
      <c r="B7888">
        <v>189610399.30146509</v>
      </c>
    </row>
    <row r="7889" spans="1:2" x14ac:dyDescent="0.25">
      <c r="A7889">
        <f ca="1">29638.4426313108*((RANDBETWEEN(1620,2416)))</f>
        <v>64759997.14941413</v>
      </c>
      <c r="B7889">
        <v>151165875.17301798</v>
      </c>
    </row>
    <row r="7890" spans="1:2" x14ac:dyDescent="0.25">
      <c r="A7890">
        <f ca="1">34937.9947046188*((RANDBETWEEN(1620,2416)))</f>
        <v>64565414.214135535</v>
      </c>
      <c r="B7890">
        <v>152310784.82581922</v>
      </c>
    </row>
    <row r="7891" spans="1:2" x14ac:dyDescent="0.25">
      <c r="A7891">
        <f ca="1">32412.8370199117*((RANDBETWEEN(1620,2416)))</f>
        <v>61746454.522931844</v>
      </c>
      <c r="B7891">
        <v>185307888.07663581</v>
      </c>
    </row>
    <row r="7892" spans="1:2" x14ac:dyDescent="0.25">
      <c r="A7892">
        <f ca="1">32627.8173762658*((RANDBETWEEN(1620,2416)))</f>
        <v>62775920.631935358</v>
      </c>
      <c r="B7892">
        <v>150965455.1824815</v>
      </c>
    </row>
    <row r="7893" spans="1:2" x14ac:dyDescent="0.25">
      <c r="A7893">
        <f ca="1">32208.1528784317*((RANDBETWEEN(1620,2416)))</f>
        <v>61420947.539169259</v>
      </c>
      <c r="B7893">
        <v>177340032.97290742</v>
      </c>
    </row>
    <row r="7894" spans="1:2" x14ac:dyDescent="0.25">
      <c r="A7894">
        <f ca="1">31079.3064846828*((RANDBETWEEN(1620,2416)))</f>
        <v>60853282.097008884</v>
      </c>
      <c r="B7894">
        <v>187461912.65613401</v>
      </c>
    </row>
    <row r="7895" spans="1:2" x14ac:dyDescent="0.25">
      <c r="A7895">
        <f ca="1">29357.7112508974*((RANDBETWEEN(1620,2416)))</f>
        <v>48851231.521493211</v>
      </c>
      <c r="B7895">
        <v>144290858.15735716</v>
      </c>
    </row>
    <row r="7896" spans="1:2" x14ac:dyDescent="0.25">
      <c r="A7896">
        <f ca="1">31837.4933665568*((RANDBETWEEN(1620,2416)))</f>
        <v>59886325.022493407</v>
      </c>
      <c r="B7896">
        <v>160215913.14834887</v>
      </c>
    </row>
    <row r="7897" spans="1:2" x14ac:dyDescent="0.25">
      <c r="A7897">
        <f ca="1">38821.6118703986*((RANDBETWEEN(1620,2416)))</f>
        <v>75042175.745480567</v>
      </c>
      <c r="B7897">
        <v>166554722.4365761</v>
      </c>
    </row>
    <row r="7898" spans="1:2" x14ac:dyDescent="0.25">
      <c r="A7898">
        <f ca="1">32601.5811981681*((RANDBETWEEN(1620,2416)))</f>
        <v>52814561.541032396</v>
      </c>
      <c r="B7898">
        <v>168508600.80672646</v>
      </c>
    </row>
    <row r="7899" spans="1:2" x14ac:dyDescent="0.25">
      <c r="A7899">
        <f ca="1">29502.2153120964*((RANDBETWEEN(1620,2416)))</f>
        <v>62751211.968828939</v>
      </c>
      <c r="B7899">
        <v>151955661.47548825</v>
      </c>
    </row>
    <row r="7900" spans="1:2" x14ac:dyDescent="0.25">
      <c r="A7900">
        <f ca="1">32234.2826124282*((RANDBETWEEN(1620,2416)))</f>
        <v>74912472.791283131</v>
      </c>
      <c r="B7900">
        <v>189867367.78620225</v>
      </c>
    </row>
    <row r="7901" spans="1:2" x14ac:dyDescent="0.25">
      <c r="A7901">
        <f ca="1">32484.8880534783*((RANDBETWEEN(1620,2416)))</f>
        <v>53080307.079383537</v>
      </c>
      <c r="B7901">
        <v>183219398.41846472</v>
      </c>
    </row>
    <row r="7902" spans="1:2" x14ac:dyDescent="0.25">
      <c r="A7902">
        <f ca="1">37433.709848519*((RANDBETWEEN(1620,2416)))</f>
        <v>80070705.365982175</v>
      </c>
      <c r="B7902">
        <v>146123850.00385374</v>
      </c>
    </row>
    <row r="7903" spans="1:2" x14ac:dyDescent="0.25">
      <c r="A7903">
        <f ca="1">30666.1908500416*((RANDBETWEEN(1620,2416)))</f>
        <v>63080354.578535557</v>
      </c>
      <c r="B7903">
        <v>197987339.29844615</v>
      </c>
    </row>
    <row r="7904" spans="1:2" x14ac:dyDescent="0.25">
      <c r="A7904">
        <f ca="1">29088.948073015*((RANDBETWEEN(1620,2416)))</f>
        <v>50265702.270169862</v>
      </c>
      <c r="B7904">
        <v>172393283.92251208</v>
      </c>
    </row>
    <row r="7905" spans="1:2" x14ac:dyDescent="0.25">
      <c r="A7905">
        <f ca="1">31340.1608454759*((RANDBETWEEN(1620,2416)))</f>
        <v>71768968.336139917</v>
      </c>
      <c r="B7905">
        <v>164820406.80632573</v>
      </c>
    </row>
    <row r="7906" spans="1:2" x14ac:dyDescent="0.25">
      <c r="A7906">
        <f ca="1">34075.23223643*((RANDBETWEEN(1620,2416)))</f>
        <v>62425825.457139716</v>
      </c>
      <c r="B7906">
        <v>171373443.20834565</v>
      </c>
    </row>
    <row r="7907" spans="1:2" x14ac:dyDescent="0.25">
      <c r="A7907">
        <f ca="1">31489.0767642457*((RANDBETWEEN(1620,2416)))</f>
        <v>65308345.209045596</v>
      </c>
      <c r="B7907">
        <v>148231464.74598786</v>
      </c>
    </row>
    <row r="7908" spans="1:2" x14ac:dyDescent="0.25">
      <c r="A7908">
        <f ca="1">31662.9682578679*((RANDBETWEEN(1620,2416)))</f>
        <v>56328420.530746922</v>
      </c>
      <c r="B7908">
        <v>165337946.00065556</v>
      </c>
    </row>
    <row r="7909" spans="1:2" x14ac:dyDescent="0.25">
      <c r="A7909">
        <f ca="1">38055.5408038827*((RANDBETWEEN(1620,2416)))</f>
        <v>91104964.684495077</v>
      </c>
      <c r="B7909">
        <v>164708474.43487394</v>
      </c>
    </row>
    <row r="7910" spans="1:2" x14ac:dyDescent="0.25">
      <c r="A7910">
        <f ca="1">31664.8091888513*((RANDBETWEEN(1620,2416)))</f>
        <v>61334735.398804888</v>
      </c>
      <c r="B7910">
        <v>147436771.9223941</v>
      </c>
    </row>
    <row r="7911" spans="1:2" x14ac:dyDescent="0.25">
      <c r="A7911">
        <f ca="1">32484.7123643119*((RANDBETWEEN(1620,2416)))</f>
        <v>58797329.379404515</v>
      </c>
      <c r="B7911">
        <v>174969015.6061824</v>
      </c>
    </row>
    <row r="7912" spans="1:2" x14ac:dyDescent="0.25">
      <c r="A7912">
        <f ca="1">38968.9183685321*((RANDBETWEEN(1620,2416)))</f>
        <v>84055956.920923844</v>
      </c>
      <c r="B7912">
        <v>150990003.11962473</v>
      </c>
    </row>
    <row r="7913" spans="1:2" x14ac:dyDescent="0.25">
      <c r="A7913">
        <f ca="1">32651.7575205543*((RANDBETWEEN(1620,2416)))</f>
        <v>73205240.361082718</v>
      </c>
      <c r="B7913">
        <v>190831688.82834798</v>
      </c>
    </row>
    <row r="7914" spans="1:2" x14ac:dyDescent="0.25">
      <c r="A7914">
        <f ca="1">30087.7611252972*((RANDBETWEEN(1620,2416)))</f>
        <v>61318857.173355646</v>
      </c>
      <c r="B7914">
        <v>175823538.6838159</v>
      </c>
    </row>
    <row r="7915" spans="1:2" x14ac:dyDescent="0.25">
      <c r="A7915">
        <f ca="1">39706.9444024958*((RANDBETWEEN(1620,2416)))</f>
        <v>69129790.204745218</v>
      </c>
      <c r="B7915">
        <v>159234466.94227704</v>
      </c>
    </row>
    <row r="7916" spans="1:2" x14ac:dyDescent="0.25">
      <c r="A7916">
        <f ca="1">31811.2363179982*((RANDBETWEEN(1620,2416)))</f>
        <v>75678931.200517669</v>
      </c>
      <c r="B7916">
        <v>155950416.55725935</v>
      </c>
    </row>
    <row r="7917" spans="1:2" x14ac:dyDescent="0.25">
      <c r="A7917">
        <f ca="1">37326.0924213433*((RANDBETWEEN(1620,2416)))</f>
        <v>66776379.341783129</v>
      </c>
      <c r="B7917">
        <v>142922461.27480751</v>
      </c>
    </row>
    <row r="7918" spans="1:2" x14ac:dyDescent="0.25">
      <c r="A7918">
        <f ca="1">30425.4531863415*((RANDBETWEEN(1620,2416)))</f>
        <v>58660273.743266404</v>
      </c>
      <c r="B7918">
        <v>152496978.13036123</v>
      </c>
    </row>
    <row r="7919" spans="1:2" x14ac:dyDescent="0.25">
      <c r="A7919">
        <f ca="1">30856.2374938599*((RANDBETWEEN(1620,2416)))</f>
        <v>59490825.888161793</v>
      </c>
      <c r="B7919">
        <v>172468298.70538381</v>
      </c>
    </row>
    <row r="7920" spans="1:2" x14ac:dyDescent="0.25">
      <c r="A7920">
        <f ca="1">38684.1340792487*((RANDBETWEEN(1620,2416)))</f>
        <v>77755109.49928987</v>
      </c>
      <c r="B7920">
        <v>160568112.93010271</v>
      </c>
    </row>
    <row r="7921" spans="1:2" x14ac:dyDescent="0.25">
      <c r="A7921">
        <f ca="1">32252.8450020906*((RANDBETWEEN(1620,2416)))</f>
        <v>54023515.378501691</v>
      </c>
      <c r="B7921">
        <v>193311046.54158425</v>
      </c>
    </row>
    <row r="7922" spans="1:2" x14ac:dyDescent="0.25">
      <c r="A7922">
        <f ca="1">40307.6483334455*((RANDBETWEEN(1620,2416)))</f>
        <v>70215923.396862075</v>
      </c>
      <c r="B7922">
        <v>149396473.86275542</v>
      </c>
    </row>
    <row r="7923" spans="1:2" x14ac:dyDescent="0.25">
      <c r="A7923">
        <f ca="1">39942.3109009806*((RANDBETWEEN(1620,2416)))</f>
        <v>67822043.909865111</v>
      </c>
      <c r="B7923">
        <v>158089064.89106971</v>
      </c>
    </row>
    <row r="7924" spans="1:2" x14ac:dyDescent="0.25">
      <c r="A7924">
        <f ca="1">36831.3629519*((RANDBETWEEN(1620,2416)))</f>
        <v>69169299.623668239</v>
      </c>
      <c r="B7924">
        <v>154658435.89575168</v>
      </c>
    </row>
    <row r="7925" spans="1:2" x14ac:dyDescent="0.25">
      <c r="A7925">
        <f ca="1">41679.2161977917*((RANDBETWEEN(1620,2416)))</f>
        <v>86651090.475208849</v>
      </c>
      <c r="B7925">
        <v>179492914.12899339</v>
      </c>
    </row>
    <row r="7926" spans="1:2" x14ac:dyDescent="0.25">
      <c r="A7926">
        <f ca="1">31969.8662230971*((RANDBETWEEN(1620,2416)))</f>
        <v>56426813.883766405</v>
      </c>
      <c r="B7926">
        <v>194075909.39321053</v>
      </c>
    </row>
    <row r="7927" spans="1:2" x14ac:dyDescent="0.25">
      <c r="A7927">
        <f ca="1">35523.7617173092*((RANDBETWEEN(1620,2416)))</f>
        <v>79466654.961620644</v>
      </c>
      <c r="B7927">
        <v>148780341.65576631</v>
      </c>
    </row>
    <row r="7928" spans="1:2" x14ac:dyDescent="0.25">
      <c r="A7928">
        <f ca="1">37384.4876460218*((RANDBETWEEN(1620,2416)))</f>
        <v>80862646.778345212</v>
      </c>
      <c r="B7928">
        <v>191288996.23153722</v>
      </c>
    </row>
    <row r="7929" spans="1:2" x14ac:dyDescent="0.25">
      <c r="A7929">
        <f ca="1">37245.336577761*((RANDBETWEEN(1620,2416)))</f>
        <v>80822380.373741359</v>
      </c>
      <c r="B7929">
        <v>149308060.53239813</v>
      </c>
    </row>
    <row r="7930" spans="1:2" x14ac:dyDescent="0.25">
      <c r="A7930">
        <f ca="1">37078.8525675091*((RANDBETWEEN(1620,2416)))</f>
        <v>78755482.853389397</v>
      </c>
      <c r="B7930">
        <v>166107892.50961348</v>
      </c>
    </row>
    <row r="7931" spans="1:2" x14ac:dyDescent="0.25">
      <c r="A7931">
        <f ca="1">30237.6941452545*((RANDBETWEEN(1620,2416)))</f>
        <v>71028343.547202796</v>
      </c>
      <c r="B7931">
        <v>178375297.70941094</v>
      </c>
    </row>
    <row r="7932" spans="1:2" x14ac:dyDescent="0.25">
      <c r="A7932">
        <f ca="1">36105.0222738684*((RANDBETWEEN(1620,2416)))</f>
        <v>69574377.921744466</v>
      </c>
      <c r="B7932">
        <v>177278254.76812419</v>
      </c>
    </row>
    <row r="7933" spans="1:2" x14ac:dyDescent="0.25">
      <c r="A7933">
        <f ca="1">36928.1081602439*((RANDBETWEEN(1620,2416)))</f>
        <v>60045103.868556656</v>
      </c>
      <c r="B7933">
        <v>165282538.53167987</v>
      </c>
    </row>
    <row r="7934" spans="1:2" x14ac:dyDescent="0.25">
      <c r="A7934">
        <f ca="1">37133.3652016102*((RANDBETWEEN(1620,2416)))</f>
        <v>83735738.529630959</v>
      </c>
      <c r="B7934">
        <v>170221804.40782559</v>
      </c>
    </row>
    <row r="7935" spans="1:2" x14ac:dyDescent="0.25">
      <c r="A7935">
        <f ca="1">30877.3076323483*((RANDBETWEEN(1620,2416)))</f>
        <v>53911779.126080059</v>
      </c>
      <c r="B7935">
        <v>159461481.5741165</v>
      </c>
    </row>
    <row r="7936" spans="1:2" x14ac:dyDescent="0.25">
      <c r="A7936">
        <f ca="1">28124.1042457541*((RANDBETWEEN(1620,2416)))</f>
        <v>63982337.159090482</v>
      </c>
      <c r="B7936">
        <v>156398781.79648638</v>
      </c>
    </row>
    <row r="7937" spans="1:2" x14ac:dyDescent="0.25">
      <c r="A7937">
        <f ca="1">36816.1662064252*((RANDBETWEEN(1620,2416)))</f>
        <v>63360622.041257694</v>
      </c>
      <c r="B7937">
        <v>159420924.58739042</v>
      </c>
    </row>
    <row r="7938" spans="1:2" x14ac:dyDescent="0.25">
      <c r="A7938">
        <f ca="1">31608.5745094662*((RANDBETWEEN(1620,2416)))</f>
        <v>51363933.57788264</v>
      </c>
      <c r="B7938">
        <v>165167255.46163374</v>
      </c>
    </row>
    <row r="7939" spans="1:2" x14ac:dyDescent="0.25">
      <c r="A7939">
        <f ca="1">36131.0120914668*((RANDBETWEEN(1620,2416)))</f>
        <v>83571030.967562661</v>
      </c>
      <c r="B7939">
        <v>159360745.89746711</v>
      </c>
    </row>
    <row r="7940" spans="1:2" x14ac:dyDescent="0.25">
      <c r="A7940">
        <f ca="1">28191.5724416334*((RANDBETWEEN(1620,2416)))</f>
        <v>62669865.537751026</v>
      </c>
      <c r="B7940">
        <v>144716300.51448086</v>
      </c>
    </row>
    <row r="7941" spans="1:2" x14ac:dyDescent="0.25">
      <c r="A7941">
        <f ca="1">28779.5035601832*((RANDBETWEEN(1620,2416)))</f>
        <v>66566991.734703854</v>
      </c>
      <c r="B7941">
        <v>168815734.8189753</v>
      </c>
    </row>
    <row r="7942" spans="1:2" x14ac:dyDescent="0.25">
      <c r="A7942">
        <f ca="1">32079.0989864922*((RANDBETWEEN(1620,2416)))</f>
        <v>53989123.594266348</v>
      </c>
      <c r="B7942">
        <v>157607317.91328776</v>
      </c>
    </row>
    <row r="7943" spans="1:2" x14ac:dyDescent="0.25">
      <c r="A7943">
        <f ca="1">34103.5696812748*((RANDBETWEEN(1620,2416)))</f>
        <v>62580050.365139201</v>
      </c>
      <c r="B7943">
        <v>143503737.1855337</v>
      </c>
    </row>
    <row r="7944" spans="1:2" x14ac:dyDescent="0.25">
      <c r="A7944">
        <f ca="1">37395.8035337946*((RANDBETWEEN(1620,2416)))</f>
        <v>66714113.504289515</v>
      </c>
      <c r="B7944">
        <v>144195563.53409192</v>
      </c>
    </row>
    <row r="7945" spans="1:2" x14ac:dyDescent="0.25">
      <c r="A7945">
        <f ca="1">35927.3272742658*((RANDBETWEEN(1620,2416)))</f>
        <v>83279544.621748164</v>
      </c>
      <c r="B7945">
        <v>147279014.45151341</v>
      </c>
    </row>
    <row r="7946" spans="1:2" x14ac:dyDescent="0.25">
      <c r="A7946">
        <f ca="1">30581.9772871624*((RANDBETWEEN(1620,2416)))</f>
        <v>68503629.123243719</v>
      </c>
      <c r="B7946">
        <v>167907561.1713883</v>
      </c>
    </row>
    <row r="7947" spans="1:2" x14ac:dyDescent="0.25">
      <c r="A7947">
        <f ca="1">31772.9141214604*((RANDBETWEEN(1620,2416)))</f>
        <v>75969037.664411739</v>
      </c>
      <c r="B7947">
        <v>151906373.99156749</v>
      </c>
    </row>
    <row r="7948" spans="1:2" x14ac:dyDescent="0.25">
      <c r="A7948">
        <f ca="1">32107.4702966283*((RANDBETWEEN(1620,2416)))</f>
        <v>56412825.311175905</v>
      </c>
      <c r="B7948">
        <v>159350085.70425242</v>
      </c>
    </row>
    <row r="7949" spans="1:2" x14ac:dyDescent="0.25">
      <c r="A7949">
        <f ca="1">36884.1578023922*((RANDBETWEEN(1620,2416)))</f>
        <v>70448741.402569041</v>
      </c>
      <c r="B7949">
        <v>156110294.78749055</v>
      </c>
    </row>
    <row r="7950" spans="1:2" x14ac:dyDescent="0.25">
      <c r="A7950">
        <f ca="1">31012.7297302755*((RANDBETWEEN(1620,2416)))</f>
        <v>72197634.812081307</v>
      </c>
      <c r="B7950">
        <v>153464499.5890319</v>
      </c>
    </row>
    <row r="7951" spans="1:2" x14ac:dyDescent="0.25">
      <c r="A7951">
        <f ca="1">32050.6473372667*((RANDBETWEEN(1620,2416)))</f>
        <v>70896031.910033956</v>
      </c>
      <c r="B7951">
        <v>182887448.71654516</v>
      </c>
    </row>
    <row r="7952" spans="1:2" x14ac:dyDescent="0.25">
      <c r="A7952">
        <f ca="1">29925.7559458807*((RANDBETWEEN(1620,2416)))</f>
        <v>62754310.21851185</v>
      </c>
      <c r="B7952">
        <v>178679744.39328164</v>
      </c>
    </row>
    <row r="7953" spans="1:2" x14ac:dyDescent="0.25">
      <c r="A7953">
        <f ca="1">30600.0162233185*((RANDBETWEEN(1620,2416)))</f>
        <v>55355429.347983152</v>
      </c>
      <c r="B7953">
        <v>188376127.63514096</v>
      </c>
    </row>
    <row r="7954" spans="1:2" x14ac:dyDescent="0.25">
      <c r="A7954">
        <f ca="1">29518.3782576706*((RANDBETWEEN(1620,2416)))</f>
        <v>51243904.655316107</v>
      </c>
      <c r="B7954">
        <v>162463162.19603789</v>
      </c>
    </row>
    <row r="7955" spans="1:2" x14ac:dyDescent="0.25">
      <c r="A7955">
        <f ca="1">29079.4048018674*((RANDBETWEEN(1620,2416)))</f>
        <v>57489983.293291852</v>
      </c>
      <c r="B7955">
        <v>170812950.05881825</v>
      </c>
    </row>
    <row r="7956" spans="1:2" x14ac:dyDescent="0.25">
      <c r="A7956">
        <f ca="1">37270.7785675524*((RANDBETWEEN(1620,2416)))</f>
        <v>65335674.828919344</v>
      </c>
      <c r="B7956">
        <v>182041088.49839613</v>
      </c>
    </row>
    <row r="7957" spans="1:2" x14ac:dyDescent="0.25">
      <c r="A7957">
        <f ca="1">29914.7336644492*((RANDBETWEEN(1620,2416)))</f>
        <v>62940599.63000121</v>
      </c>
      <c r="B7957">
        <v>165695123.57353768</v>
      </c>
    </row>
    <row r="7958" spans="1:2" x14ac:dyDescent="0.25">
      <c r="A7958">
        <f ca="1">37545.1988877589*((RANDBETWEEN(1620,2416)))</f>
        <v>79896183.233150885</v>
      </c>
      <c r="B7958">
        <v>186728286.60021242</v>
      </c>
    </row>
    <row r="7959" spans="1:2" x14ac:dyDescent="0.25">
      <c r="A7959">
        <f ca="1">33250.7963915613*((RANDBETWEEN(1620,2416)))</f>
        <v>54930315.638859421</v>
      </c>
      <c r="B7959">
        <v>143206244.46662882</v>
      </c>
    </row>
    <row r="7960" spans="1:2" x14ac:dyDescent="0.25">
      <c r="A7960">
        <f ca="1">38693.8391993965*((RANDBETWEEN(1620,2416)))</f>
        <v>69764992.07651186</v>
      </c>
      <c r="B7960">
        <v>169593051.54030764</v>
      </c>
    </row>
    <row r="7961" spans="1:2" x14ac:dyDescent="0.25">
      <c r="A7961">
        <f ca="1">30285.9357370727*((RANDBETWEEN(1620,2416)))</f>
        <v>54575256.198205076</v>
      </c>
      <c r="B7961">
        <v>156244066.38553703</v>
      </c>
    </row>
    <row r="7962" spans="1:2" x14ac:dyDescent="0.25">
      <c r="A7962">
        <f ca="1">29573.0946581815*((RANDBETWEEN(1620,2416)))</f>
        <v>63108984.000559397</v>
      </c>
      <c r="B7962">
        <v>144930581.87827155</v>
      </c>
    </row>
    <row r="7963" spans="1:2" x14ac:dyDescent="0.25">
      <c r="A7963">
        <f ca="1">32505.628370859*((RANDBETWEEN(1620,2416)))</f>
        <v>57534962.216420412</v>
      </c>
      <c r="B7963">
        <v>193661805.20544642</v>
      </c>
    </row>
    <row r="7964" spans="1:2" x14ac:dyDescent="0.25">
      <c r="A7964">
        <f ca="1">37456.5157717491*((RANDBETWEEN(1620,2416)))</f>
        <v>77085509.458259627</v>
      </c>
      <c r="B7964">
        <v>158792608.58283836</v>
      </c>
    </row>
    <row r="7965" spans="1:2" x14ac:dyDescent="0.25">
      <c r="A7965">
        <f ca="1">37825.3303061163*((RANDBETWEEN(1620,2416)))</f>
        <v>85939150.455496311</v>
      </c>
      <c r="B7965">
        <v>196582372.23851538</v>
      </c>
    </row>
    <row r="7966" spans="1:2" x14ac:dyDescent="0.25">
      <c r="A7966">
        <f ca="1">37606.1414510344*((RANDBETWEEN(1620,2416)))</f>
        <v>77280620.681875765</v>
      </c>
      <c r="B7966">
        <v>167273786.71596336</v>
      </c>
    </row>
    <row r="7967" spans="1:2" x14ac:dyDescent="0.25">
      <c r="A7967">
        <f ca="1">32298.2127182809*((RANDBETWEEN(1620,2416)))</f>
        <v>56747959.746019468</v>
      </c>
      <c r="B7967">
        <v>161667017.13093287</v>
      </c>
    </row>
    <row r="7968" spans="1:2" x14ac:dyDescent="0.25">
      <c r="A7968">
        <f ca="1">40480.0418059355*((RANDBETWEEN(1620,2416)))</f>
        <v>81122003.779094815</v>
      </c>
      <c r="B7968">
        <v>166997145.30889714</v>
      </c>
    </row>
    <row r="7969" spans="1:2" x14ac:dyDescent="0.25">
      <c r="A7969">
        <f ca="1">32833.7109134789*((RANDBETWEEN(1620,2416)))</f>
        <v>69476132.292921424</v>
      </c>
      <c r="B7969">
        <v>156122736.82694772</v>
      </c>
    </row>
    <row r="7970" spans="1:2" x14ac:dyDescent="0.25">
      <c r="A7970">
        <f ca="1">36052.9134299679*((RANDBETWEEN(1620,2416)))</f>
        <v>58802301.804277599</v>
      </c>
      <c r="B7970">
        <v>199321917.33779004</v>
      </c>
    </row>
    <row r="7971" spans="1:2" x14ac:dyDescent="0.25">
      <c r="A7971">
        <f ca="1">40030.6670422859*((RANDBETWEEN(1620,2416)))</f>
        <v>91670227.526834711</v>
      </c>
      <c r="B7971">
        <v>175813348.35559475</v>
      </c>
    </row>
    <row r="7972" spans="1:2" x14ac:dyDescent="0.25">
      <c r="A7972">
        <f ca="1">30594.2427406183*((RANDBETWEEN(1620,2416)))</f>
        <v>57486582.10962186</v>
      </c>
      <c r="B7972">
        <v>150128610.62164408</v>
      </c>
    </row>
    <row r="7973" spans="1:2" x14ac:dyDescent="0.25">
      <c r="A7973">
        <f ca="1">36746.9295961502*((RANDBETWEEN(1620,2416)))</f>
        <v>84848660.437510893</v>
      </c>
      <c r="B7973">
        <v>163774206.7789076</v>
      </c>
    </row>
    <row r="7974" spans="1:2" x14ac:dyDescent="0.25">
      <c r="A7974">
        <f ca="1">39170.687860486*((RANDBETWEEN(1620,2416)))</f>
        <v>68313679.628687546</v>
      </c>
      <c r="B7974">
        <v>157710177.36540768</v>
      </c>
    </row>
    <row r="7975" spans="1:2" x14ac:dyDescent="0.25">
      <c r="A7975">
        <f ca="1">39767.2428069723*((RANDBETWEEN(1620,2416)))</f>
        <v>64462700.590102151</v>
      </c>
      <c r="B7975">
        <v>161944344.41440272</v>
      </c>
    </row>
    <row r="7976" spans="1:2" x14ac:dyDescent="0.25">
      <c r="A7976">
        <f ca="1">28804.1161206151*((RANDBETWEEN(1620,2416)))</f>
        <v>58789201.002175339</v>
      </c>
      <c r="B7976">
        <v>143210762.53673968</v>
      </c>
    </row>
    <row r="7977" spans="1:2" x14ac:dyDescent="0.25">
      <c r="A7977">
        <f ca="1">30822.4295819135*((RANDBETWEEN(1620,2416)))</f>
        <v>54648167.648732647</v>
      </c>
      <c r="B7977">
        <v>175791057.79536954</v>
      </c>
    </row>
    <row r="7978" spans="1:2" x14ac:dyDescent="0.25">
      <c r="A7978">
        <f ca="1">34683.1361662614*((RANDBETWEEN(1620,2416)))</f>
        <v>64649365.813911252</v>
      </c>
      <c r="B7978">
        <v>182887313.99951857</v>
      </c>
    </row>
    <row r="7979" spans="1:2" x14ac:dyDescent="0.25">
      <c r="A7979">
        <f ca="1">30175.1831576613*((RANDBETWEEN(1620,2416)))</f>
        <v>52444468.328015387</v>
      </c>
      <c r="B7979">
        <v>198279747.43241554</v>
      </c>
    </row>
    <row r="7980" spans="1:2" x14ac:dyDescent="0.25">
      <c r="A7980">
        <f ca="1">38314.5987416016*((RANDBETWEEN(1620,2416)))</f>
        <v>82376387.294443339</v>
      </c>
      <c r="B7980">
        <v>195681266.56703612</v>
      </c>
    </row>
    <row r="7981" spans="1:2" x14ac:dyDescent="0.25">
      <c r="A7981">
        <f ca="1">31200.5397048077*((RANDBETWEEN(1620,2416)))</f>
        <v>73477271.004822165</v>
      </c>
      <c r="B7981">
        <v>194416859.16181162</v>
      </c>
    </row>
    <row r="7982" spans="1:2" x14ac:dyDescent="0.25">
      <c r="A7982">
        <f ca="1">34348.1851989623*((RANDBETWEEN(1620,2416)))</f>
        <v>79653441.476393536</v>
      </c>
      <c r="B7982">
        <v>146706765.92927849</v>
      </c>
    </row>
    <row r="7983" spans="1:2" x14ac:dyDescent="0.25">
      <c r="A7983">
        <f ca="1">34343.996150891*((RANDBETWEEN(1620,2416)))</f>
        <v>64326304.79061877</v>
      </c>
      <c r="B7983">
        <v>174816281.37415838</v>
      </c>
    </row>
    <row r="7984" spans="1:2" x14ac:dyDescent="0.25">
      <c r="A7984">
        <f ca="1">31590.5403300337*((RANDBETWEEN(1620,2416)))</f>
        <v>62675632.014786802</v>
      </c>
      <c r="B7984">
        <v>173645651.50397763</v>
      </c>
    </row>
    <row r="7985" spans="1:2" x14ac:dyDescent="0.25">
      <c r="A7985">
        <f ca="1">41942.8423451846*((RANDBETWEEN(1620,2416)))</f>
        <v>72854717.153585687</v>
      </c>
      <c r="B7985">
        <v>166791731.45265231</v>
      </c>
    </row>
    <row r="7986" spans="1:2" x14ac:dyDescent="0.25">
      <c r="A7986">
        <f ca="1">33248.1010443768*((RANDBETWEEN(1620,2416)))</f>
        <v>70851703.325566903</v>
      </c>
      <c r="B7986">
        <v>154346215.51300779</v>
      </c>
    </row>
    <row r="7987" spans="1:2" x14ac:dyDescent="0.25">
      <c r="A7987">
        <f ca="1">32917.7821142335*((RANDBETWEEN(1620,2416)))</f>
        <v>54544764.963284962</v>
      </c>
      <c r="B7987">
        <v>152228361.15648979</v>
      </c>
    </row>
    <row r="7988" spans="1:2" x14ac:dyDescent="0.25">
      <c r="A7988">
        <f ca="1">30449.1540937841*((RANDBETWEEN(1620,2416)))</f>
        <v>50545595.795681618</v>
      </c>
      <c r="B7988">
        <v>167750022.69565895</v>
      </c>
    </row>
    <row r="7989" spans="1:2" x14ac:dyDescent="0.25">
      <c r="A7989">
        <f ca="1">29974.3646735854*((RANDBETWEEN(1620,2416)))</f>
        <v>51136266.133136712</v>
      </c>
      <c r="B7989">
        <v>142928036.57647002</v>
      </c>
    </row>
    <row r="7990" spans="1:2" x14ac:dyDescent="0.25">
      <c r="A7990">
        <f ca="1">33515.8437516711*((RANDBETWEEN(1620,2416)))</f>
        <v>80203414.09774895</v>
      </c>
      <c r="B7990">
        <v>185686742.63667777</v>
      </c>
    </row>
    <row r="7991" spans="1:2" x14ac:dyDescent="0.25">
      <c r="A7991">
        <f ca="1">31035.3506576342*((RANDBETWEEN(1620,2416)))</f>
        <v>51642823.494303286</v>
      </c>
      <c r="B7991">
        <v>143812174.75387451</v>
      </c>
    </row>
    <row r="7992" spans="1:2" x14ac:dyDescent="0.25">
      <c r="A7992">
        <f ca="1">40849.4231233809*((RANDBETWEEN(1620,2416)))</f>
        <v>69525718.155994356</v>
      </c>
      <c r="B7992">
        <v>198527781.15735775</v>
      </c>
    </row>
    <row r="7993" spans="1:2" x14ac:dyDescent="0.25">
      <c r="A7993">
        <f ca="1">39338.429227251*((RANDBETWEEN(1620,2416)))</f>
        <v>85482406.710816458</v>
      </c>
      <c r="B7993">
        <v>185454213.23154625</v>
      </c>
    </row>
    <row r="7994" spans="1:2" x14ac:dyDescent="0.25">
      <c r="A7994">
        <f ca="1">38947.7834272579*((RANDBETWEEN(1620,2416)))</f>
        <v>76220812.167143732</v>
      </c>
      <c r="B7994">
        <v>198359447.85101026</v>
      </c>
    </row>
    <row r="7995" spans="1:2" x14ac:dyDescent="0.25">
      <c r="A7995">
        <f ca="1">32557.9695620429*((RANDBETWEEN(1620,2416)))</f>
        <v>61078750.898392521</v>
      </c>
      <c r="B7995">
        <v>148837178.95816442</v>
      </c>
    </row>
    <row r="7996" spans="1:2" x14ac:dyDescent="0.25">
      <c r="A7996">
        <f ca="1">31712.5247784844*((RANDBETWEEN(1620,2416)))</f>
        <v>52230528.310163856</v>
      </c>
      <c r="B7996">
        <v>188583008.0451645</v>
      </c>
    </row>
    <row r="7997" spans="1:2" x14ac:dyDescent="0.25">
      <c r="A7997">
        <f ca="1">31643.027075939*((RANDBETWEEN(1620,2416)))</f>
        <v>61134328.3107142</v>
      </c>
      <c r="B7997">
        <v>159620613.90354678</v>
      </c>
    </row>
    <row r="7998" spans="1:2" x14ac:dyDescent="0.25">
      <c r="A7998">
        <f ca="1">37499.4240933498*((RANDBETWEEN(1620,2416)))</f>
        <v>89173630.493985832</v>
      </c>
      <c r="B7998">
        <v>190295437.14488819</v>
      </c>
    </row>
    <row r="7999" spans="1:2" x14ac:dyDescent="0.25">
      <c r="A7999">
        <f ca="1">33490.2533650927*((RANDBETWEEN(1620,2416)))</f>
        <v>76759660.712792382</v>
      </c>
      <c r="B7999">
        <v>151570958.74258989</v>
      </c>
    </row>
    <row r="8000" spans="1:2" x14ac:dyDescent="0.25">
      <c r="A8000">
        <f ca="1">32196.7152701289*((RANDBETWEEN(1620,2416)))</f>
        <v>52223072.168149062</v>
      </c>
      <c r="B8000">
        <v>194921165.42911437</v>
      </c>
    </row>
    <row r="8001" spans="1:2" x14ac:dyDescent="0.25">
      <c r="A8001">
        <f ca="1">31393.3038691642*((RANDBETWEEN(1620,2416)))</f>
        <v>62190134.964814208</v>
      </c>
      <c r="B8001">
        <v>195995407.86417013</v>
      </c>
    </row>
    <row r="8002" spans="1:2" x14ac:dyDescent="0.25">
      <c r="A8002">
        <f ca="1">34989.7429076573*((RANDBETWEEN(1620,2416)))</f>
        <v>73863347.278064489</v>
      </c>
      <c r="B8002">
        <v>192191924.63800618</v>
      </c>
    </row>
    <row r="8003" spans="1:2" x14ac:dyDescent="0.25">
      <c r="A8003">
        <f ca="1">31875.7914967732*((RANDBETWEEN(1620,2416)))</f>
        <v>59033965.852023892</v>
      </c>
      <c r="B8003">
        <v>192237405.56150115</v>
      </c>
    </row>
    <row r="8004" spans="1:2" x14ac:dyDescent="0.25">
      <c r="A8004">
        <f ca="1">32570.8618455222*((RANDBETWEEN(1620,2416)))</f>
        <v>77974643.258180171</v>
      </c>
      <c r="B8004">
        <v>148657273.11722344</v>
      </c>
    </row>
    <row r="8005" spans="1:2" x14ac:dyDescent="0.25">
      <c r="A8005">
        <f ca="1">40459.4244256008*((RANDBETWEEN(1620,2416)))</f>
        <v>81121145.973329648</v>
      </c>
      <c r="B8005">
        <v>202691652.14823678</v>
      </c>
    </row>
    <row r="8006" spans="1:2" x14ac:dyDescent="0.25">
      <c r="A8006">
        <f ca="1">33428.6629871093*((RANDBETWEEN(1620,2416)))</f>
        <v>69832476.980071411</v>
      </c>
      <c r="B8006">
        <v>145172653.8129707</v>
      </c>
    </row>
    <row r="8007" spans="1:2" x14ac:dyDescent="0.25">
      <c r="A8007">
        <f ca="1">34116.1464695222*((RANDBETWEEN(1620,2416)))</f>
        <v>75840193.601747915</v>
      </c>
      <c r="B8007">
        <v>167002574.83459017</v>
      </c>
    </row>
    <row r="8008" spans="1:2" x14ac:dyDescent="0.25">
      <c r="A8008">
        <f ca="1">37814.3160952676*((RANDBETWEEN(1620,2416)))</f>
        <v>86708226.806448668</v>
      </c>
      <c r="B8008">
        <v>178524514.93852279</v>
      </c>
    </row>
    <row r="8009" spans="1:2" x14ac:dyDescent="0.25">
      <c r="A8009">
        <f ca="1">35191.2213328516*((RANDBETWEEN(1620,2416)))</f>
        <v>69924956.788376153</v>
      </c>
      <c r="B8009">
        <v>146719501.53611889</v>
      </c>
    </row>
    <row r="8010" spans="1:2" x14ac:dyDescent="0.25">
      <c r="A8010">
        <f ca="1">32645.0137317921*((RANDBETWEEN(1620,2416)))</f>
        <v>67575178.424809635</v>
      </c>
      <c r="B8010">
        <v>144844665.0848127</v>
      </c>
    </row>
    <row r="8011" spans="1:2" x14ac:dyDescent="0.25">
      <c r="A8011">
        <f ca="1">32589.9733516946*((RANDBETWEEN(1620,2416)))</f>
        <v>69579593.105868071</v>
      </c>
      <c r="B8011">
        <v>177263635.43090519</v>
      </c>
    </row>
    <row r="8012" spans="1:2" x14ac:dyDescent="0.25">
      <c r="A8012">
        <f ca="1">30553.1150896188*((RANDBETWEEN(1620,2416)))</f>
        <v>61411761.330133863</v>
      </c>
      <c r="B8012">
        <v>166260659.13552481</v>
      </c>
    </row>
    <row r="8013" spans="1:2" x14ac:dyDescent="0.25">
      <c r="A8013">
        <f ca="1">31910.4612172253*((RANDBETWEEN(1620,2416)))</f>
        <v>70330656.522764638</v>
      </c>
      <c r="B8013">
        <v>154109822.77872539</v>
      </c>
    </row>
    <row r="8014" spans="1:2" x14ac:dyDescent="0.25">
      <c r="A8014">
        <f ca="1">32524.0234791387*((RANDBETWEEN(1620,2416)))</f>
        <v>54802979.562348686</v>
      </c>
      <c r="B8014">
        <v>196406254.59533158</v>
      </c>
    </row>
    <row r="8015" spans="1:2" x14ac:dyDescent="0.25">
      <c r="A8015">
        <f ca="1">29759.1501170628*((RANDBETWEEN(1620,2416)))</f>
        <v>49668021.545377895</v>
      </c>
      <c r="B8015">
        <v>151205465.10170364</v>
      </c>
    </row>
    <row r="8016" spans="1:2" x14ac:dyDescent="0.25">
      <c r="A8016">
        <f ca="1">35796.8155660541*((RANDBETWEEN(1620,2416)))</f>
        <v>66116718.35050191</v>
      </c>
      <c r="B8016">
        <v>166945716.38976535</v>
      </c>
    </row>
    <row r="8017" spans="1:2" x14ac:dyDescent="0.25">
      <c r="A8017">
        <f ca="1">32577.4817974564*((RANDBETWEEN(1620,2416)))</f>
        <v>74635010.79797253</v>
      </c>
      <c r="B8017">
        <v>161677957.24028754</v>
      </c>
    </row>
    <row r="8018" spans="1:2" x14ac:dyDescent="0.25">
      <c r="A8018">
        <f ca="1">32003.671848315*((RANDBETWEEN(1620,2416)))</f>
        <v>54790286.204315297</v>
      </c>
      <c r="B8018">
        <v>143854974.05819374</v>
      </c>
    </row>
    <row r="8019" spans="1:2" x14ac:dyDescent="0.25">
      <c r="A8019">
        <f ca="1">39183.5495117378*((RANDBETWEEN(1620,2416)))</f>
        <v>84048713.702677637</v>
      </c>
      <c r="B8019">
        <v>192805252.00258648</v>
      </c>
    </row>
    <row r="8020" spans="1:2" x14ac:dyDescent="0.25">
      <c r="A8020">
        <f ca="1">32674.8723116719*((RANDBETWEEN(1620,2416)))</f>
        <v>64369498.453993723</v>
      </c>
      <c r="B8020">
        <v>166152616.43028498</v>
      </c>
    </row>
    <row r="8021" spans="1:2" x14ac:dyDescent="0.25">
      <c r="A8021">
        <f ca="1">43764.3047687021*((RANDBETWEEN(1620,2416)))</f>
        <v>82627007.403309494</v>
      </c>
      <c r="B8021">
        <v>185396131.0979352</v>
      </c>
    </row>
    <row r="8022" spans="1:2" x14ac:dyDescent="0.25">
      <c r="A8022">
        <f ca="1">37957.3508378463*((RANDBETWEEN(1620,2416)))</f>
        <v>83088640.984045565</v>
      </c>
      <c r="B8022">
        <v>150780645.24752429</v>
      </c>
    </row>
    <row r="8023" spans="1:2" x14ac:dyDescent="0.25">
      <c r="A8023">
        <f ca="1">37064.3450965089*((RANDBETWEEN(1620,2416)))</f>
        <v>65752148.201206915</v>
      </c>
      <c r="B8023">
        <v>154428550.02902338</v>
      </c>
    </row>
    <row r="8024" spans="1:2" x14ac:dyDescent="0.25">
      <c r="A8024">
        <f ca="1">27922.0005758725*((RANDBETWEEN(1620,2416)))</f>
        <v>54894653.132165417</v>
      </c>
      <c r="B8024">
        <v>163518311.22890291</v>
      </c>
    </row>
    <row r="8025" spans="1:2" x14ac:dyDescent="0.25">
      <c r="A8025">
        <f ca="1">37089.9254446303*((RANDBETWEEN(1620,2416)))</f>
        <v>63312502.733983986</v>
      </c>
      <c r="B8025">
        <v>178791161.32460099</v>
      </c>
    </row>
    <row r="8026" spans="1:2" x14ac:dyDescent="0.25">
      <c r="A8026">
        <f ca="1">31214.8062709088*((RANDBETWEEN(1620,2416)))</f>
        <v>66612396.582119428</v>
      </c>
      <c r="B8026">
        <v>145277389.61195689</v>
      </c>
    </row>
    <row r="8027" spans="1:2" x14ac:dyDescent="0.25">
      <c r="A8027">
        <f ca="1">29830.1363048072*((RANDBETWEEN(1620,2416)))</f>
        <v>51337664.580573134</v>
      </c>
      <c r="B8027">
        <v>152406989.61967364</v>
      </c>
    </row>
    <row r="8028" spans="1:2" x14ac:dyDescent="0.25">
      <c r="A8028">
        <f ca="1">30459.617367066*((RANDBETWEEN(1620,2416)))</f>
        <v>60858315.499397933</v>
      </c>
      <c r="B8028">
        <v>162735042.45492473</v>
      </c>
    </row>
    <row r="8029" spans="1:2" x14ac:dyDescent="0.25">
      <c r="A8029">
        <f ca="1">41315.2768413735*((RANDBETWEEN(1620,2416)))</f>
        <v>80977942.609092072</v>
      </c>
      <c r="B8029">
        <v>169021628.48635596</v>
      </c>
    </row>
    <row r="8030" spans="1:2" x14ac:dyDescent="0.25">
      <c r="A8030">
        <f ca="1">36719.8414565283*((RANDBETWEEN(1620,2416)))</f>
        <v>84932993.288949907</v>
      </c>
      <c r="B8030">
        <v>167771230.96718836</v>
      </c>
    </row>
    <row r="8031" spans="1:2" x14ac:dyDescent="0.25">
      <c r="A8031">
        <f ca="1">32895.8839509541*((RANDBETWEEN(1620,2416)))</f>
        <v>56942775.119101562</v>
      </c>
      <c r="B8031">
        <v>164619881.61822215</v>
      </c>
    </row>
    <row r="8032" spans="1:2" x14ac:dyDescent="0.25">
      <c r="A8032">
        <f ca="1">35783.0929832141*((RANDBETWEEN(1620,2416)))</f>
        <v>58040176.818773277</v>
      </c>
      <c r="B8032">
        <v>150195056.50771332</v>
      </c>
    </row>
    <row r="8033" spans="1:2" x14ac:dyDescent="0.25">
      <c r="A8033">
        <f ca="1">37951.0063401989*((RANDBETWEEN(1620,2416)))</f>
        <v>78406779.098850906</v>
      </c>
      <c r="B8033">
        <v>157127520.26669201</v>
      </c>
    </row>
    <row r="8034" spans="1:2" x14ac:dyDescent="0.25">
      <c r="A8034">
        <f ca="1">30138.5384464972*((RANDBETWEEN(1620,2416)))</f>
        <v>60307215.431440979</v>
      </c>
      <c r="B8034">
        <v>171428171.80241561</v>
      </c>
    </row>
    <row r="8035" spans="1:2" x14ac:dyDescent="0.25">
      <c r="A8035">
        <f ca="1">34021.3638934053*((RANDBETWEEN(1620,2416)))</f>
        <v>56441442.699159443</v>
      </c>
      <c r="B8035">
        <v>195911249.88129079</v>
      </c>
    </row>
    <row r="8036" spans="1:2" x14ac:dyDescent="0.25">
      <c r="A8036">
        <f ca="1">39169.6637814936*((RANDBETWEEN(1620,2416)))</f>
        <v>84959000.742059663</v>
      </c>
      <c r="B8036">
        <v>151997539.22283223</v>
      </c>
    </row>
    <row r="8037" spans="1:2" x14ac:dyDescent="0.25">
      <c r="A8037">
        <f ca="1">37193.7816247584*((RANDBETWEEN(1620,2416)))</f>
        <v>74275981.904642627</v>
      </c>
      <c r="B8037">
        <v>154755803.9275772</v>
      </c>
    </row>
    <row r="8038" spans="1:2" x14ac:dyDescent="0.25">
      <c r="A8038">
        <f ca="1">32289.3876830818*((RANDBETWEEN(1620,2416)))</f>
        <v>60800917.007243089</v>
      </c>
      <c r="B8038">
        <v>193720049.69364914</v>
      </c>
    </row>
    <row r="8039" spans="1:2" x14ac:dyDescent="0.25">
      <c r="A8039">
        <f ca="1">29841.7314241316*((RANDBETWEEN(1620,2416)))</f>
        <v>59952038.431080483</v>
      </c>
      <c r="B8039">
        <v>147348834.55064809</v>
      </c>
    </row>
    <row r="8040" spans="1:2" x14ac:dyDescent="0.25">
      <c r="A8040">
        <f ca="1">33637.4345643101*((RANDBETWEEN(1620,2416)))</f>
        <v>56813626.9791198</v>
      </c>
      <c r="B8040">
        <v>163012513.98785976</v>
      </c>
    </row>
    <row r="8041" spans="1:2" x14ac:dyDescent="0.25">
      <c r="A8041">
        <f ca="1">33171.3420681724*((RANDBETWEEN(1620,2416)))</f>
        <v>79379021.569136575</v>
      </c>
      <c r="B8041">
        <v>162605964.28563964</v>
      </c>
    </row>
    <row r="8042" spans="1:2" x14ac:dyDescent="0.25">
      <c r="A8042">
        <f ca="1">31847.0319364271*((RANDBETWEEN(1620,2416)))</f>
        <v>69967929.164330438</v>
      </c>
      <c r="B8042">
        <v>152778947.89631188</v>
      </c>
    </row>
    <row r="8043" spans="1:2" x14ac:dyDescent="0.25">
      <c r="A8043">
        <f ca="1">31812.8360277035*((RANDBETWEEN(1620,2416)))</f>
        <v>75046480.189352661</v>
      </c>
      <c r="B8043">
        <v>142986703.01684779</v>
      </c>
    </row>
    <row r="8044" spans="1:2" x14ac:dyDescent="0.25">
      <c r="A8044">
        <f ca="1">30438.9174201574*((RANDBETWEEN(1620,2416)))</f>
        <v>56342436.144711308</v>
      </c>
      <c r="B8044">
        <v>165682368.52175415</v>
      </c>
    </row>
    <row r="8045" spans="1:2" x14ac:dyDescent="0.25">
      <c r="A8045">
        <f ca="1">32192.5909255659*((RANDBETWEEN(1620,2416)))</f>
        <v>67765403.898316205</v>
      </c>
      <c r="B8045">
        <v>159099208.66303331</v>
      </c>
    </row>
    <row r="8046" spans="1:2" x14ac:dyDescent="0.25">
      <c r="A8046">
        <f ca="1">30764.5942450986*((RANDBETWEEN(1620,2416)))</f>
        <v>60544721.474354006</v>
      </c>
      <c r="B8046">
        <v>176059489.72241622</v>
      </c>
    </row>
    <row r="8047" spans="1:2" x14ac:dyDescent="0.25">
      <c r="A8047">
        <f ca="1">31000.8276030338*((RANDBETWEEN(1620,2416)))</f>
        <v>66589777.691316515</v>
      </c>
      <c r="B8047">
        <v>165719161.77131361</v>
      </c>
    </row>
    <row r="8048" spans="1:2" x14ac:dyDescent="0.25">
      <c r="A8048">
        <f ca="1">33118.4223038357*((RANDBETWEEN(1620,2416)))</f>
        <v>57758528.497889511</v>
      </c>
      <c r="B8048">
        <v>151970310.95116004</v>
      </c>
    </row>
    <row r="8049" spans="1:2" x14ac:dyDescent="0.25">
      <c r="A8049">
        <f ca="1">32990.6543025084*((RANDBETWEEN(1620,2416)))</f>
        <v>66905046.925487116</v>
      </c>
      <c r="B8049">
        <v>164693454.91271552</v>
      </c>
    </row>
    <row r="8050" spans="1:2" x14ac:dyDescent="0.25">
      <c r="A8050">
        <f ca="1">32145.1368399162*((RANDBETWEEN(1620,2416)))</f>
        <v>66990465.174385414</v>
      </c>
      <c r="B8050">
        <v>161119931.32661635</v>
      </c>
    </row>
    <row r="8051" spans="1:2" x14ac:dyDescent="0.25">
      <c r="A8051">
        <f ca="1">35499.2146776629*((RANDBETWEEN(1620,2416)))</f>
        <v>75719824.907454997</v>
      </c>
      <c r="B8051">
        <v>148231129.50187635</v>
      </c>
    </row>
    <row r="8052" spans="1:2" x14ac:dyDescent="0.25">
      <c r="A8052">
        <f ca="1">33699.4689368919*((RANDBETWEEN(1620,2416)))</f>
        <v>72386459.276443765</v>
      </c>
      <c r="B8052">
        <v>155049535.00813043</v>
      </c>
    </row>
    <row r="8053" spans="1:2" x14ac:dyDescent="0.25">
      <c r="A8053">
        <f ca="1">34796.9104352808*((RANDBETWEEN(1620,2416)))</f>
        <v>80798426.030722111</v>
      </c>
      <c r="B8053">
        <v>166650101.34323543</v>
      </c>
    </row>
    <row r="8054" spans="1:2" x14ac:dyDescent="0.25">
      <c r="A8054">
        <f ca="1">29132.6332056522*((RANDBETWEEN(1620,2416)))</f>
        <v>66160210.010036074</v>
      </c>
      <c r="B8054">
        <v>155318134.06246123</v>
      </c>
    </row>
    <row r="8055" spans="1:2" x14ac:dyDescent="0.25">
      <c r="A8055">
        <f ca="1">34581.4541397068*((RANDBETWEEN(1620,2416)))</f>
        <v>68747930.829737067</v>
      </c>
      <c r="B8055">
        <v>143984467.24794722</v>
      </c>
    </row>
    <row r="8056" spans="1:2" x14ac:dyDescent="0.25">
      <c r="A8056">
        <f ca="1">36379.2684676171*((RANDBETWEEN(1620,2416)))</f>
        <v>82435422.347620457</v>
      </c>
      <c r="B8056">
        <v>202253485.40601024</v>
      </c>
    </row>
    <row r="8057" spans="1:2" x14ac:dyDescent="0.25">
      <c r="A8057">
        <f ca="1">31132.0216735011*((RANDBETWEEN(1620,2416)))</f>
        <v>52208400.346461408</v>
      </c>
      <c r="B8057">
        <v>149929022.35766342</v>
      </c>
    </row>
    <row r="8058" spans="1:2" x14ac:dyDescent="0.25">
      <c r="A8058">
        <f ca="1">32626.8815033966*((RANDBETWEEN(1620,2416)))</f>
        <v>63426657.64260298</v>
      </c>
      <c r="B8058">
        <v>165231488.55319408</v>
      </c>
    </row>
    <row r="8059" spans="1:2" x14ac:dyDescent="0.25">
      <c r="A8059">
        <f ca="1">33296.7895391622*((RANDBETWEEN(1620,2416)))</f>
        <v>75517118.674819812</v>
      </c>
      <c r="B8059">
        <v>158439885.21328235</v>
      </c>
    </row>
    <row r="8060" spans="1:2" x14ac:dyDescent="0.25">
      <c r="A8060">
        <f ca="1">32572.6203530263*((RANDBETWEEN(1620,2416)))</f>
        <v>60226775.032745652</v>
      </c>
      <c r="B8060">
        <v>189935448.38320458</v>
      </c>
    </row>
    <row r="8061" spans="1:2" x14ac:dyDescent="0.25">
      <c r="A8061">
        <f ca="1">32905.5286930728*((RANDBETWEEN(1620,2416)))</f>
        <v>68278972.038126126</v>
      </c>
      <c r="B8061">
        <v>154225183.17552662</v>
      </c>
    </row>
    <row r="8062" spans="1:2" x14ac:dyDescent="0.25">
      <c r="A8062">
        <f ca="1">29066.9204419185*((RANDBETWEEN(1620,2416)))</f>
        <v>57901305.520301729</v>
      </c>
      <c r="B8062">
        <v>143677945.85405856</v>
      </c>
    </row>
    <row r="8063" spans="1:2" x14ac:dyDescent="0.25">
      <c r="A8063">
        <f ca="1">33024.6631419846*((RANDBETWEEN(1620,2416)))</f>
        <v>61954268.054363184</v>
      </c>
      <c r="B8063">
        <v>175041986.20772991</v>
      </c>
    </row>
    <row r="8064" spans="1:2" x14ac:dyDescent="0.25">
      <c r="A8064">
        <f ca="1">39883.2183816798*((RANDBETWEEN(1620,2416)))</f>
        <v>89138993.083054319</v>
      </c>
      <c r="B8064">
        <v>194350619.3172574</v>
      </c>
    </row>
    <row r="8065" spans="1:2" x14ac:dyDescent="0.25">
      <c r="A8065">
        <f ca="1">30356.6982660499*((RANDBETWEEN(1620,2416)))</f>
        <v>49906411.949386112</v>
      </c>
      <c r="B8065">
        <v>162050057.022055</v>
      </c>
    </row>
    <row r="8066" spans="1:2" x14ac:dyDescent="0.25">
      <c r="A8066">
        <f ca="1">32881.5973799639*((RANDBETWEEN(1620,2416)))</f>
        <v>66322181.915387087</v>
      </c>
      <c r="B8066">
        <v>143644255.28962326</v>
      </c>
    </row>
    <row r="8067" spans="1:2" x14ac:dyDescent="0.25">
      <c r="A8067">
        <f ca="1">40151.0621862053*((RANDBETWEEN(1620,2416)))</f>
        <v>92708802.58794798</v>
      </c>
      <c r="B8067">
        <v>200082278.69308358</v>
      </c>
    </row>
    <row r="8068" spans="1:2" x14ac:dyDescent="0.25">
      <c r="A8068">
        <f ca="1">38095.1429988777*((RANDBETWEEN(1620,2416)))</f>
        <v>80990274.015614018</v>
      </c>
      <c r="B8068">
        <v>168055549.41544098</v>
      </c>
    </row>
    <row r="8069" spans="1:2" x14ac:dyDescent="0.25">
      <c r="A8069">
        <f ca="1">30377.7725246636*((RANDBETWEEN(1620,2416)))</f>
        <v>66375432.966390021</v>
      </c>
      <c r="B8069">
        <v>196172631.56717387</v>
      </c>
    </row>
    <row r="8070" spans="1:2" x14ac:dyDescent="0.25">
      <c r="A8070">
        <f ca="1">39388.5466322674*((RANDBETWEEN(1620,2416)))</f>
        <v>88506064.28270489</v>
      </c>
      <c r="B8070">
        <v>146183328.7207095</v>
      </c>
    </row>
    <row r="8071" spans="1:2" x14ac:dyDescent="0.25">
      <c r="A8071">
        <f ca="1">31374.9247876951*((RANDBETWEEN(1620,2416)))</f>
        <v>63659722.394233316</v>
      </c>
      <c r="B8071">
        <v>150668329.05001965</v>
      </c>
    </row>
    <row r="8072" spans="1:2" x14ac:dyDescent="0.25">
      <c r="A8072">
        <f ca="1">36943.7232053219*((RANDBETWEEN(1620,2416)))</f>
        <v>76473507.035016418</v>
      </c>
      <c r="B8072">
        <v>201661493.81319514</v>
      </c>
    </row>
    <row r="8073" spans="1:2" x14ac:dyDescent="0.25">
      <c r="A8073">
        <f ca="1">31386.7345992295*((RANDBETWEEN(1620,2416)))</f>
        <v>68862495.710709482</v>
      </c>
      <c r="B8073">
        <v>151897713.76447314</v>
      </c>
    </row>
    <row r="8074" spans="1:2" x14ac:dyDescent="0.25">
      <c r="A8074">
        <f ca="1">31939.7903052584*((RANDBETWEEN(1620,2416)))</f>
        <v>71353491.54194726</v>
      </c>
      <c r="B8074">
        <v>198736759.43096957</v>
      </c>
    </row>
    <row r="8075" spans="1:2" x14ac:dyDescent="0.25">
      <c r="A8075">
        <f ca="1">32993.2176827795*((RANDBETWEEN(1620,2416)))</f>
        <v>55923503.972311325</v>
      </c>
      <c r="B8075">
        <v>144931717.00458598</v>
      </c>
    </row>
    <row r="8076" spans="1:2" x14ac:dyDescent="0.25">
      <c r="A8076">
        <f ca="1">32204.5478598668*((RANDBETWEEN(1620,2416)))</f>
        <v>72395823.588980451</v>
      </c>
      <c r="B8076">
        <v>158211001.0867978</v>
      </c>
    </row>
    <row r="8077" spans="1:2" x14ac:dyDescent="0.25">
      <c r="A8077">
        <f ca="1">40000.5217715791*((RANDBETWEEN(1620,2416)))</f>
        <v>81361061.283391967</v>
      </c>
      <c r="B8077">
        <v>170022927.64011705</v>
      </c>
    </row>
    <row r="8078" spans="1:2" x14ac:dyDescent="0.25">
      <c r="A8078">
        <f ca="1">32256.8661560709*((RANDBETWEEN(1620,2416)))</f>
        <v>57997845.348615587</v>
      </c>
      <c r="B8078">
        <v>159857842.14698556</v>
      </c>
    </row>
    <row r="8079" spans="1:2" x14ac:dyDescent="0.25">
      <c r="A8079">
        <f ca="1">39299.1538412114*((RANDBETWEEN(1620,2416)))</f>
        <v>70463382.837292001</v>
      </c>
      <c r="B8079">
        <v>194032906.69527847</v>
      </c>
    </row>
    <row r="8080" spans="1:2" x14ac:dyDescent="0.25">
      <c r="A8080">
        <f ca="1">29680.3115902369*((RANDBETWEEN(1620,2416)))</f>
        <v>71292108.439749077</v>
      </c>
      <c r="B8080">
        <v>161161332.93546611</v>
      </c>
    </row>
    <row r="8081" spans="1:2" x14ac:dyDescent="0.25">
      <c r="A8081">
        <f ca="1">38851.2106220609*((RANDBETWEEN(1620,2416)))</f>
        <v>63016663.628982849</v>
      </c>
      <c r="B8081">
        <v>172828311.47455895</v>
      </c>
    </row>
    <row r="8082" spans="1:2" x14ac:dyDescent="0.25">
      <c r="A8082">
        <f ca="1">30484.245566227*((RANDBETWEEN(1620,2416)))</f>
        <v>51670796.234754764</v>
      </c>
      <c r="B8082">
        <v>173011717.97307727</v>
      </c>
    </row>
    <row r="8083" spans="1:2" x14ac:dyDescent="0.25">
      <c r="A8083">
        <f ca="1">39233.4366649873*((RANDBETWEEN(1620,2416)))</f>
        <v>63872034.890599415</v>
      </c>
      <c r="B8083">
        <v>148536948.27006409</v>
      </c>
    </row>
    <row r="8084" spans="1:2" x14ac:dyDescent="0.25">
      <c r="A8084">
        <f ca="1">30615.632737359*((RANDBETWEEN(1620,2416)))</f>
        <v>69803642.641178414</v>
      </c>
      <c r="B8084">
        <v>151861769.45548961</v>
      </c>
    </row>
    <row r="8085" spans="1:2" x14ac:dyDescent="0.25">
      <c r="A8085">
        <f ca="1">38633.4317696947*((RANDBETWEEN(1620,2416)))</f>
        <v>63899696.147075042</v>
      </c>
      <c r="B8085">
        <v>167155366.53370821</v>
      </c>
    </row>
    <row r="8086" spans="1:2" x14ac:dyDescent="0.25">
      <c r="A8086">
        <f ca="1">33316.478572133*((RANDBETWEEN(1620,2416)))</f>
        <v>56138266.394044183</v>
      </c>
      <c r="B8086">
        <v>143703970.89551398</v>
      </c>
    </row>
    <row r="8087" spans="1:2" x14ac:dyDescent="0.25">
      <c r="A8087">
        <f ca="1">32641.569002884*((RANDBETWEEN(1620,2416)))</f>
        <v>63912192.10764692</v>
      </c>
      <c r="B8087">
        <v>172882821.51031667</v>
      </c>
    </row>
    <row r="8088" spans="1:2" x14ac:dyDescent="0.25">
      <c r="A8088">
        <f ca="1">31043.3939138621*((RANDBETWEEN(1620,2416)))</f>
        <v>52928986.623134896</v>
      </c>
      <c r="B8088">
        <v>186784436.5733811</v>
      </c>
    </row>
    <row r="8089" spans="1:2" x14ac:dyDescent="0.25">
      <c r="A8089">
        <f ca="1">32252.6895287329*((RANDBETWEEN(1620,2416)))</f>
        <v>62054174.653282076</v>
      </c>
      <c r="B8089">
        <v>152954797.95522892</v>
      </c>
    </row>
    <row r="8090" spans="1:2" x14ac:dyDescent="0.25">
      <c r="A8090">
        <f ca="1">31873.7659913546*((RANDBETWEEN(1620,2416)))</f>
        <v>51922364.7999167</v>
      </c>
      <c r="B8090">
        <v>194910610.28610468</v>
      </c>
    </row>
    <row r="8091" spans="1:2" x14ac:dyDescent="0.25">
      <c r="A8091">
        <f ca="1">32754.4844221252*((RANDBETWEEN(1620,2416)))</f>
        <v>78250463.284457058</v>
      </c>
      <c r="B8091">
        <v>182803736.27740389</v>
      </c>
    </row>
    <row r="8092" spans="1:2" x14ac:dyDescent="0.25">
      <c r="A8092">
        <f ca="1">38014.5526174576*((RANDBETWEEN(1620,2416)))</f>
        <v>66563481.63316831</v>
      </c>
      <c r="B8092">
        <v>184174642.56989068</v>
      </c>
    </row>
    <row r="8093" spans="1:2" x14ac:dyDescent="0.25">
      <c r="A8093">
        <f ca="1">36768.8213947136*((RANDBETWEEN(1620,2416)))</f>
        <v>65889727.939326726</v>
      </c>
      <c r="B8093">
        <v>167493952.646752</v>
      </c>
    </row>
    <row r="8094" spans="1:2" x14ac:dyDescent="0.25">
      <c r="A8094">
        <f ca="1">30827.2610579776*((RANDBETWEEN(1620,2416)))</f>
        <v>58479314.226983592</v>
      </c>
      <c r="B8094">
        <v>195768848.39054251</v>
      </c>
    </row>
    <row r="8095" spans="1:2" x14ac:dyDescent="0.25">
      <c r="A8095">
        <f ca="1">40330.9331209099*((RANDBETWEEN(1620,2416)))</f>
        <v>79088959.850104392</v>
      </c>
      <c r="B8095">
        <v>189796026.3630119</v>
      </c>
    </row>
    <row r="8096" spans="1:2" x14ac:dyDescent="0.25">
      <c r="A8096">
        <f ca="1">30374.5326869656*((RANDBETWEEN(1620,2416)))</f>
        <v>54795656.967285961</v>
      </c>
      <c r="B8096">
        <v>151377574.61458126</v>
      </c>
    </row>
    <row r="8097" spans="1:2" x14ac:dyDescent="0.25">
      <c r="A8097">
        <f ca="1">31067.9958553985*((RANDBETWEEN(1620,2416)))</f>
        <v>59557348.054798871</v>
      </c>
      <c r="B8097">
        <v>144147243.27467173</v>
      </c>
    </row>
    <row r="8098" spans="1:2" x14ac:dyDescent="0.25">
      <c r="A8098">
        <f ca="1">31353.1558088719*((RANDBETWEEN(1620,2416)))</f>
        <v>55244260.535232268</v>
      </c>
      <c r="B8098">
        <v>147004991.70270002</v>
      </c>
    </row>
    <row r="8099" spans="1:2" x14ac:dyDescent="0.25">
      <c r="A8099">
        <f ca="1">31612.2617870388*((RANDBETWEEN(1620,2416)))</f>
        <v>53740845.037966013</v>
      </c>
      <c r="B8099">
        <v>186270337.96253464</v>
      </c>
    </row>
    <row r="8100" spans="1:2" x14ac:dyDescent="0.25">
      <c r="A8100">
        <f ca="1">30522.0441664064*((RANDBETWEEN(1620,2416)))</f>
        <v>50971813.757898733</v>
      </c>
      <c r="B8100">
        <v>143792912.36425245</v>
      </c>
    </row>
    <row r="8101" spans="1:2" x14ac:dyDescent="0.25">
      <c r="A8101">
        <f ca="1">33793.7902930765*((RANDBETWEEN(1620,2416)))</f>
        <v>75833265.417663768</v>
      </c>
      <c r="B8101">
        <v>182026042.15563086</v>
      </c>
    </row>
    <row r="8102" spans="1:2" x14ac:dyDescent="0.25">
      <c r="A8102">
        <f ca="1">32567.5505787164*((RANDBETWEEN(1620,2416)))</f>
        <v>53215377.645622574</v>
      </c>
      <c r="B8102">
        <v>185964711.05409953</v>
      </c>
    </row>
    <row r="8103" spans="1:2" x14ac:dyDescent="0.25">
      <c r="A8103">
        <f ca="1">32957.3955866502*((RANDBETWEEN(1620,2416)))</f>
        <v>66771683.458553262</v>
      </c>
      <c r="B8103">
        <v>168812717.18518969</v>
      </c>
    </row>
    <row r="8104" spans="1:2" x14ac:dyDescent="0.25">
      <c r="A8104">
        <f ca="1">38186.234820994*((RANDBETWEEN(1620,2416)))</f>
        <v>74234040.492012352</v>
      </c>
      <c r="B8104">
        <v>158848452.09771663</v>
      </c>
    </row>
    <row r="8105" spans="1:2" x14ac:dyDescent="0.25">
      <c r="A8105">
        <f ca="1">34146.2689303931*((RANDBETWEEN(1620,2416)))</f>
        <v>72902284.166389346</v>
      </c>
      <c r="B8105">
        <v>175277879.34121251</v>
      </c>
    </row>
    <row r="8106" spans="1:2" x14ac:dyDescent="0.25">
      <c r="A8106">
        <f ca="1">32292.1694654833*((RANDBETWEEN(1620,2416)))</f>
        <v>73949068.075956747</v>
      </c>
      <c r="B8106">
        <v>201836084.68481362</v>
      </c>
    </row>
    <row r="8107" spans="1:2" x14ac:dyDescent="0.25">
      <c r="A8107">
        <f ca="1">28951.0409008578*((RANDBETWEEN(1620,2416)))</f>
        <v>67050610.726386584</v>
      </c>
      <c r="B8107">
        <v>197397342.18510643</v>
      </c>
    </row>
    <row r="8108" spans="1:2" x14ac:dyDescent="0.25">
      <c r="A8108">
        <f ca="1">39274.6094779686*((RANDBETWEEN(1620,2416)))</f>
        <v>92059684.616358459</v>
      </c>
      <c r="B8108">
        <v>153570188.18142974</v>
      </c>
    </row>
    <row r="8109" spans="1:2" x14ac:dyDescent="0.25">
      <c r="A8109">
        <f ca="1">30086.037135463*((RANDBETWEEN(1620,2416)))</f>
        <v>66911346.589269646</v>
      </c>
      <c r="B8109">
        <v>148042124.27824935</v>
      </c>
    </row>
    <row r="8110" spans="1:2" x14ac:dyDescent="0.25">
      <c r="A8110">
        <f ca="1">33252.4125070712*((RANDBETWEEN(1620,2416)))</f>
        <v>75715743.278601214</v>
      </c>
      <c r="B8110">
        <v>154989661.87790656</v>
      </c>
    </row>
    <row r="8111" spans="1:2" x14ac:dyDescent="0.25">
      <c r="A8111">
        <f ca="1">34497.28431713*((RANDBETWEEN(1620,2416)))</f>
        <v>55920097.878067687</v>
      </c>
      <c r="B8111">
        <v>182917294.67116201</v>
      </c>
    </row>
    <row r="8112" spans="1:2" x14ac:dyDescent="0.25">
      <c r="A8112">
        <f ca="1">31356.2269019523*((RANDBETWEEN(1620,2416)))</f>
        <v>51894555.522730999</v>
      </c>
      <c r="B8112">
        <v>174789436.33944896</v>
      </c>
    </row>
    <row r="8113" spans="1:2" x14ac:dyDescent="0.25">
      <c r="A8113">
        <f ca="1">34873.8501517152*((RANDBETWEEN(1620,2416)))</f>
        <v>80872458.501827508</v>
      </c>
      <c r="B8113">
        <v>165809389.13585219</v>
      </c>
    </row>
    <row r="8114" spans="1:2" x14ac:dyDescent="0.25">
      <c r="A8114">
        <f ca="1">32758.2844379705*((RANDBETWEEN(1620,2416)))</f>
        <v>61913157.587764315</v>
      </c>
      <c r="B8114">
        <v>152823840.91809365</v>
      </c>
    </row>
    <row r="8115" spans="1:2" x14ac:dyDescent="0.25">
      <c r="A8115">
        <f ca="1">32655.0375419356*((RANDBETWEEN(1620,2416)))</f>
        <v>59334203.213697009</v>
      </c>
      <c r="B8115">
        <v>181476937.87518916</v>
      </c>
    </row>
    <row r="8116" spans="1:2" x14ac:dyDescent="0.25">
      <c r="A8116">
        <f ca="1">37277.6968969201*((RANDBETWEEN(1620,2416)))</f>
        <v>64527693.328568712</v>
      </c>
      <c r="B8116">
        <v>160426389.14251617</v>
      </c>
    </row>
    <row r="8117" spans="1:2" x14ac:dyDescent="0.25">
      <c r="A8117">
        <f ca="1">35374.8357891568*((RANDBETWEEN(1620,2416)))</f>
        <v>64276076.628897898</v>
      </c>
      <c r="B8117">
        <v>178633630.66093984</v>
      </c>
    </row>
    <row r="8118" spans="1:2" x14ac:dyDescent="0.25">
      <c r="A8118">
        <f ca="1">35403.5125239221*((RANDBETWEEN(1620,2416)))</f>
        <v>66912638.670212798</v>
      </c>
      <c r="B8118">
        <v>152367640.02894753</v>
      </c>
    </row>
    <row r="8119" spans="1:2" x14ac:dyDescent="0.25">
      <c r="A8119">
        <f ca="1">30661.5445740113*((RANDBETWEEN(1620,2416)))</f>
        <v>73189106.898165092</v>
      </c>
      <c r="B8119">
        <v>165939412.74484909</v>
      </c>
    </row>
    <row r="8120" spans="1:2" x14ac:dyDescent="0.25">
      <c r="A8120">
        <f ca="1">40464.3858361873*((RANDBETWEEN(1620,2416)))</f>
        <v>74899578.18278268</v>
      </c>
      <c r="B8120">
        <v>181436095.2275106</v>
      </c>
    </row>
    <row r="8121" spans="1:2" x14ac:dyDescent="0.25">
      <c r="A8121">
        <f ca="1">33675.410317124*((RANDBETWEEN(1620,2416)))</f>
        <v>75298217.469089255</v>
      </c>
      <c r="B8121">
        <v>197460819.78584617</v>
      </c>
    </row>
    <row r="8122" spans="1:2" x14ac:dyDescent="0.25">
      <c r="A8122">
        <f ca="1">37336.1406139351*((RANDBETWEEN(1620,2416)))</f>
        <v>78480567.570491537</v>
      </c>
      <c r="B8122">
        <v>181808955.6492559</v>
      </c>
    </row>
    <row r="8123" spans="1:2" x14ac:dyDescent="0.25">
      <c r="A8123">
        <f ca="1">32028.2514053784*((RANDBETWEEN(1620,2416)))</f>
        <v>63544050.788270734</v>
      </c>
      <c r="B8123">
        <v>161109543.54651833</v>
      </c>
    </row>
    <row r="8124" spans="1:2" x14ac:dyDescent="0.25">
      <c r="A8124">
        <f ca="1">36019.1592226986*((RANDBETWEEN(1620,2416)))</f>
        <v>70129303.006594107</v>
      </c>
      <c r="B8124">
        <v>153425923.10172749</v>
      </c>
    </row>
    <row r="8125" spans="1:2" x14ac:dyDescent="0.25">
      <c r="A8125">
        <f ca="1">39069.582980062*((RANDBETWEEN(1620,2416)))</f>
        <v>84429368.819914043</v>
      </c>
      <c r="B8125">
        <v>145799253.02186829</v>
      </c>
    </row>
    <row r="8126" spans="1:2" x14ac:dyDescent="0.25">
      <c r="A8126">
        <f ca="1">33311.3691545541*((RANDBETWEEN(1620,2416)))</f>
        <v>66389558.725026235</v>
      </c>
      <c r="B8126">
        <v>164090252.29560304</v>
      </c>
    </row>
    <row r="8127" spans="1:2" x14ac:dyDescent="0.25">
      <c r="A8127">
        <f ca="1">42225.4862357931*((RANDBETWEEN(1620,2416)))</f>
        <v>100074402.37882969</v>
      </c>
      <c r="B8127">
        <v>172622922.61750597</v>
      </c>
    </row>
    <row r="8128" spans="1:2" x14ac:dyDescent="0.25">
      <c r="A8128">
        <f ca="1">32182.1571360998*((RANDBETWEEN(1620,2416)))</f>
        <v>74405147.298662677</v>
      </c>
      <c r="B8128">
        <v>202087660.32210645</v>
      </c>
    </row>
    <row r="8129" spans="1:2" x14ac:dyDescent="0.25">
      <c r="A8129">
        <f ca="1">31258.4496348433*((RANDBETWEEN(1620,2416)))</f>
        <v>71581849.663791224</v>
      </c>
      <c r="B8129">
        <v>181694769.55448848</v>
      </c>
    </row>
    <row r="8130" spans="1:2" x14ac:dyDescent="0.25">
      <c r="A8130">
        <f ca="1">28859.2735139029*((RANDBETWEEN(1620,2416)))</f>
        <v>59911851.8148624</v>
      </c>
      <c r="B8130">
        <v>165160662.807899</v>
      </c>
    </row>
    <row r="8131" spans="1:2" x14ac:dyDescent="0.25">
      <c r="A8131">
        <f ca="1">33144.7182488692*((RANDBETWEEN(1620,2416)))</f>
        <v>66488304.807231687</v>
      </c>
      <c r="B8131">
        <v>146674834.67688337</v>
      </c>
    </row>
    <row r="8132" spans="1:2" x14ac:dyDescent="0.25">
      <c r="A8132">
        <f ca="1">35874.9171699703*((RANDBETWEEN(1620,2416)))</f>
        <v>65256474.332176015</v>
      </c>
      <c r="B8132">
        <v>144617989.1663433</v>
      </c>
    </row>
    <row r="8133" spans="1:2" x14ac:dyDescent="0.25">
      <c r="A8133">
        <f ca="1">41511.2210893464*((RANDBETWEEN(1620,2416)))</f>
        <v>79701544.491545171</v>
      </c>
      <c r="B8133">
        <v>165247654.55222774</v>
      </c>
    </row>
    <row r="8134" spans="1:2" x14ac:dyDescent="0.25">
      <c r="A8134">
        <f ca="1">34112.9963957237*((RANDBETWEEN(1620,2416)))</f>
        <v>63688964.270816214</v>
      </c>
      <c r="B8134">
        <v>199094883.04258034</v>
      </c>
    </row>
    <row r="8135" spans="1:2" x14ac:dyDescent="0.25">
      <c r="A8135">
        <f ca="1">32410.8310847452*((RANDBETWEEN(1620,2416)))</f>
        <v>74642143.98816824</v>
      </c>
      <c r="B8135">
        <v>180234885.56630251</v>
      </c>
    </row>
    <row r="8136" spans="1:2" x14ac:dyDescent="0.25">
      <c r="A8136">
        <f ca="1">35617.242732773*((RANDBETWEEN(1620,2416)))</f>
        <v>75757875.292608216</v>
      </c>
      <c r="B8136">
        <v>154292319.72067022</v>
      </c>
    </row>
    <row r="8137" spans="1:2" x14ac:dyDescent="0.25">
      <c r="A8137">
        <f ca="1">37723.7471409302*((RANDBETWEEN(1620,2416)))</f>
        <v>86651447.182716757</v>
      </c>
      <c r="B8137">
        <v>165740654.37621504</v>
      </c>
    </row>
    <row r="8138" spans="1:2" x14ac:dyDescent="0.25">
      <c r="A8138">
        <f ca="1">41371.8977493885*((RANDBETWEEN(1620,2416)))</f>
        <v>90397596.582413793</v>
      </c>
      <c r="B8138">
        <v>148142468.75088322</v>
      </c>
    </row>
    <row r="8139" spans="1:2" x14ac:dyDescent="0.25">
      <c r="A8139">
        <f ca="1">33871.9973050898*((RANDBETWEEN(1620,2416)))</f>
        <v>78515289.753198072</v>
      </c>
      <c r="B8139">
        <v>146984768.21231699</v>
      </c>
    </row>
    <row r="8140" spans="1:2" x14ac:dyDescent="0.25">
      <c r="A8140">
        <f ca="1">40524.1273917542*((RANDBETWEEN(1620,2416)))</f>
        <v>68526299.419456348</v>
      </c>
      <c r="B8140">
        <v>145954461.47363454</v>
      </c>
    </row>
    <row r="8141" spans="1:2" x14ac:dyDescent="0.25">
      <c r="A8141">
        <f ca="1">35701.8612832658*((RANDBETWEEN(1620,2416)))</f>
        <v>58301139.475573115</v>
      </c>
      <c r="B8141">
        <v>191199346.53019428</v>
      </c>
    </row>
    <row r="8142" spans="1:2" x14ac:dyDescent="0.25">
      <c r="A8142">
        <f ca="1">33058.2539198788*((RANDBETWEEN(1620,2416)))</f>
        <v>54116361.666841544</v>
      </c>
      <c r="B8142">
        <v>183414935.37781519</v>
      </c>
    </row>
    <row r="8143" spans="1:2" x14ac:dyDescent="0.25">
      <c r="A8143">
        <f ca="1">35066.2979615363*((RANDBETWEEN(1620,2416)))</f>
        <v>79214767.095110565</v>
      </c>
      <c r="B8143">
        <v>148111026.76383144</v>
      </c>
    </row>
    <row r="8144" spans="1:2" x14ac:dyDescent="0.25">
      <c r="A8144">
        <f ca="1">31011.8150680712*((RANDBETWEEN(1620,2416)))</f>
        <v>62147677.396414615</v>
      </c>
      <c r="B8144">
        <v>148366152.91042295</v>
      </c>
    </row>
    <row r="8145" spans="1:2" x14ac:dyDescent="0.25">
      <c r="A8145">
        <f ca="1">31322.8853604637*((RANDBETWEEN(1620,2416)))</f>
        <v>69568128.385589987</v>
      </c>
      <c r="B8145">
        <v>160777543.66295719</v>
      </c>
    </row>
    <row r="8146" spans="1:2" x14ac:dyDescent="0.25">
      <c r="A8146">
        <f ca="1">39302.6699217741*((RANDBETWEEN(1620,2416)))</f>
        <v>89452876.741958037</v>
      </c>
      <c r="B8146">
        <v>143751678.85664284</v>
      </c>
    </row>
    <row r="8147" spans="1:2" x14ac:dyDescent="0.25">
      <c r="A8147">
        <f ca="1">30678.1927785735*((RANDBETWEEN(1620,2416)))</f>
        <v>64823021.341125727</v>
      </c>
      <c r="B8147">
        <v>167996806.06236032</v>
      </c>
    </row>
    <row r="8148" spans="1:2" x14ac:dyDescent="0.25">
      <c r="A8148">
        <f ca="1">41562.9922891149*((RANDBETWEEN(1620,2416)))</f>
        <v>71779287.683301479</v>
      </c>
      <c r="B8148">
        <v>190421686.48523375</v>
      </c>
    </row>
    <row r="8149" spans="1:2" x14ac:dyDescent="0.25">
      <c r="A8149">
        <f ca="1">40154.7003157521*((RANDBETWEEN(1620,2416)))</f>
        <v>96732673.060646832</v>
      </c>
      <c r="B8149">
        <v>171280952.6127201</v>
      </c>
    </row>
    <row r="8150" spans="1:2" x14ac:dyDescent="0.25">
      <c r="A8150">
        <f ca="1">27755.8493253163*((RANDBETWEEN(1620,2416)))</f>
        <v>56427641.678368025</v>
      </c>
      <c r="B8150">
        <v>178097425.11204088</v>
      </c>
    </row>
    <row r="8151" spans="1:2" x14ac:dyDescent="0.25">
      <c r="A8151">
        <f ca="1">33959.0944869429*((RANDBETWEEN(1620,2416)))</f>
        <v>66254193.344025642</v>
      </c>
      <c r="B8151">
        <v>180424604.4757826</v>
      </c>
    </row>
    <row r="8152" spans="1:2" x14ac:dyDescent="0.25">
      <c r="A8152">
        <f ca="1">30677.9818309426*((RANDBETWEEN(1620,2416)))</f>
        <v>58349521.442452855</v>
      </c>
      <c r="B8152">
        <v>188485390.03871217</v>
      </c>
    </row>
    <row r="8153" spans="1:2" x14ac:dyDescent="0.25">
      <c r="A8153">
        <f ca="1">30089.1194280758*((RANDBETWEEN(1620,2416)))</f>
        <v>53468365.223690778</v>
      </c>
      <c r="B8153">
        <v>180468687.49760631</v>
      </c>
    </row>
    <row r="8154" spans="1:2" x14ac:dyDescent="0.25">
      <c r="A8154">
        <f ca="1">28085.0120380916*((RANDBETWEEN(1620,2416)))</f>
        <v>60804051.062468372</v>
      </c>
      <c r="B8154">
        <v>149748296.26079267</v>
      </c>
    </row>
    <row r="8155" spans="1:2" x14ac:dyDescent="0.25">
      <c r="A8155">
        <f ca="1">31636.8856132845*((RANDBETWEEN(1620,2416)))</f>
        <v>54700175.225368857</v>
      </c>
      <c r="B8155">
        <v>158107450.54337233</v>
      </c>
    </row>
    <row r="8156" spans="1:2" x14ac:dyDescent="0.25">
      <c r="A8156">
        <f ca="1">32980.8875613441*((RANDBETWEEN(1620,2416)))</f>
        <v>72426029.084711626</v>
      </c>
      <c r="B8156">
        <v>193203641.77203047</v>
      </c>
    </row>
    <row r="8157" spans="1:2" x14ac:dyDescent="0.25">
      <c r="A8157">
        <f ca="1">31004.4237141123*((RANDBETWEEN(1620,2416)))</f>
        <v>66318462.324486218</v>
      </c>
      <c r="B8157">
        <v>185212103.16377768</v>
      </c>
    </row>
    <row r="8158" spans="1:2" x14ac:dyDescent="0.25">
      <c r="A8158">
        <f ca="1">28605.2353799284*((RANDBETWEEN(1620,2416)))</f>
        <v>51746870.802290447</v>
      </c>
      <c r="B8158">
        <v>145105234.8148008</v>
      </c>
    </row>
    <row r="8159" spans="1:2" x14ac:dyDescent="0.25">
      <c r="A8159">
        <f ca="1">31190.3791466785*((RANDBETWEEN(1620,2416)))</f>
        <v>52212694.691539891</v>
      </c>
      <c r="B8159">
        <v>160353788.05293751</v>
      </c>
    </row>
    <row r="8160" spans="1:2" x14ac:dyDescent="0.25">
      <c r="A8160">
        <f ca="1">31465.3911148256*((RANDBETWEEN(1620,2416)))</f>
        <v>52673064.726218067</v>
      </c>
      <c r="B8160">
        <v>176233379.06900856</v>
      </c>
    </row>
    <row r="8161" spans="1:2" x14ac:dyDescent="0.25">
      <c r="A8161">
        <f ca="1">29135.7350357597*((RANDBETWEEN(1620,2416)))</f>
        <v>63778123.993277937</v>
      </c>
      <c r="B8161">
        <v>158008638.61446252</v>
      </c>
    </row>
    <row r="8162" spans="1:2" x14ac:dyDescent="0.25">
      <c r="A8162">
        <f ca="1">40253.3360290021*((RANDBETWEEN(1620,2416)))</f>
        <v>89805192.68070361</v>
      </c>
      <c r="B8162">
        <v>143967147.26411432</v>
      </c>
    </row>
    <row r="8163" spans="1:2" x14ac:dyDescent="0.25">
      <c r="A8163">
        <f ca="1">33232.9248156993*((RANDBETWEEN(1620,2416)))</f>
        <v>73777093.090852499</v>
      </c>
      <c r="B8163">
        <v>185445450.41935426</v>
      </c>
    </row>
    <row r="8164" spans="1:2" x14ac:dyDescent="0.25">
      <c r="A8164">
        <f ca="1">32390.5173621881*((RANDBETWEEN(1620,2416)))</f>
        <v>58983132.116544574</v>
      </c>
      <c r="B8164">
        <v>189297865.07153714</v>
      </c>
    </row>
    <row r="8165" spans="1:2" x14ac:dyDescent="0.25">
      <c r="A8165">
        <f ca="1">38319.5255250112*((RANDBETWEEN(1620,2416)))</f>
        <v>64759998.137268849</v>
      </c>
      <c r="B8165">
        <v>172913425.79321396</v>
      </c>
    </row>
    <row r="8166" spans="1:2" x14ac:dyDescent="0.25">
      <c r="A8166">
        <f ca="1">31823.7676352862*((RANDBETWEEN(1620,2416)))</f>
        <v>63615711.502937071</v>
      </c>
      <c r="B8166">
        <v>202932775.13975269</v>
      </c>
    </row>
    <row r="8167" spans="1:2" x14ac:dyDescent="0.25">
      <c r="A8167">
        <f ca="1">29583.775192297*((RANDBETWEEN(1620,2416)))</f>
        <v>69433120.376321077</v>
      </c>
      <c r="B8167">
        <v>181147924.81330293</v>
      </c>
    </row>
    <row r="8168" spans="1:2" x14ac:dyDescent="0.25">
      <c r="A8168">
        <f ca="1">29744.9754387388*((RANDBETWEEN(1620,2416)))</f>
        <v>65528180.891541675</v>
      </c>
      <c r="B8168">
        <v>173677572.78561848</v>
      </c>
    </row>
    <row r="8169" spans="1:2" x14ac:dyDescent="0.25">
      <c r="A8169">
        <f ca="1">32564.3415125052*((RANDBETWEEN(1620,2416)))</f>
        <v>61058140.335947193</v>
      </c>
      <c r="B8169">
        <v>156298146.85742319</v>
      </c>
    </row>
    <row r="8170" spans="1:2" x14ac:dyDescent="0.25">
      <c r="A8170">
        <f ca="1">28639.1261825192*((RANDBETWEEN(1620,2416)))</f>
        <v>50032553.440861084</v>
      </c>
      <c r="B8170">
        <v>195449463.28808412</v>
      </c>
    </row>
    <row r="8171" spans="1:2" x14ac:dyDescent="0.25">
      <c r="A8171">
        <f ca="1">40585.7001670738*((RANDBETWEEN(1620,2416)))</f>
        <v>70010332.788202226</v>
      </c>
      <c r="B8171">
        <v>145802233.07097569</v>
      </c>
    </row>
    <row r="8172" spans="1:2" x14ac:dyDescent="0.25">
      <c r="A8172">
        <f ca="1">30728.8431333786*((RANDBETWEEN(1620,2416)))</f>
        <v>58599903.855352946</v>
      </c>
      <c r="B8172">
        <v>189242241.41681635</v>
      </c>
    </row>
    <row r="8173" spans="1:2" x14ac:dyDescent="0.25">
      <c r="A8173">
        <f ca="1">32289.5224245807*((RANDBETWEEN(1620,2416)))</f>
        <v>64514465.804312244</v>
      </c>
      <c r="B8173">
        <v>193848578.97349641</v>
      </c>
    </row>
    <row r="8174" spans="1:2" x14ac:dyDescent="0.25">
      <c r="A8174">
        <f ca="1">34106.2340591844*((RANDBETWEEN(1620,2416)))</f>
        <v>70940966.843103617</v>
      </c>
      <c r="B8174">
        <v>150057150.86766461</v>
      </c>
    </row>
    <row r="8175" spans="1:2" x14ac:dyDescent="0.25">
      <c r="A8175">
        <f ca="1">39773.6697747304*((RANDBETWEEN(1620,2416)))</f>
        <v>76683635.325680211</v>
      </c>
      <c r="B8175">
        <v>173665308.64163253</v>
      </c>
    </row>
    <row r="8176" spans="1:2" x14ac:dyDescent="0.25">
      <c r="A8176">
        <f ca="1">36753.732308543*((RANDBETWEEN(1620,2416)))</f>
        <v>88208957.540503144</v>
      </c>
      <c r="B8176">
        <v>162453567.60698697</v>
      </c>
    </row>
    <row r="8177" spans="1:2" x14ac:dyDescent="0.25">
      <c r="A8177">
        <f ca="1">31226.5435169684*((RANDBETWEEN(1620,2416)))</f>
        <v>55989192.52592431</v>
      </c>
      <c r="B8177">
        <v>161221936.71561176</v>
      </c>
    </row>
    <row r="8178" spans="1:2" x14ac:dyDescent="0.25">
      <c r="A8178">
        <f ca="1">31573.4756013157*((RANDBETWEEN(1620,2416)))</f>
        <v>75113298.455530018</v>
      </c>
      <c r="B8178">
        <v>195248298.07583839</v>
      </c>
    </row>
    <row r="8179" spans="1:2" x14ac:dyDescent="0.25">
      <c r="A8179">
        <f ca="1">36402.5132257738*((RANDBETWEEN(1620,2416)))</f>
        <v>85727918.646697327</v>
      </c>
      <c r="B8179">
        <v>144655462.95091021</v>
      </c>
    </row>
    <row r="8180" spans="1:2" x14ac:dyDescent="0.25">
      <c r="A8180">
        <f ca="1">33819.1902660554*((RANDBETWEEN(1620,2416)))</f>
        <v>63241885.797523685</v>
      </c>
      <c r="B8180">
        <v>167492594.75114214</v>
      </c>
    </row>
    <row r="8181" spans="1:2" x14ac:dyDescent="0.25">
      <c r="A8181">
        <f ca="1">32365.5034113864*((RANDBETWEEN(1620,2416)))</f>
        <v>64795737.829595573</v>
      </c>
      <c r="B8181">
        <v>190097809.14400905</v>
      </c>
    </row>
    <row r="8182" spans="1:2" x14ac:dyDescent="0.25">
      <c r="A8182">
        <f ca="1">30812.2517929784*((RANDBETWEEN(1620,2416)))</f>
        <v>69389191.037787423</v>
      </c>
      <c r="B8182">
        <v>151408427.56833026</v>
      </c>
    </row>
    <row r="8183" spans="1:2" x14ac:dyDescent="0.25">
      <c r="A8183">
        <f ca="1">28953.7868605272*((RANDBETWEEN(1620,2416)))</f>
        <v>53303921.61023064</v>
      </c>
      <c r="B8183">
        <v>143907533.10203254</v>
      </c>
    </row>
    <row r="8184" spans="1:2" x14ac:dyDescent="0.25">
      <c r="A8184">
        <f ca="1">41061.6473530867*((RANDBETWEEN(1620,2416)))</f>
        <v>92922507.96003516</v>
      </c>
      <c r="B8184">
        <v>144665771.14343321</v>
      </c>
    </row>
    <row r="8185" spans="1:2" x14ac:dyDescent="0.25">
      <c r="A8185">
        <f ca="1">30351.9773363576*((RANDBETWEEN(1620,2416)))</f>
        <v>72875097.584594652</v>
      </c>
      <c r="B8185">
        <v>176665867.03279215</v>
      </c>
    </row>
    <row r="8186" spans="1:2" x14ac:dyDescent="0.25">
      <c r="A8186">
        <f ca="1">29922.1970550694*((RANDBETWEEN(1620,2416)))</f>
        <v>70436851.867633432</v>
      </c>
      <c r="B8186">
        <v>168926464.77727699</v>
      </c>
    </row>
    <row r="8187" spans="1:2" x14ac:dyDescent="0.25">
      <c r="A8187">
        <f ca="1">30092.9918749545*((RANDBETWEEN(1620,2416)))</f>
        <v>62533237.116155393</v>
      </c>
      <c r="B8187">
        <v>189276495.33180785</v>
      </c>
    </row>
    <row r="8188" spans="1:2" x14ac:dyDescent="0.25">
      <c r="A8188">
        <f ca="1">39919.4287866852*((RANDBETWEEN(1620,2416)))</f>
        <v>83072331.305091962</v>
      </c>
      <c r="B8188">
        <v>143669823.89737338</v>
      </c>
    </row>
    <row r="8189" spans="1:2" x14ac:dyDescent="0.25">
      <c r="A8189">
        <f ca="1">33168.2365978628*((RANDBETWEEN(1620,2416)))</f>
        <v>58210255.229249276</v>
      </c>
      <c r="B8189">
        <v>170026215.75143766</v>
      </c>
    </row>
    <row r="8190" spans="1:2" x14ac:dyDescent="0.25">
      <c r="A8190">
        <f ca="1">30870.8707817656*((RANDBETWEEN(1620,2416)))</f>
        <v>65014053.866398297</v>
      </c>
      <c r="B8190">
        <v>175549932.25109443</v>
      </c>
    </row>
    <row r="8191" spans="1:2" x14ac:dyDescent="0.25">
      <c r="A8191">
        <f ca="1">29579.3051347089*((RANDBETWEEN(1620,2416)))</f>
        <v>68061981.114965096</v>
      </c>
      <c r="B8191">
        <v>203656619.06097382</v>
      </c>
    </row>
    <row r="8192" spans="1:2" x14ac:dyDescent="0.25">
      <c r="A8192">
        <f ca="1">27258.4490073485*((RANDBETWEEN(1620,2416)))</f>
        <v>49828444.785433136</v>
      </c>
      <c r="B8192">
        <v>160800067.57219347</v>
      </c>
    </row>
    <row r="8193" spans="1:2" x14ac:dyDescent="0.25">
      <c r="A8193">
        <f ca="1">34627.7123470852*((RANDBETWEEN(1620,2416)))</f>
        <v>65619514.897726446</v>
      </c>
      <c r="B8193">
        <v>145061177.33753005</v>
      </c>
    </row>
    <row r="8194" spans="1:2" x14ac:dyDescent="0.25">
      <c r="A8194">
        <f ca="1">28685.7803923164*((RANDBETWEEN(1620,2416)))</f>
        <v>68444272.016066879</v>
      </c>
      <c r="B8194">
        <v>187814413.97768348</v>
      </c>
    </row>
    <row r="8195" spans="1:2" x14ac:dyDescent="0.25">
      <c r="A8195">
        <f ca="1">33704.667382074*((RANDBETWEEN(1620,2416)))</f>
        <v>64544438.036671817</v>
      </c>
      <c r="B8195">
        <v>150337917.15945822</v>
      </c>
    </row>
    <row r="8196" spans="1:2" x14ac:dyDescent="0.25">
      <c r="A8196">
        <f ca="1">34674.5691697677*((RANDBETWEEN(1620,2416)))</f>
        <v>83253640.576612189</v>
      </c>
      <c r="B8196">
        <v>159047623.33825237</v>
      </c>
    </row>
    <row r="8197" spans="1:2" x14ac:dyDescent="0.25">
      <c r="A8197">
        <f ca="1">30142.4005804565*((RANDBETWEEN(1620,2416)))</f>
        <v>72070479.78787142</v>
      </c>
      <c r="B8197">
        <v>182264670.98015678</v>
      </c>
    </row>
    <row r="8198" spans="1:2" x14ac:dyDescent="0.25">
      <c r="A8198">
        <f ca="1">30948.0241137686*((RANDBETWEEN(1620,2416)))</f>
        <v>55613599.33244212</v>
      </c>
      <c r="B8198">
        <v>143597305.70521647</v>
      </c>
    </row>
    <row r="8199" spans="1:2" x14ac:dyDescent="0.25">
      <c r="A8199">
        <f ca="1">35022.0154630701*((RANDBETWEEN(1620,2416)))</f>
        <v>65070904.730384313</v>
      </c>
      <c r="B8199">
        <v>183566476.23214042</v>
      </c>
    </row>
    <row r="8200" spans="1:2" x14ac:dyDescent="0.25">
      <c r="A8200">
        <f ca="1">37425.3982475709*((RANDBETWEEN(1620,2416)))</f>
        <v>72680123.396782681</v>
      </c>
      <c r="B8200">
        <v>153015257.88591832</v>
      </c>
    </row>
    <row r="8201" spans="1:2" x14ac:dyDescent="0.25">
      <c r="A8201">
        <f ca="1">31132.1289049949*((RANDBETWEEN(1620,2416)))</f>
        <v>71261443.063533247</v>
      </c>
      <c r="B8201">
        <v>150635913.87166405</v>
      </c>
    </row>
    <row r="8202" spans="1:2" x14ac:dyDescent="0.25">
      <c r="A8202">
        <f ca="1">31726.1415499472*((RANDBETWEEN(1620,2416)))</f>
        <v>64530971.912592508</v>
      </c>
      <c r="B8202">
        <v>197732673.6010989</v>
      </c>
    </row>
    <row r="8203" spans="1:2" x14ac:dyDescent="0.25">
      <c r="A8203">
        <f ca="1">31378.8693917861*((RANDBETWEEN(1620,2416)))</f>
        <v>67307674.84538129</v>
      </c>
      <c r="B8203">
        <v>151225443.50460771</v>
      </c>
    </row>
    <row r="8204" spans="1:2" x14ac:dyDescent="0.25">
      <c r="A8204">
        <f ca="1">32401.0683009803*((RANDBETWEEN(1620,2416)))</f>
        <v>66486992.153611533</v>
      </c>
      <c r="B8204">
        <v>157350665.85870236</v>
      </c>
    </row>
    <row r="8205" spans="1:2" x14ac:dyDescent="0.25">
      <c r="A8205">
        <f ca="1">39412.4930049336*((RANDBETWEEN(1620,2416)))</f>
        <v>71336612.338929832</v>
      </c>
      <c r="B8205">
        <v>153453894.02065369</v>
      </c>
    </row>
    <row r="8206" spans="1:2" x14ac:dyDescent="0.25">
      <c r="A8206">
        <f ca="1">31299.9824835223*((RANDBETWEEN(1620,2416)))</f>
        <v>66481162.795001358</v>
      </c>
      <c r="B8206">
        <v>166648500.82890028</v>
      </c>
    </row>
    <row r="8207" spans="1:2" x14ac:dyDescent="0.25">
      <c r="A8207">
        <f ca="1">32490.8799049629*((RANDBETWEEN(1620,2416)))</f>
        <v>57151457.752829686</v>
      </c>
      <c r="B8207">
        <v>147482058.66932297</v>
      </c>
    </row>
    <row r="8208" spans="1:2" x14ac:dyDescent="0.25">
      <c r="A8208">
        <f ca="1">33439.122940722*((RANDBETWEEN(1620,2416)))</f>
        <v>73198240.117240444</v>
      </c>
      <c r="B8208">
        <v>156165972.09029946</v>
      </c>
    </row>
    <row r="8209" spans="1:2" x14ac:dyDescent="0.25">
      <c r="A8209">
        <f ca="1">32398.0511475359*((RANDBETWEEN(1620,2416)))</f>
        <v>57862919.349499188</v>
      </c>
      <c r="B8209">
        <v>155414244.91625944</v>
      </c>
    </row>
    <row r="8210" spans="1:2" x14ac:dyDescent="0.25">
      <c r="A8210">
        <f ca="1">32074.8906412615*((RANDBETWEEN(1620,2416)))</f>
        <v>62064913.39084091</v>
      </c>
      <c r="B8210">
        <v>169444469.38630769</v>
      </c>
    </row>
    <row r="8211" spans="1:2" x14ac:dyDescent="0.25">
      <c r="A8211">
        <f ca="1">33447.3507376726*((RANDBETWEEN(1620,2416)))</f>
        <v>54887102.560520805</v>
      </c>
      <c r="B8211">
        <v>152102061.1525225</v>
      </c>
    </row>
    <row r="8212" spans="1:2" x14ac:dyDescent="0.25">
      <c r="A8212">
        <f ca="1">38198.0782724518*((RANDBETWEEN(1620,2416)))</f>
        <v>90032870.48816897</v>
      </c>
      <c r="B8212">
        <v>169257824.45447266</v>
      </c>
    </row>
    <row r="8213" spans="1:2" x14ac:dyDescent="0.25">
      <c r="A8213">
        <f ca="1">30584.7660860797*((RANDBETWEEN(1620,2416)))</f>
        <v>56153630.534042321</v>
      </c>
      <c r="B8213">
        <v>147970157.12403014</v>
      </c>
    </row>
    <row r="8214" spans="1:2" x14ac:dyDescent="0.25">
      <c r="A8214">
        <f ca="1">31463.17390788*((RANDBETWEEN(1620,2416)))</f>
        <v>53455932.469488062</v>
      </c>
      <c r="B8214">
        <v>175386294.42611641</v>
      </c>
    </row>
    <row r="8215" spans="1:2" x14ac:dyDescent="0.25">
      <c r="A8215">
        <f ca="1">31221.0253310791*((RANDBETWEEN(1620,2416)))</f>
        <v>66469562.929867394</v>
      </c>
      <c r="B8215">
        <v>186726114.54913548</v>
      </c>
    </row>
    <row r="8216" spans="1:2" x14ac:dyDescent="0.25">
      <c r="A8216">
        <f ca="1">27845.7481567441*((RANDBETWEEN(1620,2416)))</f>
        <v>46669473.910703175</v>
      </c>
      <c r="B8216">
        <v>180035123.92407507</v>
      </c>
    </row>
    <row r="8217" spans="1:2" x14ac:dyDescent="0.25">
      <c r="A8217">
        <f ca="1">31293.2931754572*((RANDBETWEEN(1620,2416)))</f>
        <v>52040746.550785325</v>
      </c>
      <c r="B8217">
        <v>198008921.25241572</v>
      </c>
    </row>
    <row r="8218" spans="1:2" x14ac:dyDescent="0.25">
      <c r="A8218">
        <f ca="1">28756.1304439555*((RANDBETWEEN(1620,2416)))</f>
        <v>50697057.972693548</v>
      </c>
      <c r="B8218">
        <v>157012913.63141915</v>
      </c>
    </row>
    <row r="8219" spans="1:2" x14ac:dyDescent="0.25">
      <c r="A8219">
        <f ca="1">39235.1601615881*((RANDBETWEEN(1620,2416)))</f>
        <v>93772032.786195591</v>
      </c>
      <c r="B8219">
        <v>149557671.39241889</v>
      </c>
    </row>
    <row r="8220" spans="1:2" x14ac:dyDescent="0.25">
      <c r="A8220">
        <f ca="1">30029.9565815079*((RANDBETWEEN(1620,2416)))</f>
        <v>63393238.343563139</v>
      </c>
      <c r="B8220">
        <v>155369427.48034322</v>
      </c>
    </row>
    <row r="8221" spans="1:2" x14ac:dyDescent="0.25">
      <c r="A8221">
        <f ca="1">32889.389250967*((RANDBETWEEN(1620,2416)))</f>
        <v>61207153.396049619</v>
      </c>
      <c r="B8221">
        <v>183525910.92373496</v>
      </c>
    </row>
    <row r="8222" spans="1:2" x14ac:dyDescent="0.25">
      <c r="A8222">
        <f ca="1">33501.7752607215*((RANDBETWEEN(1620,2416)))</f>
        <v>65127451.106842622</v>
      </c>
      <c r="B8222">
        <v>192161884.78853372</v>
      </c>
    </row>
    <row r="8223" spans="1:2" x14ac:dyDescent="0.25">
      <c r="A8223">
        <f ca="1">32526.8000639568*((RANDBETWEEN(1620,2416)))</f>
        <v>70355468.538338646</v>
      </c>
      <c r="B8223">
        <v>186414047.63744664</v>
      </c>
    </row>
    <row r="8224" spans="1:2" x14ac:dyDescent="0.25">
      <c r="A8224">
        <f ca="1">30133.3615978254*((RANDBETWEEN(1620,2416)))</f>
        <v>61863791.360335611</v>
      </c>
      <c r="B8224">
        <v>164500909.18514854</v>
      </c>
    </row>
    <row r="8225" spans="1:2" x14ac:dyDescent="0.25">
      <c r="A8225">
        <f ca="1">31652.1908388777*((RANDBETWEEN(1620,2416)))</f>
        <v>51688027.639887333</v>
      </c>
      <c r="B8225">
        <v>165192057.05851328</v>
      </c>
    </row>
    <row r="8226" spans="1:2" x14ac:dyDescent="0.25">
      <c r="A8226">
        <f ca="1">38647.846309082*((RANDBETWEEN(1620,2416)))</f>
        <v>79614563.39670895</v>
      </c>
      <c r="B8226">
        <v>154988402.27970377</v>
      </c>
    </row>
    <row r="8227" spans="1:2" x14ac:dyDescent="0.25">
      <c r="A8227">
        <f ca="1">35648.803673456*((RANDBETWEEN(1620,2416)))</f>
        <v>64203495.415894322</v>
      </c>
      <c r="B8227">
        <v>145571536.42730188</v>
      </c>
    </row>
    <row r="8228" spans="1:2" x14ac:dyDescent="0.25">
      <c r="A8228">
        <f ca="1">31476.1550620765*((RANDBETWEEN(1620,2416)))</f>
        <v>58356791.485089883</v>
      </c>
      <c r="B8228">
        <v>147601911.93104115</v>
      </c>
    </row>
    <row r="8229" spans="1:2" x14ac:dyDescent="0.25">
      <c r="A8229">
        <f ca="1">29873.0742124485*((RANDBETWEEN(1620,2416)))</f>
        <v>56340617.964677826</v>
      </c>
      <c r="B8229">
        <v>145797679.14349505</v>
      </c>
    </row>
    <row r="8230" spans="1:2" x14ac:dyDescent="0.25">
      <c r="A8230">
        <f ca="1">36064.2466515287*((RANDBETWEEN(1620,2416)))</f>
        <v>85436200.317471564</v>
      </c>
      <c r="B8230">
        <v>153250382.16484427</v>
      </c>
    </row>
    <row r="8231" spans="1:2" x14ac:dyDescent="0.25">
      <c r="A8231">
        <f ca="1">31120.7769318992*((RANDBETWEEN(1620,2416)))</f>
        <v>56795417.900716119</v>
      </c>
      <c r="B8231">
        <v>170623635.02391267</v>
      </c>
    </row>
    <row r="8232" spans="1:2" x14ac:dyDescent="0.25">
      <c r="A8232">
        <f ca="1">33577.853317723*((RANDBETWEEN(1620,2416)))</f>
        <v>68733865.741379052</v>
      </c>
      <c r="B8232">
        <v>189789619.66794118</v>
      </c>
    </row>
    <row r="8233" spans="1:2" x14ac:dyDescent="0.25">
      <c r="A8233">
        <f ca="1">38317.9501582683*((RANDBETWEEN(1620,2416)))</f>
        <v>64680699.867156893</v>
      </c>
      <c r="B8233">
        <v>158206040.89919004</v>
      </c>
    </row>
    <row r="8234" spans="1:2" x14ac:dyDescent="0.25">
      <c r="A8234">
        <f ca="1">34833.3011961958*((RANDBETWEEN(1620,2416)))</f>
        <v>72662266.295264497</v>
      </c>
      <c r="B8234">
        <v>148880863.49529397</v>
      </c>
    </row>
    <row r="8235" spans="1:2" x14ac:dyDescent="0.25">
      <c r="A8235">
        <f ca="1">33132.3658985868*((RANDBETWEEN(1620,2416)))</f>
        <v>65635216.845100515</v>
      </c>
      <c r="B8235">
        <v>144407171.43078059</v>
      </c>
    </row>
    <row r="8236" spans="1:2" x14ac:dyDescent="0.25">
      <c r="A8236">
        <f ca="1">31633.875464349*((RANDBETWEEN(1620,2416)))</f>
        <v>53081643.029177643</v>
      </c>
      <c r="B8236">
        <v>190799274.67547923</v>
      </c>
    </row>
    <row r="8237" spans="1:2" x14ac:dyDescent="0.25">
      <c r="A8237">
        <f ca="1">32230.0139671901*((RANDBETWEEN(1620,2416)))</f>
        <v>76030602.948601529</v>
      </c>
      <c r="B8237">
        <v>144261659.34461126</v>
      </c>
    </row>
    <row r="8238" spans="1:2" x14ac:dyDescent="0.25">
      <c r="A8238">
        <f ca="1">31573.1526272605*((RANDBETWEEN(1620,2416)))</f>
        <v>61820232.844176114</v>
      </c>
      <c r="B8238">
        <v>180912490.42613801</v>
      </c>
    </row>
    <row r="8239" spans="1:2" x14ac:dyDescent="0.25">
      <c r="A8239">
        <f ca="1">38358.6250691527*((RANDBETWEEN(1620,2416)))</f>
        <v>63982186.615346782</v>
      </c>
      <c r="B8239">
        <v>193321908.13375866</v>
      </c>
    </row>
    <row r="8240" spans="1:2" x14ac:dyDescent="0.25">
      <c r="A8240">
        <f ca="1">30139.5584141542*((RANDBETWEEN(1620,2416)))</f>
        <v>72395219.310798362</v>
      </c>
      <c r="B8240">
        <v>187742351.77667448</v>
      </c>
    </row>
    <row r="8241" spans="1:2" x14ac:dyDescent="0.25">
      <c r="A8241">
        <f ca="1">30745.5990069466*((RANDBETWEEN(1620,2416)))</f>
        <v>60538084.444677785</v>
      </c>
      <c r="B8241">
        <v>173211480.14238507</v>
      </c>
    </row>
    <row r="8242" spans="1:2" x14ac:dyDescent="0.25">
      <c r="A8242">
        <f ca="1">32774.1781876553*((RANDBETWEEN(1620,2416)))</f>
        <v>67449258.710194647</v>
      </c>
      <c r="B8242">
        <v>157893743.35750476</v>
      </c>
    </row>
    <row r="8243" spans="1:2" x14ac:dyDescent="0.25">
      <c r="A8243">
        <f ca="1">30868.2116706146*((RANDBETWEEN(1620,2416)))</f>
        <v>52722905.533409789</v>
      </c>
      <c r="B8243">
        <v>161662479.26455235</v>
      </c>
    </row>
    <row r="8244" spans="1:2" x14ac:dyDescent="0.25">
      <c r="A8244">
        <f ca="1">32985.6923093433*((RANDBETWEEN(1620,2416)))</f>
        <v>68115454.618793964</v>
      </c>
      <c r="B8244">
        <v>149070923.00287625</v>
      </c>
    </row>
    <row r="8245" spans="1:2" x14ac:dyDescent="0.25">
      <c r="A8245">
        <f ca="1">39046.3520074425*((RANDBETWEEN(1620,2416)))</f>
        <v>78092704.014885083</v>
      </c>
      <c r="B8245">
        <v>170237699.00948855</v>
      </c>
    </row>
    <row r="8246" spans="1:2" x14ac:dyDescent="0.25">
      <c r="A8246">
        <f ca="1">29183.5477709248*((RANDBETWEEN(1620,2416)))</f>
        <v>54368949.497232839</v>
      </c>
      <c r="B8246">
        <v>196227145.29195061</v>
      </c>
    </row>
    <row r="8247" spans="1:2" x14ac:dyDescent="0.25">
      <c r="A8247">
        <f ca="1">32013.0493152125*((RANDBETWEEN(1620,2416)))</f>
        <v>66363051.230435513</v>
      </c>
      <c r="B8247">
        <v>145524475.19115046</v>
      </c>
    </row>
    <row r="8248" spans="1:2" x14ac:dyDescent="0.25">
      <c r="A8248">
        <f ca="1">32140.9901581108*((RANDBETWEEN(1620,2416)))</f>
        <v>69360256.761203155</v>
      </c>
      <c r="B8248">
        <v>147391630.63073546</v>
      </c>
    </row>
    <row r="8249" spans="1:2" x14ac:dyDescent="0.25">
      <c r="A8249">
        <f ca="1">32409.3885799584*((RANDBETWEEN(1620,2416)))</f>
        <v>72985943.082066357</v>
      </c>
      <c r="B8249">
        <v>161195846.42269301</v>
      </c>
    </row>
    <row r="8250" spans="1:2" x14ac:dyDescent="0.25">
      <c r="A8250">
        <f ca="1">36448.0113629321*((RANDBETWEEN(1620,2416)))</f>
        <v>65205492.328285456</v>
      </c>
      <c r="B8250">
        <v>146991695.20683271</v>
      </c>
    </row>
    <row r="8251" spans="1:2" x14ac:dyDescent="0.25">
      <c r="A8251">
        <f ca="1">32621.5814698816*((RANDBETWEEN(1620,2416)))</f>
        <v>73659530.958992615</v>
      </c>
      <c r="B8251">
        <v>201173098.89837492</v>
      </c>
    </row>
    <row r="8252" spans="1:2" x14ac:dyDescent="0.25">
      <c r="A8252">
        <f ca="1">36994.6886540474*((RANDBETWEEN(1620,2416)))</f>
        <v>61966103.495529406</v>
      </c>
      <c r="B8252">
        <v>162058102.5560354</v>
      </c>
    </row>
    <row r="8253" spans="1:2" x14ac:dyDescent="0.25">
      <c r="A8253">
        <f ca="1">37648.7810122674*((RANDBETWEEN(1620,2416)))</f>
        <v>81622557.234595716</v>
      </c>
      <c r="B8253">
        <v>171243022.19089913</v>
      </c>
    </row>
    <row r="8254" spans="1:2" x14ac:dyDescent="0.25">
      <c r="A8254">
        <f ca="1">30606.001779385*((RANDBETWEEN(1620,2416)))</f>
        <v>60140793.496491551</v>
      </c>
      <c r="B8254">
        <v>149290404.8633886</v>
      </c>
    </row>
    <row r="8255" spans="1:2" x14ac:dyDescent="0.25">
      <c r="A8255">
        <f ca="1">30639.9911093834*((RANDBETWEEN(1620,2416)))</f>
        <v>50923665.22379522</v>
      </c>
      <c r="B8255">
        <v>156441400.46797666</v>
      </c>
    </row>
    <row r="8256" spans="1:2" x14ac:dyDescent="0.25">
      <c r="A8256">
        <f ca="1">36010.9907019965*((RANDBETWEEN(1620,2416)))</f>
        <v>66152189.919567496</v>
      </c>
      <c r="B8256">
        <v>179200441.67645988</v>
      </c>
    </row>
    <row r="8257" spans="1:2" x14ac:dyDescent="0.25">
      <c r="A8257">
        <f ca="1">28133.3599619868*((RANDBETWEEN(1620,2416)))</f>
        <v>60824324.237815373</v>
      </c>
      <c r="B8257">
        <v>186847903.30086073</v>
      </c>
    </row>
    <row r="8258" spans="1:2" x14ac:dyDescent="0.25">
      <c r="A8258">
        <f ca="1">30721.8704863341*((RANDBETWEEN(1620,2416)))</f>
        <v>64485206.150815241</v>
      </c>
      <c r="B8258">
        <v>151820890.84711277</v>
      </c>
    </row>
    <row r="8259" spans="1:2" x14ac:dyDescent="0.25">
      <c r="A8259">
        <f ca="1">31497.4574795551*((RANDBETWEEN(1620,2416)))</f>
        <v>73956030.161995411</v>
      </c>
      <c r="B8259">
        <v>203294695.98699459</v>
      </c>
    </row>
    <row r="8260" spans="1:2" x14ac:dyDescent="0.25">
      <c r="A8260">
        <f ca="1">36431.947221732*((RANDBETWEEN(1620,2416)))</f>
        <v>78802301.840606332</v>
      </c>
      <c r="B8260">
        <v>167324690.44656289</v>
      </c>
    </row>
    <row r="8261" spans="1:2" x14ac:dyDescent="0.25">
      <c r="A8261">
        <f ca="1">32870.3449414268*((RANDBETWEEN(1620,2416)))</f>
        <v>71460129.902661875</v>
      </c>
      <c r="B8261">
        <v>166353812.628658</v>
      </c>
    </row>
    <row r="8262" spans="1:2" x14ac:dyDescent="0.25">
      <c r="A8262">
        <f ca="1">39455.7091986627*((RANDBETWEEN(1620,2416)))</f>
        <v>68021642.658494517</v>
      </c>
      <c r="B8262">
        <v>151873096.34350982</v>
      </c>
    </row>
    <row r="8263" spans="1:2" x14ac:dyDescent="0.25">
      <c r="A8263">
        <f ca="1">31105.0999842133*((RANDBETWEEN(1620,2416)))</f>
        <v>70297525.964322135</v>
      </c>
      <c r="B8263">
        <v>149562753.29928344</v>
      </c>
    </row>
    <row r="8264" spans="1:2" x14ac:dyDescent="0.25">
      <c r="A8264">
        <f ca="1">29779.5677882907*((RANDBETWEEN(1620,2416)))</f>
        <v>70815812.200555503</v>
      </c>
      <c r="B8264">
        <v>168324596.87400043</v>
      </c>
    </row>
    <row r="8265" spans="1:2" x14ac:dyDescent="0.25">
      <c r="A8265">
        <f ca="1">37797.0512056073*((RANDBETWEEN(1620,2416)))</f>
        <v>77181578.56185019</v>
      </c>
      <c r="B8265">
        <v>145279873.62371907</v>
      </c>
    </row>
    <row r="8266" spans="1:2" x14ac:dyDescent="0.25">
      <c r="A8266">
        <f ca="1">36390.5122072118*((RANDBETWEEN(1620,2416)))</f>
        <v>75291969.756721243</v>
      </c>
      <c r="B8266">
        <v>173882689.61942452</v>
      </c>
    </row>
    <row r="8267" spans="1:2" x14ac:dyDescent="0.25">
      <c r="A8267">
        <f ca="1">31530.1684779398*((RANDBETWEEN(1620,2416)))</f>
        <v>57857859.157019459</v>
      </c>
      <c r="B8267">
        <v>181599452.92374381</v>
      </c>
    </row>
    <row r="8268" spans="1:2" x14ac:dyDescent="0.25">
      <c r="A8268">
        <f ca="1">38215.3327762047*((RANDBETWEEN(1620,2416)))</f>
        <v>87857050.05249466</v>
      </c>
      <c r="B8268">
        <v>164565617.25828493</v>
      </c>
    </row>
    <row r="8269" spans="1:2" x14ac:dyDescent="0.25">
      <c r="A8269">
        <f ca="1">34591.4408023249*((RANDBETWEEN(1620,2416)))</f>
        <v>56487822.830196485</v>
      </c>
      <c r="B8269">
        <v>185273251.93759647</v>
      </c>
    </row>
    <row r="8270" spans="1:2" x14ac:dyDescent="0.25">
      <c r="A8270">
        <f ca="1">40079.6311789319*((RANDBETWEEN(1620,2416)))</f>
        <v>80960854.981442481</v>
      </c>
      <c r="B8270">
        <v>151835973.02303329</v>
      </c>
    </row>
    <row r="8271" spans="1:2" x14ac:dyDescent="0.25">
      <c r="A8271">
        <f ca="1">32517.2712486301*((RANDBETWEEN(1620,2416)))</f>
        <v>75049862.041838288</v>
      </c>
      <c r="B8271">
        <v>163126592.60070795</v>
      </c>
    </row>
    <row r="8272" spans="1:2" x14ac:dyDescent="0.25">
      <c r="A8272">
        <f ca="1">36650.6788187913*((RANDBETWEEN(1620,2416)))</f>
        <v>71285570.302549124</v>
      </c>
      <c r="B8272">
        <v>185903863.58835632</v>
      </c>
    </row>
    <row r="8273" spans="1:2" x14ac:dyDescent="0.25">
      <c r="A8273">
        <f ca="1">35127.2966822134*((RANDBETWEEN(1620,2416)))</f>
        <v>83111183.950116977</v>
      </c>
      <c r="B8273">
        <v>167636396.37833339</v>
      </c>
    </row>
    <row r="8274" spans="1:2" x14ac:dyDescent="0.25">
      <c r="A8274">
        <f ca="1">30576.0194151711*((RANDBETWEEN(1620,2416)))</f>
        <v>62099895.432212554</v>
      </c>
      <c r="B8274">
        <v>168156636.85270718</v>
      </c>
    </row>
    <row r="8275" spans="1:2" x14ac:dyDescent="0.25">
      <c r="A8275">
        <f ca="1">31359.2171758354*((RANDBETWEEN(1620,2416)))</f>
        <v>65195812.508561894</v>
      </c>
      <c r="B8275">
        <v>203396597.14567485</v>
      </c>
    </row>
    <row r="8276" spans="1:2" x14ac:dyDescent="0.25">
      <c r="A8276">
        <f ca="1">29761.8111231217*((RANDBETWEEN(1620,2416)))</f>
        <v>60446238.391060181</v>
      </c>
      <c r="B8276">
        <v>157142403.1914134</v>
      </c>
    </row>
    <row r="8277" spans="1:2" x14ac:dyDescent="0.25">
      <c r="A8277">
        <f ca="1">29505.8465849376*((RANDBETWEEN(1620,2416)))</f>
        <v>64853850.793692827</v>
      </c>
      <c r="B8277">
        <v>200766941.85092396</v>
      </c>
    </row>
    <row r="8278" spans="1:2" x14ac:dyDescent="0.25">
      <c r="A8278">
        <f ca="1">29564.8866671151*((RANDBETWEEN(1620,2416)))</f>
        <v>66964468.301015794</v>
      </c>
      <c r="B8278">
        <v>152904605.21882811</v>
      </c>
    </row>
    <row r="8279" spans="1:2" x14ac:dyDescent="0.25">
      <c r="A8279">
        <f ca="1">31235.981852754*((RANDBETWEEN(1620,2416)))</f>
        <v>57661622.500183806</v>
      </c>
      <c r="B8279">
        <v>201925031.2530998</v>
      </c>
    </row>
    <row r="8280" spans="1:2" x14ac:dyDescent="0.25">
      <c r="A8280">
        <f ca="1">35977.8311293118*((RANDBETWEEN(1620,2416)))</f>
        <v>80410452.574011803</v>
      </c>
      <c r="B8280">
        <v>152598429.94242746</v>
      </c>
    </row>
    <row r="8281" spans="1:2" x14ac:dyDescent="0.25">
      <c r="A8281">
        <f ca="1">38306.2626375191*((RANDBETWEEN(1620,2416)))</f>
        <v>87185053.76299344</v>
      </c>
      <c r="B8281">
        <v>180939077.124118</v>
      </c>
    </row>
    <row r="8282" spans="1:2" x14ac:dyDescent="0.25">
      <c r="A8282">
        <f ca="1">32981.4474530893*((RANDBETWEEN(1620,2416)))</f>
        <v>71701666.763016179</v>
      </c>
      <c r="B8282">
        <v>184400625.6867463</v>
      </c>
    </row>
    <row r="8283" spans="1:2" x14ac:dyDescent="0.25">
      <c r="A8283">
        <f ca="1">28819.4570847726*((RANDBETWEEN(1620,2416)))</f>
        <v>67437529.578367963</v>
      </c>
      <c r="B8283">
        <v>163534927.60132682</v>
      </c>
    </row>
    <row r="8284" spans="1:2" x14ac:dyDescent="0.25">
      <c r="A8284">
        <f ca="1">29862.6860717182*((RANDBETWEEN(1620,2416)))</f>
        <v>57037730.39698185</v>
      </c>
      <c r="B8284">
        <v>174519993.40202177</v>
      </c>
    </row>
    <row r="8285" spans="1:2" x14ac:dyDescent="0.25">
      <c r="A8285">
        <f ca="1">30788.6531766727*((RANDBETWEEN(1620,2416)))</f>
        <v>60438126.185808569</v>
      </c>
      <c r="B8285">
        <v>170691693.01597193</v>
      </c>
    </row>
    <row r="8286" spans="1:2" x14ac:dyDescent="0.25">
      <c r="A8286">
        <f ca="1">32647.852132997*((RANDBETWEEN(1620,2416)))</f>
        <v>56546079.894350871</v>
      </c>
      <c r="B8286">
        <v>187935620.42009637</v>
      </c>
    </row>
    <row r="8287" spans="1:2" x14ac:dyDescent="0.25">
      <c r="A8287">
        <f ca="1">31331.6558488475*((RANDBETWEEN(1620,2416)))</f>
        <v>64762532.639567837</v>
      </c>
      <c r="B8287">
        <v>150153525.09592694</v>
      </c>
    </row>
    <row r="8288" spans="1:2" x14ac:dyDescent="0.25">
      <c r="A8288">
        <f ca="1">33261.8920989789*((RANDBETWEEN(1620,2416)))</f>
        <v>78631112.921986192</v>
      </c>
      <c r="B8288">
        <v>156675694.96148509</v>
      </c>
    </row>
    <row r="8289" spans="1:2" x14ac:dyDescent="0.25">
      <c r="A8289">
        <f ca="1">41478.4869074132*((RANDBETWEEN(1620,2416)))</f>
        <v>76901114.726344138</v>
      </c>
      <c r="B8289">
        <v>171115442.32707167</v>
      </c>
    </row>
    <row r="8290" spans="1:2" x14ac:dyDescent="0.25">
      <c r="A8290">
        <f ca="1">37634.0529459987*((RANDBETWEEN(1620,2416)))</f>
        <v>64429498.6435498</v>
      </c>
      <c r="B8290">
        <v>152730599.40619501</v>
      </c>
    </row>
    <row r="8291" spans="1:2" x14ac:dyDescent="0.25">
      <c r="A8291">
        <f ca="1">32335.4399534179*((RANDBETWEEN(1620,2416)))</f>
        <v>58947507.035080828</v>
      </c>
      <c r="B8291">
        <v>153023261.74523571</v>
      </c>
    </row>
    <row r="8292" spans="1:2" x14ac:dyDescent="0.25">
      <c r="A8292">
        <f ca="1">31474.6752050268*((RANDBETWEEN(1620,2416)))</f>
        <v>64397185.469484821</v>
      </c>
      <c r="B8292">
        <v>155712647.07551771</v>
      </c>
    </row>
    <row r="8293" spans="1:2" x14ac:dyDescent="0.25">
      <c r="A8293">
        <f ca="1">31933.1401625828*((RANDBETWEEN(1620,2416)))</f>
        <v>73126890.972314551</v>
      </c>
      <c r="B8293">
        <v>144087362.74750504</v>
      </c>
    </row>
    <row r="8294" spans="1:2" x14ac:dyDescent="0.25">
      <c r="A8294">
        <f ca="1">41656.6307081553*((RANDBETWEEN(1620,2416)))</f>
        <v>90353232.005988821</v>
      </c>
      <c r="B8294">
        <v>163144092.06172168</v>
      </c>
    </row>
    <row r="8295" spans="1:2" x14ac:dyDescent="0.25">
      <c r="A8295">
        <f ca="1">32954.7018069871*((RANDBETWEEN(1620,2416)))</f>
        <v>53452526.330933094</v>
      </c>
      <c r="B8295">
        <v>189329126.0359709</v>
      </c>
    </row>
    <row r="8296" spans="1:2" x14ac:dyDescent="0.25">
      <c r="A8296">
        <f ca="1">34070.3561800803*((RANDBETWEEN(1620,2416)))</f>
        <v>68583626.990501717</v>
      </c>
      <c r="B8296">
        <v>177170347.73765862</v>
      </c>
    </row>
    <row r="8297" spans="1:2" x14ac:dyDescent="0.25">
      <c r="A8297">
        <f ca="1">32723.5024454314*((RANDBETWEEN(1620,2416)))</f>
        <v>68948419.652523965</v>
      </c>
      <c r="B8297">
        <v>168760213.04785299</v>
      </c>
    </row>
    <row r="8298" spans="1:2" x14ac:dyDescent="0.25">
      <c r="A8298">
        <f ca="1">31811.0526494875*((RANDBETWEEN(1620,2416)))</f>
        <v>52011071.081912033</v>
      </c>
      <c r="B8298">
        <v>173666026.36256725</v>
      </c>
    </row>
    <row r="8299" spans="1:2" x14ac:dyDescent="0.25">
      <c r="A8299">
        <f ca="1">29988.7945193051*((RANDBETWEEN(1620,2416)))</f>
        <v>56438911.285332195</v>
      </c>
      <c r="B8299">
        <v>173582701.4293544</v>
      </c>
    </row>
    <row r="8300" spans="1:2" x14ac:dyDescent="0.25">
      <c r="A8300">
        <f ca="1">32227.2887915867*((RANDBETWEEN(1620,2416)))</f>
        <v>71576808.406114027</v>
      </c>
      <c r="B8300">
        <v>144178967.55906755</v>
      </c>
    </row>
    <row r="8301" spans="1:2" x14ac:dyDescent="0.25">
      <c r="A8301">
        <f ca="1">29078.0471869888*((RANDBETWEEN(1620,2416)))</f>
        <v>57341909.052741818</v>
      </c>
      <c r="B8301">
        <v>164737291.73015073</v>
      </c>
    </row>
    <row r="8302" spans="1:2" x14ac:dyDescent="0.25">
      <c r="A8302">
        <f ca="1">33343.9894499892*((RANDBETWEEN(1620,2416)))</f>
        <v>64253867.67012915</v>
      </c>
      <c r="B8302">
        <v>191889212.20602903</v>
      </c>
    </row>
    <row r="8303" spans="1:2" x14ac:dyDescent="0.25">
      <c r="A8303">
        <f ca="1">38614.3434377593*((RANDBETWEEN(1620,2416)))</f>
        <v>75491041.420819417</v>
      </c>
      <c r="B8303">
        <v>156956854.68895257</v>
      </c>
    </row>
    <row r="8304" spans="1:2" x14ac:dyDescent="0.25">
      <c r="A8304">
        <f ca="1">38412.1296081403*((RANDBETWEEN(1620,2416)))</f>
        <v>83968915.323394626</v>
      </c>
      <c r="B8304">
        <v>152975351.92255396</v>
      </c>
    </row>
    <row r="8305" spans="1:2" x14ac:dyDescent="0.25">
      <c r="A8305">
        <f ca="1">31839.75272945*((RANDBETWEEN(1620,2416)))</f>
        <v>55655887.771078549</v>
      </c>
      <c r="B8305">
        <v>144817620.36983192</v>
      </c>
    </row>
    <row r="8306" spans="1:2" x14ac:dyDescent="0.25">
      <c r="A8306">
        <f ca="1">40640.2980264825*((RANDBETWEEN(1620,2416)))</f>
        <v>77419767.740449131</v>
      </c>
      <c r="B8306">
        <v>203600873.7032305</v>
      </c>
    </row>
    <row r="8307" spans="1:2" x14ac:dyDescent="0.25">
      <c r="A8307">
        <f ca="1">33415.7753222276*((RANDBETWEEN(1620,2416)))</f>
        <v>54968950.405064449</v>
      </c>
      <c r="B8307">
        <v>157227546.4685238</v>
      </c>
    </row>
    <row r="8308" spans="1:2" x14ac:dyDescent="0.25">
      <c r="A8308">
        <f ca="1">31072.4768062133*((RANDBETWEEN(1620,2416)))</f>
        <v>53662167.444330342</v>
      </c>
      <c r="B8308">
        <v>163924681.53891015</v>
      </c>
    </row>
    <row r="8309" spans="1:2" x14ac:dyDescent="0.25">
      <c r="A8309">
        <f ca="1">33815.3953717536*((RANDBETWEEN(1620,2416)))</f>
        <v>66886852.045328557</v>
      </c>
      <c r="B8309">
        <v>178676192.18355715</v>
      </c>
    </row>
    <row r="8310" spans="1:2" x14ac:dyDescent="0.25">
      <c r="A8310">
        <f ca="1">31539.5671402936*((RANDBETWEEN(1620,2416)))</f>
        <v>55951192.106880777</v>
      </c>
      <c r="B8310">
        <v>147864921.65466326</v>
      </c>
    </row>
    <row r="8311" spans="1:2" x14ac:dyDescent="0.25">
      <c r="A8311">
        <f ca="1">30864.145795901*((RANDBETWEEN(1620,2416)))</f>
        <v>65123347.629351139</v>
      </c>
      <c r="B8311">
        <v>144971392.60122794</v>
      </c>
    </row>
    <row r="8312" spans="1:2" x14ac:dyDescent="0.25">
      <c r="A8312">
        <f ca="1">34451.4756836687*((RANDBETWEEN(1620,2416)))</f>
        <v>74311833.049673378</v>
      </c>
      <c r="B8312">
        <v>150326124.55972254</v>
      </c>
    </row>
    <row r="8313" spans="1:2" x14ac:dyDescent="0.25">
      <c r="A8313">
        <f ca="1">34694.9889316875*((RANDBETWEEN(1620,2416)))</f>
        <v>62832624.955286101</v>
      </c>
      <c r="B8313">
        <v>161457405.65761489</v>
      </c>
    </row>
    <row r="8314" spans="1:2" x14ac:dyDescent="0.25">
      <c r="A8314">
        <f ca="1">36294.8586812041*((RANDBETWEEN(1620,2416)))</f>
        <v>76945100.404152721</v>
      </c>
      <c r="B8314">
        <v>200083606.89420432</v>
      </c>
    </row>
    <row r="8315" spans="1:2" x14ac:dyDescent="0.25">
      <c r="A8315">
        <f ca="1">37979.3593326239*((RANDBETWEEN(1620,2416)))</f>
        <v>68476784.876720816</v>
      </c>
      <c r="B8315">
        <v>162774819.76803604</v>
      </c>
    </row>
    <row r="8316" spans="1:2" x14ac:dyDescent="0.25">
      <c r="A8316">
        <f ca="1">30262.3985579081*((RANDBETWEEN(1620,2416)))</f>
        <v>63006313.797564581</v>
      </c>
      <c r="B8316">
        <v>154061349.27862522</v>
      </c>
    </row>
    <row r="8317" spans="1:2" x14ac:dyDescent="0.25">
      <c r="A8317">
        <f ca="1">33802.3884967483*((RANDBETWEEN(1620,2416)))</f>
        <v>81396151.500169814</v>
      </c>
      <c r="B8317">
        <v>166005322.50891557</v>
      </c>
    </row>
    <row r="8318" spans="1:2" x14ac:dyDescent="0.25">
      <c r="A8318">
        <f ca="1">34162.8217001311*((RANDBETWEEN(1620,2416)))</f>
        <v>75909789.817691237</v>
      </c>
      <c r="B8318">
        <v>189047577.99342385</v>
      </c>
    </row>
    <row r="8319" spans="1:2" x14ac:dyDescent="0.25">
      <c r="A8319">
        <f ca="1">34008.7353443633*((RANDBETWEEN(1620,2416)))</f>
        <v>62201976.94484055</v>
      </c>
      <c r="B8319">
        <v>178532882.32181501</v>
      </c>
    </row>
    <row r="8320" spans="1:2" x14ac:dyDescent="0.25">
      <c r="A8320">
        <f ca="1">35939.1220524993*((RANDBETWEEN(1620,2416)))</f>
        <v>79137946.759603545</v>
      </c>
      <c r="B8320">
        <v>163095555.8287963</v>
      </c>
    </row>
    <row r="8321" spans="1:2" x14ac:dyDescent="0.25">
      <c r="A8321">
        <f ca="1">36147.6010593047*((RANDBETWEEN(1620,2416)))</f>
        <v>67306833.1724253</v>
      </c>
      <c r="B8321">
        <v>188813843.87903598</v>
      </c>
    </row>
    <row r="8322" spans="1:2" x14ac:dyDescent="0.25">
      <c r="A8322">
        <f ca="1">32754.490252707*((RANDBETWEEN(1620,2416)))</f>
        <v>59416645.318410419</v>
      </c>
      <c r="B8322">
        <v>160802582.65934184</v>
      </c>
    </row>
    <row r="8323" spans="1:2" x14ac:dyDescent="0.25">
      <c r="A8323">
        <f ca="1">31283.3631033682*((RANDBETWEEN(1620,2416)))</f>
        <v>51617549.120557599</v>
      </c>
      <c r="B8323">
        <v>166085659.18254212</v>
      </c>
    </row>
    <row r="8324" spans="1:2" x14ac:dyDescent="0.25">
      <c r="A8324">
        <f ca="1">35646.2646115271*((RANDBETWEEN(1620,2416)))</f>
        <v>59315384.313581139</v>
      </c>
      <c r="B8324">
        <v>190370309.30512911</v>
      </c>
    </row>
    <row r="8325" spans="1:2" x14ac:dyDescent="0.25">
      <c r="A8325">
        <f ca="1">30198.2116357858*((RANDBETWEEN(1620,2416)))</f>
        <v>65681110.307834148</v>
      </c>
      <c r="B8325">
        <v>179202479.53024405</v>
      </c>
    </row>
    <row r="8326" spans="1:2" x14ac:dyDescent="0.25">
      <c r="A8326">
        <f ca="1">34687.7410649219*((RANDBETWEEN(1620,2416)))</f>
        <v>59385412.703146309</v>
      </c>
      <c r="B8326">
        <v>189858362.538625</v>
      </c>
    </row>
    <row r="8327" spans="1:2" x14ac:dyDescent="0.25">
      <c r="A8327">
        <f ca="1">40925.3130927847*((RANDBETWEEN(1620,2416)))</f>
        <v>74852397.646703199</v>
      </c>
      <c r="B8327">
        <v>168876989.79095453</v>
      </c>
    </row>
    <row r="8328" spans="1:2" x14ac:dyDescent="0.25">
      <c r="A8328">
        <f ca="1">37204.7454499271*((RANDBETWEEN(1620,2416)))</f>
        <v>61201806.265130095</v>
      </c>
      <c r="B8328">
        <v>163166750.40197426</v>
      </c>
    </row>
    <row r="8329" spans="1:2" x14ac:dyDescent="0.25">
      <c r="A8329">
        <f ca="1">31026.9403386223*((RANDBETWEEN(1620,2416)))</f>
        <v>66242517.622958712</v>
      </c>
      <c r="B8329">
        <v>147823531.53659359</v>
      </c>
    </row>
    <row r="8330" spans="1:2" x14ac:dyDescent="0.25">
      <c r="A8330">
        <f ca="1">30930.2591337265*((RANDBETWEEN(1620,2416)))</f>
        <v>57437491.211330071</v>
      </c>
      <c r="B8330">
        <v>181860506.92567271</v>
      </c>
    </row>
    <row r="8331" spans="1:2" x14ac:dyDescent="0.25">
      <c r="A8331">
        <f ca="1">32049.2926474848*((RANDBETWEEN(1620,2416)))</f>
        <v>68585486.265617549</v>
      </c>
      <c r="B8331">
        <v>156016617.25961232</v>
      </c>
    </row>
    <row r="8332" spans="1:2" x14ac:dyDescent="0.25">
      <c r="A8332">
        <f ca="1">34176.0319646847*((RANDBETWEEN(1620,2416)))</f>
        <v>81783244.491490573</v>
      </c>
      <c r="B8332">
        <v>179414569.14337084</v>
      </c>
    </row>
    <row r="8333" spans="1:2" x14ac:dyDescent="0.25">
      <c r="A8333">
        <f ca="1">29077.8420925862*((RANDBETWEEN(1620,2416)))</f>
        <v>60074821.763282984</v>
      </c>
      <c r="B8333">
        <v>177480055.10260576</v>
      </c>
    </row>
    <row r="8334" spans="1:2" x14ac:dyDescent="0.25">
      <c r="A8334">
        <f ca="1">34502.9314379453*((RANDBETWEEN(1620,2416)))</f>
        <v>81668438.713616595</v>
      </c>
      <c r="B8334">
        <v>152297039.3327747</v>
      </c>
    </row>
    <row r="8335" spans="1:2" x14ac:dyDescent="0.25">
      <c r="A8335">
        <f ca="1">42138.7462927605*((RANDBETWEEN(1620,2416)))</f>
        <v>95781370.323444679</v>
      </c>
      <c r="B8335">
        <v>148096957.20317009</v>
      </c>
    </row>
    <row r="8336" spans="1:2" x14ac:dyDescent="0.25">
      <c r="A8336">
        <f ca="1">31331.169400868*((RANDBETWEEN(1620,2416)))</f>
        <v>70808442.84596175</v>
      </c>
      <c r="B8336">
        <v>167888024.36646503</v>
      </c>
    </row>
    <row r="8337" spans="1:2" x14ac:dyDescent="0.25">
      <c r="A8337">
        <f ca="1">31961.3753091442*((RANDBETWEEN(1620,2416)))</f>
        <v>76994953.119728416</v>
      </c>
      <c r="B8337">
        <v>150340526.75821149</v>
      </c>
    </row>
    <row r="8338" spans="1:2" x14ac:dyDescent="0.25">
      <c r="A8338">
        <f ca="1">29278.6303036351*((RANDBETWEEN(1620,2416)))</f>
        <v>62099974.874010064</v>
      </c>
      <c r="B8338">
        <v>202191585.5774101</v>
      </c>
    </row>
    <row r="8339" spans="1:2" x14ac:dyDescent="0.25">
      <c r="A8339">
        <f ca="1">38940.2538758024*((RANDBETWEEN(1620,2416)))</f>
        <v>86447363.604281351</v>
      </c>
      <c r="B8339">
        <v>163868605.10050815</v>
      </c>
    </row>
    <row r="8340" spans="1:2" x14ac:dyDescent="0.25">
      <c r="A8340">
        <f ca="1">32585.3310841673*((RANDBETWEEN(1620,2416)))</f>
        <v>74718164.175995693</v>
      </c>
      <c r="B8340">
        <v>156121524.4575423</v>
      </c>
    </row>
    <row r="8341" spans="1:2" x14ac:dyDescent="0.25">
      <c r="A8341">
        <f ca="1">31261.3671149335*((RANDBETWEEN(1620,2416)))</f>
        <v>57302085.921673179</v>
      </c>
      <c r="B8341">
        <v>160648769.42148581</v>
      </c>
    </row>
    <row r="8342" spans="1:2" x14ac:dyDescent="0.25">
      <c r="A8342">
        <f ca="1">35857.1297314704*((RANDBETWEEN(1620,2416)))</f>
        <v>80033113.56064184</v>
      </c>
      <c r="B8342">
        <v>183723415.40719986</v>
      </c>
    </row>
    <row r="8343" spans="1:2" x14ac:dyDescent="0.25">
      <c r="A8343">
        <f ca="1">29631.3893386933*((RANDBETWEEN(1620,2416)))</f>
        <v>58877570.61598359</v>
      </c>
      <c r="B8343">
        <v>180275899.41398066</v>
      </c>
    </row>
    <row r="8344" spans="1:2" x14ac:dyDescent="0.25">
      <c r="A8344">
        <f ca="1">31155.921431963*((RANDBETWEEN(1620,2416)))</f>
        <v>55457540.148894139</v>
      </c>
      <c r="B8344">
        <v>181403042.86652514</v>
      </c>
    </row>
    <row r="8345" spans="1:2" x14ac:dyDescent="0.25">
      <c r="A8345">
        <f ca="1">32219.2471591166*((RANDBETWEEN(1620,2416)))</f>
        <v>67821515.269940391</v>
      </c>
      <c r="B8345">
        <v>172024645.4202888</v>
      </c>
    </row>
    <row r="8346" spans="1:2" x14ac:dyDescent="0.25">
      <c r="A8346">
        <f ca="1">39636.7794429641*((RANDBETWEEN(1620,2416)))</f>
        <v>93899530.500381842</v>
      </c>
      <c r="B8346">
        <v>159572884.91189244</v>
      </c>
    </row>
    <row r="8347" spans="1:2" x14ac:dyDescent="0.25">
      <c r="A8347">
        <f ca="1">39754.0811760133*((RANDBETWEEN(1620,2416)))</f>
        <v>92945041.789519191</v>
      </c>
      <c r="B8347">
        <v>158929584.9135974</v>
      </c>
    </row>
    <row r="8348" spans="1:2" x14ac:dyDescent="0.25">
      <c r="A8348">
        <f ca="1">31595.3645720894*((RANDBETWEEN(1620,2416)))</f>
        <v>59715239.041249014</v>
      </c>
      <c r="B8348">
        <v>202705718.02568388</v>
      </c>
    </row>
    <row r="8349" spans="1:2" x14ac:dyDescent="0.25">
      <c r="A8349">
        <f ca="1">31405.67227362*((RANDBETWEEN(1620,2416)))</f>
        <v>56938483.832073122</v>
      </c>
      <c r="B8349">
        <v>144420383.37952781</v>
      </c>
    </row>
    <row r="8350" spans="1:2" x14ac:dyDescent="0.25">
      <c r="A8350">
        <f ca="1">42081.2674383113*((RANDBETWEEN(1620,2416)))</f>
        <v>98301840.735895082</v>
      </c>
      <c r="B8350">
        <v>156051486.83970472</v>
      </c>
    </row>
    <row r="8351" spans="1:2" x14ac:dyDescent="0.25">
      <c r="A8351">
        <f ca="1">32049.4674086842*((RANDBETWEEN(1620,2416)))</f>
        <v>70701125.103557289</v>
      </c>
      <c r="B8351">
        <v>175388705.06842226</v>
      </c>
    </row>
    <row r="8352" spans="1:2" x14ac:dyDescent="0.25">
      <c r="A8352">
        <f ca="1">34332.9174861342*((RANDBETWEEN(1620,2416)))</f>
        <v>72648453.400659978</v>
      </c>
      <c r="B8352">
        <v>194512599.95141047</v>
      </c>
    </row>
    <row r="8353" spans="1:2" x14ac:dyDescent="0.25">
      <c r="A8353">
        <f ca="1">27346.3383748639*((RANDBETWEEN(1620,2416)))</f>
        <v>57235886.218590111</v>
      </c>
      <c r="B8353">
        <v>165355034.93068409</v>
      </c>
    </row>
    <row r="8354" spans="1:2" x14ac:dyDescent="0.25">
      <c r="A8354">
        <f ca="1">32758.4801470275*((RANDBETWEEN(1620,2416)))</f>
        <v>55984242.571270011</v>
      </c>
      <c r="B8354">
        <v>163508477.57044405</v>
      </c>
    </row>
    <row r="8355" spans="1:2" x14ac:dyDescent="0.25">
      <c r="A8355">
        <f ca="1">39050.200915986*((RANDBETWEEN(1620,2416)))</f>
        <v>93251879.787374675</v>
      </c>
      <c r="B8355">
        <v>171992271.66182202</v>
      </c>
    </row>
    <row r="8356" spans="1:2" x14ac:dyDescent="0.25">
      <c r="A8356">
        <f ca="1">34128.3759516291*((RANDBETWEEN(1620,2416)))</f>
        <v>66277306.098063648</v>
      </c>
      <c r="B8356">
        <v>158814626.80281785</v>
      </c>
    </row>
    <row r="8357" spans="1:2" x14ac:dyDescent="0.25">
      <c r="A8357">
        <f ca="1">34360.4712425405*((RANDBETWEEN(1620,2416)))</f>
        <v>68652221.542595908</v>
      </c>
      <c r="B8357">
        <v>194696394.34139532</v>
      </c>
    </row>
    <row r="8358" spans="1:2" x14ac:dyDescent="0.25">
      <c r="A8358">
        <f ca="1">29514.2741991703*((RANDBETWEEN(1620,2416)))</f>
        <v>62481718.479643524</v>
      </c>
      <c r="B8358">
        <v>150087336.6741235</v>
      </c>
    </row>
    <row r="8359" spans="1:2" x14ac:dyDescent="0.25">
      <c r="A8359">
        <f ca="1">37214.6967382821*((RANDBETWEEN(1620,2416)))</f>
        <v>85779875.981740326</v>
      </c>
      <c r="B8359">
        <v>149514852.55362496</v>
      </c>
    </row>
    <row r="8360" spans="1:2" x14ac:dyDescent="0.25">
      <c r="A8360">
        <f ca="1">38147.697025574*((RANDBETWEEN(1620,2416)))</f>
        <v>86480829.156976223</v>
      </c>
      <c r="B8360">
        <v>196454432.60202244</v>
      </c>
    </row>
    <row r="8361" spans="1:2" x14ac:dyDescent="0.25">
      <c r="A8361">
        <f ca="1">30612.1129322325*((RANDBETWEEN(1620,2416)))</f>
        <v>58377299.361767367</v>
      </c>
      <c r="B8361">
        <v>148936134.66495806</v>
      </c>
    </row>
    <row r="8362" spans="1:2" x14ac:dyDescent="0.25">
      <c r="A8362">
        <f ca="1">39487.8876164584*((RANDBETWEEN(1620,2416)))</f>
        <v>67168896.835595727</v>
      </c>
      <c r="B8362">
        <v>173149590.02368712</v>
      </c>
    </row>
    <row r="8363" spans="1:2" x14ac:dyDescent="0.25">
      <c r="A8363">
        <f ca="1">31572.7938399231*((RANDBETWEEN(1620,2416)))</f>
        <v>67692069.992795154</v>
      </c>
      <c r="B8363">
        <v>152854823.39329544</v>
      </c>
    </row>
    <row r="8364" spans="1:2" x14ac:dyDescent="0.25">
      <c r="A8364">
        <f ca="1">31272.8110480741*((RANDBETWEEN(1620,2416)))</f>
        <v>60450343.755927324</v>
      </c>
      <c r="B8364">
        <v>144716533.58861819</v>
      </c>
    </row>
    <row r="8365" spans="1:2" x14ac:dyDescent="0.25">
      <c r="A8365">
        <f ca="1">33944.9936763785*((RANDBETWEEN(1620,2416)))</f>
        <v>57740434.243519768</v>
      </c>
      <c r="B8365">
        <v>146552197.65232545</v>
      </c>
    </row>
    <row r="8366" spans="1:2" x14ac:dyDescent="0.25">
      <c r="A8366">
        <f ca="1">32716.279414773*((RANDBETWEEN(1620,2416)))</f>
        <v>67755414.667994976</v>
      </c>
      <c r="B8366">
        <v>173498412.81571868</v>
      </c>
    </row>
    <row r="8367" spans="1:2" x14ac:dyDescent="0.25">
      <c r="A8367">
        <f ca="1">33363.3251521447*((RANDBETWEEN(1620,2416)))</f>
        <v>64090947.617269941</v>
      </c>
      <c r="B8367">
        <v>152725680.94892812</v>
      </c>
    </row>
    <row r="8368" spans="1:2" x14ac:dyDescent="0.25">
      <c r="A8368">
        <f ca="1">35240.2353747961*((RANDBETWEEN(1620,2416)))</f>
        <v>78127601.825922936</v>
      </c>
      <c r="B8368">
        <v>152656132.2557762</v>
      </c>
    </row>
    <row r="8369" spans="1:2" x14ac:dyDescent="0.25">
      <c r="A8369">
        <f ca="1">31068.9873905745*((RANDBETWEEN(1620,2416)))</f>
        <v>52879416.538757749</v>
      </c>
      <c r="B8369">
        <v>168951584.82467058</v>
      </c>
    </row>
    <row r="8370" spans="1:2" x14ac:dyDescent="0.25">
      <c r="A8370">
        <f ca="1">29902.566560286*((RANDBETWEEN(1620,2416)))</f>
        <v>65247400.234544002</v>
      </c>
      <c r="B8370">
        <v>176892149.70444351</v>
      </c>
    </row>
    <row r="8371" spans="1:2" x14ac:dyDescent="0.25">
      <c r="A8371">
        <f ca="1">33690.0244479236*((RANDBETWEEN(1620,2416)))</f>
        <v>65729237.697898984</v>
      </c>
      <c r="B8371">
        <v>144373950.37172842</v>
      </c>
    </row>
    <row r="8372" spans="1:2" x14ac:dyDescent="0.25">
      <c r="A8372">
        <f ca="1">34283.6580695288*((RANDBETWEEN(1620,2416)))</f>
        <v>81697957.179687157</v>
      </c>
      <c r="B8372">
        <v>171370750.67157245</v>
      </c>
    </row>
    <row r="8373" spans="1:2" x14ac:dyDescent="0.25">
      <c r="A8373">
        <f ca="1">30768.6098611207*((RANDBETWEEN(1620,2416)))</f>
        <v>50306677.122932285</v>
      </c>
      <c r="B8373">
        <v>155746655.50339323</v>
      </c>
    </row>
    <row r="8374" spans="1:2" x14ac:dyDescent="0.25">
      <c r="A8374">
        <f ca="1">30627.7350300308*((RANDBETWEEN(1620,2416)))</f>
        <v>65972141.254686333</v>
      </c>
      <c r="B8374">
        <v>175899276.74608222</v>
      </c>
    </row>
    <row r="8375" spans="1:2" x14ac:dyDescent="0.25">
      <c r="A8375">
        <f ca="1">30088.7027797001*((RANDBETWEEN(1620,2416)))</f>
        <v>70708451.532295212</v>
      </c>
      <c r="B8375">
        <v>152250318.37023383</v>
      </c>
    </row>
    <row r="8376" spans="1:2" x14ac:dyDescent="0.25">
      <c r="A8376">
        <f ca="1">34747.9482795766*((RANDBETWEEN(1620,2416)))</f>
        <v>82595873.060553581</v>
      </c>
      <c r="B8376">
        <v>161896366.52872622</v>
      </c>
    </row>
    <row r="8377" spans="1:2" x14ac:dyDescent="0.25">
      <c r="A8377">
        <f ca="1">32154.7203909144*((RANDBETWEEN(1620,2416)))</f>
        <v>62283693.397201255</v>
      </c>
      <c r="B8377">
        <v>166100512.37723112</v>
      </c>
    </row>
    <row r="8378" spans="1:2" x14ac:dyDescent="0.25">
      <c r="A8378">
        <f ca="1">32841.2277582744*((RANDBETWEEN(1620,2416)))</f>
        <v>69492037.936508536</v>
      </c>
      <c r="B8378">
        <v>163625540.55010483</v>
      </c>
    </row>
    <row r="8379" spans="1:2" x14ac:dyDescent="0.25">
      <c r="A8379">
        <f ca="1">39106.3102975978*((RANDBETWEEN(1620,2416)))</f>
        <v>68787999.813474596</v>
      </c>
      <c r="B8379">
        <v>149111438.58659041</v>
      </c>
    </row>
    <row r="8380" spans="1:2" x14ac:dyDescent="0.25">
      <c r="A8380">
        <f ca="1">39645.7048004293*((RANDBETWEEN(1620,2416)))</f>
        <v>91026538.221785665</v>
      </c>
      <c r="B8380">
        <v>179784832.87887681</v>
      </c>
    </row>
    <row r="8381" spans="1:2" x14ac:dyDescent="0.25">
      <c r="A8381">
        <f ca="1">33193.3443866476*((RANDBETWEEN(1620,2416)))</f>
        <v>54603051.516035326</v>
      </c>
      <c r="B8381">
        <v>161873953.16004297</v>
      </c>
    </row>
    <row r="8382" spans="1:2" x14ac:dyDescent="0.25">
      <c r="A8382">
        <f ca="1">32448.7560982905*((RANDBETWEEN(1620,2416)))</f>
        <v>65221999.757563919</v>
      </c>
      <c r="B8382">
        <v>172045377.59257466</v>
      </c>
    </row>
    <row r="8383" spans="1:2" x14ac:dyDescent="0.25">
      <c r="A8383">
        <f ca="1">32555.3628345566*((RANDBETWEEN(1620,2416)))</f>
        <v>66803604.536510199</v>
      </c>
      <c r="B8383">
        <v>146457931.01783252</v>
      </c>
    </row>
    <row r="8384" spans="1:2" x14ac:dyDescent="0.25">
      <c r="A8384">
        <f ca="1">26918.0005601211*((RANDBETWEEN(1620,2416)))</f>
        <v>65033889.353252582</v>
      </c>
      <c r="B8384">
        <v>154745758.57362565</v>
      </c>
    </row>
    <row r="8385" spans="1:2" x14ac:dyDescent="0.25">
      <c r="A8385">
        <f ca="1">32232.0554327602*((RANDBETWEEN(1620,2416)))</f>
        <v>62691347.816718578</v>
      </c>
      <c r="B8385">
        <v>177349643.62353292</v>
      </c>
    </row>
    <row r="8386" spans="1:2" x14ac:dyDescent="0.25">
      <c r="A8386">
        <f ca="1">38520.9821602802*((RANDBETWEEN(1620,2416)))</f>
        <v>79507307.178818434</v>
      </c>
      <c r="B8386">
        <v>170089655.33471179</v>
      </c>
    </row>
    <row r="8387" spans="1:2" x14ac:dyDescent="0.25">
      <c r="A8387">
        <f ca="1">28291.2364458402*((RANDBETWEEN(1620,2416)))</f>
        <v>52678282.262154363</v>
      </c>
      <c r="B8387">
        <v>198787138.1059137</v>
      </c>
    </row>
    <row r="8388" spans="1:2" x14ac:dyDescent="0.25">
      <c r="A8388">
        <f ca="1">30404.7156867647*((RANDBETWEEN(1620,2416)))</f>
        <v>70751773.403101459</v>
      </c>
      <c r="B8388">
        <v>155239816.7310164</v>
      </c>
    </row>
    <row r="8389" spans="1:2" x14ac:dyDescent="0.25">
      <c r="A8389">
        <f ca="1">32644.4132583634*((RANDBETWEEN(1620,2416)))</f>
        <v>76355282.611311927</v>
      </c>
      <c r="B8389">
        <v>149573198.75871015</v>
      </c>
    </row>
    <row r="8390" spans="1:2" x14ac:dyDescent="0.25">
      <c r="A8390">
        <f ca="1">28924.4627537888*((RANDBETWEEN(1620,2416)))</f>
        <v>48882342.053903006</v>
      </c>
      <c r="B8390">
        <v>162248041.53065261</v>
      </c>
    </row>
    <row r="8391" spans="1:2" x14ac:dyDescent="0.25">
      <c r="A8391">
        <f ca="1">35791.4737438689*((RANDBETWEEN(1620,2416)))</f>
        <v>62563496.104282804</v>
      </c>
      <c r="B8391">
        <v>177829290.71841344</v>
      </c>
    </row>
    <row r="8392" spans="1:2" x14ac:dyDescent="0.25">
      <c r="A8392">
        <f ca="1">35682.0718028282*((RANDBETWEEN(1620,2416)))</f>
        <v>59267921.264497615</v>
      </c>
      <c r="B8392">
        <v>186503078.19177473</v>
      </c>
    </row>
    <row r="8393" spans="1:2" x14ac:dyDescent="0.25">
      <c r="A8393">
        <f ca="1">33283.8854289349*((RANDBETWEEN(1620,2416)))</f>
        <v>75388000.496537641</v>
      </c>
      <c r="B8393">
        <v>194037716.68033239</v>
      </c>
    </row>
    <row r="8394" spans="1:2" x14ac:dyDescent="0.25">
      <c r="A8394">
        <f ca="1">35419.185523887*((RANDBETWEEN(1620,2416)))</f>
        <v>84155984.804755569</v>
      </c>
      <c r="B8394">
        <v>194081597.58346376</v>
      </c>
    </row>
    <row r="8395" spans="1:2" x14ac:dyDescent="0.25">
      <c r="A8395">
        <f ca="1">31082.4999652365*((RANDBETWEEN(1620,2416)))</f>
        <v>67853097.424111292</v>
      </c>
      <c r="B8395">
        <v>197392398.17477584</v>
      </c>
    </row>
    <row r="8396" spans="1:2" x14ac:dyDescent="0.25">
      <c r="A8396">
        <f ca="1">31687.6725679516*((RANDBETWEEN(1620,2416)))</f>
        <v>64642852.038621247</v>
      </c>
      <c r="B8396">
        <v>160670438.22252759</v>
      </c>
    </row>
    <row r="8397" spans="1:2" x14ac:dyDescent="0.25">
      <c r="A8397">
        <f ca="1">33060.2151571788*((RANDBETWEEN(1620,2416)))</f>
        <v>56070124.906575166</v>
      </c>
      <c r="B8397">
        <v>155789301.14892113</v>
      </c>
    </row>
    <row r="8398" spans="1:2" x14ac:dyDescent="0.25">
      <c r="A8398">
        <f ca="1">33629.4715424176*((RANDBETWEEN(1620,2416)))</f>
        <v>77717708.734527171</v>
      </c>
      <c r="B8398">
        <v>163300530.62392169</v>
      </c>
    </row>
    <row r="8399" spans="1:2" x14ac:dyDescent="0.25">
      <c r="A8399">
        <f ca="1">31755.3744625158*((RANDBETWEEN(1620,2416)))</f>
        <v>59890636.236304812</v>
      </c>
      <c r="B8399">
        <v>146704580.66586512</v>
      </c>
    </row>
    <row r="8400" spans="1:2" x14ac:dyDescent="0.25">
      <c r="A8400">
        <f ca="1">41002.3364567916*((RANDBETWEEN(1620,2416)))</f>
        <v>69785976.649459347</v>
      </c>
      <c r="B8400">
        <v>155315284.08136338</v>
      </c>
    </row>
    <row r="8401" spans="1:2" x14ac:dyDescent="0.25">
      <c r="A8401">
        <f ca="1">29529.6547327852*((RANDBETWEEN(1620,2416)))</f>
        <v>69099392.074717417</v>
      </c>
      <c r="B8401">
        <v>168894941.53593317</v>
      </c>
    </row>
    <row r="8402" spans="1:2" x14ac:dyDescent="0.25">
      <c r="A8402">
        <f ca="1">33300.0596755759*((RANDBETWEEN(1620,2416)))</f>
        <v>73226831.226591513</v>
      </c>
      <c r="B8402">
        <v>156281559.68911013</v>
      </c>
    </row>
    <row r="8403" spans="1:2" x14ac:dyDescent="0.25">
      <c r="A8403">
        <f ca="1">32208.2531834951*((RANDBETWEEN(1620,2416)))</f>
        <v>55365987.222428106</v>
      </c>
      <c r="B8403">
        <v>170993442.95319647</v>
      </c>
    </row>
    <row r="8404" spans="1:2" x14ac:dyDescent="0.25">
      <c r="A8404">
        <f ca="1">31011.5185622115*((RANDBETWEEN(1620,2416)))</f>
        <v>62984394.199851625</v>
      </c>
      <c r="B8404">
        <v>157256389.95756865</v>
      </c>
    </row>
    <row r="8405" spans="1:2" x14ac:dyDescent="0.25">
      <c r="A8405">
        <f ca="1">31285.6533223463*((RANDBETWEEN(1620,2416)))</f>
        <v>71425146.534916535</v>
      </c>
      <c r="B8405">
        <v>147810432.26304966</v>
      </c>
    </row>
    <row r="8406" spans="1:2" x14ac:dyDescent="0.25">
      <c r="A8406">
        <f ca="1">36453.5627165276*((RANDBETWEEN(1620,2416)))</f>
        <v>75750503.324944422</v>
      </c>
      <c r="B8406">
        <v>147849671.02656132</v>
      </c>
    </row>
    <row r="8407" spans="1:2" x14ac:dyDescent="0.25">
      <c r="A8407">
        <f ca="1">30651.522818201*((RANDBETWEEN(1620,2416)))</f>
        <v>55785771.529125854</v>
      </c>
      <c r="B8407">
        <v>144985401.92929351</v>
      </c>
    </row>
    <row r="8408" spans="1:2" x14ac:dyDescent="0.25">
      <c r="A8408">
        <f ca="1">35530.3007163084*((RANDBETWEEN(1620,2416)))</f>
        <v>66406132.038780354</v>
      </c>
      <c r="B8408">
        <v>177177103.05039015</v>
      </c>
    </row>
    <row r="8409" spans="1:2" x14ac:dyDescent="0.25">
      <c r="A8409">
        <f ca="1">30062.1316172869*((RANDBETWEEN(1620,2416)))</f>
        <v>53480532.147153348</v>
      </c>
      <c r="B8409">
        <v>144064582.70906734</v>
      </c>
    </row>
    <row r="8410" spans="1:2" x14ac:dyDescent="0.25">
      <c r="A8410">
        <f ca="1">29487.1292960864*((RANDBETWEEN(1620,2416)))</f>
        <v>54905034.74931293</v>
      </c>
      <c r="B8410">
        <v>159966587.24060759</v>
      </c>
    </row>
    <row r="8411" spans="1:2" x14ac:dyDescent="0.25">
      <c r="A8411">
        <f ca="1">36384.3672886061*((RANDBETWEEN(1620,2416)))</f>
        <v>84448116.476854652</v>
      </c>
      <c r="B8411">
        <v>166963537.81936181</v>
      </c>
    </row>
    <row r="8412" spans="1:2" x14ac:dyDescent="0.25">
      <c r="A8412">
        <f ca="1">42189.8577619051*((RANDBETWEEN(1620,2416)))</f>
        <v>79612261.596715003</v>
      </c>
      <c r="B8412">
        <v>175132847.7642498</v>
      </c>
    </row>
    <row r="8413" spans="1:2" x14ac:dyDescent="0.25">
      <c r="A8413">
        <f ca="1">30188.1697868728*((RANDBETWEEN(1620,2416)))</f>
        <v>67651688.492381841</v>
      </c>
      <c r="B8413">
        <v>146386708.24943918</v>
      </c>
    </row>
    <row r="8414" spans="1:2" x14ac:dyDescent="0.25">
      <c r="A8414">
        <f ca="1">36123.928553502*((RANDBETWEEN(1620,2416)))</f>
        <v>72572972.463985443</v>
      </c>
      <c r="B8414">
        <v>149822566.55140224</v>
      </c>
    </row>
    <row r="8415" spans="1:2" x14ac:dyDescent="0.25">
      <c r="A8415">
        <f ca="1">32072.646246649*((RANDBETWEEN(1620,2416)))</f>
        <v>62445442.242225684</v>
      </c>
      <c r="B8415">
        <v>174685508.8874228</v>
      </c>
    </row>
    <row r="8416" spans="1:2" x14ac:dyDescent="0.25">
      <c r="A8416">
        <f ca="1">41564.8199014054*((RANDBETWEEN(1620,2416)))</f>
        <v>67459702.699980929</v>
      </c>
      <c r="B8416">
        <v>199118941.65240031</v>
      </c>
    </row>
    <row r="8417" spans="1:2" x14ac:dyDescent="0.25">
      <c r="A8417">
        <f ca="1">30707.506130571*((RANDBETWEEN(1620,2416)))</f>
        <v>51035875.189008929</v>
      </c>
      <c r="B8417">
        <v>181345363.3808172</v>
      </c>
    </row>
    <row r="8418" spans="1:2" x14ac:dyDescent="0.25">
      <c r="A8418">
        <f ca="1">33713.3669742417*((RANDBETWEEN(1620,2416)))</f>
        <v>57211583.755288236</v>
      </c>
      <c r="B8418">
        <v>177575504.58607522</v>
      </c>
    </row>
    <row r="8419" spans="1:2" x14ac:dyDescent="0.25">
      <c r="A8419">
        <f ca="1">31426.5462406874*((RANDBETWEEN(1620,2416)))</f>
        <v>69295534.460715666</v>
      </c>
      <c r="B8419">
        <v>192996565.37712002</v>
      </c>
    </row>
    <row r="8420" spans="1:2" x14ac:dyDescent="0.25">
      <c r="A8420">
        <f ca="1">29019.3867769527*((RANDBETWEEN(1620,2416)))</f>
        <v>64335980.484504223</v>
      </c>
      <c r="B8420">
        <v>159986620.6673224</v>
      </c>
    </row>
    <row r="8421" spans="1:2" x14ac:dyDescent="0.25">
      <c r="A8421">
        <f ca="1">39718.5363022562*((RANDBETWEEN(1620,2416)))</f>
        <v>89128395.462262824</v>
      </c>
      <c r="B8421">
        <v>175366127.09893745</v>
      </c>
    </row>
    <row r="8422" spans="1:2" x14ac:dyDescent="0.25">
      <c r="A8422">
        <f ca="1">35310.3576366299*((RANDBETWEEN(1620,2416)))</f>
        <v>81425684.710068434</v>
      </c>
      <c r="B8422">
        <v>155590896.23530966</v>
      </c>
    </row>
    <row r="8423" spans="1:2" x14ac:dyDescent="0.25">
      <c r="A8423">
        <f ca="1">32699.9498807032*((RANDBETWEEN(1620,2416)))</f>
        <v>64124601.71605894</v>
      </c>
      <c r="B8423">
        <v>167981044.66103566</v>
      </c>
    </row>
    <row r="8424" spans="1:2" x14ac:dyDescent="0.25">
      <c r="A8424">
        <f ca="1">31576.5175177165*((RANDBETWEEN(1620,2416)))</f>
        <v>59774347.661037371</v>
      </c>
      <c r="B8424">
        <v>147747025.3635214</v>
      </c>
    </row>
    <row r="8425" spans="1:2" x14ac:dyDescent="0.25">
      <c r="A8425">
        <f ca="1">38408.7302004746*((RANDBETWEEN(1620,2416)))</f>
        <v>80504698.500194699</v>
      </c>
      <c r="B8425">
        <v>147952563.3819412</v>
      </c>
    </row>
    <row r="8426" spans="1:2" x14ac:dyDescent="0.25">
      <c r="A8426">
        <f ca="1">33025.8850672856*((RANDBETWEEN(1620,2416)))</f>
        <v>78535554.690005183</v>
      </c>
      <c r="B8426">
        <v>175127913.14867359</v>
      </c>
    </row>
    <row r="8427" spans="1:2" x14ac:dyDescent="0.25">
      <c r="A8427">
        <f ca="1">29789.643075179*((RANDBETWEEN(1620,2416)))</f>
        <v>54961891.473705262</v>
      </c>
      <c r="B8427">
        <v>170165200.69544101</v>
      </c>
    </row>
    <row r="8428" spans="1:2" x14ac:dyDescent="0.25">
      <c r="A8428">
        <f ca="1">29826.9887330716*((RANDBETWEEN(1620,2416)))</f>
        <v>67856399.367737815</v>
      </c>
      <c r="B8428">
        <v>191218884.54301763</v>
      </c>
    </row>
    <row r="8429" spans="1:2" x14ac:dyDescent="0.25">
      <c r="A8429">
        <f ca="1">34991.0833547174*((RANDBETWEEN(1620,2416)))</f>
        <v>61794253.204430908</v>
      </c>
      <c r="B8429">
        <v>164792510.08929574</v>
      </c>
    </row>
    <row r="8430" spans="1:2" x14ac:dyDescent="0.25">
      <c r="A8430">
        <f ca="1">32137.1477831488*((RANDBETWEEN(1620,2416)))</f>
        <v>67745107.526877686</v>
      </c>
      <c r="B8430">
        <v>144857244.61596808</v>
      </c>
    </row>
    <row r="8431" spans="1:2" x14ac:dyDescent="0.25">
      <c r="A8431">
        <f ca="1">32495.3095327682*((RANDBETWEEN(1620,2416)))</f>
        <v>52772382.681215629</v>
      </c>
      <c r="B8431">
        <v>145979284.05555254</v>
      </c>
    </row>
    <row r="8432" spans="1:2" x14ac:dyDescent="0.25">
      <c r="A8432">
        <f ca="1">38512.1121674739*((RANDBETWEEN(1620,2416)))</f>
        <v>68628583.882438481</v>
      </c>
      <c r="B8432">
        <v>169472402.61644769</v>
      </c>
    </row>
    <row r="8433" spans="1:2" x14ac:dyDescent="0.25">
      <c r="A8433">
        <f ca="1">34071.8164902423*((RANDBETWEEN(1620,2416)))</f>
        <v>61363341.498926438</v>
      </c>
      <c r="B8433">
        <v>146478963.62223566</v>
      </c>
    </row>
    <row r="8434" spans="1:2" x14ac:dyDescent="0.25">
      <c r="A8434">
        <f ca="1">33516.9395557111*((RANDBETWEEN(1620,2416)))</f>
        <v>77223028.736358285</v>
      </c>
      <c r="B8434">
        <v>198302054.38127562</v>
      </c>
    </row>
    <row r="8435" spans="1:2" x14ac:dyDescent="0.25">
      <c r="A8435">
        <f ca="1">32708.3631406329*((RANDBETWEEN(1620,2416)))</f>
        <v>58384428.206029795</v>
      </c>
      <c r="B8435">
        <v>143255937.47193789</v>
      </c>
    </row>
    <row r="8436" spans="1:2" x14ac:dyDescent="0.25">
      <c r="A8436">
        <f ca="1">29320.8677855841*((RANDBETWEEN(1620,2416)))</f>
        <v>68698793.22162357</v>
      </c>
      <c r="B8436">
        <v>189941995.10316017</v>
      </c>
    </row>
    <row r="8437" spans="1:2" x14ac:dyDescent="0.25">
      <c r="A8437">
        <f ca="1">30948.0020405518*((RANDBETWEEN(1620,2416)))</f>
        <v>74584684.917729914</v>
      </c>
      <c r="B8437">
        <v>181958631.20068827</v>
      </c>
    </row>
    <row r="8438" spans="1:2" x14ac:dyDescent="0.25">
      <c r="A8438">
        <f ca="1">36104.0641630461*((RANDBETWEEN(1620,2416)))</f>
        <v>86216505.221354201</v>
      </c>
      <c r="B8438">
        <v>170102839.04377437</v>
      </c>
    </row>
    <row r="8439" spans="1:2" x14ac:dyDescent="0.25">
      <c r="A8439">
        <f ca="1">31740.6993429829*((RANDBETWEEN(1620,2416)))</f>
        <v>64751026.659685113</v>
      </c>
      <c r="B8439">
        <v>192410893.93581364</v>
      </c>
    </row>
    <row r="8440" spans="1:2" x14ac:dyDescent="0.25">
      <c r="A8440">
        <f ca="1">33991.8779912045*((RANDBETWEEN(1620,2416)))</f>
        <v>63938722.501455717</v>
      </c>
      <c r="B8440">
        <v>147529161.47130775</v>
      </c>
    </row>
    <row r="8441" spans="1:2" x14ac:dyDescent="0.25">
      <c r="A8441">
        <f ca="1">32932.7871414686*((RANDBETWEEN(1620,2416)))</f>
        <v>78050705.525280625</v>
      </c>
      <c r="B8441">
        <v>169139268.85096833</v>
      </c>
    </row>
    <row r="8442" spans="1:2" x14ac:dyDescent="0.25">
      <c r="A8442">
        <f ca="1">30347.8569961568*((RANDBETWEEN(1620,2416)))</f>
        <v>49831181.187689506</v>
      </c>
      <c r="B8442">
        <v>173088539.67813089</v>
      </c>
    </row>
    <row r="8443" spans="1:2" x14ac:dyDescent="0.25">
      <c r="A8443">
        <f ca="1">30150.2338336323*((RANDBETWEEN(1620,2416)))</f>
        <v>68380730.334678069</v>
      </c>
      <c r="B8443">
        <v>178052760.94625977</v>
      </c>
    </row>
    <row r="8444" spans="1:2" x14ac:dyDescent="0.25">
      <c r="A8444">
        <f ca="1">37949.1488407624*((RANDBETWEEN(1620,2416)))</f>
        <v>72824416.625422984</v>
      </c>
      <c r="B8444">
        <v>190623126.57068452</v>
      </c>
    </row>
    <row r="8445" spans="1:2" x14ac:dyDescent="0.25">
      <c r="A8445">
        <f ca="1">37060.9417398884*((RANDBETWEEN(1620,2416)))</f>
        <v>79310415.323361158</v>
      </c>
      <c r="B8445">
        <v>171683476.04274786</v>
      </c>
    </row>
    <row r="8446" spans="1:2" x14ac:dyDescent="0.25">
      <c r="A8446">
        <f ca="1">34843.5823606928*((RANDBETWEEN(1620,2416)))</f>
        <v>68014672.768072367</v>
      </c>
      <c r="B8446">
        <v>194957896.23986199</v>
      </c>
    </row>
    <row r="8447" spans="1:2" x14ac:dyDescent="0.25">
      <c r="A8447">
        <f ca="1">31639.334968433*((RANDBETWEEN(1620,2416)))</f>
        <v>56950802.943179362</v>
      </c>
      <c r="B8447">
        <v>162766455.7175076</v>
      </c>
    </row>
    <row r="8448" spans="1:2" x14ac:dyDescent="0.25">
      <c r="A8448">
        <f ca="1">31004.1688209729*((RANDBETWEEN(1620,2416)))</f>
        <v>58101812.370503232</v>
      </c>
      <c r="B8448">
        <v>171935076.58370396</v>
      </c>
    </row>
    <row r="8449" spans="1:2" x14ac:dyDescent="0.25">
      <c r="A8449">
        <f ca="1">38008.0714533329*((RANDBETWEEN(1620,2416)))</f>
        <v>80387071.123798996</v>
      </c>
      <c r="B8449">
        <v>149891383.45431516</v>
      </c>
    </row>
    <row r="8450" spans="1:2" x14ac:dyDescent="0.25">
      <c r="A8450">
        <f ca="1">39701.1936177658*((RANDBETWEEN(1620,2416)))</f>
        <v>90399617.86765264</v>
      </c>
      <c r="B8450">
        <v>146285532.53536209</v>
      </c>
    </row>
    <row r="8451" spans="1:2" x14ac:dyDescent="0.25">
      <c r="A8451">
        <f ca="1">30377.2524621423*((RANDBETWEEN(1620,2416)))</f>
        <v>49666807.775602683</v>
      </c>
      <c r="B8451">
        <v>183183739.21892193</v>
      </c>
    </row>
    <row r="8452" spans="1:2" x14ac:dyDescent="0.25">
      <c r="A8452">
        <f ca="1">39189.9952525073*((RANDBETWEEN(1620,2416)))</f>
        <v>66818941.905524924</v>
      </c>
      <c r="B8452">
        <v>161595511.58286849</v>
      </c>
    </row>
    <row r="8453" spans="1:2" x14ac:dyDescent="0.25">
      <c r="A8453">
        <f ca="1">34431.3720518622*((RANDBETWEEN(1620,2416)))</f>
        <v>83151763.505247131</v>
      </c>
      <c r="B8453">
        <v>152652919.66424885</v>
      </c>
    </row>
    <row r="8454" spans="1:2" x14ac:dyDescent="0.25">
      <c r="A8454">
        <f ca="1">37097.0722703253*((RANDBETWEEN(1620,2416)))</f>
        <v>87957158.352941319</v>
      </c>
      <c r="B8454">
        <v>166225890.82397076</v>
      </c>
    </row>
    <row r="8455" spans="1:2" x14ac:dyDescent="0.25">
      <c r="A8455">
        <f ca="1">37033.7814793021*((RANDBETWEEN(1620,2416)))</f>
        <v>84992528.494998202</v>
      </c>
      <c r="B8455">
        <v>184251789.64475581</v>
      </c>
    </row>
    <row r="8456" spans="1:2" x14ac:dyDescent="0.25">
      <c r="A8456">
        <f ca="1">29575.5710978499*((RANDBETWEEN(1620,2416)))</f>
        <v>54596504.246630959</v>
      </c>
      <c r="B8456">
        <v>189145087.08429998</v>
      </c>
    </row>
    <row r="8457" spans="1:2" x14ac:dyDescent="0.25">
      <c r="A8457">
        <f ca="1">37353.5428567317*((RANDBETWEEN(1620,2416)))</f>
        <v>69963185.770658389</v>
      </c>
      <c r="B8457">
        <v>175991908.26163104</v>
      </c>
    </row>
    <row r="8458" spans="1:2" x14ac:dyDescent="0.25">
      <c r="A8458">
        <f ca="1">30584.6252970936*((RANDBETWEEN(1620,2416)))</f>
        <v>73372516.087727487</v>
      </c>
      <c r="B8458">
        <v>159862097.22486189</v>
      </c>
    </row>
    <row r="8459" spans="1:2" x14ac:dyDescent="0.25">
      <c r="A8459">
        <f ca="1">30798.421646146*((RANDBETWEEN(1620,2416)))</f>
        <v>71082757.159304932</v>
      </c>
      <c r="B8459">
        <v>202680268.16333497</v>
      </c>
    </row>
    <row r="8460" spans="1:2" x14ac:dyDescent="0.25">
      <c r="A8460">
        <f ca="1">34572.0342642363*((RANDBETWEEN(1620,2416)))</f>
        <v>70976386.344477102</v>
      </c>
      <c r="B8460">
        <v>192770776.13582718</v>
      </c>
    </row>
    <row r="8461" spans="1:2" x14ac:dyDescent="0.25">
      <c r="A8461">
        <f ca="1">32685.1849071267*((RANDBETWEEN(1620,2416)))</f>
        <v>65304999.444439203</v>
      </c>
      <c r="B8461">
        <v>198291271.62197754</v>
      </c>
    </row>
    <row r="8462" spans="1:2" x14ac:dyDescent="0.25">
      <c r="A8462">
        <f ca="1">29768.5994245607*((RANDBETWEEN(1620,2416)))</f>
        <v>60549331.229556397</v>
      </c>
      <c r="B8462">
        <v>144443834.92854694</v>
      </c>
    </row>
    <row r="8463" spans="1:2" x14ac:dyDescent="0.25">
      <c r="A8463">
        <f ca="1">35585.0884211701*((RANDBETWEEN(1620,2416)))</f>
        <v>70671985.604443729</v>
      </c>
      <c r="B8463">
        <v>146263656.43123895</v>
      </c>
    </row>
    <row r="8464" spans="1:2" x14ac:dyDescent="0.25">
      <c r="A8464">
        <f ca="1">29404.0832501826*((RANDBETWEEN(1620,2416)))</f>
        <v>53250794.76608073</v>
      </c>
      <c r="B8464">
        <v>172393056.57409629</v>
      </c>
    </row>
    <row r="8465" spans="1:2" x14ac:dyDescent="0.25">
      <c r="A8465">
        <f ca="1">30578.3672748126*((RANDBETWEEN(1620,2416)))</f>
        <v>58282368.025792882</v>
      </c>
      <c r="B8465">
        <v>143554321.38186947</v>
      </c>
    </row>
    <row r="8466" spans="1:2" x14ac:dyDescent="0.25">
      <c r="A8466">
        <f ca="1">29305.4519383088*((RANDBETWEEN(1620,2416)))</f>
        <v>66025183.217009835</v>
      </c>
      <c r="B8466">
        <v>159767877.99692383</v>
      </c>
    </row>
    <row r="8467" spans="1:2" x14ac:dyDescent="0.25">
      <c r="A8467">
        <f ca="1">36536.5535302846*((RANDBETWEEN(1620,2416)))</f>
        <v>69967500.010495141</v>
      </c>
      <c r="B8467">
        <v>176971235.37587959</v>
      </c>
    </row>
    <row r="8468" spans="1:2" x14ac:dyDescent="0.25">
      <c r="A8468">
        <f ca="1">29308.181871393*((RANDBETWEEN(1620,2416)))</f>
        <v>53311582.824063808</v>
      </c>
      <c r="B8468">
        <v>155857010.084795</v>
      </c>
    </row>
    <row r="8469" spans="1:2" x14ac:dyDescent="0.25">
      <c r="A8469">
        <f ca="1">35063.6513603269*((RANDBETWEEN(1620,2416)))</f>
        <v>69531220.647528306</v>
      </c>
      <c r="B8469">
        <v>143028827.78494561</v>
      </c>
    </row>
    <row r="8470" spans="1:2" x14ac:dyDescent="0.25">
      <c r="A8470">
        <f ca="1">34486.5577351434*((RANDBETWEEN(1620,2416)))</f>
        <v>80767518.215705886</v>
      </c>
      <c r="B8470">
        <v>189948391.21718353</v>
      </c>
    </row>
    <row r="8471" spans="1:2" x14ac:dyDescent="0.25">
      <c r="A8471">
        <f ca="1">31154.7738349555*((RANDBETWEEN(1620,2416)))</f>
        <v>58539820.035881341</v>
      </c>
      <c r="B8471">
        <v>178949172.05971056</v>
      </c>
    </row>
    <row r="8472" spans="1:2" x14ac:dyDescent="0.25">
      <c r="A8472">
        <f ca="1">32425.3675446424*((RANDBETWEEN(1620,2416)))</f>
        <v>68125697.211293697</v>
      </c>
      <c r="B8472">
        <v>184118212.71966687</v>
      </c>
    </row>
    <row r="8473" spans="1:2" x14ac:dyDescent="0.25">
      <c r="A8473">
        <f ca="1">30321.0920253031*((RANDBETWEEN(1620,2416)))</f>
        <v>56518515.535164922</v>
      </c>
      <c r="B8473">
        <v>181165663.6284838</v>
      </c>
    </row>
    <row r="8474" spans="1:2" x14ac:dyDescent="0.25">
      <c r="A8474">
        <f ca="1">32447.870304413*((RANDBETWEEN(1620,2416)))</f>
        <v>63208451.352996461</v>
      </c>
      <c r="B8474">
        <v>201636862.49171385</v>
      </c>
    </row>
    <row r="8475" spans="1:2" x14ac:dyDescent="0.25">
      <c r="A8475">
        <f ca="1">33341.1151626626*((RANDBETWEEN(1620,2416)))</f>
        <v>79718606.353926241</v>
      </c>
      <c r="B8475">
        <v>157954461.24048042</v>
      </c>
    </row>
    <row r="8476" spans="1:2" x14ac:dyDescent="0.25">
      <c r="A8476">
        <f ca="1">29905.3959872391*((RANDBETWEEN(1620,2416)))</f>
        <v>50599930.010408543</v>
      </c>
      <c r="B8476">
        <v>164159910.32202965</v>
      </c>
    </row>
    <row r="8477" spans="1:2" x14ac:dyDescent="0.25">
      <c r="A8477">
        <f ca="1">37318.1648180258*((RANDBETWEEN(1620,2416)))</f>
        <v>72882375.889604405</v>
      </c>
      <c r="B8477">
        <v>197772703.04787979</v>
      </c>
    </row>
    <row r="8478" spans="1:2" x14ac:dyDescent="0.25">
      <c r="A8478">
        <f ca="1">33105.1864376952*((RANDBETWEEN(1620,2416)))</f>
        <v>74056302.061124265</v>
      </c>
      <c r="B8478">
        <v>151528365.25991398</v>
      </c>
    </row>
    <row r="8479" spans="1:2" x14ac:dyDescent="0.25">
      <c r="A8479">
        <f ca="1">41211.0905507397*((RANDBETWEEN(1620,2416)))</f>
        <v>69234632.125242665</v>
      </c>
      <c r="B8479">
        <v>181524021.90573677</v>
      </c>
    </row>
    <row r="8480" spans="1:2" x14ac:dyDescent="0.25">
      <c r="A8480">
        <f ca="1">28886.3597020031*((RANDBETWEEN(1620,2416)))</f>
        <v>66120877.357885122</v>
      </c>
      <c r="B8480">
        <v>147333148.24607384</v>
      </c>
    </row>
    <row r="8481" spans="1:2" x14ac:dyDescent="0.25">
      <c r="A8481">
        <f ca="1">36444.771413993*((RANDBETWEEN(1620,2416)))</f>
        <v>68917062.743860781</v>
      </c>
      <c r="B8481">
        <v>179952592.81045255</v>
      </c>
    </row>
    <row r="8482" spans="1:2" x14ac:dyDescent="0.25">
      <c r="A8482">
        <f ca="1">33756.0557413582*((RANDBETWEEN(1620,2416)))</f>
        <v>72508007.732437447</v>
      </c>
      <c r="B8482">
        <v>167848864.664785</v>
      </c>
    </row>
    <row r="8483" spans="1:2" x14ac:dyDescent="0.25">
      <c r="A8483">
        <f ca="1">32908.023033617*((RANDBETWEEN(1620,2416)))</f>
        <v>73220351.249797791</v>
      </c>
      <c r="B8483">
        <v>153154496.17967796</v>
      </c>
    </row>
    <row r="8484" spans="1:2" x14ac:dyDescent="0.25">
      <c r="A8484">
        <f ca="1">34531.4370705589*((RANDBETWEEN(1620,2416)))</f>
        <v>63434249.898616746</v>
      </c>
      <c r="B8484">
        <v>153370206.13413036</v>
      </c>
    </row>
    <row r="8485" spans="1:2" x14ac:dyDescent="0.25">
      <c r="A8485">
        <f ca="1">28921.489862107*((RANDBETWEEN(1620,2416)))</f>
        <v>53273384.326001003</v>
      </c>
      <c r="B8485">
        <v>177619174.46480927</v>
      </c>
    </row>
    <row r="8486" spans="1:2" x14ac:dyDescent="0.25">
      <c r="A8486">
        <f ca="1">28703.4444747745*((RANDBETWEEN(1620,2416)))</f>
        <v>62889246.844230883</v>
      </c>
      <c r="B8486">
        <v>190421652.08859795</v>
      </c>
    </row>
    <row r="8487" spans="1:2" x14ac:dyDescent="0.25">
      <c r="A8487">
        <f ca="1">30590.0938904786*((RANDBETWEEN(1620,2416)))</f>
        <v>68154729.187986255</v>
      </c>
      <c r="B8487">
        <v>194180843.03367132</v>
      </c>
    </row>
    <row r="8488" spans="1:2" x14ac:dyDescent="0.25">
      <c r="A8488">
        <f ca="1">35901.7933974934*((RANDBETWEEN(1620,2416)))</f>
        <v>72521622.662936702</v>
      </c>
      <c r="B8488">
        <v>159775439.4437227</v>
      </c>
    </row>
    <row r="8489" spans="1:2" x14ac:dyDescent="0.25">
      <c r="A8489">
        <f ca="1">29624.0062976891*((RANDBETWEEN(1620,2416)))</f>
        <v>57352076.192326121</v>
      </c>
      <c r="B8489">
        <v>188494907.57140815</v>
      </c>
    </row>
    <row r="8490" spans="1:2" x14ac:dyDescent="0.25">
      <c r="A8490">
        <f ca="1">30744.1387034466*((RANDBETWEEN(1620,2416)))</f>
        <v>72156493.536989152</v>
      </c>
      <c r="B8490">
        <v>164435654.61842719</v>
      </c>
    </row>
    <row r="8491" spans="1:2" x14ac:dyDescent="0.25">
      <c r="A8491">
        <f ca="1">32779.3308057993*((RANDBETWEEN(1620,2416)))</f>
        <v>78899849.24955897</v>
      </c>
      <c r="B8491">
        <v>176138701.48778081</v>
      </c>
    </row>
    <row r="8492" spans="1:2" x14ac:dyDescent="0.25">
      <c r="A8492">
        <f ca="1">31508.0351590786*((RANDBETWEEN(1620,2416)))</f>
        <v>58037800.763022758</v>
      </c>
      <c r="B8492">
        <v>175295698.20523593</v>
      </c>
    </row>
    <row r="8493" spans="1:2" x14ac:dyDescent="0.25">
      <c r="A8493">
        <f ca="1">31637.8577570261*((RANDBETWEEN(1620,2416)))</f>
        <v>62389855.496855557</v>
      </c>
      <c r="B8493">
        <v>169708198.68563557</v>
      </c>
    </row>
    <row r="8494" spans="1:2" x14ac:dyDescent="0.25">
      <c r="A8494">
        <f ca="1">34586.7451216531*((RANDBETWEEN(1620,2416)))</f>
        <v>78650258.406639129</v>
      </c>
      <c r="B8494">
        <v>178629362.86210448</v>
      </c>
    </row>
    <row r="8495" spans="1:2" x14ac:dyDescent="0.25">
      <c r="A8495">
        <f ca="1">38913.5266248119*((RANDBETWEEN(1620,2416)))</f>
        <v>64324059.510814048</v>
      </c>
      <c r="B8495">
        <v>158046250.8193891</v>
      </c>
    </row>
    <row r="8496" spans="1:2" x14ac:dyDescent="0.25">
      <c r="A8496">
        <f ca="1">31010.4041851821*((RANDBETWEEN(1620,2416)))</f>
        <v>74238907.619325981</v>
      </c>
      <c r="B8496">
        <v>161461082.35285464</v>
      </c>
    </row>
    <row r="8497" spans="1:2" x14ac:dyDescent="0.25">
      <c r="A8497">
        <f ca="1">30942.9226459116*((RANDBETWEEN(1620,2416)))</f>
        <v>74603386.499292985</v>
      </c>
      <c r="B8497">
        <v>163182803.34748012</v>
      </c>
    </row>
    <row r="8498" spans="1:2" x14ac:dyDescent="0.25">
      <c r="A8498">
        <f ca="1">37376.4491316547*((RANDBETWEEN(1620,2416)))</f>
        <v>75649933.042469144</v>
      </c>
      <c r="B8498">
        <v>195130031.64862904</v>
      </c>
    </row>
    <row r="8499" spans="1:2" x14ac:dyDescent="0.25">
      <c r="A8499">
        <f ca="1">32897.9291753461*((RANDBETWEEN(1620,2416)))</f>
        <v>66453816.93419908</v>
      </c>
      <c r="B8499">
        <v>152222420.73565531</v>
      </c>
    </row>
    <row r="8500" spans="1:2" x14ac:dyDescent="0.25">
      <c r="A8500">
        <f ca="1">31943.5476466926*((RANDBETWEEN(1620,2416)))</f>
        <v>71202167.704477906</v>
      </c>
      <c r="B8500">
        <v>192496049.31693006</v>
      </c>
    </row>
    <row r="8501" spans="1:2" x14ac:dyDescent="0.25">
      <c r="A8501">
        <f ca="1">37887.7201233116*((RANDBETWEEN(1620,2416)))</f>
        <v>76305868.328349575</v>
      </c>
      <c r="B8501">
        <v>197533436.91127712</v>
      </c>
    </row>
    <row r="8502" spans="1:2" x14ac:dyDescent="0.25">
      <c r="A8502">
        <f ca="1">29894.537867056*((RANDBETWEEN(1620,2416)))</f>
        <v>69265644.237968653</v>
      </c>
      <c r="B8502">
        <v>178397092.87872332</v>
      </c>
    </row>
    <row r="8503" spans="1:2" x14ac:dyDescent="0.25">
      <c r="A8503">
        <f ca="1">37574.4651055893*((RANDBETWEEN(1620,2416)))</f>
        <v>80371780.860855445</v>
      </c>
      <c r="B8503">
        <v>162727840.87542713</v>
      </c>
    </row>
    <row r="8504" spans="1:2" x14ac:dyDescent="0.25">
      <c r="A8504">
        <f ca="1">31382.6140688086*((RANDBETWEEN(1620,2416)))</f>
        <v>65432750.333465882</v>
      </c>
      <c r="B8504">
        <v>167924188.56373996</v>
      </c>
    </row>
    <row r="8505" spans="1:2" x14ac:dyDescent="0.25">
      <c r="A8505">
        <f ca="1">30304.7077801348*((RANDBETWEEN(1620,2416)))</f>
        <v>66064262.960693918</v>
      </c>
      <c r="B8505">
        <v>169569774.81092605</v>
      </c>
    </row>
    <row r="8506" spans="1:2" x14ac:dyDescent="0.25">
      <c r="A8506">
        <f ca="1">33936.3759948105*((RANDBETWEEN(1620,2416)))</f>
        <v>58302693.959084362</v>
      </c>
      <c r="B8506">
        <v>198857926.32275924</v>
      </c>
    </row>
    <row r="8507" spans="1:2" x14ac:dyDescent="0.25">
      <c r="A8507">
        <f ca="1">31279.414012792*((RANDBETWEEN(1620,2416)))</f>
        <v>53362680.305823192</v>
      </c>
      <c r="B8507">
        <v>143394241.43932384</v>
      </c>
    </row>
    <row r="8508" spans="1:2" x14ac:dyDescent="0.25">
      <c r="A8508">
        <f ca="1">34707.4533378665*((RANDBETWEEN(1620,2416)))</f>
        <v>71289109.1559778</v>
      </c>
      <c r="B8508">
        <v>162581613.90175638</v>
      </c>
    </row>
    <row r="8509" spans="1:2" x14ac:dyDescent="0.25">
      <c r="A8509">
        <f ca="1">33133.1625919885*((RANDBETWEEN(1620,2416)))</f>
        <v>63251207.388106138</v>
      </c>
      <c r="B8509">
        <v>182430232.78295058</v>
      </c>
    </row>
    <row r="8510" spans="1:2" x14ac:dyDescent="0.25">
      <c r="A8510">
        <f ca="1">37678.5341038324*((RANDBETWEEN(1620,2416)))</f>
        <v>68574932.068974957</v>
      </c>
      <c r="B8510">
        <v>154651618.61784577</v>
      </c>
    </row>
    <row r="8511" spans="1:2" x14ac:dyDescent="0.25">
      <c r="A8511">
        <f ca="1">29836.2354780068*((RANDBETWEEN(1620,2416)))</f>
        <v>52571446.912248038</v>
      </c>
      <c r="B8511">
        <v>160319554.1051144</v>
      </c>
    </row>
    <row r="8512" spans="1:2" x14ac:dyDescent="0.25">
      <c r="A8512">
        <f ca="1">31006.3630673072*((RANDBETWEEN(1620,2416)))</f>
        <v>63439018.835710593</v>
      </c>
      <c r="B8512">
        <v>159443769.02624631</v>
      </c>
    </row>
    <row r="8513" spans="1:2" x14ac:dyDescent="0.25">
      <c r="A8513">
        <f ca="1">31242.927995536*((RANDBETWEEN(1620,2416)))</f>
        <v>62485855.991071962</v>
      </c>
      <c r="B8513">
        <v>166370469.92282265</v>
      </c>
    </row>
    <row r="8514" spans="1:2" x14ac:dyDescent="0.25">
      <c r="A8514">
        <f ca="1">29279.5664461422*((RANDBETWEEN(1620,2416)))</f>
        <v>61721326.068467841</v>
      </c>
      <c r="B8514">
        <v>201841681.14843497</v>
      </c>
    </row>
    <row r="8515" spans="1:2" x14ac:dyDescent="0.25">
      <c r="A8515">
        <f ca="1">29991.3864355071*((RANDBETWEEN(1620,2416)))</f>
        <v>69520033.757505566</v>
      </c>
      <c r="B8515">
        <v>159900250.39376801</v>
      </c>
    </row>
    <row r="8516" spans="1:2" x14ac:dyDescent="0.25">
      <c r="A8516">
        <f ca="1">33342.0771054998*((RANDBETWEEN(1620,2416)))</f>
        <v>69818309.458916679</v>
      </c>
      <c r="B8516">
        <v>175918368.23257959</v>
      </c>
    </row>
    <row r="8517" spans="1:2" x14ac:dyDescent="0.25">
      <c r="A8517">
        <f ca="1">30641.6807680639*((RANDBETWEEN(1620,2416)))</f>
        <v>56503259.336309768</v>
      </c>
      <c r="B8517">
        <v>177066692.70226419</v>
      </c>
    </row>
    <row r="8518" spans="1:2" x14ac:dyDescent="0.25">
      <c r="A8518">
        <f ca="1">40616.3745132106*((RANDBETWEEN(1620,2416)))</f>
        <v>71687901.015816703</v>
      </c>
      <c r="B8518">
        <v>156523666.2825056</v>
      </c>
    </row>
    <row r="8519" spans="1:2" x14ac:dyDescent="0.25">
      <c r="A8519">
        <f ca="1">32818.6866771805*((RANDBETWEEN(1620,2416)))</f>
        <v>66523477.894644946</v>
      </c>
      <c r="B8519">
        <v>157664455.4062123</v>
      </c>
    </row>
    <row r="8520" spans="1:2" x14ac:dyDescent="0.25">
      <c r="A8520">
        <f ca="1">30692.8101223965*((RANDBETWEEN(1620,2416)))</f>
        <v>56935162.777045496</v>
      </c>
      <c r="B8520">
        <v>159858424.10360301</v>
      </c>
    </row>
    <row r="8521" spans="1:2" x14ac:dyDescent="0.25">
      <c r="A8521">
        <f ca="1">30101.6274330078*((RANDBETWEEN(1620,2416)))</f>
        <v>54784961.928074233</v>
      </c>
      <c r="B8521">
        <v>167087474.62496933</v>
      </c>
    </row>
    <row r="8522" spans="1:2" x14ac:dyDescent="0.25">
      <c r="A8522">
        <f ca="1">32393.5866606555*((RANDBETWEEN(1620,2416)))</f>
        <v>58664785.442447133</v>
      </c>
      <c r="B8522">
        <v>160290048.10925743</v>
      </c>
    </row>
    <row r="8523" spans="1:2" x14ac:dyDescent="0.25">
      <c r="A8523">
        <f ca="1">31741.9209514703*((RANDBETWEEN(1620,2416)))</f>
        <v>75736223.39020817</v>
      </c>
      <c r="B8523">
        <v>169610112.60322556</v>
      </c>
    </row>
    <row r="8524" spans="1:2" x14ac:dyDescent="0.25">
      <c r="A8524">
        <f ca="1">39553.5686754945*((RANDBETWEEN(1620,2416)))</f>
        <v>67082852.473638609</v>
      </c>
      <c r="B8524">
        <v>145549297.57962409</v>
      </c>
    </row>
    <row r="8525" spans="1:2" x14ac:dyDescent="0.25">
      <c r="A8525">
        <f ca="1">30460.0138506862*((RANDBETWEEN(1620,2416)))</f>
        <v>69296531.510311216</v>
      </c>
      <c r="B8525">
        <v>146100778.93005571</v>
      </c>
    </row>
    <row r="8526" spans="1:2" x14ac:dyDescent="0.25">
      <c r="A8526">
        <f ca="1">29529.5261701987*((RANDBETWEEN(1620,2416)))</f>
        <v>49284779.178061649</v>
      </c>
      <c r="B8526">
        <v>174826719.23255628</v>
      </c>
    </row>
    <row r="8527" spans="1:2" x14ac:dyDescent="0.25">
      <c r="A8527">
        <f ca="1">32941.877211319*((RANDBETWEEN(1620,2416)))</f>
        <v>71154454.77644901</v>
      </c>
      <c r="B8527">
        <v>154776996.1681585</v>
      </c>
    </row>
    <row r="8528" spans="1:2" x14ac:dyDescent="0.25">
      <c r="A8528">
        <f ca="1">33665.9959453735*((RANDBETWEEN(1620,2416)))</f>
        <v>78340772.564884081</v>
      </c>
      <c r="B8528">
        <v>156533511.87884781</v>
      </c>
    </row>
    <row r="8529" spans="1:2" x14ac:dyDescent="0.25">
      <c r="A8529">
        <f ca="1">33198.8038534892*((RANDBETWEEN(1620,2416)))</f>
        <v>67526367.037996978</v>
      </c>
      <c r="B8529">
        <v>191114054.39618802</v>
      </c>
    </row>
    <row r="8530" spans="1:2" x14ac:dyDescent="0.25">
      <c r="A8530">
        <f ca="1">35725.3445934815*((RANDBETWEEN(1620,2416)))</f>
        <v>64269894.92367325</v>
      </c>
      <c r="B8530">
        <v>165408169.10362425</v>
      </c>
    </row>
    <row r="8531" spans="1:2" x14ac:dyDescent="0.25">
      <c r="A8531">
        <f ca="1">32002.2760825314*((RANDBETWEEN(1620,2416)))</f>
        <v>59428226.685260765</v>
      </c>
      <c r="B8531">
        <v>159479834.25417584</v>
      </c>
    </row>
    <row r="8532" spans="1:2" x14ac:dyDescent="0.25">
      <c r="A8532">
        <f ca="1">33797.0081391203*((RANDBETWEEN(1620,2416)))</f>
        <v>70939920.084013492</v>
      </c>
      <c r="B8532">
        <v>157670717.99093944</v>
      </c>
    </row>
    <row r="8533" spans="1:2" x14ac:dyDescent="0.25">
      <c r="A8533">
        <f ca="1">31868.5766226748*((RANDBETWEEN(1620,2416)))</f>
        <v>53443602.996225677</v>
      </c>
      <c r="B8533">
        <v>145669928.04264563</v>
      </c>
    </row>
    <row r="8534" spans="1:2" x14ac:dyDescent="0.25">
      <c r="A8534">
        <f ca="1">28405.095562699*((RANDBETWEEN(1620,2416)))</f>
        <v>60730094.313050367</v>
      </c>
      <c r="B8534">
        <v>192248522.46861458</v>
      </c>
    </row>
    <row r="8535" spans="1:2" x14ac:dyDescent="0.25">
      <c r="A8535">
        <f ca="1">37553.8777298865*((RANDBETWEEN(1620,2416)))</f>
        <v>73568046.472847655</v>
      </c>
      <c r="B8535">
        <v>197763751.4457742</v>
      </c>
    </row>
    <row r="8536" spans="1:2" x14ac:dyDescent="0.25">
      <c r="A8536">
        <f ca="1">29133.9176522612*((RANDBETWEEN(1620,2416)))</f>
        <v>65172573.788108259</v>
      </c>
      <c r="B8536">
        <v>154304539.94454947</v>
      </c>
    </row>
    <row r="8537" spans="1:2" x14ac:dyDescent="0.25">
      <c r="A8537">
        <f ca="1">30568.6867218647*((RANDBETWEEN(1620,2416)))</f>
        <v>64316516.862803228</v>
      </c>
      <c r="B8537">
        <v>161438872.76333338</v>
      </c>
    </row>
    <row r="8538" spans="1:2" x14ac:dyDescent="0.25">
      <c r="A8538">
        <f ca="1">40142.6730242041*((RANDBETWEEN(1620,2416)))</f>
        <v>65231843.664331727</v>
      </c>
      <c r="B8538">
        <v>162493272.11156452</v>
      </c>
    </row>
    <row r="8539" spans="1:2" x14ac:dyDescent="0.25">
      <c r="A8539">
        <f ca="1">36559.9857322468*((RANDBETWEEN(1620,2416)))</f>
        <v>71803811.978132725</v>
      </c>
      <c r="B8539">
        <v>181306923.18780836</v>
      </c>
    </row>
    <row r="8540" spans="1:2" x14ac:dyDescent="0.25">
      <c r="A8540">
        <f ca="1">31455.2573623555*((RANDBETWEEN(1620,2416)))</f>
        <v>66810966.637643114</v>
      </c>
      <c r="B8540">
        <v>147390616.76965296</v>
      </c>
    </row>
    <row r="8541" spans="1:2" x14ac:dyDescent="0.25">
      <c r="A8541">
        <f ca="1">36496.5175153652*((RANDBETWEEN(1620,2416)))</f>
        <v>69890831.041924372</v>
      </c>
      <c r="B8541">
        <v>169485121.29428557</v>
      </c>
    </row>
    <row r="8542" spans="1:2" x14ac:dyDescent="0.25">
      <c r="A8542">
        <f ca="1">29253.3326865876*((RANDBETWEEN(1620,2416)))</f>
        <v>53211812.156902783</v>
      </c>
      <c r="B8542">
        <v>193220943.41442096</v>
      </c>
    </row>
    <row r="8543" spans="1:2" x14ac:dyDescent="0.25">
      <c r="A8543">
        <f ca="1">39413.0173418312*((RANDBETWEEN(1620,2416)))</f>
        <v>90334635.747477174</v>
      </c>
      <c r="B8543">
        <v>155179281.94961956</v>
      </c>
    </row>
    <row r="8544" spans="1:2" x14ac:dyDescent="0.25">
      <c r="A8544">
        <f ca="1">34416.404470262*((RANDBETWEEN(1620,2416)))</f>
        <v>72102367.36519894</v>
      </c>
      <c r="B8544">
        <v>146956299.10619172</v>
      </c>
    </row>
    <row r="8545" spans="1:2" x14ac:dyDescent="0.25">
      <c r="A8545">
        <f ca="1">37172.4577400672*((RANDBETWEEN(1620,2416)))</f>
        <v>73973190.902733669</v>
      </c>
      <c r="B8545">
        <v>174878692.28492406</v>
      </c>
    </row>
    <row r="8546" spans="1:2" x14ac:dyDescent="0.25">
      <c r="A8546">
        <f ca="1">33542.6521857064*((RANDBETWEEN(1620,2416)))</f>
        <v>68661809.024140909</v>
      </c>
      <c r="B8546">
        <v>191845285.880303</v>
      </c>
    </row>
    <row r="8547" spans="1:2" x14ac:dyDescent="0.25">
      <c r="A8547">
        <f ca="1">35914.4962662777*((RANDBETWEEN(1620,2416)))</f>
        <v>85620159.098805979</v>
      </c>
      <c r="B8547">
        <v>192056582.24160051</v>
      </c>
    </row>
    <row r="8548" spans="1:2" x14ac:dyDescent="0.25">
      <c r="A8548">
        <f ca="1">31803.7871501914*((RANDBETWEEN(1620,2416)))</f>
        <v>71781147.597981989</v>
      </c>
      <c r="B8548">
        <v>188710419.49237084</v>
      </c>
    </row>
    <row r="8549" spans="1:2" x14ac:dyDescent="0.25">
      <c r="A8549">
        <f ca="1">33963.8545825187*((RANDBETWEEN(1620,2416)))</f>
        <v>67384287.49171719</v>
      </c>
      <c r="B8549">
        <v>154662634.34746823</v>
      </c>
    </row>
    <row r="8550" spans="1:2" x14ac:dyDescent="0.25">
      <c r="A8550">
        <f ca="1">31320.759365622*((RANDBETWEEN(1620,2416)))</f>
        <v>54498121.296182334</v>
      </c>
      <c r="B8550">
        <v>162479730.49319971</v>
      </c>
    </row>
    <row r="8551" spans="1:2" x14ac:dyDescent="0.25">
      <c r="A8551">
        <f ca="1">34016.3622451045*((RANDBETWEEN(1620,2416)))</f>
        <v>80550745.796407446</v>
      </c>
      <c r="B8551">
        <v>192616837.61863071</v>
      </c>
    </row>
    <row r="8552" spans="1:2" x14ac:dyDescent="0.25">
      <c r="A8552">
        <f ca="1">31711.4708736427*((RANDBETWEEN(1620,2416)))</f>
        <v>55653631.38324292</v>
      </c>
      <c r="B8552">
        <v>174656923.47523534</v>
      </c>
    </row>
    <row r="8553" spans="1:2" x14ac:dyDescent="0.25">
      <c r="A8553">
        <f ca="1">36528.0655521131*((RANDBETWEEN(1620,2416)))</f>
        <v>75065174.709592462</v>
      </c>
      <c r="B8553">
        <v>150787656.92592192</v>
      </c>
    </row>
    <row r="8554" spans="1:2" x14ac:dyDescent="0.25">
      <c r="A8554">
        <f ca="1">32843.8954966311*((RANDBETWEEN(1620,2416)))</f>
        <v>72190882.301595256</v>
      </c>
      <c r="B8554">
        <v>174471899.66832235</v>
      </c>
    </row>
    <row r="8555" spans="1:2" x14ac:dyDescent="0.25">
      <c r="A8555">
        <f ca="1">35093.1739633671*((RANDBETWEEN(1620,2416)))</f>
        <v>76327653.370323345</v>
      </c>
      <c r="B8555">
        <v>174499152.03693333</v>
      </c>
    </row>
    <row r="8556" spans="1:2" x14ac:dyDescent="0.25">
      <c r="A8556">
        <f ca="1">29080.5484115019*((RANDBETWEEN(1620,2416)))</f>
        <v>49727737.783668295</v>
      </c>
      <c r="B8556">
        <v>151518066.90487495</v>
      </c>
    </row>
    <row r="8557" spans="1:2" x14ac:dyDescent="0.25">
      <c r="A8557">
        <f ca="1">31066.5077706098*((RANDBETWEEN(1620,2416)))</f>
        <v>66420193.613563843</v>
      </c>
      <c r="B8557">
        <v>173274845.83643308</v>
      </c>
    </row>
    <row r="8558" spans="1:2" x14ac:dyDescent="0.25">
      <c r="A8558">
        <f ca="1">35811.4575140629*((RANDBETWEEN(1620,2416)))</f>
        <v>86054932.406293139</v>
      </c>
      <c r="B8558">
        <v>145005018.86108339</v>
      </c>
    </row>
    <row r="8559" spans="1:2" x14ac:dyDescent="0.25">
      <c r="A8559">
        <f ca="1">31905.4479740919*((RANDBETWEEN(1620,2416)))</f>
        <v>57748860.833106302</v>
      </c>
      <c r="B8559">
        <v>161070357.14842069</v>
      </c>
    </row>
    <row r="8560" spans="1:2" x14ac:dyDescent="0.25">
      <c r="A8560">
        <f ca="1">41982.3275119819*((RANDBETWEEN(1620,2416)))</f>
        <v>97524946.810333937</v>
      </c>
      <c r="B8560">
        <v>153666407.5294573</v>
      </c>
    </row>
    <row r="8561" spans="1:2" x14ac:dyDescent="0.25">
      <c r="A8561">
        <f ca="1">37126.3454786522*((RANDBETWEEN(1620,2416)))</f>
        <v>70020287.572738081</v>
      </c>
      <c r="B8561">
        <v>157853809.2232565</v>
      </c>
    </row>
    <row r="8562" spans="1:2" x14ac:dyDescent="0.25">
      <c r="A8562">
        <f ca="1">31161.8867334871*((RANDBETWEEN(1620,2416)))</f>
        <v>51604084.430654615</v>
      </c>
      <c r="B8562">
        <v>197277478.20694354</v>
      </c>
    </row>
    <row r="8563" spans="1:2" x14ac:dyDescent="0.25">
      <c r="A8563">
        <f ca="1">34726.9454348208*((RANDBETWEEN(1620,2416)))</f>
        <v>69592798.651380882</v>
      </c>
      <c r="B8563">
        <v>178611113.96264404</v>
      </c>
    </row>
    <row r="8564" spans="1:2" x14ac:dyDescent="0.25">
      <c r="A8564">
        <f ca="1">30711.3979255328*((RANDBETWEEN(1620,2416)))</f>
        <v>58535924.44606553</v>
      </c>
      <c r="B8564">
        <v>156271283.11663765</v>
      </c>
    </row>
    <row r="8565" spans="1:2" x14ac:dyDescent="0.25">
      <c r="A8565">
        <f ca="1">30701.8168308531*((RANDBETWEEN(1620,2416)))</f>
        <v>67851015.196185276</v>
      </c>
      <c r="B8565">
        <v>193747863.74346527</v>
      </c>
    </row>
    <row r="8566" spans="1:2" x14ac:dyDescent="0.25">
      <c r="A8566">
        <f ca="1">32276.823418397*((RANDBETWEEN(1620,2416)))</f>
        <v>70008429.994503111</v>
      </c>
      <c r="B8566">
        <v>160407598.2797707</v>
      </c>
    </row>
    <row r="8567" spans="1:2" x14ac:dyDescent="0.25">
      <c r="A8567">
        <f ca="1">31030.3182358987*((RANDBETWEEN(1620,2416)))</f>
        <v>58150816.37407425</v>
      </c>
      <c r="B8567">
        <v>170403118.81394583</v>
      </c>
    </row>
    <row r="8568" spans="1:2" x14ac:dyDescent="0.25">
      <c r="A8568">
        <f ca="1">31515.8267533555*((RANDBETWEEN(1620,2416)))</f>
        <v>53734484.614471205</v>
      </c>
      <c r="B8568">
        <v>188207910.86178431</v>
      </c>
    </row>
    <row r="8569" spans="1:2" x14ac:dyDescent="0.25">
      <c r="A8569">
        <f ca="1">32247.3000489355*((RANDBETWEEN(1620,2416)))</f>
        <v>64430105.497773126</v>
      </c>
      <c r="B8569">
        <v>172420477.50938198</v>
      </c>
    </row>
    <row r="8570" spans="1:2" x14ac:dyDescent="0.25">
      <c r="A8570">
        <f ca="1">32933.9129002245*((RANDBETWEEN(1620,2416)))</f>
        <v>77559364.88002868</v>
      </c>
      <c r="B8570">
        <v>192434514.6919874</v>
      </c>
    </row>
    <row r="8571" spans="1:2" x14ac:dyDescent="0.25">
      <c r="A8571">
        <f ca="1">34307.5371414938*((RANDBETWEEN(1620,2416)))</f>
        <v>79559178.631124169</v>
      </c>
      <c r="B8571">
        <v>163992009.70384094</v>
      </c>
    </row>
    <row r="8572" spans="1:2" x14ac:dyDescent="0.25">
      <c r="A8572">
        <f ca="1">29764.0070701178*((RANDBETWEEN(1620,2416)))</f>
        <v>60123294.281638056</v>
      </c>
      <c r="B8572">
        <v>148822851.09777915</v>
      </c>
    </row>
    <row r="8573" spans="1:2" x14ac:dyDescent="0.25">
      <c r="A8573">
        <f ca="1">32625.6007563583*((RANDBETWEEN(1620,2416)))</f>
        <v>59867977.387917392</v>
      </c>
      <c r="B8573">
        <v>194355990.67537373</v>
      </c>
    </row>
    <row r="8574" spans="1:2" x14ac:dyDescent="0.25">
      <c r="A8574">
        <f ca="1">31924.4689620972*((RANDBETWEEN(1620,2416)))</f>
        <v>71574659.413021922</v>
      </c>
      <c r="B8574">
        <v>202247183.90518713</v>
      </c>
    </row>
    <row r="8575" spans="1:2" x14ac:dyDescent="0.25">
      <c r="A8575">
        <f ca="1">31415.7650723516*((RANDBETWEEN(1620,2416)))</f>
        <v>60443931.999204464</v>
      </c>
      <c r="B8575">
        <v>191429191.50962466</v>
      </c>
    </row>
    <row r="8576" spans="1:2" x14ac:dyDescent="0.25">
      <c r="A8576">
        <f ca="1">36417.0704160964*((RANDBETWEEN(1620,2416)))</f>
        <v>82921669.337451383</v>
      </c>
      <c r="B8576">
        <v>145126356.04466873</v>
      </c>
    </row>
    <row r="8577" spans="1:2" x14ac:dyDescent="0.25">
      <c r="A8577">
        <f ca="1">31815.940388608*((RANDBETWEEN(1620,2416)))</f>
        <v>62327427.221283033</v>
      </c>
      <c r="B8577">
        <v>154689788.20136005</v>
      </c>
    </row>
    <row r="8578" spans="1:2" x14ac:dyDescent="0.25">
      <c r="A8578">
        <f ca="1">29454.8393925656*((RANDBETWEEN(1620,2416)))</f>
        <v>55964194.845874637</v>
      </c>
      <c r="B8578">
        <v>155795208.73960456</v>
      </c>
    </row>
    <row r="8579" spans="1:2" x14ac:dyDescent="0.25">
      <c r="A8579">
        <f ca="1">34384.2888386299*((RANDBETWEEN(1620,2416)))</f>
        <v>56149543.673482545</v>
      </c>
      <c r="B8579">
        <v>190340231.24831557</v>
      </c>
    </row>
    <row r="8580" spans="1:2" x14ac:dyDescent="0.25">
      <c r="A8580">
        <f ca="1">31178.026154512*((RANDBETWEEN(1620,2416)))</f>
        <v>56619295.496593751</v>
      </c>
      <c r="B8580">
        <v>145441891.82101095</v>
      </c>
    </row>
    <row r="8581" spans="1:2" x14ac:dyDescent="0.25">
      <c r="A8581">
        <f ca="1">35741.2549128618*((RANDBETWEEN(1620,2416)))</f>
        <v>78237607.00425446</v>
      </c>
      <c r="B8581">
        <v>190384009.8112663</v>
      </c>
    </row>
    <row r="8582" spans="1:2" x14ac:dyDescent="0.25">
      <c r="A8582">
        <f ca="1">41043.0570032963*((RANDBETWEEN(1620,2416)))</f>
        <v>83071147.374671713</v>
      </c>
      <c r="B8582">
        <v>145447533.6194295</v>
      </c>
    </row>
    <row r="8583" spans="1:2" x14ac:dyDescent="0.25">
      <c r="A8583">
        <f ca="1">29046.4881708934*((RANDBETWEEN(1620,2416)))</f>
        <v>53300305.793589391</v>
      </c>
      <c r="B8583">
        <v>165521340.21061513</v>
      </c>
    </row>
    <row r="8584" spans="1:2" x14ac:dyDescent="0.25">
      <c r="A8584">
        <f ca="1">29661.5087228277*((RANDBETWEEN(1620,2416)))</f>
        <v>64573104.489595816</v>
      </c>
      <c r="B8584">
        <v>161888209.46530735</v>
      </c>
    </row>
    <row r="8585" spans="1:2" x14ac:dyDescent="0.25">
      <c r="A8585">
        <f ca="1">30806.4483478671*((RANDBETWEEN(1620,2416)))</f>
        <v>61920961.179212838</v>
      </c>
      <c r="B8585">
        <v>152199946.51981705</v>
      </c>
    </row>
    <row r="8586" spans="1:2" x14ac:dyDescent="0.25">
      <c r="A8586">
        <f ca="1">31463.5278523561*((RANDBETWEEN(1620,2416)))</f>
        <v>70572692.972834751</v>
      </c>
      <c r="B8586">
        <v>156782780.66539091</v>
      </c>
    </row>
    <row r="8587" spans="1:2" x14ac:dyDescent="0.25">
      <c r="A8587">
        <f ca="1">38125.6372753241*((RANDBETWEEN(1620,2416)))</f>
        <v>87688965.733245328</v>
      </c>
      <c r="B8587">
        <v>158151250.06073871</v>
      </c>
    </row>
    <row r="8588" spans="1:2" x14ac:dyDescent="0.25">
      <c r="A8588">
        <f ca="1">30184.4434486072*((RANDBETWEEN(1620,2416)))</f>
        <v>69544957.705591068</v>
      </c>
      <c r="B8588">
        <v>172089524.19644764</v>
      </c>
    </row>
    <row r="8589" spans="1:2" x14ac:dyDescent="0.25">
      <c r="A8589">
        <f ca="1">31306.1913394219*((RANDBETWEEN(1620,2416)))</f>
        <v>63301118.888311103</v>
      </c>
      <c r="B8589">
        <v>145520435.06202167</v>
      </c>
    </row>
    <row r="8590" spans="1:2" x14ac:dyDescent="0.25">
      <c r="A8590">
        <f ca="1">39505.4682013099*((RANDBETWEEN(1620,2416)))</f>
        <v>80788682.471678793</v>
      </c>
      <c r="B8590">
        <v>156764589.86062014</v>
      </c>
    </row>
    <row r="8591" spans="1:2" x14ac:dyDescent="0.25">
      <c r="A8591">
        <f ca="1">29012.6555328646*((RANDBETWEEN(1620,2416)))</f>
        <v>55878374.556297198</v>
      </c>
      <c r="B8591">
        <v>176126823.59774312</v>
      </c>
    </row>
    <row r="8592" spans="1:2" x14ac:dyDescent="0.25">
      <c r="A8592">
        <f ca="1">40421.6008314506*((RANDBETWEEN(1620,2416)))</f>
        <v>94869497.151414707</v>
      </c>
      <c r="B8592">
        <v>159413103.31518394</v>
      </c>
    </row>
    <row r="8593" spans="1:2" x14ac:dyDescent="0.25">
      <c r="A8593">
        <f ca="1">32770.7507981382*((RANDBETWEEN(1620,2416)))</f>
        <v>68032078.656934977</v>
      </c>
      <c r="B8593">
        <v>155977550.68487611</v>
      </c>
    </row>
    <row r="8594" spans="1:2" x14ac:dyDescent="0.25">
      <c r="A8594">
        <f ca="1">41294.5756560158*((RANDBETWEEN(1620,2416)))</f>
        <v>89856996.627490312</v>
      </c>
      <c r="B8594">
        <v>162239228.06124395</v>
      </c>
    </row>
    <row r="8595" spans="1:2" x14ac:dyDescent="0.25">
      <c r="A8595">
        <f ca="1">27623.2755623808*((RANDBETWEEN(1620,2416)))</f>
        <v>60301610.552677378</v>
      </c>
      <c r="B8595">
        <v>153755758.24775618</v>
      </c>
    </row>
    <row r="8596" spans="1:2" x14ac:dyDescent="0.25">
      <c r="A8596">
        <f ca="1">29950.1949031124*((RANDBETWEEN(1620,2416)))</f>
        <v>65081773.524463318</v>
      </c>
      <c r="B8596">
        <v>152512638.32963324</v>
      </c>
    </row>
    <row r="8597" spans="1:2" x14ac:dyDescent="0.25">
      <c r="A8597">
        <f ca="1">37210.3652957949*((RANDBETWEEN(1620,2416)))</f>
        <v>74123047.669223532</v>
      </c>
      <c r="B8597">
        <v>156458260.95904791</v>
      </c>
    </row>
    <row r="8598" spans="1:2" x14ac:dyDescent="0.25">
      <c r="A8598">
        <f ca="1">33971.3340772842*((RANDBETWEEN(1620,2416)))</f>
        <v>76979043.019125924</v>
      </c>
      <c r="B8598">
        <v>152472190.48558128</v>
      </c>
    </row>
    <row r="8599" spans="1:2" x14ac:dyDescent="0.25">
      <c r="A8599">
        <f ca="1">35066.3390825412*((RANDBETWEEN(1620,2416)))</f>
        <v>75638093.401041403</v>
      </c>
      <c r="B8599">
        <v>162262941.84899092</v>
      </c>
    </row>
    <row r="8600" spans="1:2" x14ac:dyDescent="0.25">
      <c r="A8600">
        <f ca="1">33027.8390978094*((RANDBETWEEN(1620,2416)))</f>
        <v>55651908.879808769</v>
      </c>
      <c r="B8600">
        <v>193437672.67773658</v>
      </c>
    </row>
    <row r="8601" spans="1:2" x14ac:dyDescent="0.25">
      <c r="A8601">
        <f ca="1">30924.7667364566*((RANDBETWEEN(1620,2416)))</f>
        <v>60241445.602617435</v>
      </c>
      <c r="B8601">
        <v>200229969.53704488</v>
      </c>
    </row>
    <row r="8602" spans="1:2" x14ac:dyDescent="0.25">
      <c r="A8602">
        <f ca="1">31679.0872534113*((RANDBETWEEN(1620,2416)))</f>
        <v>71816490.803483367</v>
      </c>
      <c r="B8602">
        <v>165307440.17185158</v>
      </c>
    </row>
    <row r="8603" spans="1:2" x14ac:dyDescent="0.25">
      <c r="A8603">
        <f ca="1">39641.3101210651*((RANDBETWEEN(1620,2416)))</f>
        <v>72226467.040580556</v>
      </c>
      <c r="B8603">
        <v>149017529.02220151</v>
      </c>
    </row>
    <row r="8604" spans="1:2" x14ac:dyDescent="0.25">
      <c r="A8604">
        <f ca="1">33075.7798899663*((RANDBETWEEN(1620,2416)))</f>
        <v>76008142.187142521</v>
      </c>
      <c r="B8604">
        <v>143821194.01031497</v>
      </c>
    </row>
    <row r="8605" spans="1:2" x14ac:dyDescent="0.25">
      <c r="A8605">
        <f ca="1">33118.9360768278*((RANDBETWEEN(1620,2416)))</f>
        <v>68622435.551187247</v>
      </c>
      <c r="B8605">
        <v>202713679.58905661</v>
      </c>
    </row>
    <row r="8606" spans="1:2" x14ac:dyDescent="0.25">
      <c r="A8606">
        <f ca="1">35093.1594734523*((RANDBETWEEN(1620,2416)))</f>
        <v>75695944.984236673</v>
      </c>
      <c r="B8606">
        <v>203243034.32647017</v>
      </c>
    </row>
    <row r="8607" spans="1:2" x14ac:dyDescent="0.25">
      <c r="A8607">
        <f ca="1">33569.5100912184*((RANDBETWEEN(1620,2416)))</f>
        <v>56732472.054159179</v>
      </c>
      <c r="B8607">
        <v>144240316.33087876</v>
      </c>
    </row>
    <row r="8608" spans="1:2" x14ac:dyDescent="0.25">
      <c r="A8608">
        <f ca="1">38237.3391466459*((RANDBETWEEN(1620,2416)))</f>
        <v>78807155.981237218</v>
      </c>
      <c r="B8608">
        <v>202418206.27116668</v>
      </c>
    </row>
    <row r="8609" spans="1:2" x14ac:dyDescent="0.25">
      <c r="A8609">
        <f ca="1">32012.7712732056*((RANDBETWEEN(1620,2416)))</f>
        <v>63417299.892220348</v>
      </c>
      <c r="B8609">
        <v>146791174.9743028</v>
      </c>
    </row>
    <row r="8610" spans="1:2" x14ac:dyDescent="0.25">
      <c r="A8610">
        <f ca="1">36923.8547132835*((RANDBETWEEN(1620,2416)))</f>
        <v>66056776.082064182</v>
      </c>
      <c r="B8610">
        <v>160939490.13832301</v>
      </c>
    </row>
    <row r="8611" spans="1:2" x14ac:dyDescent="0.25">
      <c r="A8611">
        <f ca="1">39495.6583617256*((RANDBETWEEN(1620,2416)))</f>
        <v>86771961.420711055</v>
      </c>
      <c r="B8611">
        <v>196367824.90422294</v>
      </c>
    </row>
    <row r="8612" spans="1:2" x14ac:dyDescent="0.25">
      <c r="A8612">
        <f ca="1">31072.0379714407*((RANDBETWEEN(1620,2416)))</f>
        <v>58632935.652108654</v>
      </c>
      <c r="B8612">
        <v>171430605.33656418</v>
      </c>
    </row>
    <row r="8613" spans="1:2" x14ac:dyDescent="0.25">
      <c r="A8613">
        <f ca="1">32011.2096250114*((RANDBETWEEN(1620,2416)))</f>
        <v>54162966.685519263</v>
      </c>
      <c r="B8613">
        <v>146936983.26764363</v>
      </c>
    </row>
    <row r="8614" spans="1:2" x14ac:dyDescent="0.25">
      <c r="A8614">
        <f ca="1">32131.7445138369*((RANDBETWEEN(1620,2416)))</f>
        <v>69597358.616970673</v>
      </c>
      <c r="B8614">
        <v>192760522.88853851</v>
      </c>
    </row>
    <row r="8615" spans="1:2" x14ac:dyDescent="0.25">
      <c r="A8615">
        <f ca="1">39191.2062091142*((RANDBETWEEN(1620,2416)))</f>
        <v>75874175.220845163</v>
      </c>
      <c r="B8615">
        <v>156386878.31268594</v>
      </c>
    </row>
    <row r="8616" spans="1:2" x14ac:dyDescent="0.25">
      <c r="A8616">
        <f ca="1">31796.2974149471*((RANDBETWEEN(1620,2416)))</f>
        <v>56692798.290850736</v>
      </c>
      <c r="B8616">
        <v>176684438.90596497</v>
      </c>
    </row>
    <row r="8617" spans="1:2" x14ac:dyDescent="0.25">
      <c r="A8617">
        <f ca="1">42899.7659322473*((RANDBETWEEN(1620,2416)))</f>
        <v>82968147.312966198</v>
      </c>
      <c r="B8617">
        <v>164331049.77717</v>
      </c>
    </row>
    <row r="8618" spans="1:2" x14ac:dyDescent="0.25">
      <c r="A8618">
        <f ca="1">35873.4729597197*((RANDBETWEEN(1620,2416)))</f>
        <v>75513660.58021006</v>
      </c>
      <c r="B8618">
        <v>161360037.93799528</v>
      </c>
    </row>
    <row r="8619" spans="1:2" x14ac:dyDescent="0.25">
      <c r="A8619">
        <f ca="1">29657.9068578525*((RANDBETWEEN(1620,2416)))</f>
        <v>60442814.176303476</v>
      </c>
      <c r="B8619">
        <v>154252098.91442499</v>
      </c>
    </row>
    <row r="8620" spans="1:2" x14ac:dyDescent="0.25">
      <c r="A8620">
        <f ca="1">37891.9085454799*((RANDBETWEEN(1620,2416)))</f>
        <v>67978083.930590913</v>
      </c>
      <c r="B8620">
        <v>160963445.63254476</v>
      </c>
    </row>
    <row r="8621" spans="1:2" x14ac:dyDescent="0.25">
      <c r="A8621">
        <f ca="1">30785.9401425676*((RANDBETWEEN(1620,2416)))</f>
        <v>61048519.302711554</v>
      </c>
      <c r="B8621">
        <v>152127620.96213028</v>
      </c>
    </row>
    <row r="8622" spans="1:2" x14ac:dyDescent="0.25">
      <c r="A8622">
        <f ca="1">39651.8878635707*((RANDBETWEEN(1620,2416)))</f>
        <v>76369536.025237188</v>
      </c>
      <c r="B8622">
        <v>199561936.51997724</v>
      </c>
    </row>
    <row r="8623" spans="1:2" x14ac:dyDescent="0.25">
      <c r="A8623">
        <f ca="1">35560.8853906154*((RANDBETWEEN(1620,2416)))</f>
        <v>61484770.840374008</v>
      </c>
      <c r="B8623">
        <v>145755318.95495835</v>
      </c>
    </row>
    <row r="8624" spans="1:2" x14ac:dyDescent="0.25">
      <c r="A8624">
        <f ca="1">39206.5751195108*((RANDBETWEEN(1620,2416)))</f>
        <v>64102750.320400141</v>
      </c>
      <c r="B8624">
        <v>176949314.5480803</v>
      </c>
    </row>
    <row r="8625" spans="1:2" x14ac:dyDescent="0.25">
      <c r="A8625">
        <f ca="1">30887.868439274*((RANDBETWEEN(1620,2416)))</f>
        <v>65945599.117850028</v>
      </c>
      <c r="B8625">
        <v>149323953.00857121</v>
      </c>
    </row>
    <row r="8626" spans="1:2" x14ac:dyDescent="0.25">
      <c r="A8626">
        <f ca="1">38171.0887581352*((RANDBETWEEN(1620,2416)))</f>
        <v>72715924.08424747</v>
      </c>
      <c r="B8626">
        <v>148529579.29398507</v>
      </c>
    </row>
    <row r="8627" spans="1:2" x14ac:dyDescent="0.25">
      <c r="A8627">
        <f ca="1">29365.2155790141*((RANDBETWEEN(1620,2416)))</f>
        <v>52857388.042225443</v>
      </c>
      <c r="B8627">
        <v>170405361.6871857</v>
      </c>
    </row>
    <row r="8628" spans="1:2" x14ac:dyDescent="0.25">
      <c r="A8628">
        <f ca="1">39034.948265397*((RANDBETWEEN(1620,2416)))</f>
        <v>69755452.550264388</v>
      </c>
      <c r="B8628">
        <v>143686781.06662753</v>
      </c>
    </row>
    <row r="8629" spans="1:2" x14ac:dyDescent="0.25">
      <c r="A8629">
        <f ca="1">33439.2470971685*((RANDBETWEEN(1620,2416)))</f>
        <v>71359353.305357635</v>
      </c>
      <c r="B8629">
        <v>202050495.92810804</v>
      </c>
    </row>
    <row r="8630" spans="1:2" x14ac:dyDescent="0.25">
      <c r="A8630">
        <f ca="1">41849.4273367791*((RANDBETWEEN(1620,2416)))</f>
        <v>70683682.771819919</v>
      </c>
      <c r="B8630">
        <v>144364063.82127053</v>
      </c>
    </row>
    <row r="8631" spans="1:2" x14ac:dyDescent="0.25">
      <c r="A8631">
        <f ca="1">39357.9678655336*((RANDBETWEEN(1620,2416)))</f>
        <v>68168000.343104228</v>
      </c>
      <c r="B8631">
        <v>144605115.74357837</v>
      </c>
    </row>
    <row r="8632" spans="1:2" x14ac:dyDescent="0.25">
      <c r="A8632">
        <f ca="1">37864.6903080655*((RANDBETWEEN(1620,2416)))</f>
        <v>67853525.032053292</v>
      </c>
      <c r="B8632">
        <v>157554831.86393675</v>
      </c>
    </row>
    <row r="8633" spans="1:2" x14ac:dyDescent="0.25">
      <c r="A8633">
        <f ca="1">32242.082532303*((RANDBETWEEN(1620,2416)))</f>
        <v>55520866.120625824</v>
      </c>
      <c r="B8633">
        <v>180500174.7541216</v>
      </c>
    </row>
    <row r="8634" spans="1:2" x14ac:dyDescent="0.25">
      <c r="A8634">
        <f ca="1">41255.889166449*((RANDBETWEEN(1620,2416)))</f>
        <v>78386189.416253105</v>
      </c>
      <c r="B8634">
        <v>184685639.52992707</v>
      </c>
    </row>
    <row r="8635" spans="1:2" x14ac:dyDescent="0.25">
      <c r="A8635">
        <f ca="1">37474.5404675055*((RANDBETWEEN(1620,2416)))</f>
        <v>79745822.114851758</v>
      </c>
      <c r="B8635">
        <v>199249556.6652469</v>
      </c>
    </row>
    <row r="8636" spans="1:2" x14ac:dyDescent="0.25">
      <c r="A8636">
        <f ca="1">31010.0001094615*((RANDBETWEEN(1620,2416)))</f>
        <v>50701350.17896948</v>
      </c>
      <c r="B8636">
        <v>163809092.0460071</v>
      </c>
    </row>
    <row r="8637" spans="1:2" x14ac:dyDescent="0.25">
      <c r="A8637">
        <f ca="1">29683.515568788*((RANDBETWEEN(1620,2416)))</f>
        <v>69934362.680064514</v>
      </c>
      <c r="B8637">
        <v>173329033.34002858</v>
      </c>
    </row>
    <row r="8638" spans="1:2" x14ac:dyDescent="0.25">
      <c r="A8638">
        <f ca="1">38859.0769886916*((RANDBETWEEN(1620,2416)))</f>
        <v>84907083.220291167</v>
      </c>
      <c r="B8638">
        <v>159399972.58051166</v>
      </c>
    </row>
    <row r="8639" spans="1:2" x14ac:dyDescent="0.25">
      <c r="A8639">
        <f ca="1">37393.68090323*((RANDBETWEEN(1620,2416)))</f>
        <v>86715946.014590293</v>
      </c>
      <c r="B8639">
        <v>183959583.71875721</v>
      </c>
    </row>
    <row r="8640" spans="1:2" x14ac:dyDescent="0.25">
      <c r="A8640">
        <f ca="1">33244.2000320246*((RANDBETWEEN(1620,2416)))</f>
        <v>72106669.869461387</v>
      </c>
      <c r="B8640">
        <v>171001091.41668296</v>
      </c>
    </row>
    <row r="8641" spans="1:2" x14ac:dyDescent="0.25">
      <c r="A8641">
        <f ca="1">33428.0744420246*((RANDBETWEEN(1620,2416)))</f>
        <v>59167691.762383483</v>
      </c>
      <c r="B8641">
        <v>149263377.85792428</v>
      </c>
    </row>
    <row r="8642" spans="1:2" x14ac:dyDescent="0.25">
      <c r="A8642">
        <f ca="1">36373.8850949662*((RANDBETWEEN(1620,2416)))</f>
        <v>75293942.146580011</v>
      </c>
      <c r="B8642">
        <v>161021621.48443019</v>
      </c>
    </row>
    <row r="8643" spans="1:2" x14ac:dyDescent="0.25">
      <c r="A8643">
        <f ca="1">28927.3840916449*((RANDBETWEEN(1620,2416)))</f>
        <v>65578379.735758908</v>
      </c>
      <c r="B8643">
        <v>144000854.36862016</v>
      </c>
    </row>
    <row r="8644" spans="1:2" x14ac:dyDescent="0.25">
      <c r="A8644">
        <f ca="1">31032.3485699606*((RANDBETWEEN(1620,2416)))</f>
        <v>57813265.385836542</v>
      </c>
      <c r="B8644">
        <v>192920859.20882398</v>
      </c>
    </row>
    <row r="8645" spans="1:2" x14ac:dyDescent="0.25">
      <c r="A8645">
        <f ca="1">32749.109512518*((RANDBETWEEN(1620,2416)))</f>
        <v>59603379.312782675</v>
      </c>
      <c r="B8645">
        <v>155612450.59938002</v>
      </c>
    </row>
    <row r="8646" spans="1:2" x14ac:dyDescent="0.25">
      <c r="A8646">
        <f ca="1">40036.5284776926*((RANDBETWEEN(1620,2416)))</f>
        <v>79192253.328875944</v>
      </c>
      <c r="B8646">
        <v>154532724.62128082</v>
      </c>
    </row>
    <row r="8647" spans="1:2" x14ac:dyDescent="0.25">
      <c r="A8647">
        <f ca="1">28986.7472012409*((RANDBETWEEN(1620,2416)))</f>
        <v>47480291.915632628</v>
      </c>
      <c r="B8647">
        <v>163720667.64312398</v>
      </c>
    </row>
    <row r="8648" spans="1:2" x14ac:dyDescent="0.25">
      <c r="A8648">
        <f ca="1">37764.6266592505*((RANDBETWEEN(1620,2416)))</f>
        <v>80740771.797477633</v>
      </c>
      <c r="B8648">
        <v>184693356.2301971</v>
      </c>
    </row>
    <row r="8649" spans="1:2" x14ac:dyDescent="0.25">
      <c r="A8649">
        <f ca="1">28574.2127498742*((RANDBETWEEN(1620,2416)))</f>
        <v>62063190.092726827</v>
      </c>
      <c r="B8649">
        <v>159798116.19102779</v>
      </c>
    </row>
    <row r="8650" spans="1:2" x14ac:dyDescent="0.25">
      <c r="A8650">
        <f ca="1">33960.7889688447*((RANDBETWEEN(1620,2416)))</f>
        <v>55559850.753029935</v>
      </c>
      <c r="B8650">
        <v>192035496.16293257</v>
      </c>
    </row>
    <row r="8651" spans="1:2" x14ac:dyDescent="0.25">
      <c r="A8651">
        <f ca="1">29672.8977935838*((RANDBETWEEN(1620,2416)))</f>
        <v>57001636.661474563</v>
      </c>
      <c r="B8651">
        <v>166103903.43470228</v>
      </c>
    </row>
    <row r="8652" spans="1:2" x14ac:dyDescent="0.25">
      <c r="A8652">
        <f ca="1">30352.3438751245*((RANDBETWEEN(1620,2416)))</f>
        <v>71965407.327920303</v>
      </c>
      <c r="B8652">
        <v>178146780.5500389</v>
      </c>
    </row>
    <row r="8653" spans="1:2" x14ac:dyDescent="0.25">
      <c r="A8653">
        <f ca="1">32435.5692749621*((RANDBETWEEN(1620,2416)))</f>
        <v>69704038.37189348</v>
      </c>
      <c r="B8653">
        <v>147066627.47742486</v>
      </c>
    </row>
    <row r="8654" spans="1:2" x14ac:dyDescent="0.25">
      <c r="A8654">
        <f ca="1">36198.188644146*((RANDBETWEEN(1620,2416)))</f>
        <v>84920950.559166566</v>
      </c>
      <c r="B8654">
        <v>162616708.69762212</v>
      </c>
    </row>
    <row r="8655" spans="1:2" x14ac:dyDescent="0.25">
      <c r="A8655">
        <f ca="1">28455.0678499981*((RANDBETWEEN(1620,2416)))</f>
        <v>56739405.292896263</v>
      </c>
      <c r="B8655">
        <v>145570156.96409392</v>
      </c>
    </row>
    <row r="8656" spans="1:2" x14ac:dyDescent="0.25">
      <c r="A8656">
        <f ca="1">36101.2125996453*((RANDBETWEEN(1620,2416)))</f>
        <v>75632040.396256998</v>
      </c>
      <c r="B8656">
        <v>181748263.07329065</v>
      </c>
    </row>
    <row r="8657" spans="1:2" x14ac:dyDescent="0.25">
      <c r="A8657">
        <f ca="1">32549.460800425*((RANDBETWEEN(1620,2416)))</f>
        <v>76230837.194595337</v>
      </c>
      <c r="B8657">
        <v>150950916.8722555</v>
      </c>
    </row>
    <row r="8658" spans="1:2" x14ac:dyDescent="0.25">
      <c r="A8658">
        <f ca="1">36643.6111013097*((RANDBETWEEN(1620,2416)))</f>
        <v>67021164.704295367</v>
      </c>
      <c r="B8658">
        <v>151571298.38014475</v>
      </c>
    </row>
    <row r="8659" spans="1:2" x14ac:dyDescent="0.25">
      <c r="A8659">
        <f ca="1">41254.3011199621*((RANDBETWEEN(1620,2416)))</f>
        <v>75660388.254010439</v>
      </c>
      <c r="B8659">
        <v>143657624.60620862</v>
      </c>
    </row>
    <row r="8660" spans="1:2" x14ac:dyDescent="0.25">
      <c r="A8660">
        <f ca="1">33398.5724389393*((RANDBETWEEN(1620,2416)))</f>
        <v>55508427.393517151</v>
      </c>
      <c r="B8660">
        <v>183894158.23139262</v>
      </c>
    </row>
    <row r="8661" spans="1:2" x14ac:dyDescent="0.25">
      <c r="A8661">
        <f ca="1">34288.188381129*((RANDBETWEEN(1620,2416)))</f>
        <v>65318998.866050698</v>
      </c>
      <c r="B8661">
        <v>160656710.5294106</v>
      </c>
    </row>
    <row r="8662" spans="1:2" x14ac:dyDescent="0.25">
      <c r="A8662">
        <f ca="1">30736.7698284385*((RANDBETWEEN(1620,2416)))</f>
        <v>59076071.610258766</v>
      </c>
      <c r="B8662">
        <v>177258906.98135173</v>
      </c>
    </row>
    <row r="8663" spans="1:2" x14ac:dyDescent="0.25">
      <c r="A8663">
        <f ca="1">31441.3950485482*((RANDBETWEEN(1620,2416)))</f>
        <v>52192715.780589998</v>
      </c>
      <c r="B8663">
        <v>197843503.13648182</v>
      </c>
    </row>
    <row r="8664" spans="1:2" x14ac:dyDescent="0.25">
      <c r="A8664">
        <f ca="1">34845.4471032567*((RANDBETWEEN(1620,2416)))</f>
        <v>68331921.769486472</v>
      </c>
      <c r="B8664">
        <v>186136623.25090182</v>
      </c>
    </row>
    <row r="8665" spans="1:2" x14ac:dyDescent="0.25">
      <c r="A8665">
        <f ca="1">39439.1714141337*((RANDBETWEEN(1620,2416)))</f>
        <v>83729360.912205905</v>
      </c>
      <c r="B8665">
        <v>177509095.17690915</v>
      </c>
    </row>
    <row r="8666" spans="1:2" x14ac:dyDescent="0.25">
      <c r="A8666">
        <f ca="1">32993.2204201856*((RANDBETWEEN(1620,2416)))</f>
        <v>58793918.788770676</v>
      </c>
      <c r="B8666">
        <v>152619486.14781845</v>
      </c>
    </row>
    <row r="8667" spans="1:2" x14ac:dyDescent="0.25">
      <c r="A8667">
        <f ca="1">34771.7883329855*((RANDBETWEEN(1620,2416)))</f>
        <v>70691045.680959582</v>
      </c>
      <c r="B8667">
        <v>171594979.8083365</v>
      </c>
    </row>
    <row r="8668" spans="1:2" x14ac:dyDescent="0.25">
      <c r="A8668">
        <f ca="1">37490.4460926152*((RANDBETWEEN(1620,2416)))</f>
        <v>82891376.31077221</v>
      </c>
      <c r="B8668">
        <v>153251328.42772537</v>
      </c>
    </row>
    <row r="8669" spans="1:2" x14ac:dyDescent="0.25">
      <c r="A8669">
        <f ca="1">35442.8422534789*((RANDBETWEEN(1620,2416)))</f>
        <v>62343959.523869358</v>
      </c>
      <c r="B8669">
        <v>143903742.47727621</v>
      </c>
    </row>
    <row r="8670" spans="1:2" x14ac:dyDescent="0.25">
      <c r="A8670">
        <f ca="1">38346.8838277568*((RANDBETWEEN(1620,2416)))</f>
        <v>62390379.987760298</v>
      </c>
      <c r="B8670">
        <v>184376578.88702428</v>
      </c>
    </row>
    <row r="8671" spans="1:2" x14ac:dyDescent="0.25">
      <c r="A8671">
        <f ca="1">31962.1012907512*((RANDBETWEEN(1620,2416)))</f>
        <v>72522007.828714535</v>
      </c>
      <c r="B8671">
        <v>153676731.55713964</v>
      </c>
    </row>
    <row r="8672" spans="1:2" x14ac:dyDescent="0.25">
      <c r="A8672">
        <f ca="1">32640.1602741256*((RANDBETWEEN(1620,2416)))</f>
        <v>67010249.0427799</v>
      </c>
      <c r="B8672">
        <v>176274181.41750056</v>
      </c>
    </row>
    <row r="8673" spans="1:2" x14ac:dyDescent="0.25">
      <c r="A8673">
        <f ca="1">36321.5332657485*((RANDBETWEEN(1620,2416)))</f>
        <v>66541048.942851238</v>
      </c>
      <c r="B8673">
        <v>198381587.21005875</v>
      </c>
    </row>
    <row r="8674" spans="1:2" x14ac:dyDescent="0.25">
      <c r="A8674">
        <f ca="1">33004.4837147557*((RANDBETWEEN(1620,2416)))</f>
        <v>78121612.952826634</v>
      </c>
      <c r="B8674">
        <v>177882529.51235282</v>
      </c>
    </row>
    <row r="8675" spans="1:2" x14ac:dyDescent="0.25">
      <c r="A8675">
        <f ca="1">32962.3802049293*((RANDBETWEEN(1620,2416)))</f>
        <v>66221421.831702881</v>
      </c>
      <c r="B8675">
        <v>194393528.97104761</v>
      </c>
    </row>
    <row r="8676" spans="1:2" x14ac:dyDescent="0.25">
      <c r="A8676">
        <f ca="1">32151.7755437718*((RANDBETWEEN(1620,2416)))</f>
        <v>56522821.405950896</v>
      </c>
      <c r="B8676">
        <v>153933076.1394302</v>
      </c>
    </row>
    <row r="8677" spans="1:2" x14ac:dyDescent="0.25">
      <c r="A8677">
        <f ca="1">37572.7174108395*((RANDBETWEEN(1620,2416)))</f>
        <v>80443187.976607293</v>
      </c>
      <c r="B8677">
        <v>157684168.47547454</v>
      </c>
    </row>
    <row r="8678" spans="1:2" x14ac:dyDescent="0.25">
      <c r="A8678">
        <f ca="1">28993.9170192831*((RANDBETWEEN(1620,2416)))</f>
        <v>61148170.993668079</v>
      </c>
      <c r="B8678">
        <v>144609051.38229376</v>
      </c>
    </row>
    <row r="8679" spans="1:2" x14ac:dyDescent="0.25">
      <c r="A8679">
        <f ca="1">29954.1426243461*((RANDBETWEEN(1620,2416)))</f>
        <v>62694020.512756422</v>
      </c>
      <c r="B8679">
        <v>152750384.99848688</v>
      </c>
    </row>
    <row r="8680" spans="1:2" x14ac:dyDescent="0.25">
      <c r="A8680">
        <f ca="1">32813.2397142697*((RANDBETWEEN(1620,2416)))</f>
        <v>75568891.061963215</v>
      </c>
      <c r="B8680">
        <v>192862776.76450562</v>
      </c>
    </row>
    <row r="8681" spans="1:2" x14ac:dyDescent="0.25">
      <c r="A8681">
        <f ca="1">31598.6751906494*((RANDBETWEEN(1620,2416)))</f>
        <v>62154594.1000074</v>
      </c>
      <c r="B8681">
        <v>179484597.64555883</v>
      </c>
    </row>
    <row r="8682" spans="1:2" x14ac:dyDescent="0.25">
      <c r="A8682">
        <f ca="1">28900.0297732208*((RANDBETWEEN(1620,2416)))</f>
        <v>59765261.571020596</v>
      </c>
      <c r="B8682">
        <v>182170284.87196183</v>
      </c>
    </row>
    <row r="8683" spans="1:2" x14ac:dyDescent="0.25">
      <c r="A8683">
        <f ca="1">31253.8702291364*((RANDBETWEEN(1620,2416)))</f>
        <v>55600635.13763357</v>
      </c>
      <c r="B8683">
        <v>159217850.45048952</v>
      </c>
    </row>
    <row r="8684" spans="1:2" x14ac:dyDescent="0.25">
      <c r="A8684">
        <f ca="1">31786.53599801*((RANDBETWEEN(1620,2416)))</f>
        <v>76796270.971192181</v>
      </c>
      <c r="B8684">
        <v>166790529.77782151</v>
      </c>
    </row>
    <row r="8685" spans="1:2" x14ac:dyDescent="0.25">
      <c r="A8685">
        <f ca="1">33038.3055422226*((RANDBETWEEN(1620,2416)))</f>
        <v>57949187.921058483</v>
      </c>
      <c r="B8685">
        <v>187576969.57469583</v>
      </c>
    </row>
    <row r="8686" spans="1:2" x14ac:dyDescent="0.25">
      <c r="A8686">
        <f ca="1">29887.5906939594*((RANDBETWEEN(1620,2416)))</f>
        <v>51287105.630834281</v>
      </c>
      <c r="B8686">
        <v>166513568.34154642</v>
      </c>
    </row>
    <row r="8687" spans="1:2" x14ac:dyDescent="0.25">
      <c r="A8687">
        <f ca="1">34860.997469867*((RANDBETWEEN(1620,2416)))</f>
        <v>58496753.754436761</v>
      </c>
      <c r="B8687">
        <v>153425054.55222446</v>
      </c>
    </row>
    <row r="8688" spans="1:2" x14ac:dyDescent="0.25">
      <c r="A8688">
        <f ca="1">33769.1719268802*((RANDBETWEEN(1620,2416)))</f>
        <v>58825897.496625274</v>
      </c>
      <c r="B8688">
        <v>152539300.15649557</v>
      </c>
    </row>
    <row r="8689" spans="1:2" x14ac:dyDescent="0.25">
      <c r="A8689">
        <f ca="1">32932.1506496026*((RANDBETWEEN(1620,2416)))</f>
        <v>64316490.218673848</v>
      </c>
      <c r="B8689">
        <v>145447829.3078168</v>
      </c>
    </row>
    <row r="8690" spans="1:2" x14ac:dyDescent="0.25">
      <c r="A8690">
        <f ca="1">31151.0538088368*((RANDBETWEEN(1620,2416)))</f>
        <v>55199667.349258803</v>
      </c>
      <c r="B8690">
        <v>143447619.37211594</v>
      </c>
    </row>
    <row r="8691" spans="1:2" x14ac:dyDescent="0.25">
      <c r="A8691">
        <f ca="1">29527.8448895253*((RANDBETWEEN(1620,2416)))</f>
        <v>57726936.759021901</v>
      </c>
      <c r="B8691">
        <v>165916476.45545506</v>
      </c>
    </row>
    <row r="8692" spans="1:2" x14ac:dyDescent="0.25">
      <c r="A8692">
        <f ca="1">33258.7587388678*((RANDBETWEEN(1620,2416)))</f>
        <v>74965242.197407946</v>
      </c>
      <c r="B8692">
        <v>154615434.85605153</v>
      </c>
    </row>
    <row r="8693" spans="1:2" x14ac:dyDescent="0.25">
      <c r="A8693">
        <f ca="1">37612.4787617829*((RANDBETWEEN(1620,2416)))</f>
        <v>67514399.377400383</v>
      </c>
      <c r="B8693">
        <v>152985196.00808251</v>
      </c>
    </row>
    <row r="8694" spans="1:2" x14ac:dyDescent="0.25">
      <c r="A8694">
        <f ca="1">28908.6107095299*((RANDBETWEEN(1620,2416)))</f>
        <v>68253229.885200202</v>
      </c>
      <c r="B8694">
        <v>152448533.38036582</v>
      </c>
    </row>
    <row r="8695" spans="1:2" x14ac:dyDescent="0.25">
      <c r="A8695">
        <f ca="1">30413.6268268157*((RANDBETWEEN(1620,2416)))</f>
        <v>58789540.656234749</v>
      </c>
      <c r="B8695">
        <v>145071524.02213347</v>
      </c>
    </row>
    <row r="8696" spans="1:2" x14ac:dyDescent="0.25">
      <c r="A8696">
        <f ca="1">35662.6588931204*((RANDBETWEEN(1620,2416)))</f>
        <v>84841465.506733328</v>
      </c>
      <c r="B8696">
        <v>176192829.38998562</v>
      </c>
    </row>
    <row r="8697" spans="1:2" x14ac:dyDescent="0.25">
      <c r="A8697">
        <f ca="1">30953.2819586811*((RANDBETWEEN(1620,2416)))</f>
        <v>58625516.029742047</v>
      </c>
      <c r="B8697">
        <v>180118222.91152075</v>
      </c>
    </row>
    <row r="8698" spans="1:2" x14ac:dyDescent="0.25">
      <c r="A8698">
        <f ca="1">38793.2865076919*((RANDBETWEEN(1620,2416)))</f>
        <v>73125345.066999301</v>
      </c>
      <c r="B8698">
        <v>199305995.62398046</v>
      </c>
    </row>
    <row r="8699" spans="1:2" x14ac:dyDescent="0.25">
      <c r="A8699">
        <f ca="1">30802.9077609056*((RANDBETWEEN(1620,2416)))</f>
        <v>57755452.051698036</v>
      </c>
      <c r="B8699">
        <v>152099365.68434602</v>
      </c>
    </row>
    <row r="8700" spans="1:2" x14ac:dyDescent="0.25">
      <c r="A8700">
        <f ca="1">36578.9188945635*((RANDBETWEEN(1620,2416)))</f>
        <v>74072310.761491016</v>
      </c>
      <c r="B8700">
        <v>163104994.85358724</v>
      </c>
    </row>
    <row r="8701" spans="1:2" x14ac:dyDescent="0.25">
      <c r="A8701">
        <f ca="1">33068.9744231339*((RANDBETWEEN(1620,2416)))</f>
        <v>62202740.88991484</v>
      </c>
      <c r="B8701">
        <v>156363197.179304</v>
      </c>
    </row>
    <row r="8702" spans="1:2" x14ac:dyDescent="0.25">
      <c r="A8702">
        <f ca="1">33513.6640875069*((RANDBETWEEN(1620,2416)))</f>
        <v>72825192.062152401</v>
      </c>
      <c r="B8702">
        <v>147064820.74107122</v>
      </c>
    </row>
    <row r="8703" spans="1:2" x14ac:dyDescent="0.25">
      <c r="A8703">
        <f ca="1">39576.2083363161*((RANDBETWEEN(1620,2416)))</f>
        <v>74047085.797247395</v>
      </c>
      <c r="B8703">
        <v>160760505.37034047</v>
      </c>
    </row>
    <row r="8704" spans="1:2" x14ac:dyDescent="0.25">
      <c r="A8704">
        <f ca="1">31228.6980103711*((RANDBETWEEN(1620,2416)))</f>
        <v>73512355.116413519</v>
      </c>
      <c r="B8704">
        <v>151810766.86396247</v>
      </c>
    </row>
    <row r="8705" spans="1:2" x14ac:dyDescent="0.25">
      <c r="A8705">
        <f ca="1">30670.8905099225*((RANDBETWEEN(1620,2416)))</f>
        <v>57538590.596614704</v>
      </c>
      <c r="B8705">
        <v>195733522.41449767</v>
      </c>
    </row>
    <row r="8706" spans="1:2" x14ac:dyDescent="0.25">
      <c r="A8706">
        <f ca="1">31988.4366875907*((RANDBETWEEN(1620,2416)))</f>
        <v>68807127.315007776</v>
      </c>
      <c r="B8706">
        <v>195378503.06918383</v>
      </c>
    </row>
    <row r="8707" spans="1:2" x14ac:dyDescent="0.25">
      <c r="A8707">
        <f ca="1">36580.2191347854*((RANDBETWEEN(1620,2416)))</f>
        <v>87390143.513002217</v>
      </c>
      <c r="B8707">
        <v>161901158.32099018</v>
      </c>
    </row>
    <row r="8708" spans="1:2" x14ac:dyDescent="0.25">
      <c r="A8708">
        <f ca="1">30107.4021797862*((RANDBETWEEN(1620,2416)))</f>
        <v>59311582.294178851</v>
      </c>
      <c r="B8708">
        <v>145303355.28457811</v>
      </c>
    </row>
    <row r="8709" spans="1:2" x14ac:dyDescent="0.25">
      <c r="A8709">
        <f ca="1">32451.6104501951*((RANDBETWEEN(1620,2416)))</f>
        <v>57179737.613243707</v>
      </c>
      <c r="B8709">
        <v>162411062.06037605</v>
      </c>
    </row>
    <row r="8710" spans="1:2" x14ac:dyDescent="0.25">
      <c r="A8710">
        <f ca="1">35861.9519628207*((RANDBETWEEN(1620,2416)))</f>
        <v>62077038.847642668</v>
      </c>
      <c r="B8710">
        <v>188628180.00712249</v>
      </c>
    </row>
    <row r="8711" spans="1:2" x14ac:dyDescent="0.25">
      <c r="A8711">
        <f ca="1">30532.0514947729*((RANDBETWEEN(1620,2416)))</f>
        <v>58652070.921458684</v>
      </c>
      <c r="B8711">
        <v>186762606.70235753</v>
      </c>
    </row>
    <row r="8712" spans="1:2" x14ac:dyDescent="0.25">
      <c r="A8712">
        <f ca="1">40575.5588542915*((RANDBETWEEN(1620,2416)))</f>
        <v>94865656.601333484</v>
      </c>
      <c r="B8712">
        <v>163604148.64184168</v>
      </c>
    </row>
    <row r="8713" spans="1:2" x14ac:dyDescent="0.25">
      <c r="A8713">
        <f ca="1">32345.0012710415*((RANDBETWEEN(1620,2416)))</f>
        <v>65369247.568774804</v>
      </c>
      <c r="B8713">
        <v>162527715.30560648</v>
      </c>
    </row>
    <row r="8714" spans="1:2" x14ac:dyDescent="0.25">
      <c r="A8714">
        <f ca="1">30705.9295252985*((RANDBETWEEN(1620,2416)))</f>
        <v>71943992.877774402</v>
      </c>
      <c r="B8714">
        <v>160012951.70934632</v>
      </c>
    </row>
    <row r="8715" spans="1:2" x14ac:dyDescent="0.25">
      <c r="A8715">
        <f ca="1">31235.6799161544*((RANDBETWEEN(1620,2416)))</f>
        <v>72029477.886651948</v>
      </c>
      <c r="B8715">
        <v>167891639.6901046</v>
      </c>
    </row>
    <row r="8716" spans="1:2" x14ac:dyDescent="0.25">
      <c r="A8716">
        <f ca="1">40426.2081365204*((RANDBETWEEN(1620,2416)))</f>
        <v>85986544.706378922</v>
      </c>
      <c r="B8716">
        <v>193925801.0836935</v>
      </c>
    </row>
    <row r="8717" spans="1:2" x14ac:dyDescent="0.25">
      <c r="A8717">
        <f ca="1">39642.1494167698*((RANDBETWEEN(1620,2416)))</f>
        <v>92049070.945739597</v>
      </c>
      <c r="B8717">
        <v>174214594.09435123</v>
      </c>
    </row>
    <row r="8718" spans="1:2" x14ac:dyDescent="0.25">
      <c r="A8718">
        <f ca="1">33027.7028792195*((RANDBETWEEN(1620,2416)))</f>
        <v>60737945.594884753</v>
      </c>
      <c r="B8718">
        <v>163075591.702851</v>
      </c>
    </row>
    <row r="8719" spans="1:2" x14ac:dyDescent="0.25">
      <c r="A8719">
        <f ca="1">32627.056690306*((RANDBETWEEN(1620,2416)))</f>
        <v>61371493.634465553</v>
      </c>
      <c r="B8719">
        <v>143444991.69574881</v>
      </c>
    </row>
    <row r="8720" spans="1:2" x14ac:dyDescent="0.25">
      <c r="A8720">
        <f ca="1">34742.4981771062*((RANDBETWEEN(1620,2416)))</f>
        <v>74522658.589892849</v>
      </c>
      <c r="B8720">
        <v>185454508.79111677</v>
      </c>
    </row>
    <row r="8721" spans="1:2" x14ac:dyDescent="0.25">
      <c r="A8721">
        <f ca="1">34031.8756691351*((RANDBETWEEN(1620,2416)))</f>
        <v>66498285.057489902</v>
      </c>
      <c r="B8721">
        <v>181948579.31993976</v>
      </c>
    </row>
    <row r="8722" spans="1:2" x14ac:dyDescent="0.25">
      <c r="A8722">
        <f ca="1">30261.8848793427*((RANDBETWEEN(1620,2416)))</f>
        <v>64034148.404689178</v>
      </c>
      <c r="B8722">
        <v>189560108.0187642</v>
      </c>
    </row>
    <row r="8723" spans="1:2" x14ac:dyDescent="0.25">
      <c r="A8723">
        <f ca="1">36680.3597521715*((RANDBETWEEN(1620,2416)))</f>
        <v>82274046.924120724</v>
      </c>
      <c r="B8723">
        <v>145863936.85774815</v>
      </c>
    </row>
    <row r="8724" spans="1:2" x14ac:dyDescent="0.25">
      <c r="A8724">
        <f ca="1">37788.8395407476*((RANDBETWEEN(1620,2416)))</f>
        <v>74746324.61159879</v>
      </c>
      <c r="B8724">
        <v>198395549.79350355</v>
      </c>
    </row>
    <row r="8725" spans="1:2" x14ac:dyDescent="0.25">
      <c r="A8725">
        <f ca="1">33322.5700653728*((RANDBETWEEN(1620,2416)))</f>
        <v>60847012.939370833</v>
      </c>
      <c r="B8725">
        <v>159923962.47137886</v>
      </c>
    </row>
    <row r="8726" spans="1:2" x14ac:dyDescent="0.25">
      <c r="A8726">
        <f ca="1">32728.028770156*((RANDBETWEEN(1620,2416)))</f>
        <v>63917840.188114673</v>
      </c>
      <c r="B8726">
        <v>169329936.94491687</v>
      </c>
    </row>
    <row r="8727" spans="1:2" x14ac:dyDescent="0.25">
      <c r="A8727">
        <f ca="1">32223.2251354722*((RANDBETWEEN(1620,2416)))</f>
        <v>74048971.361315131</v>
      </c>
      <c r="B8727">
        <v>166313097.40376404</v>
      </c>
    </row>
    <row r="8728" spans="1:2" x14ac:dyDescent="0.25">
      <c r="A8728">
        <f ca="1">30378.8268932839*((RANDBETWEEN(1620,2416)))</f>
        <v>72362365.659802243</v>
      </c>
      <c r="B8728">
        <v>187299849.15494272</v>
      </c>
    </row>
    <row r="8729" spans="1:2" x14ac:dyDescent="0.25">
      <c r="A8729">
        <f ca="1">30341.1004997278*((RANDBETWEEN(1620,2416)))</f>
        <v>59407874.778466947</v>
      </c>
      <c r="B8729">
        <v>144410901.75751996</v>
      </c>
    </row>
    <row r="8730" spans="1:2" x14ac:dyDescent="0.25">
      <c r="A8730">
        <f ca="1">37382.0361964055*((RANDBETWEEN(1620,2416)))</f>
        <v>69082002.890957385</v>
      </c>
      <c r="B8730">
        <v>144824432.14567125</v>
      </c>
    </row>
    <row r="8731" spans="1:2" x14ac:dyDescent="0.25">
      <c r="A8731">
        <f ca="1">31327.6871726538*((RANDBETWEEN(1620,2416)))</f>
        <v>67824442.728795484</v>
      </c>
      <c r="B8731">
        <v>159229439.49080047</v>
      </c>
    </row>
    <row r="8732" spans="1:2" x14ac:dyDescent="0.25">
      <c r="A8732">
        <f ca="1">31919.376705953*((RANDBETWEEN(1620,2416)))</f>
        <v>52283939.044351064</v>
      </c>
      <c r="B8732">
        <v>158706651.32492921</v>
      </c>
    </row>
    <row r="8733" spans="1:2" x14ac:dyDescent="0.25">
      <c r="A8733">
        <f ca="1">35162.3040451481*((RANDBETWEEN(1620,2416)))</f>
        <v>59916566.092932522</v>
      </c>
      <c r="B8733">
        <v>186531906.03427228</v>
      </c>
    </row>
    <row r="8734" spans="1:2" x14ac:dyDescent="0.25">
      <c r="A8734">
        <f ca="1">31672.399896153*((RANDBETWEEN(1620,2416)))</f>
        <v>60304249.402275391</v>
      </c>
      <c r="B8734">
        <v>185363955.89375156</v>
      </c>
    </row>
    <row r="8735" spans="1:2" x14ac:dyDescent="0.25">
      <c r="A8735">
        <f ca="1">32544.2683246619*((RANDBETWEEN(1620,2416)))</f>
        <v>73126970.925515205</v>
      </c>
      <c r="B8735">
        <v>159393624.25976038</v>
      </c>
    </row>
    <row r="8736" spans="1:2" x14ac:dyDescent="0.25">
      <c r="A8736">
        <f ca="1">30223.376514036*((RANDBETWEEN(1620,2416)))</f>
        <v>62592612.760568589</v>
      </c>
      <c r="B8736">
        <v>163481953.17657837</v>
      </c>
    </row>
    <row r="8737" spans="1:2" x14ac:dyDescent="0.25">
      <c r="A8737">
        <f ca="1">33020.3808692279*((RANDBETWEEN(1620,2416)))</f>
        <v>69375820.206247777</v>
      </c>
      <c r="B8737">
        <v>161238945.39896035</v>
      </c>
    </row>
    <row r="8738" spans="1:2" x14ac:dyDescent="0.25">
      <c r="A8738">
        <f ca="1">32478.5714952824*((RANDBETWEEN(1620,2416)))</f>
        <v>74765671.582140028</v>
      </c>
      <c r="B8738">
        <v>177876196.92404687</v>
      </c>
    </row>
    <row r="8739" spans="1:2" x14ac:dyDescent="0.25">
      <c r="A8739">
        <f ca="1">30947.5749781243*((RANDBETWEEN(1620,2416)))</f>
        <v>50166019.039539427</v>
      </c>
      <c r="B8739">
        <v>187343508.42487639</v>
      </c>
    </row>
    <row r="8740" spans="1:2" x14ac:dyDescent="0.25">
      <c r="A8740">
        <f ca="1">29443.1537265639*((RANDBETWEEN(1620,2416)))</f>
        <v>59887374.679830909</v>
      </c>
      <c r="B8740">
        <v>147895141.14441493</v>
      </c>
    </row>
    <row r="8741" spans="1:2" x14ac:dyDescent="0.25">
      <c r="A8741">
        <f ca="1">34083.9631370569*((RANDBETWEEN(1620,2416)))</f>
        <v>57090638.254570268</v>
      </c>
      <c r="B8741">
        <v>181095843.96218568</v>
      </c>
    </row>
    <row r="8742" spans="1:2" x14ac:dyDescent="0.25">
      <c r="A8742">
        <f ca="1">39493.9509586118*((RANDBETWEEN(1620,2416)))</f>
        <v>93877121.42862016</v>
      </c>
      <c r="B8742">
        <v>190623275.80534557</v>
      </c>
    </row>
    <row r="8743" spans="1:2" x14ac:dyDescent="0.25">
      <c r="A8743">
        <f ca="1">33344.9467509402*((RANDBETWEEN(1620,2416)))</f>
        <v>72591949.076796845</v>
      </c>
      <c r="B8743">
        <v>155953516.43496931</v>
      </c>
    </row>
    <row r="8744" spans="1:2" x14ac:dyDescent="0.25">
      <c r="A8744">
        <f ca="1">27806.6873907691*((RANDBETWEEN(1620,2416)))</f>
        <v>64010994.373550504</v>
      </c>
      <c r="B8744">
        <v>167375019.03316379</v>
      </c>
    </row>
    <row r="8745" spans="1:2" x14ac:dyDescent="0.25">
      <c r="A8745">
        <f ca="1">37960.0359696475*((RANDBETWEEN(1620,2416)))</f>
        <v>63013659.709614918</v>
      </c>
      <c r="B8745">
        <v>153824723.4600789</v>
      </c>
    </row>
    <row r="8746" spans="1:2" x14ac:dyDescent="0.25">
      <c r="A8746">
        <f ca="1">30241.6851151846*((RANDBETWEEN(1620,2416)))</f>
        <v>52439081.989730023</v>
      </c>
      <c r="B8746">
        <v>173274179.49642345</v>
      </c>
    </row>
    <row r="8747" spans="1:2" x14ac:dyDescent="0.25">
      <c r="A8747">
        <f ca="1">33036.8605720106*((RANDBETWEEN(1620,2416)))</f>
        <v>64686172.999996737</v>
      </c>
      <c r="B8747">
        <v>168347237.08442312</v>
      </c>
    </row>
    <row r="8748" spans="1:2" x14ac:dyDescent="0.25">
      <c r="A8748">
        <f ca="1">31210.3478509658*((RANDBETWEEN(1620,2416)))</f>
        <v>67320720.314533234</v>
      </c>
      <c r="B8748">
        <v>144135269.47000527</v>
      </c>
    </row>
    <row r="8749" spans="1:2" x14ac:dyDescent="0.25">
      <c r="A8749">
        <f ca="1">29427.3254718039*((RANDBETWEEN(1620,2416)))</f>
        <v>55323371.88699124</v>
      </c>
      <c r="B8749">
        <v>147365307.92173707</v>
      </c>
    </row>
    <row r="8750" spans="1:2" x14ac:dyDescent="0.25">
      <c r="A8750">
        <f ca="1">33839.5691681947*((RANDBETWEEN(1620,2416)))</f>
        <v>65378047.632952183</v>
      </c>
      <c r="B8750">
        <v>183033090.01952377</v>
      </c>
    </row>
    <row r="8751" spans="1:2" x14ac:dyDescent="0.25">
      <c r="A8751">
        <f ca="1">31602.4616946559*((RANDBETWEEN(1620,2416)))</f>
        <v>67028821.254365176</v>
      </c>
      <c r="B8751">
        <v>145285145.42709699</v>
      </c>
    </row>
    <row r="8752" spans="1:2" x14ac:dyDescent="0.25">
      <c r="A8752">
        <f ca="1">32454.7750903893*((RANDBETWEEN(1620,2416)))</f>
        <v>67213839.212196156</v>
      </c>
      <c r="B8752">
        <v>180011111.65659773</v>
      </c>
    </row>
    <row r="8753" spans="1:2" x14ac:dyDescent="0.25">
      <c r="A8753">
        <f ca="1">31227.0649988038*((RANDBETWEEN(1620,2416)))</f>
        <v>51306067.793034621</v>
      </c>
      <c r="B8753">
        <v>156608367.95736465</v>
      </c>
    </row>
    <row r="8754" spans="1:2" x14ac:dyDescent="0.25">
      <c r="A8754">
        <f ca="1">37577.3924617924*((RANDBETWEEN(1620,2416)))</f>
        <v>87555324.435976312</v>
      </c>
      <c r="B8754">
        <v>146493121.23452288</v>
      </c>
    </row>
    <row r="8755" spans="1:2" x14ac:dyDescent="0.25">
      <c r="A8755">
        <f ca="1">31917.7594484947*((RANDBETWEEN(1620,2416)))</f>
        <v>60069223.282066934</v>
      </c>
      <c r="B8755">
        <v>147109794.34854442</v>
      </c>
    </row>
    <row r="8756" spans="1:2" x14ac:dyDescent="0.25">
      <c r="A8756">
        <f ca="1">31288.5685727879*((RANDBETWEEN(1620,2416)))</f>
        <v>70274125.014481738</v>
      </c>
      <c r="B8756">
        <v>143242985.05890054</v>
      </c>
    </row>
    <row r="8757" spans="1:2" x14ac:dyDescent="0.25">
      <c r="A8757">
        <f ca="1">30273.8616823875*((RANDBETWEEN(1620,2416)))</f>
        <v>61334843.768517159</v>
      </c>
      <c r="B8757">
        <v>162999600.24076182</v>
      </c>
    </row>
    <row r="8758" spans="1:2" x14ac:dyDescent="0.25">
      <c r="A8758">
        <f ca="1">29331.7146114397*((RANDBETWEEN(1620,2416)))</f>
        <v>53941023.17043753</v>
      </c>
      <c r="B8758">
        <v>178236801.23684663</v>
      </c>
    </row>
    <row r="8759" spans="1:2" x14ac:dyDescent="0.25">
      <c r="A8759">
        <f ca="1">33836.0831815882*((RANDBETWEEN(1620,2416)))</f>
        <v>72240037.592690796</v>
      </c>
      <c r="B8759">
        <v>144706329.17296031</v>
      </c>
    </row>
    <row r="8760" spans="1:2" x14ac:dyDescent="0.25">
      <c r="A8760">
        <f ca="1">38345.6257493427*((RANDBETWEEN(1620,2416)))</f>
        <v>78991989.043645903</v>
      </c>
      <c r="B8760">
        <v>203444861.05020565</v>
      </c>
    </row>
    <row r="8761" spans="1:2" x14ac:dyDescent="0.25">
      <c r="A8761">
        <f ca="1">30006.1435765153*((RANDBETWEEN(1620,2416)))</f>
        <v>54101076.86845722</v>
      </c>
      <c r="B8761">
        <v>202721663.61151627</v>
      </c>
    </row>
    <row r="8762" spans="1:2" x14ac:dyDescent="0.25">
      <c r="A8762">
        <f ca="1">33324.0554225367*((RANDBETWEEN(1620,2416)))</f>
        <v>71613395.103031293</v>
      </c>
      <c r="B8762">
        <v>148588189.34032056</v>
      </c>
    </row>
    <row r="8763" spans="1:2" x14ac:dyDescent="0.25">
      <c r="A8763">
        <f ca="1">30015.6385836489*((RANDBETWEEN(1620,2416)))</f>
        <v>68615749.802221403</v>
      </c>
      <c r="B8763">
        <v>180029210.26787865</v>
      </c>
    </row>
    <row r="8764" spans="1:2" x14ac:dyDescent="0.25">
      <c r="A8764">
        <f ca="1">29243.1484441148*((RANDBETWEEN(1620,2416)))</f>
        <v>65533895.663261198</v>
      </c>
      <c r="B8764">
        <v>154712165.91247052</v>
      </c>
    </row>
    <row r="8765" spans="1:2" x14ac:dyDescent="0.25">
      <c r="A8765">
        <f ca="1">41499.1604562761*((RANDBETWEEN(1620,2416)))</f>
        <v>79263396.471487418</v>
      </c>
      <c r="B8765">
        <v>188317520.7636568</v>
      </c>
    </row>
    <row r="8766" spans="1:2" x14ac:dyDescent="0.25">
      <c r="A8766">
        <f ca="1">31649.5365425935*((RANDBETWEEN(1620,2416)))</f>
        <v>71338055.367005855</v>
      </c>
      <c r="B8766">
        <v>152531272.6321851</v>
      </c>
    </row>
    <row r="8767" spans="1:2" x14ac:dyDescent="0.25">
      <c r="A8767">
        <f ca="1">39920.7499746314*((RANDBETWEEN(1620,2416)))</f>
        <v>94851701.939724252</v>
      </c>
      <c r="B8767">
        <v>195844388.4347865</v>
      </c>
    </row>
    <row r="8768" spans="1:2" x14ac:dyDescent="0.25">
      <c r="A8768">
        <f ca="1">32795.7633628704*((RANDBETWEEN(1620,2416)))</f>
        <v>70937236.153888687</v>
      </c>
      <c r="B8768">
        <v>143317175.22002199</v>
      </c>
    </row>
    <row r="8769" spans="1:2" x14ac:dyDescent="0.25">
      <c r="A8769">
        <f ca="1">31936.8777397866*((RANDBETWEEN(1620,2416)))</f>
        <v>53622017.72510165</v>
      </c>
      <c r="B8769">
        <v>168200182.51039323</v>
      </c>
    </row>
    <row r="8770" spans="1:2" x14ac:dyDescent="0.25">
      <c r="A8770">
        <f ca="1">36959.0078077404*((RANDBETWEEN(1620,2416)))</f>
        <v>67043640.163241088</v>
      </c>
      <c r="B8770">
        <v>177741591.14891446</v>
      </c>
    </row>
    <row r="8771" spans="1:2" x14ac:dyDescent="0.25">
      <c r="A8771">
        <f ca="1">40107.8144335163*((RANDBETWEEN(1620,2416)))</f>
        <v>80977677.341269359</v>
      </c>
      <c r="B8771">
        <v>170612233.92093837</v>
      </c>
    </row>
    <row r="8772" spans="1:2" x14ac:dyDescent="0.25">
      <c r="A8772">
        <f ca="1">30432.1365634915*((RANDBETWEEN(1620,2416)))</f>
        <v>53438831.805491135</v>
      </c>
      <c r="B8772">
        <v>167094503.37908241</v>
      </c>
    </row>
    <row r="8773" spans="1:2" x14ac:dyDescent="0.25">
      <c r="A8773">
        <f ca="1">28264.9768454999*((RANDBETWEEN(1620,2416)))</f>
        <v>62126419.106408849</v>
      </c>
      <c r="B8773">
        <v>156577640.81761861</v>
      </c>
    </row>
    <row r="8774" spans="1:2" x14ac:dyDescent="0.25">
      <c r="A8774">
        <f ca="1">33555.2555489247*((RANDBETWEEN(1620,2416)))</f>
        <v>80096394.995283321</v>
      </c>
      <c r="B8774">
        <v>160362559.12009102</v>
      </c>
    </row>
    <row r="8775" spans="1:2" x14ac:dyDescent="0.25">
      <c r="A8775">
        <f ca="1">31303.3870717436*((RANDBETWEEN(1620,2416)))</f>
        <v>54092252.859972961</v>
      </c>
      <c r="B8775">
        <v>185614414.73695466</v>
      </c>
    </row>
    <row r="8776" spans="1:2" x14ac:dyDescent="0.25">
      <c r="A8776">
        <f ca="1">31657.2774489956*((RANDBETWEEN(1620,2416)))</f>
        <v>61256831.863806486</v>
      </c>
      <c r="B8776">
        <v>166904127.61601451</v>
      </c>
    </row>
    <row r="8777" spans="1:2" x14ac:dyDescent="0.25">
      <c r="A8777">
        <f ca="1">32906.1034618727*((RANDBETWEEN(1620,2416)))</f>
        <v>74137451.099599391</v>
      </c>
      <c r="B8777">
        <v>175792392.21858591</v>
      </c>
    </row>
    <row r="8778" spans="1:2" x14ac:dyDescent="0.25">
      <c r="A8778">
        <f ca="1">29158.9649002418*((RANDBETWEEN(1620,2416)))</f>
        <v>55751940.889262266</v>
      </c>
      <c r="B8778">
        <v>168737027.64325953</v>
      </c>
    </row>
    <row r="8779" spans="1:2" x14ac:dyDescent="0.25">
      <c r="A8779">
        <f ca="1">39756.7923418152*((RANDBETWEEN(1620,2416)))</f>
        <v>95336788.035672948</v>
      </c>
      <c r="B8779">
        <v>168403762.58353472</v>
      </c>
    </row>
    <row r="8780" spans="1:2" x14ac:dyDescent="0.25">
      <c r="A8780">
        <f ca="1">31664.2453655334*((RANDBETWEEN(1620,2416)))</f>
        <v>65924958.851040453</v>
      </c>
      <c r="B8780">
        <v>159397826.1520074</v>
      </c>
    </row>
    <row r="8781" spans="1:2" x14ac:dyDescent="0.25">
      <c r="A8781">
        <f ca="1">27747.6962360963*((RANDBETWEEN(1620,2416)))</f>
        <v>60018266.958676375</v>
      </c>
      <c r="B8781">
        <v>154454695.17998195</v>
      </c>
    </row>
    <row r="8782" spans="1:2" x14ac:dyDescent="0.25">
      <c r="A8782">
        <f ca="1">29020.6127399455*((RANDBETWEEN(1620,2416)))</f>
        <v>66021893.983375907</v>
      </c>
      <c r="B8782">
        <v>175523003.60956734</v>
      </c>
    </row>
    <row r="8783" spans="1:2" x14ac:dyDescent="0.25">
      <c r="A8783">
        <f ca="1">40015.6448950757*((RANDBETWEEN(1620,2416)))</f>
        <v>90155247.948605612</v>
      </c>
      <c r="B8783">
        <v>149520938.02590609</v>
      </c>
    </row>
    <row r="8784" spans="1:2" x14ac:dyDescent="0.25">
      <c r="A8784">
        <f ca="1">32069.3825254591*((RANDBETWEEN(1620,2416)))</f>
        <v>58334206.813810058</v>
      </c>
      <c r="B8784">
        <v>150442961.58224815</v>
      </c>
    </row>
    <row r="8785" spans="1:2" x14ac:dyDescent="0.25">
      <c r="A8785">
        <f ca="1">35992.9553719358*((RANDBETWEEN(1620,2416)))</f>
        <v>83359684.641403377</v>
      </c>
      <c r="B8785">
        <v>151101628.47364613</v>
      </c>
    </row>
    <row r="8786" spans="1:2" x14ac:dyDescent="0.25">
      <c r="A8786">
        <f ca="1">31656.8878936951*((RANDBETWEEN(1620,2416)))</f>
        <v>55336240.038178973</v>
      </c>
      <c r="B8786">
        <v>176590330.38816008</v>
      </c>
    </row>
    <row r="8787" spans="1:2" x14ac:dyDescent="0.25">
      <c r="A8787">
        <f ca="1">33855.3994660456*((RANDBETWEEN(1620,2416)))</f>
        <v>67101401.741702437</v>
      </c>
      <c r="B8787">
        <v>164696825.95733535</v>
      </c>
    </row>
    <row r="8788" spans="1:2" x14ac:dyDescent="0.25">
      <c r="A8788">
        <f ca="1">40154.5041855057*((RANDBETWEEN(1620,2416)))</f>
        <v>96410964.549399212</v>
      </c>
      <c r="B8788">
        <v>161870035.06983954</v>
      </c>
    </row>
    <row r="8789" spans="1:2" x14ac:dyDescent="0.25">
      <c r="A8789">
        <f ca="1">30903.9145122518*((RANDBETWEEN(1620,2416)))</f>
        <v>54514505.199612111</v>
      </c>
      <c r="B8789">
        <v>162112005.64265949</v>
      </c>
    </row>
    <row r="8790" spans="1:2" x14ac:dyDescent="0.25">
      <c r="A8790">
        <f ca="1">32712.1302493314*((RANDBETWEEN(1620,2416)))</f>
        <v>61695077.650238931</v>
      </c>
      <c r="B8790">
        <v>151168242.23579162</v>
      </c>
    </row>
    <row r="8791" spans="1:2" x14ac:dyDescent="0.25">
      <c r="A8791">
        <f ca="1">31657.9751863048*((RANDBETWEEN(1620,2416)))</f>
        <v>61511445.78699024</v>
      </c>
      <c r="B8791">
        <v>144818529.52073646</v>
      </c>
    </row>
    <row r="8792" spans="1:2" x14ac:dyDescent="0.25">
      <c r="A8792">
        <f ca="1">30603.1263422659*((RANDBETWEEN(1620,2416)))</f>
        <v>50770586.601819098</v>
      </c>
      <c r="B8792">
        <v>150404873.38600013</v>
      </c>
    </row>
    <row r="8793" spans="1:2" x14ac:dyDescent="0.25">
      <c r="A8793">
        <f ca="1">35701.7537851955*((RANDBETWEEN(1620,2416)))</f>
        <v>72617367.199087605</v>
      </c>
      <c r="B8793">
        <v>143770210.48469535</v>
      </c>
    </row>
    <row r="8794" spans="1:2" x14ac:dyDescent="0.25">
      <c r="A8794">
        <f ca="1">31056.0345502322*((RANDBETWEEN(1620,2416)))</f>
        <v>53043707.011796631</v>
      </c>
      <c r="B8794">
        <v>148283829.91269362</v>
      </c>
    </row>
    <row r="8795" spans="1:2" x14ac:dyDescent="0.25">
      <c r="A8795">
        <f ca="1">32700.3465825354*((RANDBETWEEN(1620,2416)))</f>
        <v>57748812.064757518</v>
      </c>
      <c r="B8795">
        <v>145930473.23889202</v>
      </c>
    </row>
    <row r="8796" spans="1:2" x14ac:dyDescent="0.25">
      <c r="A8796">
        <f ca="1">30814.4912404961*((RANDBETWEEN(1620,2416)))</f>
        <v>55835858.127778858</v>
      </c>
      <c r="B8796">
        <v>161942169.77028751</v>
      </c>
    </row>
    <row r="8797" spans="1:2" x14ac:dyDescent="0.25">
      <c r="A8797">
        <f ca="1">37317.0527914774*((RANDBETWEEN(1620,2416)))</f>
        <v>63812160.273426414</v>
      </c>
      <c r="B8797">
        <v>156321170.33455938</v>
      </c>
    </row>
    <row r="8798" spans="1:2" x14ac:dyDescent="0.25">
      <c r="A8798">
        <f ca="1">30246.1147447586*((RANDBETWEEN(1620,2416)))</f>
        <v>50964703.344918221</v>
      </c>
      <c r="B8798">
        <v>150806852.12799114</v>
      </c>
    </row>
    <row r="8799" spans="1:2" x14ac:dyDescent="0.25">
      <c r="A8799">
        <f ca="1">37411.5654801096*((RANDBETWEEN(1620,2416)))</f>
        <v>83577437.282564893</v>
      </c>
      <c r="B8799">
        <v>150331777.34393799</v>
      </c>
    </row>
    <row r="8800" spans="1:2" x14ac:dyDescent="0.25">
      <c r="A8800">
        <f ca="1">27489.5455412844*((RANDBETWEEN(1620,2416)))</f>
        <v>58277836.547522917</v>
      </c>
      <c r="B8800">
        <v>165307051.08997765</v>
      </c>
    </row>
    <row r="8801" spans="1:2" x14ac:dyDescent="0.25">
      <c r="A8801">
        <f ca="1">29061.4997346455*((RANDBETWEEN(1620,2416)))</f>
        <v>61697563.936652452</v>
      </c>
      <c r="B8801">
        <v>191520233.03623214</v>
      </c>
    </row>
    <row r="8802" spans="1:2" x14ac:dyDescent="0.25">
      <c r="A8802">
        <f ca="1">37101.8934498254*((RANDBETWEEN(1620,2416)))</f>
        <v>78396300.859481141</v>
      </c>
      <c r="B8802">
        <v>187646529.72903335</v>
      </c>
    </row>
    <row r="8803" spans="1:2" x14ac:dyDescent="0.25">
      <c r="A8803">
        <f ca="1">30705.477196014*((RANDBETWEEN(1620,2416)))</f>
        <v>58278995.718034513</v>
      </c>
      <c r="B8803">
        <v>147792838.85301509</v>
      </c>
    </row>
    <row r="8804" spans="1:2" x14ac:dyDescent="0.25">
      <c r="A8804">
        <f ca="1">31329.6050518307*((RANDBETWEEN(1620,2416)))</f>
        <v>74407811.998097837</v>
      </c>
      <c r="B8804">
        <v>194867477.0212715</v>
      </c>
    </row>
    <row r="8805" spans="1:2" x14ac:dyDescent="0.25">
      <c r="A8805">
        <f ca="1">32191.2167534182*((RANDBETWEEN(1620,2416)))</f>
        <v>55207936.732112147</v>
      </c>
      <c r="B8805">
        <v>161700171.22303766</v>
      </c>
    </row>
    <row r="8806" spans="1:2" x14ac:dyDescent="0.25">
      <c r="A8806">
        <f ca="1">38733.8811365507*((RANDBETWEEN(1620,2416)))</f>
        <v>84439860.8776806</v>
      </c>
      <c r="B8806">
        <v>151495838.55154362</v>
      </c>
    </row>
    <row r="8807" spans="1:2" x14ac:dyDescent="0.25">
      <c r="A8807">
        <f ca="1">30781.4082216205*((RANDBETWEEN(1620,2416)))</f>
        <v>54852469.450927705</v>
      </c>
      <c r="B8807">
        <v>148243413.25646436</v>
      </c>
    </row>
    <row r="8808" spans="1:2" x14ac:dyDescent="0.25">
      <c r="A8808">
        <f ca="1">30181.9535257325*((RANDBETWEEN(1620,2416)))</f>
        <v>50856591.690859243</v>
      </c>
      <c r="B8808">
        <v>148121108.07949197</v>
      </c>
    </row>
    <row r="8809" spans="1:2" x14ac:dyDescent="0.25">
      <c r="A8809">
        <f ca="1">29567.3037668919*((RANDBETWEEN(1620,2416)))</f>
        <v>67709125.626182362</v>
      </c>
      <c r="B8809">
        <v>169502637.835062</v>
      </c>
    </row>
    <row r="8810" spans="1:2" x14ac:dyDescent="0.25">
      <c r="A8810">
        <f ca="1">29840.6673968334*((RANDBETWEEN(1620,2416)))</f>
        <v>57264240.734523274</v>
      </c>
      <c r="B8810">
        <v>162391624.66368127</v>
      </c>
    </row>
    <row r="8811" spans="1:2" x14ac:dyDescent="0.25">
      <c r="A8811">
        <f ca="1">32508.9208170418*((RANDBETWEEN(1620,2416)))</f>
        <v>67976153.428434446</v>
      </c>
      <c r="B8811">
        <v>197262466.49354386</v>
      </c>
    </row>
    <row r="8812" spans="1:2" x14ac:dyDescent="0.25">
      <c r="A8812">
        <f ca="1">40622.7747055901*((RANDBETWEEN(1620,2416)))</f>
        <v>93229267.949329183</v>
      </c>
      <c r="B8812">
        <v>178558120.36796275</v>
      </c>
    </row>
    <row r="8813" spans="1:2" x14ac:dyDescent="0.25">
      <c r="A8813">
        <f ca="1">32795.770027476*((RANDBETWEEN(1620,2416)))</f>
        <v>65165195.044594854</v>
      </c>
      <c r="B8813">
        <v>202640359.29784757</v>
      </c>
    </row>
    <row r="8814" spans="1:2" x14ac:dyDescent="0.25">
      <c r="A8814">
        <f ca="1">36154.4156646404*((RANDBETWEEN(1620,2416)))</f>
        <v>62908683.256474249</v>
      </c>
      <c r="B8814">
        <v>146066896.01345471</v>
      </c>
    </row>
    <row r="8815" spans="1:2" x14ac:dyDescent="0.25">
      <c r="A8815">
        <f ca="1">30030.1405972192*((RANDBETWEEN(1620,2416)))</f>
        <v>67297545.078368247</v>
      </c>
      <c r="B8815">
        <v>184875500.14701217</v>
      </c>
    </row>
    <row r="8816" spans="1:2" x14ac:dyDescent="0.25">
      <c r="A8816">
        <f ca="1">37797.3330347098*((RANDBETWEEN(1620,2416)))</f>
        <v>74120570.081065923</v>
      </c>
      <c r="B8816">
        <v>185153753.71256047</v>
      </c>
    </row>
    <row r="8817" spans="1:2" x14ac:dyDescent="0.25">
      <c r="A8817">
        <f ca="1">38985.6764082832*((RANDBETWEEN(1620,2416)))</f>
        <v>73916842.470104933</v>
      </c>
      <c r="B8817">
        <v>188165664.41301173</v>
      </c>
    </row>
    <row r="8818" spans="1:2" x14ac:dyDescent="0.25">
      <c r="A8818">
        <f ca="1">32056.0152151274*((RANDBETWEEN(1620,2416)))</f>
        <v>58470171.752392359</v>
      </c>
      <c r="B8818">
        <v>184261727.41993433</v>
      </c>
    </row>
    <row r="8819" spans="1:2" x14ac:dyDescent="0.25">
      <c r="A8819">
        <f ca="1">31235.5399810114*((RANDBETWEEN(1620,2416)))</f>
        <v>66031931.519858018</v>
      </c>
      <c r="B8819">
        <v>182204822.16903889</v>
      </c>
    </row>
    <row r="8820" spans="1:2" x14ac:dyDescent="0.25">
      <c r="A8820">
        <f ca="1">32496.6484386924*((RANDBETWEEN(1620,2416)))</f>
        <v>66845605.838390291</v>
      </c>
      <c r="B8820">
        <v>147997166.50032651</v>
      </c>
    </row>
    <row r="8821" spans="1:2" x14ac:dyDescent="0.25">
      <c r="A8821">
        <f ca="1">29873.5945254498*((RANDBETWEEN(1620,2416)))</f>
        <v>59179590.754916027</v>
      </c>
      <c r="B8821">
        <v>154640813.35105717</v>
      </c>
    </row>
    <row r="8822" spans="1:2" x14ac:dyDescent="0.25">
      <c r="A8822">
        <f ca="1">29358.4189774109*((RANDBETWEEN(1620,2416)))</f>
        <v>61887547.204382129</v>
      </c>
      <c r="B8822">
        <v>157192391.21296805</v>
      </c>
    </row>
    <row r="8823" spans="1:2" x14ac:dyDescent="0.25">
      <c r="A8823">
        <f ca="1">31006.2626076228*((RANDBETWEEN(1620,2416)))</f>
        <v>56896491.884987801</v>
      </c>
      <c r="B8823">
        <v>144682102.09223253</v>
      </c>
    </row>
    <row r="8824" spans="1:2" x14ac:dyDescent="0.25">
      <c r="A8824">
        <f ca="1">30937.6464898004*((RANDBETWEEN(1620,2416)))</f>
        <v>65340309.386458427</v>
      </c>
      <c r="B8824">
        <v>179257436.49107686</v>
      </c>
    </row>
    <row r="8825" spans="1:2" x14ac:dyDescent="0.25">
      <c r="A8825">
        <f ca="1">30703.1978508615*((RANDBETWEEN(1620,2416)))</f>
        <v>55112240.142296307</v>
      </c>
      <c r="B8825">
        <v>191179747.45276743</v>
      </c>
    </row>
    <row r="8826" spans="1:2" x14ac:dyDescent="0.25">
      <c r="A8826">
        <f ca="1">36680.1885152372*((RANDBETWEEN(1620,2416)))</f>
        <v>70169200.629648954</v>
      </c>
      <c r="B8826">
        <v>195063079.14742431</v>
      </c>
    </row>
    <row r="8827" spans="1:2" x14ac:dyDescent="0.25">
      <c r="A8827">
        <f ca="1">33866.5653731456*((RANDBETWEEN(1620,2416)))</f>
        <v>69087793.361216962</v>
      </c>
      <c r="B8827">
        <v>151906555.13591456</v>
      </c>
    </row>
    <row r="8828" spans="1:2" x14ac:dyDescent="0.25">
      <c r="A8828">
        <f ca="1">32620.9700359971*((RANDBETWEEN(1620,2416)))</f>
        <v>58815608.974902764</v>
      </c>
      <c r="B8828">
        <v>153344566.76620039</v>
      </c>
    </row>
    <row r="8829" spans="1:2" x14ac:dyDescent="0.25">
      <c r="A8829">
        <f ca="1">35032.6018355621*((RANDBETWEEN(1620,2416)))</f>
        <v>69819975.458275229</v>
      </c>
      <c r="B8829">
        <v>167075804.76919419</v>
      </c>
    </row>
    <row r="8830" spans="1:2" x14ac:dyDescent="0.25">
      <c r="A8830">
        <f ca="1">30151.3233282732*((RANDBETWEEN(1620,2416)))</f>
        <v>56021158.743931621</v>
      </c>
      <c r="B8830">
        <v>147178656.30748415</v>
      </c>
    </row>
    <row r="8831" spans="1:2" x14ac:dyDescent="0.25">
      <c r="A8831">
        <f ca="1">30281.3348920784*((RANDBETWEEN(1620,2416)))</f>
        <v>67466814.139550641</v>
      </c>
      <c r="B8831">
        <v>153096242.9712429</v>
      </c>
    </row>
    <row r="8832" spans="1:2" x14ac:dyDescent="0.25">
      <c r="A8832">
        <f ca="1">37660.2601126109*((RANDBETWEEN(1620,2416)))</f>
        <v>65302891.035267301</v>
      </c>
      <c r="B8832">
        <v>157786367.62678248</v>
      </c>
    </row>
    <row r="8833" spans="1:2" x14ac:dyDescent="0.25">
      <c r="A8833">
        <f ca="1">31890.8387180368*((RANDBETWEEN(1620,2416)))</f>
        <v>67034542.985313296</v>
      </c>
      <c r="B8833">
        <v>166473858.5225296</v>
      </c>
    </row>
    <row r="8834" spans="1:2" x14ac:dyDescent="0.25">
      <c r="A8834">
        <f ca="1">31076.6598339931*((RANDBETWEEN(1620,2416)))</f>
        <v>58952423.70508492</v>
      </c>
      <c r="B8834">
        <v>143646491.58710045</v>
      </c>
    </row>
    <row r="8835" spans="1:2" x14ac:dyDescent="0.25">
      <c r="A8835">
        <f ca="1">32673.4480960052*((RANDBETWEEN(1620,2416)))</f>
        <v>67601364.110634848</v>
      </c>
      <c r="B8835">
        <v>152064499.50727528</v>
      </c>
    </row>
    <row r="8836" spans="1:2" x14ac:dyDescent="0.25">
      <c r="A8836">
        <f ca="1">38631.5912133134*((RANDBETWEEN(1620,2416)))</f>
        <v>66600863.251752235</v>
      </c>
      <c r="B8836">
        <v>176435721.22814399</v>
      </c>
    </row>
    <row r="8837" spans="1:2" x14ac:dyDescent="0.25">
      <c r="A8837">
        <f ca="1">35798.833905857*((RANDBETWEEN(1620,2416)))</f>
        <v>75320746.537923202</v>
      </c>
      <c r="B8837">
        <v>188055748.09863815</v>
      </c>
    </row>
    <row r="8838" spans="1:2" x14ac:dyDescent="0.25">
      <c r="A8838">
        <f ca="1">30185.1856919152*((RANDBETWEEN(1620,2416)))</f>
        <v>55148334.259128995</v>
      </c>
      <c r="B8838">
        <v>193008708.03074369</v>
      </c>
    </row>
    <row r="8839" spans="1:2" x14ac:dyDescent="0.25">
      <c r="A8839">
        <f ca="1">29847.9704376669*((RANDBETWEEN(1620,2416)))</f>
        <v>51905620.591102764</v>
      </c>
      <c r="B8839">
        <v>151724250.66271484</v>
      </c>
    </row>
    <row r="8840" spans="1:2" x14ac:dyDescent="0.25">
      <c r="A8840">
        <f ca="1">33079.9684675591*((RANDBETWEEN(1620,2416)))</f>
        <v>79590404.132947177</v>
      </c>
      <c r="B8840">
        <v>152589531.2290706</v>
      </c>
    </row>
    <row r="8841" spans="1:2" x14ac:dyDescent="0.25">
      <c r="A8841">
        <f ca="1">33475.3371313557*((RANDBETWEEN(1620,2416)))</f>
        <v>57945808.574376695</v>
      </c>
      <c r="B8841">
        <v>173021568.23226869</v>
      </c>
    </row>
    <row r="8842" spans="1:2" x14ac:dyDescent="0.25">
      <c r="A8842">
        <f ca="1">32940.3670013646*((RANDBETWEEN(1620,2416)))</f>
        <v>68581844.096841201</v>
      </c>
      <c r="B8842">
        <v>175819558.28832948</v>
      </c>
    </row>
    <row r="8843" spans="1:2" x14ac:dyDescent="0.25">
      <c r="A8843">
        <f ca="1">28965.94477687*((RANDBETWEEN(1620,2416)))</f>
        <v>64536124.962866314</v>
      </c>
      <c r="B8843">
        <v>192151545.2747221</v>
      </c>
    </row>
    <row r="8844" spans="1:2" x14ac:dyDescent="0.25">
      <c r="A8844">
        <f ca="1">33501.3771741254*((RANDBETWEEN(1620,2416)))</f>
        <v>67806787.40042986</v>
      </c>
      <c r="B8844">
        <v>177844852.01057139</v>
      </c>
    </row>
    <row r="8845" spans="1:2" x14ac:dyDescent="0.25">
      <c r="A8845">
        <f ca="1">32106.5814448136*((RANDBETWEEN(1620,2416)))</f>
        <v>71822422.692048058</v>
      </c>
      <c r="B8845">
        <v>157892067.47826868</v>
      </c>
    </row>
    <row r="8846" spans="1:2" x14ac:dyDescent="0.25">
      <c r="A8846">
        <f ca="1">41314.8807243446*((RANDBETWEEN(1620,2416)))</f>
        <v>83249484.659554467</v>
      </c>
      <c r="B8846">
        <v>189298496.36839879</v>
      </c>
    </row>
    <row r="8847" spans="1:2" x14ac:dyDescent="0.25">
      <c r="A8847">
        <f ca="1">29989.1344532884*((RANDBETWEEN(1620,2416)))</f>
        <v>70204563.755148187</v>
      </c>
      <c r="B8847">
        <v>184811302.58707657</v>
      </c>
    </row>
    <row r="8848" spans="1:2" x14ac:dyDescent="0.25">
      <c r="A8848">
        <f ca="1">31047.6709764517*((RANDBETWEEN(1620,2416)))</f>
        <v>67342398.347923741</v>
      </c>
      <c r="B8848">
        <v>145338903.40715352</v>
      </c>
    </row>
    <row r="8849" spans="1:2" x14ac:dyDescent="0.25">
      <c r="A8849">
        <f ca="1">36488.9690588206*((RANDBETWEEN(1620,2416)))</f>
        <v>67760015.542229921</v>
      </c>
      <c r="B8849">
        <v>154326847.0375801</v>
      </c>
    </row>
    <row r="8850" spans="1:2" x14ac:dyDescent="0.25">
      <c r="A8850">
        <f ca="1">39126.0761019733*((RANDBETWEEN(1620,2416)))</f>
        <v>69057524.319982812</v>
      </c>
      <c r="B8850">
        <v>155736138.61452764</v>
      </c>
    </row>
    <row r="8851" spans="1:2" x14ac:dyDescent="0.25">
      <c r="A8851">
        <f ca="1">32103.8927811302*((RANDBETWEEN(1620,2416)))</f>
        <v>70981706.939078823</v>
      </c>
      <c r="B8851">
        <v>162871437.73676202</v>
      </c>
    </row>
    <row r="8852" spans="1:2" x14ac:dyDescent="0.25">
      <c r="A8852">
        <f ca="1">36130.3367511145*((RANDBETWEEN(1620,2416)))</f>
        <v>70923851.042437732</v>
      </c>
      <c r="B8852">
        <v>174347888.51373267</v>
      </c>
    </row>
    <row r="8853" spans="1:2" x14ac:dyDescent="0.25">
      <c r="A8853">
        <f ca="1">31666.5909967637*((RANDBETWEEN(1620,2416)))</f>
        <v>57981528.115074381</v>
      </c>
      <c r="B8853">
        <v>145132791.10669422</v>
      </c>
    </row>
    <row r="8854" spans="1:2" x14ac:dyDescent="0.25">
      <c r="A8854">
        <f ca="1">38807.4056584749*((RANDBETWEEN(1620,2416)))</f>
        <v>90033181.127661809</v>
      </c>
      <c r="B8854">
        <v>181051242.82225764</v>
      </c>
    </row>
    <row r="8855" spans="1:2" x14ac:dyDescent="0.25">
      <c r="A8855">
        <f ca="1">32608.5634464314*((RANDBETWEEN(1620,2416)))</f>
        <v>77999683.763863921</v>
      </c>
      <c r="B8855">
        <v>169484026.90819275</v>
      </c>
    </row>
    <row r="8856" spans="1:2" x14ac:dyDescent="0.25">
      <c r="A8856">
        <f ca="1">30847.8909541045*((RANDBETWEEN(1620,2416)))</f>
        <v>63238176.455914311</v>
      </c>
      <c r="B8856">
        <v>154820155.55308545</v>
      </c>
    </row>
    <row r="8857" spans="1:2" x14ac:dyDescent="0.25">
      <c r="A8857">
        <f ca="1">31146.9906281832*((RANDBETWEEN(1620,2416)))</f>
        <v>62107099.312597238</v>
      </c>
      <c r="B8857">
        <v>143053261.86355817</v>
      </c>
    </row>
    <row r="8858" spans="1:2" x14ac:dyDescent="0.25">
      <c r="A8858">
        <f ca="1">39900.0640818401*((RANDBETWEEN(1620,2416)))</f>
        <v>91251446.555168331</v>
      </c>
      <c r="B8858">
        <v>159602816.85264522</v>
      </c>
    </row>
    <row r="8859" spans="1:2" x14ac:dyDescent="0.25">
      <c r="A8859">
        <f ca="1">39740.8835560206*((RANDBETWEEN(1620,2416)))</f>
        <v>92318072.500635937</v>
      </c>
      <c r="B8859">
        <v>152190553.77795836</v>
      </c>
    </row>
    <row r="8860" spans="1:2" x14ac:dyDescent="0.25">
      <c r="A8860">
        <f ca="1">35797.925624517*((RANDBETWEEN(1620,2416)))</f>
        <v>80724322.283285812</v>
      </c>
      <c r="B8860">
        <v>150568979.98878276</v>
      </c>
    </row>
    <row r="8861" spans="1:2" x14ac:dyDescent="0.25">
      <c r="A8861">
        <f ca="1">30135.6297634458*((RANDBETWEEN(1620,2416)))</f>
        <v>60964379.011450864</v>
      </c>
      <c r="B8861">
        <v>146379404.5308055</v>
      </c>
    </row>
    <row r="8862" spans="1:2" x14ac:dyDescent="0.25">
      <c r="A8862">
        <f ca="1">41945.4682966313*((RANDBETWEEN(1620,2416)))</f>
        <v>87624083.271662802</v>
      </c>
      <c r="B8862">
        <v>185401090.8979685</v>
      </c>
    </row>
    <row r="8863" spans="1:2" x14ac:dyDescent="0.25">
      <c r="A8863">
        <f ca="1">39255.0117597317*((RANDBETWEEN(1620,2416)))</f>
        <v>70973061.261594847</v>
      </c>
      <c r="B8863">
        <v>184729745.67825618</v>
      </c>
    </row>
    <row r="8864" spans="1:2" x14ac:dyDescent="0.25">
      <c r="A8864">
        <f ca="1">29427.5065825109*((RANDBETWEEN(1620,2416)))</f>
        <v>70802580.837521136</v>
      </c>
      <c r="B8864">
        <v>166765108.90798151</v>
      </c>
    </row>
    <row r="8865" spans="1:2" x14ac:dyDescent="0.25">
      <c r="A8865">
        <f ca="1">30022.5200784028*((RANDBETWEEN(1620,2416)))</f>
        <v>63887922.726841077</v>
      </c>
      <c r="B8865">
        <v>144757074.85769504</v>
      </c>
    </row>
    <row r="8866" spans="1:2" x14ac:dyDescent="0.25">
      <c r="A8866">
        <f ca="1">41363.2581047315*((RANDBETWEEN(1620,2416)))</f>
        <v>83057422.274300903</v>
      </c>
      <c r="B8866">
        <v>194644867.63381329</v>
      </c>
    </row>
    <row r="8867" spans="1:2" x14ac:dyDescent="0.25">
      <c r="A8867">
        <f ca="1">33272.9017439013*((RANDBETWEEN(1620,2416)))</f>
        <v>76261490.797021821</v>
      </c>
      <c r="B8867">
        <v>154095068.52335736</v>
      </c>
    </row>
    <row r="8868" spans="1:2" x14ac:dyDescent="0.25">
      <c r="A8868">
        <f ca="1">30991.4462277934*((RANDBETWEEN(1620,2416)))</f>
        <v>50671014.582442135</v>
      </c>
      <c r="B8868">
        <v>143185516.10230476</v>
      </c>
    </row>
    <row r="8869" spans="1:2" x14ac:dyDescent="0.25">
      <c r="A8869">
        <f ca="1">31096.4608486745*((RANDBETWEEN(1620,2416)))</f>
        <v>51153678.096069612</v>
      </c>
      <c r="B8869">
        <v>202622873.04061019</v>
      </c>
    </row>
    <row r="8870" spans="1:2" x14ac:dyDescent="0.25">
      <c r="A8870">
        <f ca="1">29306.081014495*((RANDBETWEEN(1620,2416)))</f>
        <v>60517057.294932246</v>
      </c>
      <c r="B8870">
        <v>149714385.26324648</v>
      </c>
    </row>
    <row r="8871" spans="1:2" x14ac:dyDescent="0.25">
      <c r="A8871">
        <f ca="1">30870.0552357083*((RANDBETWEEN(1620,2416)))</f>
        <v>70692426.489772081</v>
      </c>
      <c r="B8871">
        <v>164594370.1856477</v>
      </c>
    </row>
    <row r="8872" spans="1:2" x14ac:dyDescent="0.25">
      <c r="A8872">
        <f ca="1">34646.0061131984*((RANDBETWEEN(1620,2416)))</f>
        <v>59625776.520814404</v>
      </c>
      <c r="B8872">
        <v>153897863.73127371</v>
      </c>
    </row>
    <row r="8873" spans="1:2" x14ac:dyDescent="0.25">
      <c r="A8873">
        <f ca="1">38657.7593273499*((RANDBETWEEN(1620,2416)))</f>
        <v>78629882.471829787</v>
      </c>
      <c r="B8873">
        <v>162832059.41887265</v>
      </c>
    </row>
    <row r="8874" spans="1:2" x14ac:dyDescent="0.25">
      <c r="A8874">
        <f ca="1">37145.4850613949*((RANDBETWEEN(1620,2416)))</f>
        <v>82128667.470744178</v>
      </c>
      <c r="B8874">
        <v>152556072.51165792</v>
      </c>
    </row>
    <row r="8875" spans="1:2" x14ac:dyDescent="0.25">
      <c r="A8875">
        <f ca="1">39960.5062335027*((RANDBETWEEN(1620,2416)))</f>
        <v>88032995.232406527</v>
      </c>
      <c r="B8875">
        <v>173460667.60808682</v>
      </c>
    </row>
    <row r="8876" spans="1:2" x14ac:dyDescent="0.25">
      <c r="A8876">
        <f ca="1">40857.6358504346*((RANDBETWEEN(1620,2416)))</f>
        <v>70315991.298597932</v>
      </c>
      <c r="B8876">
        <v>150969227.6837422</v>
      </c>
    </row>
    <row r="8877" spans="1:2" x14ac:dyDescent="0.25">
      <c r="A8877">
        <f ca="1">27859.9245379195*((RANDBETWEEN(1620,2416)))</f>
        <v>57670043.793493383</v>
      </c>
      <c r="B8877">
        <v>174212298.81595865</v>
      </c>
    </row>
    <row r="8878" spans="1:2" x14ac:dyDescent="0.25">
      <c r="A8878">
        <f ca="1">32372.1461353581*((RANDBETWEEN(1620,2416)))</f>
        <v>77563662.140318066</v>
      </c>
      <c r="B8878">
        <v>173259121.90320063</v>
      </c>
    </row>
    <row r="8879" spans="1:2" x14ac:dyDescent="0.25">
      <c r="A8879">
        <f ca="1">35122.9597866718*((RANDBETWEEN(1620,2416)))</f>
        <v>73266494.114997298</v>
      </c>
      <c r="B8879">
        <v>180769417.52448431</v>
      </c>
    </row>
    <row r="8880" spans="1:2" x14ac:dyDescent="0.25">
      <c r="A8880">
        <f ca="1">29330.186607085*((RANDBETWEEN(1620,2416)))</f>
        <v>54378165.969535507</v>
      </c>
      <c r="B8880">
        <v>203591742.74241677</v>
      </c>
    </row>
    <row r="8881" spans="1:2" x14ac:dyDescent="0.25">
      <c r="A8881">
        <f ca="1">30053.2991169335*((RANDBETWEEN(1620,2416)))</f>
        <v>64073633.717302285</v>
      </c>
      <c r="B8881">
        <v>169650393.59367698</v>
      </c>
    </row>
    <row r="8882" spans="1:2" x14ac:dyDescent="0.25">
      <c r="A8882">
        <f ca="1">31829.1474086257*((RANDBETWEEN(1620,2416)))</f>
        <v>65727189.3988121</v>
      </c>
      <c r="B8882">
        <v>143056158.07247809</v>
      </c>
    </row>
    <row r="8883" spans="1:2" x14ac:dyDescent="0.25">
      <c r="A8883">
        <f ca="1">33296.9538253846*((RANDBETWEEN(1620,2416)))</f>
        <v>62365194.514945306</v>
      </c>
      <c r="B8883">
        <v>197131457.38651848</v>
      </c>
    </row>
    <row r="8884" spans="1:2" x14ac:dyDescent="0.25">
      <c r="A8884">
        <f ca="1">38859.6102442316*((RANDBETWEEN(1620,2416)))</f>
        <v>76009397.637716994</v>
      </c>
      <c r="B8884">
        <v>145099495.49887592</v>
      </c>
    </row>
    <row r="8885" spans="1:2" x14ac:dyDescent="0.25">
      <c r="A8885">
        <f ca="1">38500.737867931*((RANDBETWEEN(1620,2416)))</f>
        <v>89822221.44588308</v>
      </c>
      <c r="B8885">
        <v>153379977.02799529</v>
      </c>
    </row>
    <row r="8886" spans="1:2" x14ac:dyDescent="0.25">
      <c r="A8886">
        <f ca="1">39115.0819227603*((RANDBETWEEN(1620,2416)))</f>
        <v>80850874.334345579</v>
      </c>
      <c r="B8886">
        <v>186829765.77613938</v>
      </c>
    </row>
    <row r="8887" spans="1:2" x14ac:dyDescent="0.25">
      <c r="A8887">
        <f ca="1">30086.6781858442*((RANDBETWEEN(1620,2416)))</f>
        <v>67695025.918149546</v>
      </c>
      <c r="B8887">
        <v>173127658.53079444</v>
      </c>
    </row>
    <row r="8888" spans="1:2" x14ac:dyDescent="0.25">
      <c r="A8888">
        <f ca="1">32188.7564847442*((RANDBETWEEN(1620,2416)))</f>
        <v>56426890.117756628</v>
      </c>
      <c r="B8888">
        <v>175913701.93688795</v>
      </c>
    </row>
    <row r="8889" spans="1:2" x14ac:dyDescent="0.25">
      <c r="A8889">
        <f ca="1">33225.4840216766*((RANDBETWEEN(1620,2416)))</f>
        <v>73660898.076056927</v>
      </c>
      <c r="B8889">
        <v>169951689.58401531</v>
      </c>
    </row>
    <row r="8890" spans="1:2" x14ac:dyDescent="0.25">
      <c r="A8890">
        <f ca="1">34053.2993703005*((RANDBETWEEN(1620,2416)))</f>
        <v>59150581.006212026</v>
      </c>
      <c r="B8890">
        <v>198605493.90862456</v>
      </c>
    </row>
    <row r="8891" spans="1:2" x14ac:dyDescent="0.25">
      <c r="A8891">
        <f ca="1">30865.790723879*((RANDBETWEEN(1620,2416)))</f>
        <v>50403836.252094433</v>
      </c>
      <c r="B8891">
        <v>161098367.33982369</v>
      </c>
    </row>
    <row r="8892" spans="1:2" x14ac:dyDescent="0.25">
      <c r="A8892">
        <f ca="1">31092.6237021949*((RANDBETWEEN(1620,2416)))</f>
        <v>52950738.164837845</v>
      </c>
      <c r="B8892">
        <v>168557807.35757586</v>
      </c>
    </row>
    <row r="8893" spans="1:2" x14ac:dyDescent="0.25">
      <c r="A8893">
        <f ca="1">34296.9771305817*((RANDBETWEEN(1620,2416)))</f>
        <v>81866884.410698637</v>
      </c>
      <c r="B8893">
        <v>180464595.37358177</v>
      </c>
    </row>
    <row r="8894" spans="1:2" x14ac:dyDescent="0.25">
      <c r="A8894">
        <f ca="1">32705.2480732541*((RANDBETWEEN(1620,2416)))</f>
        <v>56285731.934070259</v>
      </c>
      <c r="B8894">
        <v>180394840.36821195</v>
      </c>
    </row>
    <row r="8895" spans="1:2" x14ac:dyDescent="0.25">
      <c r="A8895">
        <f ca="1">30547.6449350843*((RANDBETWEEN(1620,2416)))</f>
        <v>53488926.281332552</v>
      </c>
      <c r="B8895">
        <v>163975096.47563475</v>
      </c>
    </row>
    <row r="8896" spans="1:2" x14ac:dyDescent="0.25">
      <c r="A8896">
        <f ca="1">29185.4227120232*((RANDBETWEEN(1620,2416)))</f>
        <v>50870191.787056506</v>
      </c>
      <c r="B8896">
        <v>147552001.67413634</v>
      </c>
    </row>
    <row r="8897" spans="1:2" x14ac:dyDescent="0.25">
      <c r="A8897">
        <f ca="1">33309.4674090042*((RANDBETWEEN(1620,2416)))</f>
        <v>77111417.051844671</v>
      </c>
      <c r="B8897">
        <v>193809633.10049498</v>
      </c>
    </row>
    <row r="8898" spans="1:2" x14ac:dyDescent="0.25">
      <c r="A8898">
        <f ca="1">33029.1947408141*((RANDBETWEEN(1620,2416)))</f>
        <v>76792877.772392914</v>
      </c>
      <c r="B8898">
        <v>191944606.87385079</v>
      </c>
    </row>
    <row r="8899" spans="1:2" x14ac:dyDescent="0.25">
      <c r="A8899">
        <f ca="1">29117.3603105071*((RANDBETWEEN(1620,2416)))</f>
        <v>64058192.683115728</v>
      </c>
      <c r="B8899">
        <v>147370073.30215019</v>
      </c>
    </row>
    <row r="8900" spans="1:2" x14ac:dyDescent="0.25">
      <c r="A8900">
        <f ca="1">28558.7161945247*((RANDBETWEEN(1620,2416)))</f>
        <v>51062984.555810139</v>
      </c>
      <c r="B8900">
        <v>185935481.66115692</v>
      </c>
    </row>
    <row r="8901" spans="1:2" x14ac:dyDescent="0.25">
      <c r="A8901">
        <f ca="1">36365.5878632761*((RANDBETWEEN(1620,2416)))</f>
        <v>59857757.622952461</v>
      </c>
      <c r="B8901">
        <v>164356733.77109706</v>
      </c>
    </row>
    <row r="8902" spans="1:2" x14ac:dyDescent="0.25">
      <c r="A8902">
        <f ca="1">29455.5196618596*((RANDBETWEEN(1620,2416)))</f>
        <v>55877120.798547737</v>
      </c>
      <c r="B8902">
        <v>168866897.77991155</v>
      </c>
    </row>
    <row r="8903" spans="1:2" x14ac:dyDescent="0.25">
      <c r="A8903">
        <f ca="1">34092.4169384558*((RANDBETWEEN(1620,2416)))</f>
        <v>70503118.228726491</v>
      </c>
      <c r="B8903">
        <v>158506540.99707633</v>
      </c>
    </row>
    <row r="8904" spans="1:2" x14ac:dyDescent="0.25">
      <c r="A8904">
        <f ca="1">31453.8238940819*((RANDBETWEEN(1620,2416)))</f>
        <v>62624563.373117037</v>
      </c>
      <c r="B8904">
        <v>151026607.22019646</v>
      </c>
    </row>
    <row r="8905" spans="1:2" x14ac:dyDescent="0.25">
      <c r="A8905">
        <f ca="1">33461.1868197139*((RANDBETWEEN(1620,2416)))</f>
        <v>67223524.320805162</v>
      </c>
      <c r="B8905">
        <v>145374692.99607298</v>
      </c>
    </row>
    <row r="8906" spans="1:2" x14ac:dyDescent="0.25">
      <c r="A8906">
        <f ca="1">30625.3281566375*((RANDBETWEEN(1620,2416)))</f>
        <v>57177487.668442294</v>
      </c>
      <c r="B8906">
        <v>155081408.76499081</v>
      </c>
    </row>
    <row r="8907" spans="1:2" x14ac:dyDescent="0.25">
      <c r="A8907">
        <f ca="1">34638.0078447442*((RANDBETWEEN(1620,2416)))</f>
        <v>66678165.101132683</v>
      </c>
      <c r="B8907">
        <v>189002605.26665765</v>
      </c>
    </row>
    <row r="8908" spans="1:2" x14ac:dyDescent="0.25">
      <c r="A8908">
        <f ca="1">36005.9435701646*((RANDBETWEEN(1620,2416)))</f>
        <v>80041212.556475893</v>
      </c>
      <c r="B8908">
        <v>183107376.63872147</v>
      </c>
    </row>
    <row r="8909" spans="1:2" x14ac:dyDescent="0.25">
      <c r="A8909">
        <f ca="1">29291.4936426447*((RANDBETWEEN(1620,2416)))</f>
        <v>48360256.004006401</v>
      </c>
      <c r="B8909">
        <v>164932152.7066769</v>
      </c>
    </row>
    <row r="8910" spans="1:2" x14ac:dyDescent="0.25">
      <c r="A8910">
        <f ca="1">32327.445715337*((RANDBETWEEN(1620,2416)))</f>
        <v>67596688.990769699</v>
      </c>
      <c r="B8910">
        <v>195296150.72876602</v>
      </c>
    </row>
    <row r="8911" spans="1:2" x14ac:dyDescent="0.25">
      <c r="A8911">
        <f ca="1">39715.8729617008*((RANDBETWEEN(1620,2416)))</f>
        <v>83323901.473648474</v>
      </c>
      <c r="B8911">
        <v>155556679.37191254</v>
      </c>
    </row>
    <row r="8912" spans="1:2" x14ac:dyDescent="0.25">
      <c r="A8912">
        <f ca="1">30875.9934339284*((RANDBETWEEN(1620,2416)))</f>
        <v>74009756.261126369</v>
      </c>
      <c r="B8912">
        <v>185858782.34603834</v>
      </c>
    </row>
    <row r="8913" spans="1:2" x14ac:dyDescent="0.25">
      <c r="A8913">
        <f ca="1">29830.2570643402*((RANDBETWEEN(1620,2416)))</f>
        <v>49995510.839834251</v>
      </c>
      <c r="B8913">
        <v>145105857.67888135</v>
      </c>
    </row>
    <row r="8914" spans="1:2" x14ac:dyDescent="0.25">
      <c r="A8914">
        <f ca="1">35464.9425663944*((RANDBETWEEN(1620,2416)))</f>
        <v>78129268.473766923</v>
      </c>
      <c r="B8914">
        <v>152802884.585596</v>
      </c>
    </row>
    <row r="8915" spans="1:2" x14ac:dyDescent="0.25">
      <c r="A8915">
        <f ca="1">31047.3032479692*((RANDBETWEEN(1620,2416)))</f>
        <v>71160419.044345483</v>
      </c>
      <c r="B8915">
        <v>160216982.77504072</v>
      </c>
    </row>
    <row r="8916" spans="1:2" x14ac:dyDescent="0.25">
      <c r="A8916">
        <f ca="1">36007.1376029249*((RANDBETWEEN(1620,2416)))</f>
        <v>83896630.614815056</v>
      </c>
      <c r="B8916">
        <v>175410689.4060899</v>
      </c>
    </row>
    <row r="8917" spans="1:2" x14ac:dyDescent="0.25">
      <c r="A8917">
        <f ca="1">33333.9998730864*((RANDBETWEEN(1620,2416)))</f>
        <v>73934811.718505576</v>
      </c>
      <c r="B8917">
        <v>184417868.60610193</v>
      </c>
    </row>
    <row r="8918" spans="1:2" x14ac:dyDescent="0.25">
      <c r="A8918">
        <f ca="1">29971.1237189366*((RANDBETWEEN(1620,2416)))</f>
        <v>50141689.981780984</v>
      </c>
      <c r="B8918">
        <v>144420141.81712604</v>
      </c>
    </row>
    <row r="8919" spans="1:2" x14ac:dyDescent="0.25">
      <c r="A8919">
        <f ca="1">32264.4026133495*((RANDBETWEEN(1620,2416)))</f>
        <v>52945884.688506477</v>
      </c>
      <c r="B8919">
        <v>155711506.93749014</v>
      </c>
    </row>
    <row r="8920" spans="1:2" x14ac:dyDescent="0.25">
      <c r="A8920">
        <f ca="1">31795.6204847995*((RANDBETWEEN(1620,2416)))</f>
        <v>57295708.113608658</v>
      </c>
      <c r="B8920">
        <v>182931583.31642926</v>
      </c>
    </row>
    <row r="8921" spans="1:2" x14ac:dyDescent="0.25">
      <c r="A8921">
        <f ca="1">33190.5828648743*((RANDBETWEEN(1620,2416)))</f>
        <v>77367248.658021882</v>
      </c>
      <c r="B8921">
        <v>166269009.14028758</v>
      </c>
    </row>
    <row r="8922" spans="1:2" x14ac:dyDescent="0.25">
      <c r="A8922">
        <f ca="1">29791.8012326616*((RANDBETWEEN(1620,2416)))</f>
        <v>61847779.359005392</v>
      </c>
      <c r="B8922">
        <v>201322514.96824956</v>
      </c>
    </row>
    <row r="8923" spans="1:2" x14ac:dyDescent="0.25">
      <c r="A8923">
        <f ca="1">28977.6956546592*((RANDBETWEEN(1620,2416)))</f>
        <v>69401581.09290877</v>
      </c>
      <c r="B8923">
        <v>200708078.64790997</v>
      </c>
    </row>
    <row r="8924" spans="1:2" x14ac:dyDescent="0.25">
      <c r="A8924">
        <f ca="1">38206.0376255489*((RANDBETWEEN(1620,2416)))</f>
        <v>67548274.521970406</v>
      </c>
      <c r="B8924">
        <v>153857942.87804613</v>
      </c>
    </row>
    <row r="8925" spans="1:2" x14ac:dyDescent="0.25">
      <c r="A8925">
        <f ca="1">39016.1404889884*((RANDBETWEEN(1620,2416)))</f>
        <v>75145086.581791595</v>
      </c>
      <c r="B8925">
        <v>153241982.91329533</v>
      </c>
    </row>
    <row r="8926" spans="1:2" x14ac:dyDescent="0.25">
      <c r="A8926">
        <f ca="1">30193.8271281053*((RANDBETWEEN(1620,2416)))</f>
        <v>66003706.102038279</v>
      </c>
      <c r="B8926">
        <v>146895563.66594398</v>
      </c>
    </row>
    <row r="8927" spans="1:2" x14ac:dyDescent="0.25">
      <c r="A8927">
        <f ca="1">28288.9025697574*((RANDBETWEEN(1620,2416)))</f>
        <v>58246850.391130477</v>
      </c>
      <c r="B8927">
        <v>151781868.30105412</v>
      </c>
    </row>
    <row r="8928" spans="1:2" x14ac:dyDescent="0.25">
      <c r="A8928">
        <f ca="1">31855.9860227718*((RANDBETWEEN(1620,2416)))</f>
        <v>61768756.898154475</v>
      </c>
      <c r="B8928">
        <v>186652340.18413246</v>
      </c>
    </row>
    <row r="8929" spans="1:2" x14ac:dyDescent="0.25">
      <c r="A8929">
        <f ca="1">34836.1591343616*((RANDBETWEEN(1620,2416)))</f>
        <v>67129278.651914924</v>
      </c>
      <c r="B8929">
        <v>192292588.99942672</v>
      </c>
    </row>
    <row r="8930" spans="1:2" x14ac:dyDescent="0.25">
      <c r="A8930">
        <f ca="1">40718.0565029306*((RANDBETWEEN(1620,2416)))</f>
        <v>67795564.077379391</v>
      </c>
      <c r="B8930">
        <v>156089360.06870461</v>
      </c>
    </row>
    <row r="8931" spans="1:2" x14ac:dyDescent="0.25">
      <c r="A8931">
        <f ca="1">31383.4555196902*((RANDBETWEEN(1620,2416)))</f>
        <v>68196248.844286844</v>
      </c>
      <c r="B8931">
        <v>179428513.40735188</v>
      </c>
    </row>
    <row r="8932" spans="1:2" x14ac:dyDescent="0.25">
      <c r="A8932">
        <f ca="1">30449.4068756878*((RANDBETWEEN(1620,2416)))</f>
        <v>51033205.923652723</v>
      </c>
      <c r="B8932">
        <v>197737911.08952132</v>
      </c>
    </row>
    <row r="8933" spans="1:2" x14ac:dyDescent="0.25">
      <c r="A8933">
        <f ca="1">30861.6270786285*((RANDBETWEEN(1620,2416)))</f>
        <v>62371348.325908184</v>
      </c>
      <c r="B8933">
        <v>201205850.46393147</v>
      </c>
    </row>
    <row r="8934" spans="1:2" x14ac:dyDescent="0.25">
      <c r="A8934">
        <f ca="1">31705.3100368625*((RANDBETWEEN(1620,2416)))</f>
        <v>51552834.119938374</v>
      </c>
      <c r="B8934">
        <v>144106603.34259462</v>
      </c>
    </row>
    <row r="8935" spans="1:2" x14ac:dyDescent="0.25">
      <c r="A8935">
        <f ca="1">33014.0986734713*((RANDBETWEEN(1620,2416)))</f>
        <v>69494677.707657084</v>
      </c>
      <c r="B8935">
        <v>167174664.29397494</v>
      </c>
    </row>
    <row r="8936" spans="1:2" x14ac:dyDescent="0.25">
      <c r="A8936">
        <f ca="1">30611.8646533945*((RANDBETWEEN(1620,2416)))</f>
        <v>52040169.910770565</v>
      </c>
      <c r="B8936">
        <v>171928794.40652117</v>
      </c>
    </row>
    <row r="8937" spans="1:2" x14ac:dyDescent="0.25">
      <c r="A8937">
        <f ca="1">32405.0962555705*((RANDBETWEEN(1620,2416)))</f>
        <v>53792459.784247085</v>
      </c>
      <c r="B8937">
        <v>172058820.84946993</v>
      </c>
    </row>
    <row r="8938" spans="1:2" x14ac:dyDescent="0.25">
      <c r="A8938">
        <f ca="1">31981.57811642*((RANDBETWEEN(1620,2416)))</f>
        <v>66553664.060270086</v>
      </c>
      <c r="B8938">
        <v>157540641.54146978</v>
      </c>
    </row>
    <row r="8939" spans="1:2" x14ac:dyDescent="0.25">
      <c r="A8939">
        <f ca="1">27483.2771927757*((RANDBETWEEN(1620,2416)))</f>
        <v>48947716.680333443</v>
      </c>
      <c r="B8939">
        <v>151068949.13387114</v>
      </c>
    </row>
    <row r="8940" spans="1:2" x14ac:dyDescent="0.25">
      <c r="A8940">
        <f ca="1">32597.5214383697*((RANDBETWEEN(1620,2416)))</f>
        <v>75365469.56551069</v>
      </c>
      <c r="B8940">
        <v>154419661.91306311</v>
      </c>
    </row>
    <row r="8941" spans="1:2" x14ac:dyDescent="0.25">
      <c r="A8941">
        <f ca="1">38712.8136463479*((RANDBETWEEN(1620,2416)))</f>
        <v>71541279.61845085</v>
      </c>
      <c r="B8941">
        <v>177740556.86393154</v>
      </c>
    </row>
    <row r="8942" spans="1:2" x14ac:dyDescent="0.25">
      <c r="A8942">
        <f ca="1">36677.7463087752*((RANDBETWEEN(1620,2416)))</f>
        <v>84468849.749109268</v>
      </c>
      <c r="B8942">
        <v>144687077.69958872</v>
      </c>
    </row>
    <row r="8943" spans="1:2" x14ac:dyDescent="0.25">
      <c r="A8943">
        <f ca="1">39073.1668944947*((RANDBETWEEN(1620,2416)))</f>
        <v>74239017.09953995</v>
      </c>
      <c r="B8943">
        <v>181651149.45643011</v>
      </c>
    </row>
    <row r="8944" spans="1:2" x14ac:dyDescent="0.25">
      <c r="A8944">
        <f ca="1">31633.3373506921*((RANDBETWEEN(1620,2416)))</f>
        <v>76362876.364570767</v>
      </c>
      <c r="B8944">
        <v>181502738.51256278</v>
      </c>
    </row>
    <row r="8945" spans="1:2" x14ac:dyDescent="0.25">
      <c r="A8945">
        <f ca="1">31459.0607580233*((RANDBETWEEN(1620,2416)))</f>
        <v>57821753.673246875</v>
      </c>
      <c r="B8945">
        <v>178132530.15840083</v>
      </c>
    </row>
    <row r="8946" spans="1:2" x14ac:dyDescent="0.25">
      <c r="A8946">
        <f ca="1">33228.0197710496*((RANDBETWEEN(1620,2416)))</f>
        <v>72603223.199743375</v>
      </c>
      <c r="B8946">
        <v>178559066.88137835</v>
      </c>
    </row>
    <row r="8947" spans="1:2" x14ac:dyDescent="0.25">
      <c r="A8947">
        <f ca="1">35531.9422252782*((RANDBETWEEN(1620,2416)))</f>
        <v>84210703.073909357</v>
      </c>
      <c r="B8947">
        <v>145715935.99066418</v>
      </c>
    </row>
    <row r="8948" spans="1:2" x14ac:dyDescent="0.25">
      <c r="A8948">
        <f ca="1">28267.5253351523*((RANDBETWEEN(1620,2416)))</f>
        <v>54386718.744833082</v>
      </c>
      <c r="B8948">
        <v>172437685.06378946</v>
      </c>
    </row>
    <row r="8949" spans="1:2" x14ac:dyDescent="0.25">
      <c r="A8949">
        <f ca="1">33716.8254252279*((RANDBETWEEN(1620,2416)))</f>
        <v>63185330.846877083</v>
      </c>
      <c r="B8949">
        <v>191450190.4185192</v>
      </c>
    </row>
    <row r="8950" spans="1:2" x14ac:dyDescent="0.25">
      <c r="A8950">
        <f ca="1">31903.9812303838*((RANDBETWEEN(1620,2416)))</f>
        <v>74591508.116637349</v>
      </c>
      <c r="B8950">
        <v>147721011.78368089</v>
      </c>
    </row>
    <row r="8951" spans="1:2" x14ac:dyDescent="0.25">
      <c r="A8951">
        <f ca="1">32807.2151426872*((RANDBETWEEN(1620,2416)))</f>
        <v>60955805.735112764</v>
      </c>
      <c r="B8951">
        <v>197809138.37347579</v>
      </c>
    </row>
    <row r="8952" spans="1:2" x14ac:dyDescent="0.25">
      <c r="A8952">
        <f ca="1">36039.997400745*((RANDBETWEEN(1620,2416)))</f>
        <v>72620594.762501091</v>
      </c>
      <c r="B8952">
        <v>170744260.4305144</v>
      </c>
    </row>
    <row r="8953" spans="1:2" x14ac:dyDescent="0.25">
      <c r="A8953">
        <f ca="1">31368.0812989428*((RANDBETWEEN(1620,2416)))</f>
        <v>52008278.793647192</v>
      </c>
      <c r="B8953">
        <v>146507002.2600663</v>
      </c>
    </row>
    <row r="8954" spans="1:2" x14ac:dyDescent="0.25">
      <c r="A8954">
        <f ca="1">32720.6019984641*((RANDBETWEEN(1620,2416)))</f>
        <v>55003331.959418222</v>
      </c>
      <c r="B8954">
        <v>162888708.03076276</v>
      </c>
    </row>
    <row r="8955" spans="1:2" x14ac:dyDescent="0.25">
      <c r="A8955">
        <f ca="1">29947.9600062797*((RANDBETWEEN(1620,2416)))</f>
        <v>63130299.693237633</v>
      </c>
      <c r="B8955">
        <v>178001761.74721625</v>
      </c>
    </row>
    <row r="8956" spans="1:2" x14ac:dyDescent="0.25">
      <c r="A8956">
        <f ca="1">34568.2332370313*((RANDBETWEEN(1620,2416)))</f>
        <v>70588332.270017967</v>
      </c>
      <c r="B8956">
        <v>170142634.77100146</v>
      </c>
    </row>
    <row r="8957" spans="1:2" x14ac:dyDescent="0.25">
      <c r="A8957">
        <f ca="1">31799.0945062009*((RANDBETWEEN(1620,2416)))</f>
        <v>56761383.693568677</v>
      </c>
      <c r="B8957">
        <v>155854459.61588046</v>
      </c>
    </row>
    <row r="8958" spans="1:2" x14ac:dyDescent="0.25">
      <c r="A8958">
        <f ca="1">35539.4899186563*((RANDBETWEEN(1620,2416)))</f>
        <v>62051949.397973932</v>
      </c>
      <c r="B8958">
        <v>196168862.07589251</v>
      </c>
    </row>
    <row r="8959" spans="1:2" x14ac:dyDescent="0.25">
      <c r="A8959">
        <f ca="1">32615.897262365*((RANDBETWEEN(1620,2416)))</f>
        <v>59948019.168226846</v>
      </c>
      <c r="B8959">
        <v>152143822.51385835</v>
      </c>
    </row>
    <row r="8960" spans="1:2" x14ac:dyDescent="0.25">
      <c r="A8960">
        <f ca="1">30083.2359430443*((RANDBETWEEN(1620,2416)))</f>
        <v>71327352.420958087</v>
      </c>
      <c r="B8960">
        <v>144579654.17468542</v>
      </c>
    </row>
    <row r="8961" spans="1:2" x14ac:dyDescent="0.25">
      <c r="A8961">
        <f ca="1">41194.3545271167*((RANDBETWEEN(1620,2416)))</f>
        <v>76044778.457057416</v>
      </c>
      <c r="B8961">
        <v>143679280.60853383</v>
      </c>
    </row>
    <row r="8962" spans="1:2" x14ac:dyDescent="0.25">
      <c r="A8962">
        <f ca="1">36843.0056928145*((RANDBETWEEN(1620,2416)))</f>
        <v>69522751.742340997</v>
      </c>
      <c r="B8962">
        <v>181064008.11166865</v>
      </c>
    </row>
    <row r="8963" spans="1:2" x14ac:dyDescent="0.25">
      <c r="A8963">
        <f ca="1">37288.4105616873*((RANDBETWEEN(1620,2416)))</f>
        <v>85875209.523565784</v>
      </c>
      <c r="B8963">
        <v>203564206.94852316</v>
      </c>
    </row>
    <row r="8964" spans="1:2" x14ac:dyDescent="0.25">
      <c r="A8964">
        <f ca="1">33074.4302301824*((RANDBETWEEN(1620,2416)))</f>
        <v>66611902.483587325</v>
      </c>
      <c r="B8964">
        <v>179275563.97902405</v>
      </c>
    </row>
    <row r="8965" spans="1:2" x14ac:dyDescent="0.25">
      <c r="A8965">
        <f ca="1">33057.9283753229*((RANDBETWEEN(1620,2416)))</f>
        <v>59107575.935077325</v>
      </c>
      <c r="B8965">
        <v>163678399.83693588</v>
      </c>
    </row>
    <row r="8966" spans="1:2" x14ac:dyDescent="0.25">
      <c r="A8966">
        <f ca="1">37634.2897094868*((RANDBETWEEN(1620,2416)))</f>
        <v>87424454.995137721</v>
      </c>
      <c r="B8966">
        <v>169021819.10400066</v>
      </c>
    </row>
    <row r="8967" spans="1:2" x14ac:dyDescent="0.25">
      <c r="A8967">
        <f ca="1">27986.9572527979*((RANDBETWEEN(1620,2416)))</f>
        <v>47102049.05645889</v>
      </c>
      <c r="B8967">
        <v>197000825.67466027</v>
      </c>
    </row>
    <row r="8968" spans="1:2" x14ac:dyDescent="0.25">
      <c r="A8968">
        <f ca="1">38339.7068283371*((RANDBETWEEN(1620,2416)))</f>
        <v>87912947.757376984</v>
      </c>
      <c r="B8968">
        <v>172527996.56171018</v>
      </c>
    </row>
    <row r="8969" spans="1:2" x14ac:dyDescent="0.25">
      <c r="A8969">
        <f ca="1">28478.5990634677*((RANDBETWEEN(1620,2416)))</f>
        <v>57640684.504458569</v>
      </c>
      <c r="B8969">
        <v>156532190.20793784</v>
      </c>
    </row>
    <row r="8970" spans="1:2" x14ac:dyDescent="0.25">
      <c r="A8970">
        <f ca="1">31829.8079690751*((RANDBETWEEN(1620,2416)))</f>
        <v>59871868.789830342</v>
      </c>
      <c r="B8970">
        <v>145855199.58542478</v>
      </c>
    </row>
    <row r="8971" spans="1:2" x14ac:dyDescent="0.25">
      <c r="A8971">
        <f ca="1">31570.6962455916*((RANDBETWEEN(1620,2416)))</f>
        <v>64688356.607217282</v>
      </c>
      <c r="B8971">
        <v>183079437.33159453</v>
      </c>
    </row>
    <row r="8972" spans="1:2" x14ac:dyDescent="0.25">
      <c r="A8972">
        <f ca="1">32708.2956930367*((RANDBETWEEN(1620,2416)))</f>
        <v>69930336.191712558</v>
      </c>
      <c r="B8972">
        <v>162145517.0413053</v>
      </c>
    </row>
    <row r="8973" spans="1:2" x14ac:dyDescent="0.25">
      <c r="A8973">
        <f ca="1">40419.6907913998*((RANDBETWEEN(1620,2416)))</f>
        <v>77120770.029990822</v>
      </c>
      <c r="B8973">
        <v>199410110.04383302</v>
      </c>
    </row>
    <row r="8974" spans="1:2" x14ac:dyDescent="0.25">
      <c r="A8974">
        <f ca="1">29267.0315390966*((RANDBETWEEN(1620,2416)))</f>
        <v>56895109.312003747</v>
      </c>
      <c r="B8974">
        <v>159066461.8203904</v>
      </c>
    </row>
    <row r="8975" spans="1:2" x14ac:dyDescent="0.25">
      <c r="A8975">
        <f ca="1">40193.383350403*((RANDBETWEEN(1620,2416)))</f>
        <v>68167978.162283435</v>
      </c>
      <c r="B8975">
        <v>146014627.12425864</v>
      </c>
    </row>
    <row r="8976" spans="1:2" x14ac:dyDescent="0.25">
      <c r="A8976">
        <f ca="1">31825.2864886623*((RANDBETWEEN(1620,2416)))</f>
        <v>60531694.901435629</v>
      </c>
      <c r="B8976">
        <v>156914381.08016226</v>
      </c>
    </row>
    <row r="8977" spans="1:2" x14ac:dyDescent="0.25">
      <c r="A8977">
        <f ca="1">30108.8861052101*((RANDBETWEEN(1620,2416)))</f>
        <v>68015973.711669594</v>
      </c>
      <c r="B8977">
        <v>155116259.68529916</v>
      </c>
    </row>
    <row r="8978" spans="1:2" x14ac:dyDescent="0.25">
      <c r="A8978">
        <f ca="1">30607.7390797645*((RANDBETWEEN(1620,2416)))</f>
        <v>70918131.447814345</v>
      </c>
      <c r="B8978">
        <v>154868385.66985467</v>
      </c>
    </row>
    <row r="8979" spans="1:2" x14ac:dyDescent="0.25">
      <c r="A8979">
        <f ca="1">32419.9501882398*((RANDBETWEEN(1620,2416)))</f>
        <v>71323890.414127499</v>
      </c>
      <c r="B8979">
        <v>143038283.0470494</v>
      </c>
    </row>
    <row r="8980" spans="1:2" x14ac:dyDescent="0.25">
      <c r="A8980">
        <f ca="1">32532.6174365266*((RANDBETWEEN(1620,2416)))</f>
        <v>64056723.732520953</v>
      </c>
      <c r="B8980">
        <v>190577224.51017746</v>
      </c>
    </row>
    <row r="8981" spans="1:2" x14ac:dyDescent="0.25">
      <c r="A8981">
        <f ca="1">31743.0665008582*((RANDBETWEEN(1620,2416)))</f>
        <v>54947248.112985566</v>
      </c>
      <c r="B8981">
        <v>155535835.88513368</v>
      </c>
    </row>
    <row r="8982" spans="1:2" x14ac:dyDescent="0.25">
      <c r="A8982">
        <f ca="1">30884.7064104795*((RANDBETWEEN(1620,2416)))</f>
        <v>68594932.93767488</v>
      </c>
      <c r="B8982">
        <v>149722484.26913452</v>
      </c>
    </row>
    <row r="8983" spans="1:2" x14ac:dyDescent="0.25">
      <c r="A8983">
        <f ca="1">29696.3608093197*((RANDBETWEEN(1620,2416)))</f>
        <v>53394056.735156789</v>
      </c>
      <c r="B8983">
        <v>152283127.69252402</v>
      </c>
    </row>
    <row r="8984" spans="1:2" x14ac:dyDescent="0.25">
      <c r="A8984">
        <f ca="1">40751.8398251883*((RANDBETWEEN(1620,2416)))</f>
        <v>88390740.58083339</v>
      </c>
      <c r="B8984">
        <v>166925401.79472372</v>
      </c>
    </row>
    <row r="8985" spans="1:2" x14ac:dyDescent="0.25">
      <c r="A8985">
        <f ca="1">28182.6747844405*((RANDBETWEEN(1620,2416)))</f>
        <v>53659812.789574698</v>
      </c>
      <c r="B8985">
        <v>149513383.85301852</v>
      </c>
    </row>
    <row r="8986" spans="1:2" x14ac:dyDescent="0.25">
      <c r="A8986">
        <f ca="1">40917.1162665536*((RANDBETWEEN(1620,2416)))</f>
        <v>69272677.839275256</v>
      </c>
      <c r="B8986">
        <v>178374247.29324755</v>
      </c>
    </row>
    <row r="8987" spans="1:2" x14ac:dyDescent="0.25">
      <c r="A8987">
        <f ca="1">30778.5659767424*((RANDBETWEEN(1620,2416)))</f>
        <v>55770761.549857259</v>
      </c>
      <c r="B8987">
        <v>153421779.50948778</v>
      </c>
    </row>
    <row r="8988" spans="1:2" x14ac:dyDescent="0.25">
      <c r="A8988">
        <f ca="1">30061.9484364665*((RANDBETWEEN(1620,2416)))</f>
        <v>71066446.103806734</v>
      </c>
      <c r="B8988">
        <v>159027951.30183586</v>
      </c>
    </row>
    <row r="8989" spans="1:2" x14ac:dyDescent="0.25">
      <c r="A8989">
        <f ca="1">38239.7006654408*((RANDBETWEEN(1620,2416)))</f>
        <v>80876966.907407358</v>
      </c>
      <c r="B8989">
        <v>196252933.14570367</v>
      </c>
    </row>
    <row r="8990" spans="1:2" x14ac:dyDescent="0.25">
      <c r="A8990">
        <f ca="1">36053.7402551628*((RANDBETWEEN(1620,2416)))</f>
        <v>58695489.135405101</v>
      </c>
      <c r="B8990">
        <v>161430817.22136676</v>
      </c>
    </row>
    <row r="8991" spans="1:2" x14ac:dyDescent="0.25">
      <c r="A8991">
        <f ca="1">31658.3308228927*((RANDBETWEEN(1620,2416)))</f>
        <v>69616669.479541093</v>
      </c>
      <c r="B8991">
        <v>146680376.59743369</v>
      </c>
    </row>
    <row r="8992" spans="1:2" x14ac:dyDescent="0.25">
      <c r="A8992">
        <f ca="1">31577.4397325843*((RANDBETWEEN(1620,2416)))</f>
        <v>71964985.150559589</v>
      </c>
      <c r="B8992">
        <v>193734398.22816098</v>
      </c>
    </row>
    <row r="8993" spans="1:2" x14ac:dyDescent="0.25">
      <c r="A8993">
        <f ca="1">29137.6504458488*((RANDBETWEEN(1620,2416)))</f>
        <v>57226345.475646965</v>
      </c>
      <c r="B8993">
        <v>200580058.03856382</v>
      </c>
    </row>
    <row r="8994" spans="1:2" x14ac:dyDescent="0.25">
      <c r="A8994">
        <f ca="1">29329.7405903157*((RANDBETWEEN(1620,2416)))</f>
        <v>51620343.438955702</v>
      </c>
      <c r="B8994">
        <v>148824962.83500856</v>
      </c>
    </row>
    <row r="8995" spans="1:2" x14ac:dyDescent="0.25">
      <c r="A8995">
        <f ca="1">29642.0444724576*((RANDBETWEEN(1620,2416)))</f>
        <v>57624134.454457656</v>
      </c>
      <c r="B8995">
        <v>173570851.4861998</v>
      </c>
    </row>
    <row r="8996" spans="1:2" x14ac:dyDescent="0.25">
      <c r="A8996">
        <f ca="1">31432.861114521*((RANDBETWEEN(1620,2416)))</f>
        <v>51644190.811157979</v>
      </c>
      <c r="B8996">
        <v>167614056.51532382</v>
      </c>
    </row>
    <row r="8997" spans="1:2" x14ac:dyDescent="0.25">
      <c r="A8997">
        <f ca="1">28964.3932377989*((RANDBETWEEN(1620,2416)))</f>
        <v>62939626.50573694</v>
      </c>
      <c r="B8997">
        <v>145542900.5082556</v>
      </c>
    </row>
    <row r="8998" spans="1:2" x14ac:dyDescent="0.25">
      <c r="A8998">
        <f ca="1">31638.8209125651*((RANDBETWEEN(1620,2416)))</f>
        <v>66694634.483687207</v>
      </c>
      <c r="B8998">
        <v>149635179.73750859</v>
      </c>
    </row>
    <row r="8999" spans="1:2" x14ac:dyDescent="0.25">
      <c r="A8999">
        <f ca="1">32016.1021410321*((RANDBETWEEN(1620,2416)))</f>
        <v>73412922.209386647</v>
      </c>
      <c r="B8999">
        <v>186742414.03555742</v>
      </c>
    </row>
    <row r="9000" spans="1:2" x14ac:dyDescent="0.25">
      <c r="A9000">
        <f ca="1">37755.2100777564*((RANDBETWEEN(1620,2416)))</f>
        <v>65165492.59420754</v>
      </c>
      <c r="B9000">
        <v>197217178.48818108</v>
      </c>
    </row>
    <row r="9001" spans="1:2" x14ac:dyDescent="0.25">
      <c r="A9001">
        <f ca="1">33981.3476928097*((RANDBETWEEN(1620,2416)))</f>
        <v>78259043.73654072</v>
      </c>
      <c r="B9001">
        <v>188404158.96368223</v>
      </c>
    </row>
    <row r="9002" spans="1:2" x14ac:dyDescent="0.25">
      <c r="A9002">
        <f ca="1">37254.6584924716*((RANDBETWEEN(1620,2416)))</f>
        <v>85536695.8987149</v>
      </c>
      <c r="B9002">
        <v>193596518.16952258</v>
      </c>
    </row>
    <row r="9003" spans="1:2" x14ac:dyDescent="0.25">
      <c r="A9003">
        <f ca="1">33838.7718593792*((RANDBETWEEN(1620,2416)))</f>
        <v>55224875.674506776</v>
      </c>
      <c r="B9003">
        <v>201282105.36119032</v>
      </c>
    </row>
    <row r="9004" spans="1:2" x14ac:dyDescent="0.25">
      <c r="A9004">
        <f ca="1">31691.7736432685*((RANDBETWEEN(1620,2416)))</f>
        <v>63225088.418320619</v>
      </c>
      <c r="B9004">
        <v>153493080.7161063</v>
      </c>
    </row>
    <row r="9005" spans="1:2" x14ac:dyDescent="0.25">
      <c r="A9005">
        <f ca="1">33007.5054476215*((RANDBETWEEN(1620,2416)))</f>
        <v>55782684.206480309</v>
      </c>
      <c r="B9005">
        <v>153116629.23864383</v>
      </c>
    </row>
    <row r="9006" spans="1:2" x14ac:dyDescent="0.25">
      <c r="A9006">
        <f ca="1">30868.8650303729*((RANDBETWEEN(1620,2416)))</f>
        <v>60348631.13437894</v>
      </c>
      <c r="B9006">
        <v>164017357.61098284</v>
      </c>
    </row>
    <row r="9007" spans="1:2" x14ac:dyDescent="0.25">
      <c r="A9007">
        <f ca="1">34903.9925341826*((RANDBETWEEN(1620,2416)))</f>
        <v>66945857.680562273</v>
      </c>
      <c r="B9007">
        <v>186577000.79999042</v>
      </c>
    </row>
    <row r="9008" spans="1:2" x14ac:dyDescent="0.25">
      <c r="A9008">
        <f ca="1">29594.5528576469*((RANDBETWEEN(1620,2416)))</f>
        <v>61171940.756756075</v>
      </c>
      <c r="B9008">
        <v>143392337.29849324</v>
      </c>
    </row>
    <row r="9009" spans="1:2" x14ac:dyDescent="0.25">
      <c r="A9009">
        <f ca="1">38925.9145949737*((RANDBETWEEN(1620,2416)))</f>
        <v>76878681.325073063</v>
      </c>
      <c r="B9009">
        <v>201616138.10530794</v>
      </c>
    </row>
    <row r="9010" spans="1:2" x14ac:dyDescent="0.25">
      <c r="A9010">
        <f ca="1">37868.0994409216*((RANDBETWEEN(1620,2416)))</f>
        <v>74107870.605883554</v>
      </c>
      <c r="B9010">
        <v>162722692.82926446</v>
      </c>
    </row>
    <row r="9011" spans="1:2" x14ac:dyDescent="0.25">
      <c r="A9011">
        <f ca="1">39347.9977421458*((RANDBETWEEN(1620,2416)))</f>
        <v>64806152.28131409</v>
      </c>
      <c r="B9011">
        <v>194093841.03657243</v>
      </c>
    </row>
    <row r="9012" spans="1:2" x14ac:dyDescent="0.25">
      <c r="A9012">
        <f ca="1">32916.8324860538*((RANDBETWEEN(1620,2416)))</f>
        <v>78934564.301557079</v>
      </c>
      <c r="B9012">
        <v>195064103.42637965</v>
      </c>
    </row>
    <row r="9013" spans="1:2" x14ac:dyDescent="0.25">
      <c r="A9013">
        <f ca="1">29437.4162043107*((RANDBETWEEN(1620,2416)))</f>
        <v>62495634.601751573</v>
      </c>
      <c r="B9013">
        <v>170766581.47605932</v>
      </c>
    </row>
    <row r="9014" spans="1:2" x14ac:dyDescent="0.25">
      <c r="A9014">
        <f ca="1">30248.1143918751*((RANDBETWEEN(1620,2416)))</f>
        <v>60647469.355709538</v>
      </c>
      <c r="B9014">
        <v>146024633.27257028</v>
      </c>
    </row>
    <row r="9015" spans="1:2" x14ac:dyDescent="0.25">
      <c r="A9015">
        <f ca="1">30179.7936021113*((RANDBETWEEN(1620,2416)))</f>
        <v>67934715.398352519</v>
      </c>
      <c r="B9015">
        <v>194136307.34633604</v>
      </c>
    </row>
    <row r="9016" spans="1:2" x14ac:dyDescent="0.25">
      <c r="A9016">
        <f ca="1">36769.5978314874*((RANDBETWEEN(1620,2416)))</f>
        <v>70891784.619107753</v>
      </c>
      <c r="B9016">
        <v>187290749.41226959</v>
      </c>
    </row>
    <row r="9017" spans="1:2" x14ac:dyDescent="0.25">
      <c r="A9017">
        <f ca="1">34167.1765299325*((RANDBETWEEN(1620,2416)))</f>
        <v>59177549.749843009</v>
      </c>
      <c r="B9017">
        <v>201642499.6213631</v>
      </c>
    </row>
    <row r="9018" spans="1:2" x14ac:dyDescent="0.25">
      <c r="A9018">
        <f ca="1">32068.6752494278*((RANDBETWEEN(1620,2416)))</f>
        <v>60706002.247166783</v>
      </c>
      <c r="B9018">
        <v>199032536.64130777</v>
      </c>
    </row>
    <row r="9019" spans="1:2" x14ac:dyDescent="0.25">
      <c r="A9019">
        <f ca="1">29686.7929848018*((RANDBETWEEN(1620,2416)))</f>
        <v>53198733.028764874</v>
      </c>
      <c r="B9019">
        <v>148850868.75522399</v>
      </c>
    </row>
    <row r="9020" spans="1:2" x14ac:dyDescent="0.25">
      <c r="A9020">
        <f ca="1">29424.9633423715*((RANDBETWEEN(1620,2416)))</f>
        <v>67883390.430850998</v>
      </c>
      <c r="B9020">
        <v>162177683.48801291</v>
      </c>
    </row>
    <row r="9021" spans="1:2" x14ac:dyDescent="0.25">
      <c r="A9021">
        <f ca="1">35392.0092667946*((RANDBETWEEN(1620,2416)))</f>
        <v>73721555.302733153</v>
      </c>
      <c r="B9021">
        <v>160777916.44151887</v>
      </c>
    </row>
    <row r="9022" spans="1:2" x14ac:dyDescent="0.25">
      <c r="A9022">
        <f ca="1">32321.1905803394*((RANDBETWEEN(1620,2416)))</f>
        <v>75857834.29205665</v>
      </c>
      <c r="B9022">
        <v>149975554.95185599</v>
      </c>
    </row>
    <row r="9023" spans="1:2" x14ac:dyDescent="0.25">
      <c r="A9023">
        <f ca="1">40781.2667706842*((RANDBETWEEN(1620,2416)))</f>
        <v>67615340.305794328</v>
      </c>
      <c r="B9023">
        <v>166172436.58527705</v>
      </c>
    </row>
    <row r="9024" spans="1:2" x14ac:dyDescent="0.25">
      <c r="A9024">
        <f ca="1">40335.2928822622*((RANDBETWEEN(1620,2416)))</f>
        <v>87527585.554509118</v>
      </c>
      <c r="B9024">
        <v>149447186.71010956</v>
      </c>
    </row>
    <row r="9025" spans="1:2" x14ac:dyDescent="0.25">
      <c r="A9025">
        <f ca="1">27524.7837534933*((RANDBETWEEN(1620,2416)))</f>
        <v>58545215.04368028</v>
      </c>
      <c r="B9025">
        <v>203210282.18319476</v>
      </c>
    </row>
    <row r="9026" spans="1:2" x14ac:dyDescent="0.25">
      <c r="A9026">
        <f ca="1">30597.4496714339*((RANDBETWEEN(1620,2416)))</f>
        <v>57523205.382295817</v>
      </c>
      <c r="B9026">
        <v>158328222.30611163</v>
      </c>
    </row>
    <row r="9027" spans="1:2" x14ac:dyDescent="0.25">
      <c r="A9027">
        <f ca="1">31592.3910242217*((RANDBETWEEN(1620,2416)))</f>
        <v>67133830.926471055</v>
      </c>
      <c r="B9027">
        <v>165032618.02763543</v>
      </c>
    </row>
    <row r="9028" spans="1:2" x14ac:dyDescent="0.25">
      <c r="A9028">
        <f ca="1">31824.487702035*((RANDBETWEEN(1620,2416)))</f>
        <v>64794656.961343206</v>
      </c>
      <c r="B9028">
        <v>199520641.48095295</v>
      </c>
    </row>
    <row r="9029" spans="1:2" x14ac:dyDescent="0.25">
      <c r="A9029">
        <f ca="1">36106.2903449063*((RANDBETWEEN(1620,2416)))</f>
        <v>73981788.916713104</v>
      </c>
      <c r="B9029">
        <v>170652105.31985226</v>
      </c>
    </row>
    <row r="9030" spans="1:2" x14ac:dyDescent="0.25">
      <c r="A9030">
        <f ca="1">30964.8487100211*((RANDBETWEEN(1620,2416)))</f>
        <v>62456099.848112546</v>
      </c>
      <c r="B9030">
        <v>172359102.51435575</v>
      </c>
    </row>
    <row r="9031" spans="1:2" x14ac:dyDescent="0.25">
      <c r="A9031">
        <f ca="1">37938.3793743675*((RANDBETWEEN(1620,2416)))</f>
        <v>68137329.356363967</v>
      </c>
      <c r="B9031">
        <v>167131635.75527573</v>
      </c>
    </row>
    <row r="9032" spans="1:2" x14ac:dyDescent="0.25">
      <c r="A9032">
        <f ca="1">37636.6205082433*((RANDBETWEEN(1620,2416)))</f>
        <v>65638266.166376278</v>
      </c>
      <c r="B9032">
        <v>149477729.22181112</v>
      </c>
    </row>
    <row r="9033" spans="1:2" x14ac:dyDescent="0.25">
      <c r="A9033">
        <f ca="1">36280.4940851094*((RANDBETWEEN(1620,2416)))</f>
        <v>73540561.510516703</v>
      </c>
      <c r="B9033">
        <v>155599722.68391871</v>
      </c>
    </row>
    <row r="9034" spans="1:2" x14ac:dyDescent="0.25">
      <c r="A9034">
        <f ca="1">29771.903838354*((RANDBETWEEN(1620,2416)))</f>
        <v>66510433.174882747</v>
      </c>
      <c r="B9034">
        <v>184933691.40459543</v>
      </c>
    </row>
    <row r="9035" spans="1:2" x14ac:dyDescent="0.25">
      <c r="A9035">
        <f ca="1">41723.2415387149*((RANDBETWEEN(1620,2416)))</f>
        <v>80358963.203564867</v>
      </c>
      <c r="B9035">
        <v>144794998.26691636</v>
      </c>
    </row>
    <row r="9036" spans="1:2" x14ac:dyDescent="0.25">
      <c r="A9036">
        <f ca="1">32146.857038986*((RANDBETWEEN(1620,2416)))</f>
        <v>71462463.197665825</v>
      </c>
      <c r="B9036">
        <v>152779193.95441413</v>
      </c>
    </row>
    <row r="9037" spans="1:2" x14ac:dyDescent="0.25">
      <c r="A9037">
        <f ca="1">30899.7992878552*((RANDBETWEEN(1620,2416)))</f>
        <v>52251560.595763065</v>
      </c>
      <c r="B9037">
        <v>178625143.95023492</v>
      </c>
    </row>
    <row r="9038" spans="1:2" x14ac:dyDescent="0.25">
      <c r="A9038">
        <f ca="1">38842.7574437104*((RANDBETWEEN(1620,2416)))</f>
        <v>83356557.474202514</v>
      </c>
      <c r="B9038">
        <v>190922491.17880642</v>
      </c>
    </row>
    <row r="9039" spans="1:2" x14ac:dyDescent="0.25">
      <c r="A9039">
        <f ca="1">31043.5541347776*((RANDBETWEEN(1620,2416)))</f>
        <v>66712597.835637033</v>
      </c>
      <c r="B9039">
        <v>181180022.25898311</v>
      </c>
    </row>
    <row r="9040" spans="1:2" x14ac:dyDescent="0.25">
      <c r="A9040">
        <f ca="1">31149.6811826135*((RANDBETWEEN(1620,2416)))</f>
        <v>62891206.307696737</v>
      </c>
      <c r="B9040">
        <v>171235912.40186238</v>
      </c>
    </row>
    <row r="9041" spans="1:2" x14ac:dyDescent="0.25">
      <c r="A9041">
        <f ca="1">32577.774822995*((RANDBETWEEN(1620,2416)))</f>
        <v>77079015.231206149</v>
      </c>
      <c r="B9041">
        <v>156665966.75962773</v>
      </c>
    </row>
    <row r="9042" spans="1:2" x14ac:dyDescent="0.25">
      <c r="A9042">
        <f ca="1">32986.6834984789*((RANDBETWEEN(1620,2416)))</f>
        <v>65577526.794976026</v>
      </c>
      <c r="B9042">
        <v>157231088.09231758</v>
      </c>
    </row>
    <row r="9043" spans="1:2" x14ac:dyDescent="0.25">
      <c r="A9043">
        <f ca="1">32337.4236228724*((RANDBETWEEN(1620,2416)))</f>
        <v>54714920.769900098</v>
      </c>
      <c r="B9043">
        <v>160142804.25804567</v>
      </c>
    </row>
    <row r="9044" spans="1:2" x14ac:dyDescent="0.25">
      <c r="A9044">
        <f ca="1">40829.8634626164*((RANDBETWEEN(1620,2416)))</f>
        <v>67491764.303704903</v>
      </c>
      <c r="B9044">
        <v>150865122.21336821</v>
      </c>
    </row>
    <row r="9045" spans="1:2" x14ac:dyDescent="0.25">
      <c r="A9045">
        <f ca="1">30623.0989114542*((RANDBETWEEN(1620,2416)))</f>
        <v>60664358.943590768</v>
      </c>
      <c r="B9045">
        <v>171447639.31702423</v>
      </c>
    </row>
    <row r="9046" spans="1:2" x14ac:dyDescent="0.25">
      <c r="A9046">
        <f ca="1">39017.5238844309*((RANDBETWEEN(1620,2416)))</f>
        <v>68475754.417176247</v>
      </c>
      <c r="B9046">
        <v>187470556.48307681</v>
      </c>
    </row>
    <row r="9047" spans="1:2" x14ac:dyDescent="0.25">
      <c r="A9047">
        <f ca="1">29202.2379388383*((RANDBETWEEN(1620,2416)))</f>
        <v>69705741.960006997</v>
      </c>
      <c r="B9047">
        <v>145906198.91423994</v>
      </c>
    </row>
    <row r="9048" spans="1:2" x14ac:dyDescent="0.25">
      <c r="A9048">
        <f ca="1">32866.8872338909*((RANDBETWEEN(1620,2416)))</f>
        <v>62710020.842263915</v>
      </c>
      <c r="B9048">
        <v>173465897.09793144</v>
      </c>
    </row>
    <row r="9049" spans="1:2" x14ac:dyDescent="0.25">
      <c r="A9049">
        <f ca="1">29550.9118169161*((RANDBETWEEN(1620,2416)))</f>
        <v>61790956.609171651</v>
      </c>
      <c r="B9049">
        <v>158365705.64054066</v>
      </c>
    </row>
    <row r="9050" spans="1:2" x14ac:dyDescent="0.25">
      <c r="A9050">
        <f ca="1">33634.4058216294*((RANDBETWEEN(1620,2416)))</f>
        <v>71876725.240822122</v>
      </c>
      <c r="B9050">
        <v>145163825.39977121</v>
      </c>
    </row>
    <row r="9051" spans="1:2" x14ac:dyDescent="0.25">
      <c r="A9051">
        <f ca="1">30933.7143889695*((RANDBETWEEN(1620,2416)))</f>
        <v>68734713.372290149</v>
      </c>
      <c r="B9051">
        <v>151425788.67711088</v>
      </c>
    </row>
    <row r="9052" spans="1:2" x14ac:dyDescent="0.25">
      <c r="A9052">
        <f ca="1">38921.1124589418*((RANDBETWEEN(1620,2416)))</f>
        <v>83407943.999512315</v>
      </c>
      <c r="B9052">
        <v>160548494.52065995</v>
      </c>
    </row>
    <row r="9053" spans="1:2" x14ac:dyDescent="0.25">
      <c r="A9053">
        <f ca="1">32695.9030681111*((RANDBETWEEN(1620,2416)))</f>
        <v>53130842.485680558</v>
      </c>
      <c r="B9053">
        <v>171857833.64391935</v>
      </c>
    </row>
    <row r="9054" spans="1:2" x14ac:dyDescent="0.25">
      <c r="A9054">
        <f ca="1">28531.1000827048*((RANDBETWEEN(1620,2416)))</f>
        <v>68018142.597168148</v>
      </c>
      <c r="B9054">
        <v>164578104.40091935</v>
      </c>
    </row>
    <row r="9055" spans="1:2" x14ac:dyDescent="0.25">
      <c r="A9055">
        <f ca="1">37077.9641509232*((RANDBETWEEN(1620,2416)))</f>
        <v>77233399.326373056</v>
      </c>
      <c r="B9055">
        <v>172929493.53109217</v>
      </c>
    </row>
    <row r="9056" spans="1:2" x14ac:dyDescent="0.25">
      <c r="A9056">
        <f ca="1">35568.0380656184*((RANDBETWEEN(1620,2416)))</f>
        <v>62279634.65289779</v>
      </c>
      <c r="B9056">
        <v>187869510.20894569</v>
      </c>
    </row>
    <row r="9057" spans="1:2" x14ac:dyDescent="0.25">
      <c r="A9057">
        <f ca="1">35393.0191035246*((RANDBETWEEN(1620,2416)))</f>
        <v>59778809.265853114</v>
      </c>
      <c r="B9057">
        <v>152296535.07627043</v>
      </c>
    </row>
    <row r="9058" spans="1:2" x14ac:dyDescent="0.25">
      <c r="A9058">
        <f ca="1">32490.7724117628*((RANDBETWEEN(1620,2416)))</f>
        <v>75508555.084936649</v>
      </c>
      <c r="B9058">
        <v>176236849.97860134</v>
      </c>
    </row>
    <row r="9059" spans="1:2" x14ac:dyDescent="0.25">
      <c r="A9059">
        <f ca="1">39516.2544784257*((RANDBETWEEN(1620,2416)))</f>
        <v>72117164.423126906</v>
      </c>
      <c r="B9059">
        <v>179073085.48828813</v>
      </c>
    </row>
    <row r="9060" spans="1:2" x14ac:dyDescent="0.25">
      <c r="A9060">
        <f ca="1">35977.3753788359*((RANDBETWEEN(1620,2416)))</f>
        <v>71954750.757671699</v>
      </c>
      <c r="B9060">
        <v>153682910.67012793</v>
      </c>
    </row>
    <row r="9061" spans="1:2" x14ac:dyDescent="0.25">
      <c r="A9061">
        <f ca="1">30584.9238659569*((RANDBETWEEN(1620,2416)))</f>
        <v>72425099.714585975</v>
      </c>
      <c r="B9061">
        <v>175502844.34301245</v>
      </c>
    </row>
    <row r="9062" spans="1:2" x14ac:dyDescent="0.25">
      <c r="A9062">
        <f ca="1">29273.8478008137*((RANDBETWEEN(1620,2416)))</f>
        <v>57347467.841794014</v>
      </c>
      <c r="B9062">
        <v>163145276.90263772</v>
      </c>
    </row>
    <row r="9063" spans="1:2" x14ac:dyDescent="0.25">
      <c r="A9063">
        <f ca="1">40973.8329452224*((RANDBETWEEN(1620,2416)))</f>
        <v>91945281.129079163</v>
      </c>
      <c r="B9063">
        <v>154526398.29882306</v>
      </c>
    </row>
    <row r="9064" spans="1:2" x14ac:dyDescent="0.25">
      <c r="A9064">
        <f ca="1">38003.8441926484*((RANDBETWEEN(1620,2416)))</f>
        <v>66506727.337134689</v>
      </c>
      <c r="B9064">
        <v>168889452.92882386</v>
      </c>
    </row>
    <row r="9065" spans="1:2" x14ac:dyDescent="0.25">
      <c r="A9065">
        <f ca="1">30832.4498443892*((RANDBETWEEN(1620,2416)))</f>
        <v>72795414.082602844</v>
      </c>
      <c r="B9065">
        <v>177945455.003676</v>
      </c>
    </row>
    <row r="9066" spans="1:2" x14ac:dyDescent="0.25">
      <c r="A9066">
        <f ca="1">33241.3467327106*((RANDBETWEEN(1620,2416)))</f>
        <v>59136355.837492242</v>
      </c>
      <c r="B9066">
        <v>161410631.83561933</v>
      </c>
    </row>
    <row r="9067" spans="1:2" x14ac:dyDescent="0.25">
      <c r="A9067">
        <f ca="1">28214.786552632*((RANDBETWEEN(1620,2416)))</f>
        <v>60492502.368842937</v>
      </c>
      <c r="B9067">
        <v>182102360.3072502</v>
      </c>
    </row>
    <row r="9068" spans="1:2" x14ac:dyDescent="0.25">
      <c r="A9068">
        <f ca="1">32313.7990227015*((RANDBETWEEN(1620,2416)))</f>
        <v>60782255.961701557</v>
      </c>
      <c r="B9068">
        <v>151673068.24740058</v>
      </c>
    </row>
    <row r="9069" spans="1:2" x14ac:dyDescent="0.25">
      <c r="A9069">
        <f ca="1">38282.9447138571*((RANDBETWEEN(1620,2416)))</f>
        <v>78097207.216268405</v>
      </c>
      <c r="B9069">
        <v>200542536.24725401</v>
      </c>
    </row>
    <row r="9070" spans="1:2" x14ac:dyDescent="0.25">
      <c r="A9070">
        <f ca="1">35571.4950885296*((RANDBETWEEN(1620,2416)))</f>
        <v>76478714.440338627</v>
      </c>
      <c r="B9070">
        <v>156175956.94445682</v>
      </c>
    </row>
    <row r="9071" spans="1:2" x14ac:dyDescent="0.25">
      <c r="A9071">
        <f ca="1">36714.6801164392*((RANDBETWEEN(1620,2416)))</f>
        <v>68729881.177974209</v>
      </c>
      <c r="B9071">
        <v>150679992.81815737</v>
      </c>
    </row>
    <row r="9072" spans="1:2" x14ac:dyDescent="0.25">
      <c r="A9072">
        <f ca="1">30851.5588951119*((RANDBETWEEN(1620,2416)))</f>
        <v>66454257.860071033</v>
      </c>
      <c r="B9072">
        <v>171706782.8825115</v>
      </c>
    </row>
    <row r="9073" spans="1:2" x14ac:dyDescent="0.25">
      <c r="A9073">
        <f ca="1">35325.9625514113*((RANDBETWEEN(1620,2416)))</f>
        <v>63763362.405297317</v>
      </c>
      <c r="B9073">
        <v>194404852.24424127</v>
      </c>
    </row>
    <row r="9074" spans="1:2" x14ac:dyDescent="0.25">
      <c r="A9074">
        <f ca="1">31623.0409477274*((RANDBETWEEN(1620,2416)))</f>
        <v>65175087.393266253</v>
      </c>
      <c r="B9074">
        <v>159570343.18264374</v>
      </c>
    </row>
    <row r="9075" spans="1:2" x14ac:dyDescent="0.25">
      <c r="A9075">
        <f ca="1">32847.7082714152*((RANDBETWEEN(1620,2416)))</f>
        <v>76206683.189683154</v>
      </c>
      <c r="B9075">
        <v>184891560.47820926</v>
      </c>
    </row>
    <row r="9076" spans="1:2" x14ac:dyDescent="0.25">
      <c r="A9076">
        <f ca="1">30821.3689319988*((RANDBETWEEN(1620,2416)))</f>
        <v>68762474.087289274</v>
      </c>
      <c r="B9076">
        <v>167367512.26799777</v>
      </c>
    </row>
    <row r="9077" spans="1:2" x14ac:dyDescent="0.25">
      <c r="A9077">
        <f ca="1">36949.570741676*((RANDBETWEEN(1620,2416)))</f>
        <v>83506029.876187876</v>
      </c>
      <c r="B9077">
        <v>196714027.34645677</v>
      </c>
    </row>
    <row r="9078" spans="1:2" x14ac:dyDescent="0.25">
      <c r="A9078">
        <f ca="1">30930.284959712*((RANDBETWEEN(1620,2416)))</f>
        <v>69036396.030077249</v>
      </c>
      <c r="B9078">
        <v>197615122.2572493</v>
      </c>
    </row>
    <row r="9079" spans="1:2" x14ac:dyDescent="0.25">
      <c r="A9079">
        <f ca="1">31338.9051032359*((RANDBETWEEN(1620,2416)))</f>
        <v>64589483.417769186</v>
      </c>
      <c r="B9079">
        <v>182840331.08689731</v>
      </c>
    </row>
    <row r="9080" spans="1:2" x14ac:dyDescent="0.25">
      <c r="A9080">
        <f ca="1">30828.4896197575*((RANDBETWEEN(1620,2416)))</f>
        <v>52500917.822447076</v>
      </c>
      <c r="B9080">
        <v>161534659.98634201</v>
      </c>
    </row>
    <row r="9081" spans="1:2" x14ac:dyDescent="0.25">
      <c r="A9081">
        <f ca="1">35862.6565576247*((RANDBETWEEN(1620,2416)))</f>
        <v>73159819.377554327</v>
      </c>
      <c r="B9081">
        <v>190244696.80760837</v>
      </c>
    </row>
    <row r="9082" spans="1:2" x14ac:dyDescent="0.25">
      <c r="A9082">
        <f ca="1">31221.622673779*((RANDBETWEEN(1620,2416)))</f>
        <v>66939159.01258222</v>
      </c>
      <c r="B9082">
        <v>155667466.29924932</v>
      </c>
    </row>
    <row r="9083" spans="1:2" x14ac:dyDescent="0.25">
      <c r="A9083">
        <f ca="1">31540.566889722*((RANDBETWEEN(1620,2416)))</f>
        <v>52735827.839615233</v>
      </c>
      <c r="B9083">
        <v>161997918.83591735</v>
      </c>
    </row>
    <row r="9084" spans="1:2" x14ac:dyDescent="0.25">
      <c r="A9084">
        <f ca="1">37274.0053078069*((RANDBETWEEN(1620,2416)))</f>
        <v>74622558.626229346</v>
      </c>
      <c r="B9084">
        <v>145818556.33082604</v>
      </c>
    </row>
    <row r="9085" spans="1:2" x14ac:dyDescent="0.25">
      <c r="A9085">
        <f ca="1">33207.7155708279*((RANDBETWEEN(1620,2416)))</f>
        <v>79333232.498707935</v>
      </c>
      <c r="B9085">
        <v>155387591.58470538</v>
      </c>
    </row>
    <row r="9086" spans="1:2" x14ac:dyDescent="0.25">
      <c r="A9086">
        <f ca="1">40954.4863120337*((RANDBETWEEN(1620,2416)))</f>
        <v>83260470.672364518</v>
      </c>
      <c r="B9086">
        <v>195309060.25311702</v>
      </c>
    </row>
    <row r="9087" spans="1:2" x14ac:dyDescent="0.25">
      <c r="A9087">
        <f ca="1">29916.2152282258*((RANDBETWEEN(1620,2416)))</f>
        <v>62704387.118361294</v>
      </c>
      <c r="B9087">
        <v>176823891.48776585</v>
      </c>
    </row>
    <row r="9088" spans="1:2" x14ac:dyDescent="0.25">
      <c r="A9088">
        <f ca="1">37118.4509127078*((RANDBETWEEN(1620,2416)))</f>
        <v>71453018.006962612</v>
      </c>
      <c r="B9088">
        <v>177522761.36529264</v>
      </c>
    </row>
    <row r="9089" spans="1:2" x14ac:dyDescent="0.25">
      <c r="A9089">
        <f ca="1">32512.1411859228*((RANDBETWEEN(1620,2416)))</f>
        <v>61382922.559022166</v>
      </c>
      <c r="B9089">
        <v>146684101.03387487</v>
      </c>
    </row>
    <row r="9090" spans="1:2" x14ac:dyDescent="0.25">
      <c r="A9090">
        <f ca="1">29262.4313055294*((RANDBETWEEN(1620,2416)))</f>
        <v>66016045.025274351</v>
      </c>
      <c r="B9090">
        <v>148203759.05687863</v>
      </c>
    </row>
    <row r="9091" spans="1:2" x14ac:dyDescent="0.25">
      <c r="A9091">
        <f ca="1">32226.7950558594*((RANDBETWEEN(1620,2416)))</f>
        <v>75604061.201046094</v>
      </c>
      <c r="B9091">
        <v>166302950.44530091</v>
      </c>
    </row>
    <row r="9092" spans="1:2" x14ac:dyDescent="0.25">
      <c r="A9092">
        <f ca="1">34557.5088772002*((RANDBETWEEN(1620,2416)))</f>
        <v>79033022.80215688</v>
      </c>
      <c r="B9092">
        <v>148419612.60965231</v>
      </c>
    </row>
    <row r="9093" spans="1:2" x14ac:dyDescent="0.25">
      <c r="A9093">
        <f ca="1">28881.6455356414*((RANDBETWEEN(1620,2416)))</f>
        <v>60651455.624846913</v>
      </c>
      <c r="B9093">
        <v>166168541.35372114</v>
      </c>
    </row>
    <row r="9094" spans="1:2" x14ac:dyDescent="0.25">
      <c r="A9094">
        <f ca="1">36083.5768265632*((RANDBETWEEN(1620,2416)))</f>
        <v>70507309.119104415</v>
      </c>
      <c r="B9094">
        <v>145418728.93817478</v>
      </c>
    </row>
    <row r="9095" spans="1:2" x14ac:dyDescent="0.25">
      <c r="A9095">
        <f ca="1">32719.5728659977*((RANDBETWEEN(1620,2416)))</f>
        <v>66911526.510965317</v>
      </c>
      <c r="B9095">
        <v>155584963.3866902</v>
      </c>
    </row>
    <row r="9096" spans="1:2" x14ac:dyDescent="0.25">
      <c r="A9096">
        <f ca="1">29611.243797297*((RANDBETWEEN(1620,2416)))</f>
        <v>48917774.753134601</v>
      </c>
      <c r="B9096">
        <v>153157778.70495367</v>
      </c>
    </row>
    <row r="9097" spans="1:2" x14ac:dyDescent="0.25">
      <c r="A9097">
        <f ca="1">28509.2654885808*((RANDBETWEEN(1620,2416)))</f>
        <v>58729086.90647649</v>
      </c>
      <c r="B9097">
        <v>144929674.8326835</v>
      </c>
    </row>
    <row r="9098" spans="1:2" x14ac:dyDescent="0.25">
      <c r="A9098">
        <f ca="1">38666.5009718016*((RANDBETWEEN(1620,2416)))</f>
        <v>66699714.176357776</v>
      </c>
      <c r="B9098">
        <v>162919750.40397632</v>
      </c>
    </row>
    <row r="9099" spans="1:2" x14ac:dyDescent="0.25">
      <c r="A9099">
        <f ca="1">34751.1140610738*((RANDBETWEEN(1620,2416)))</f>
        <v>73359601.782926872</v>
      </c>
      <c r="B9099">
        <v>158878407.12984595</v>
      </c>
    </row>
    <row r="9100" spans="1:2" x14ac:dyDescent="0.25">
      <c r="A9100">
        <f ca="1">35582.2399354394*((RANDBETWEEN(1620,2416)))</f>
        <v>85148300.165506572</v>
      </c>
      <c r="B9100">
        <v>170211739.48376107</v>
      </c>
    </row>
    <row r="9101" spans="1:2" x14ac:dyDescent="0.25">
      <c r="A9101">
        <f ca="1">39454.5892610904*((RANDBETWEEN(1620,2416)))</f>
        <v>74450809.935677573</v>
      </c>
      <c r="B9101">
        <v>196634320.27529305</v>
      </c>
    </row>
    <row r="9102" spans="1:2" x14ac:dyDescent="0.25">
      <c r="A9102">
        <f ca="1">31702.2121827897*((RANDBETWEEN(1620,2416)))</f>
        <v>54147378.408204772</v>
      </c>
      <c r="B9102">
        <v>173764848.63366163</v>
      </c>
    </row>
    <row r="9103" spans="1:2" x14ac:dyDescent="0.25">
      <c r="A9103">
        <f ca="1">30244.1277513721*((RANDBETWEEN(1620,2416)))</f>
        <v>55860903.956784211</v>
      </c>
      <c r="B9103">
        <v>179536779.25515592</v>
      </c>
    </row>
    <row r="9104" spans="1:2" x14ac:dyDescent="0.25">
      <c r="A9104">
        <f ca="1">37624.9337647869*((RANDBETWEEN(1620,2416)))</f>
        <v>81533231.468293265</v>
      </c>
      <c r="B9104">
        <v>148179910.14779761</v>
      </c>
    </row>
    <row r="9105" spans="1:2" x14ac:dyDescent="0.25">
      <c r="A9105">
        <f ca="1">36272.9132108414*((RANDBETWEEN(1620,2416)))</f>
        <v>62280591.983014755</v>
      </c>
      <c r="B9105">
        <v>170129767.28898263</v>
      </c>
    </row>
    <row r="9106" spans="1:2" x14ac:dyDescent="0.25">
      <c r="A9106">
        <f ca="1">31253.0326562871*((RANDBETWEEN(1620,2416)))</f>
        <v>66068911.035390832</v>
      </c>
      <c r="B9106">
        <v>155173424.00526163</v>
      </c>
    </row>
    <row r="9107" spans="1:2" x14ac:dyDescent="0.25">
      <c r="A9107">
        <f ca="1">32823.1181248487*((RANDBETWEEN(1620,2416)))</f>
        <v>69946064.724052519</v>
      </c>
      <c r="B9107">
        <v>197674213.36387223</v>
      </c>
    </row>
    <row r="9108" spans="1:2" x14ac:dyDescent="0.25">
      <c r="A9108">
        <f ca="1">31502.2326766604*((RANDBETWEEN(1620,2416)))</f>
        <v>74628789.211008504</v>
      </c>
      <c r="B9108">
        <v>181686959.18392634</v>
      </c>
    </row>
    <row r="9109" spans="1:2" x14ac:dyDescent="0.25">
      <c r="A9109">
        <f ca="1">31586.5694650025*((RANDBETWEEN(1620,2416)))</f>
        <v>58498326.649184555</v>
      </c>
      <c r="B9109">
        <v>170896686.5926615</v>
      </c>
    </row>
    <row r="9110" spans="1:2" x14ac:dyDescent="0.25">
      <c r="A9110">
        <f ca="1">34013.7696634517*((RANDBETWEEN(1620,2416)))</f>
        <v>70340475.66401808</v>
      </c>
      <c r="B9110">
        <v>177973371.59108734</v>
      </c>
    </row>
    <row r="9111" spans="1:2" x14ac:dyDescent="0.25">
      <c r="A9111">
        <f ca="1">27880.71318307*((RANDBETWEEN(1620,2416)))</f>
        <v>55315334.955210902</v>
      </c>
      <c r="B9111">
        <v>158753481.15010047</v>
      </c>
    </row>
    <row r="9112" spans="1:2" x14ac:dyDescent="0.25">
      <c r="A9112">
        <f ca="1">38348.1902805626*((RANDBETWEEN(1620,2416)))</f>
        <v>83368965.669943064</v>
      </c>
      <c r="B9112">
        <v>153505808.15111321</v>
      </c>
    </row>
    <row r="9113" spans="1:2" x14ac:dyDescent="0.25">
      <c r="A9113">
        <f ca="1">29007.8461414008*((RANDBETWEEN(1620,2416)))</f>
        <v>54505742.899692029</v>
      </c>
      <c r="B9113">
        <v>193189438.94648954</v>
      </c>
    </row>
    <row r="9114" spans="1:2" x14ac:dyDescent="0.25">
      <c r="A9114">
        <f ca="1">34075.5067579203*((RANDBETWEEN(1620,2416)))</f>
        <v>56020133.110020891</v>
      </c>
      <c r="B9114">
        <v>164399557.0680238</v>
      </c>
    </row>
    <row r="9115" spans="1:2" x14ac:dyDescent="0.25">
      <c r="A9115">
        <f ca="1">33475.9184979475*((RANDBETWEEN(1620,2416)))</f>
        <v>61495262.280729577</v>
      </c>
      <c r="B9115">
        <v>145782865.72493297</v>
      </c>
    </row>
    <row r="9116" spans="1:2" x14ac:dyDescent="0.25">
      <c r="A9116">
        <f ca="1">34052.9592610943*((RANDBETWEEN(1620,2416)))</f>
        <v>71681479.244603485</v>
      </c>
      <c r="B9116">
        <v>187777999.93658599</v>
      </c>
    </row>
    <row r="9117" spans="1:2" x14ac:dyDescent="0.25">
      <c r="A9117">
        <f ca="1">33889.2173537871*((RANDBETWEEN(1620,2416)))</f>
        <v>76928523.393096685</v>
      </c>
      <c r="B9117">
        <v>154156087.88856077</v>
      </c>
    </row>
    <row r="9118" spans="1:2" x14ac:dyDescent="0.25">
      <c r="A9118">
        <f ca="1">32410.8728016903*((RANDBETWEEN(1620,2416)))</f>
        <v>65664428.296224609</v>
      </c>
      <c r="B9118">
        <v>158525212.33948439</v>
      </c>
    </row>
    <row r="9119" spans="1:2" x14ac:dyDescent="0.25">
      <c r="A9119">
        <f ca="1">31465.1379930963*((RANDBETWEEN(1620,2416)))</f>
        <v>63653974.16003377</v>
      </c>
      <c r="B9119">
        <v>175701768.87501505</v>
      </c>
    </row>
    <row r="9120" spans="1:2" x14ac:dyDescent="0.25">
      <c r="A9120">
        <f ca="1">32188.7219727757*((RANDBETWEEN(1620,2416)))</f>
        <v>63315216.120449878</v>
      </c>
      <c r="B9120">
        <v>180293892.83337218</v>
      </c>
    </row>
    <row r="9121" spans="1:2" x14ac:dyDescent="0.25">
      <c r="A9121">
        <f ca="1">40615.0481547893*((RANDBETWEEN(1620,2416)))</f>
        <v>96623199.560243785</v>
      </c>
      <c r="B9121">
        <v>157734568.93968189</v>
      </c>
    </row>
    <row r="9122" spans="1:2" x14ac:dyDescent="0.25">
      <c r="A9122">
        <f ca="1">36015.052230656*((RANDBETWEEN(1620,2416)))</f>
        <v>81610108.354666486</v>
      </c>
      <c r="B9122">
        <v>162719014.15880638</v>
      </c>
    </row>
    <row r="9123" spans="1:2" x14ac:dyDescent="0.25">
      <c r="A9123">
        <f ca="1">39787.1232470341*((RANDBETWEEN(1620,2416)))</f>
        <v>84030404.297736004</v>
      </c>
      <c r="B9123">
        <v>146713412.41144323</v>
      </c>
    </row>
    <row r="9124" spans="1:2" x14ac:dyDescent="0.25">
      <c r="A9124">
        <f ca="1">33338.618971588*((RANDBETWEEN(1620,2416)))</f>
        <v>75245263.018874183</v>
      </c>
      <c r="B9124">
        <v>179427467.2244789</v>
      </c>
    </row>
    <row r="9125" spans="1:2" x14ac:dyDescent="0.25">
      <c r="A9125">
        <f ca="1">32118.5913845588*((RANDBETWEEN(1620,2416)))</f>
        <v>74386657.646638125</v>
      </c>
      <c r="B9125">
        <v>151244715.06130278</v>
      </c>
    </row>
    <row r="9126" spans="1:2" x14ac:dyDescent="0.25">
      <c r="A9126">
        <f ca="1">31917.5955366255*((RANDBETWEEN(1620,2416)))</f>
        <v>59270974.911513597</v>
      </c>
      <c r="B9126">
        <v>151852429.30919579</v>
      </c>
    </row>
    <row r="9127" spans="1:2" x14ac:dyDescent="0.25">
      <c r="A9127">
        <f ca="1">30626.8097383553*((RANDBETWEEN(1620,2416)))</f>
        <v>63029974.441535249</v>
      </c>
      <c r="B9127">
        <v>176015578.53278798</v>
      </c>
    </row>
    <row r="9128" spans="1:2" x14ac:dyDescent="0.25">
      <c r="A9128">
        <f ca="1">36792.3986566876*((RANDBETWEEN(1620,2416)))</f>
        <v>76197057.617999941</v>
      </c>
      <c r="B9128">
        <v>173994142.61987355</v>
      </c>
    </row>
    <row r="9129" spans="1:2" x14ac:dyDescent="0.25">
      <c r="A9129">
        <f ca="1">39994.1830756726*((RANDBETWEEN(1620,2416)))</f>
        <v>77868674.448334515</v>
      </c>
      <c r="B9129">
        <v>166942298.58811796</v>
      </c>
    </row>
    <row r="9130" spans="1:2" x14ac:dyDescent="0.25">
      <c r="A9130">
        <f ca="1">35759.8659650286*((RANDBETWEEN(1620,2416)))</f>
        <v>61006331.336338818</v>
      </c>
      <c r="B9130">
        <v>173564551.00998688</v>
      </c>
    </row>
    <row r="9131" spans="1:2" x14ac:dyDescent="0.25">
      <c r="A9131">
        <f ca="1">33284.0282418058*((RANDBETWEEN(1620,2416)))</f>
        <v>75754448.278350085</v>
      </c>
      <c r="B9131">
        <v>165829151.64101374</v>
      </c>
    </row>
    <row r="9132" spans="1:2" x14ac:dyDescent="0.25">
      <c r="A9132">
        <f ca="1">30153.2695907616*((RANDBETWEEN(1620,2416)))</f>
        <v>55270943.159865983</v>
      </c>
      <c r="B9132">
        <v>146328577.39523023</v>
      </c>
    </row>
    <row r="9133" spans="1:2" x14ac:dyDescent="0.25">
      <c r="A9133">
        <f ca="1">31046.8713505449*((RANDBETWEEN(1620,2416)))</f>
        <v>56287977.758537896</v>
      </c>
      <c r="B9133">
        <v>166990140.67379105</v>
      </c>
    </row>
    <row r="9134" spans="1:2" x14ac:dyDescent="0.25">
      <c r="A9134">
        <f ca="1">36585.2936656835*((RANDBETWEEN(1620,2416)))</f>
        <v>75987654.94362466</v>
      </c>
      <c r="B9134">
        <v>145134687.45044282</v>
      </c>
    </row>
    <row r="9135" spans="1:2" x14ac:dyDescent="0.25">
      <c r="A9135">
        <f ca="1">33032.7332925198*((RANDBETWEEN(1620,2416)))</f>
        <v>65669073.78552942</v>
      </c>
      <c r="B9135">
        <v>182261486.59922194</v>
      </c>
    </row>
    <row r="9136" spans="1:2" x14ac:dyDescent="0.25">
      <c r="A9136">
        <f ca="1">32883.4029824776*((RANDBETWEEN(1620,2416)))</f>
        <v>74349374.143381819</v>
      </c>
      <c r="B9136">
        <v>191279867.45477155</v>
      </c>
    </row>
    <row r="9137" spans="1:2" x14ac:dyDescent="0.25">
      <c r="A9137">
        <f ca="1">42085.617361787*((RANDBETWEEN(1620,2416)))</f>
        <v>91872902.700780958</v>
      </c>
      <c r="B9137">
        <v>144104451.36833364</v>
      </c>
    </row>
    <row r="9138" spans="1:2" x14ac:dyDescent="0.25">
      <c r="A9138">
        <f ca="1">28530.0443629216*((RANDBETWEEN(1620,2416)))</f>
        <v>67131194.38595444</v>
      </c>
      <c r="B9138">
        <v>151068591.58159745</v>
      </c>
    </row>
    <row r="9139" spans="1:2" x14ac:dyDescent="0.25">
      <c r="A9139">
        <f ca="1">36417.8600023532*((RANDBETWEEN(1620,2416)))</f>
        <v>71852437.78464295</v>
      </c>
      <c r="B9139">
        <v>194566678.21981478</v>
      </c>
    </row>
    <row r="9140" spans="1:2" x14ac:dyDescent="0.25">
      <c r="A9140">
        <f ca="1">31751.4634879788*((RANDBETWEEN(1620,2416)))</f>
        <v>70647006.260752842</v>
      </c>
      <c r="B9140">
        <v>164933530.88250872</v>
      </c>
    </row>
    <row r="9141" spans="1:2" x14ac:dyDescent="0.25">
      <c r="A9141">
        <f ca="1">30170.9790819532*((RANDBETWEEN(1620,2416)))</f>
        <v>62061703.971577644</v>
      </c>
      <c r="B9141">
        <v>195401521.53329146</v>
      </c>
    </row>
    <row r="9142" spans="1:2" x14ac:dyDescent="0.25">
      <c r="A9142">
        <f ca="1">30582.3879631637*((RANDBETWEEN(1620,2416)))</f>
        <v>67617659.786554918</v>
      </c>
      <c r="B9142">
        <v>196444889.26682478</v>
      </c>
    </row>
    <row r="9143" spans="1:2" x14ac:dyDescent="0.25">
      <c r="A9143">
        <f ca="1">32431.511113323*((RANDBETWEEN(1620,2416)))</f>
        <v>66873775.915671989</v>
      </c>
      <c r="B9143">
        <v>149868586.9489755</v>
      </c>
    </row>
    <row r="9144" spans="1:2" x14ac:dyDescent="0.25">
      <c r="A9144">
        <f ca="1">29957.1598923803*((RANDBETWEEN(1620,2416)))</f>
        <v>52215329.692418806</v>
      </c>
      <c r="B9144">
        <v>159716817.77126974</v>
      </c>
    </row>
    <row r="9145" spans="1:2" x14ac:dyDescent="0.25">
      <c r="A9145">
        <f ca="1">30097.5344010907*((RANDBETWEEN(1620,2416)))</f>
        <v>54747415.075584032</v>
      </c>
      <c r="B9145">
        <v>156130901.68782729</v>
      </c>
    </row>
    <row r="9146" spans="1:2" x14ac:dyDescent="0.25">
      <c r="A9146">
        <f ca="1">29875.3187281555*((RANDBETWEEN(1620,2416)))</f>
        <v>71999518.134854779</v>
      </c>
      <c r="B9146">
        <v>146244897.5994426</v>
      </c>
    </row>
    <row r="9147" spans="1:2" x14ac:dyDescent="0.25">
      <c r="A9147">
        <f ca="1">41554.5505480326*((RANDBETWEEN(1620,2416)))</f>
        <v>78496545.98523353</v>
      </c>
      <c r="B9147">
        <v>186784852.44278359</v>
      </c>
    </row>
    <row r="9148" spans="1:2" x14ac:dyDescent="0.25">
      <c r="A9148">
        <f ca="1">31759.2704173703*((RANDBETWEEN(1620,2416)))</f>
        <v>66154560.279382393</v>
      </c>
      <c r="B9148">
        <v>199852711.53253999</v>
      </c>
    </row>
    <row r="9149" spans="1:2" x14ac:dyDescent="0.25">
      <c r="A9149">
        <f ca="1">35957.8005209965*((RANDBETWEEN(1620,2416)))</f>
        <v>62314868.302886955</v>
      </c>
      <c r="B9149">
        <v>162609045.44867963</v>
      </c>
    </row>
    <row r="9150" spans="1:2" x14ac:dyDescent="0.25">
      <c r="A9150">
        <f ca="1">31191.2598287421*((RANDBETWEEN(1620,2416)))</f>
        <v>75264509.966754645</v>
      </c>
      <c r="B9150">
        <v>168907301.29952097</v>
      </c>
    </row>
    <row r="9151" spans="1:2" x14ac:dyDescent="0.25">
      <c r="A9151">
        <f ca="1">34818.4991544233*((RANDBETWEEN(1620,2416)))</f>
        <v>63578579.455976874</v>
      </c>
      <c r="B9151">
        <v>181211465.43049002</v>
      </c>
    </row>
    <row r="9152" spans="1:2" x14ac:dyDescent="0.25">
      <c r="A9152">
        <f ca="1">30098.3912113421*((RANDBETWEEN(1620,2416)))</f>
        <v>71995351.777530372</v>
      </c>
      <c r="B9152">
        <v>144616347.43163562</v>
      </c>
    </row>
    <row r="9153" spans="1:2" x14ac:dyDescent="0.25">
      <c r="A9153">
        <f ca="1">27749.4410018933*((RANDBETWEEN(1620,2416)))</f>
        <v>57219347.345903978</v>
      </c>
      <c r="B9153">
        <v>145278635.67030475</v>
      </c>
    </row>
    <row r="9154" spans="1:2" x14ac:dyDescent="0.25">
      <c r="A9154">
        <f ca="1">34485.6201281452*((RANDBETWEEN(1620,2416)))</f>
        <v>70867949.363338411</v>
      </c>
      <c r="B9154">
        <v>146948473.62069857</v>
      </c>
    </row>
    <row r="9155" spans="1:2" x14ac:dyDescent="0.25">
      <c r="A9155">
        <f ca="1">40176.3420322132*((RANDBETWEEN(1620,2416)))</f>
        <v>89512890.047771081</v>
      </c>
      <c r="B9155">
        <v>180273267.64070725</v>
      </c>
    </row>
    <row r="9156" spans="1:2" x14ac:dyDescent="0.25">
      <c r="A9156">
        <f ca="1">28757.3968847542*((RANDBETWEEN(1620,2416)))</f>
        <v>68701421.157677785</v>
      </c>
      <c r="B9156">
        <v>161062886.73178554</v>
      </c>
    </row>
    <row r="9157" spans="1:2" x14ac:dyDescent="0.25">
      <c r="A9157">
        <f ca="1">28880.8038602671*((RANDBETWEEN(1620,2416)))</f>
        <v>56259805.919800229</v>
      </c>
      <c r="B9157">
        <v>187095729.07566261</v>
      </c>
    </row>
    <row r="9158" spans="1:2" x14ac:dyDescent="0.25">
      <c r="A9158">
        <f ca="1">28295.6318948325*((RANDBETWEEN(1620,2416)))</f>
        <v>56647855.053454757</v>
      </c>
      <c r="B9158">
        <v>165699523.70188069</v>
      </c>
    </row>
    <row r="9159" spans="1:2" x14ac:dyDescent="0.25">
      <c r="A9159">
        <f ca="1">34275.8861956663*((RANDBETWEEN(1620,2416)))</f>
        <v>65946805.04046195</v>
      </c>
      <c r="B9159">
        <v>180945129.66073123</v>
      </c>
    </row>
    <row r="9160" spans="1:2" x14ac:dyDescent="0.25">
      <c r="A9160">
        <f ca="1">29128.4532548759*((RANDBETWEEN(1620,2416)))</f>
        <v>55373189.637519017</v>
      </c>
      <c r="B9160">
        <v>167587393.73028532</v>
      </c>
    </row>
    <row r="9161" spans="1:2" x14ac:dyDescent="0.25">
      <c r="A9161">
        <f ca="1">30559.7060789664*((RANDBETWEEN(1620,2416)))</f>
        <v>62036203.340301782</v>
      </c>
      <c r="B9161">
        <v>153443405.816625</v>
      </c>
    </row>
    <row r="9162" spans="1:2" x14ac:dyDescent="0.25">
      <c r="A9162">
        <f ca="1">31448.1241831037*((RANDBETWEEN(1620,2416)))</f>
        <v>61449634.653784655</v>
      </c>
      <c r="B9162">
        <v>148217726.88151377</v>
      </c>
    </row>
    <row r="9163" spans="1:2" x14ac:dyDescent="0.25">
      <c r="A9163">
        <f ca="1">32299.4476760387*((RANDBETWEEN(1620,2416)))</f>
        <v>76258995.96312736</v>
      </c>
      <c r="B9163">
        <v>146826624.86675656</v>
      </c>
    </row>
    <row r="9164" spans="1:2" x14ac:dyDescent="0.25">
      <c r="A9164">
        <f ca="1">27235.2233201403*((RANDBETWEEN(1620,2416)))</f>
        <v>59781315.187707923</v>
      </c>
      <c r="B9164">
        <v>193008035.28495491</v>
      </c>
    </row>
    <row r="9165" spans="1:2" x14ac:dyDescent="0.25">
      <c r="A9165">
        <f ca="1">30392.8862383341*((RANDBETWEEN(1620,2416)))</f>
        <v>67016314.155526645</v>
      </c>
      <c r="B9165">
        <v>158345960.9900679</v>
      </c>
    </row>
    <row r="9166" spans="1:2" x14ac:dyDescent="0.25">
      <c r="A9166">
        <f ca="1">30653.3130544006*((RANDBETWEEN(1620,2416)))</f>
        <v>73751871.208887801</v>
      </c>
      <c r="B9166">
        <v>150431259.01283601</v>
      </c>
    </row>
    <row r="9167" spans="1:2" x14ac:dyDescent="0.25">
      <c r="A9167">
        <f ca="1">31448.1321249677*((RANDBETWEEN(1620,2416)))</f>
        <v>51260455.36369741</v>
      </c>
      <c r="B9167">
        <v>148394530.16712683</v>
      </c>
    </row>
    <row r="9168" spans="1:2" x14ac:dyDescent="0.25">
      <c r="A9168">
        <f ca="1">35970.3446685538*((RANDBETWEEN(1620,2416)))</f>
        <v>72588155.54114151</v>
      </c>
      <c r="B9168">
        <v>190845455.12880781</v>
      </c>
    </row>
    <row r="9169" spans="1:2" x14ac:dyDescent="0.25">
      <c r="A9169">
        <f ca="1">31822.177078292*((RANDBETWEEN(1620,2416)))</f>
        <v>58489161.469900668</v>
      </c>
      <c r="B9169">
        <v>147835987.82663444</v>
      </c>
    </row>
    <row r="9170" spans="1:2" x14ac:dyDescent="0.25">
      <c r="A9170">
        <f ca="1">32220.8183071732*((RANDBETWEEN(1620,2416)))</f>
        <v>72367957.917911068</v>
      </c>
      <c r="B9170">
        <v>147344298.01785466</v>
      </c>
    </row>
    <row r="9171" spans="1:2" x14ac:dyDescent="0.25">
      <c r="A9171">
        <f ca="1">31272.3403240623*((RANDBETWEEN(1620,2416)))</f>
        <v>64952650.853077307</v>
      </c>
      <c r="B9171">
        <v>188188760.38689533</v>
      </c>
    </row>
    <row r="9172" spans="1:2" x14ac:dyDescent="0.25">
      <c r="A9172">
        <f ca="1">37759.0958423533*((RANDBETWEEN(1620,2416)))</f>
        <v>74007827.851012543</v>
      </c>
      <c r="B9172">
        <v>148821424.86119795</v>
      </c>
    </row>
    <row r="9173" spans="1:2" x14ac:dyDescent="0.25">
      <c r="A9173">
        <f ca="1">31026.1749607476*((RANDBETWEEN(1620,2416)))</f>
        <v>56188402.853913926</v>
      </c>
      <c r="B9173">
        <v>174042876.0816898</v>
      </c>
    </row>
    <row r="9174" spans="1:2" x14ac:dyDescent="0.25">
      <c r="A9174">
        <f ca="1">31592.9703382098*((RANDBETWEEN(1620,2416)))</f>
        <v>60784874.930715732</v>
      </c>
      <c r="B9174">
        <v>201094559.80212069</v>
      </c>
    </row>
    <row r="9175" spans="1:2" x14ac:dyDescent="0.25">
      <c r="A9175">
        <f ca="1">36383.0401846563*((RANDBETWEEN(1620,2416)))</f>
        <v>82516735.138800502</v>
      </c>
      <c r="B9175">
        <v>146560387.62476835</v>
      </c>
    </row>
    <row r="9176" spans="1:2" x14ac:dyDescent="0.25">
      <c r="A9176">
        <f ca="1">31371.3534437801*((RANDBETWEEN(1620,2416)))</f>
        <v>60734940.26715824</v>
      </c>
      <c r="B9176">
        <v>160910657.14551935</v>
      </c>
    </row>
    <row r="9177" spans="1:2" x14ac:dyDescent="0.25">
      <c r="A9177">
        <f ca="1">31362.7614357852*((RANDBETWEEN(1620,2416)))</f>
        <v>58930628.737840332</v>
      </c>
      <c r="B9177">
        <v>144167300.76639253</v>
      </c>
    </row>
    <row r="9178" spans="1:2" x14ac:dyDescent="0.25">
      <c r="A9178">
        <f ca="1">28922.7422989572*((RANDBETWEEN(1620,2416)))</f>
        <v>55502742.471698813</v>
      </c>
      <c r="B9178">
        <v>200694356.50075704</v>
      </c>
    </row>
    <row r="9179" spans="1:2" x14ac:dyDescent="0.25">
      <c r="A9179">
        <f ca="1">35492.0865184595*((RANDBETWEEN(1620,2416)))</f>
        <v>82483609.068899795</v>
      </c>
      <c r="B9179">
        <v>174129229.10288495</v>
      </c>
    </row>
    <row r="9180" spans="1:2" x14ac:dyDescent="0.25">
      <c r="A9180">
        <f ca="1">30523.2528286945*((RANDBETWEEN(1620,2416)))</f>
        <v>51279064.75220681</v>
      </c>
      <c r="B9180">
        <v>177094227.71292713</v>
      </c>
    </row>
    <row r="9181" spans="1:2" x14ac:dyDescent="0.25">
      <c r="A9181">
        <f ca="1">34664.1088733935*((RANDBETWEEN(1620,2416)))</f>
        <v>58894320.975895599</v>
      </c>
      <c r="B9181">
        <v>163705098.22653157</v>
      </c>
    </row>
    <row r="9182" spans="1:2" x14ac:dyDescent="0.25">
      <c r="A9182">
        <f ca="1">33525.3057405331*((RANDBETWEEN(1620,2416)))</f>
        <v>71543002.450297743</v>
      </c>
      <c r="B9182">
        <v>200802530.09399688</v>
      </c>
    </row>
    <row r="9183" spans="1:2" x14ac:dyDescent="0.25">
      <c r="A9183">
        <f ca="1">31489.2974953541*((RANDBETWEEN(1620,2416)))</f>
        <v>70693472.877069905</v>
      </c>
      <c r="B9183">
        <v>157493951.49986479</v>
      </c>
    </row>
    <row r="9184" spans="1:2" x14ac:dyDescent="0.25">
      <c r="A9184">
        <f ca="1">41373.0090758132*((RANDBETWEEN(1620,2416)))</f>
        <v>96399111.146644741</v>
      </c>
      <c r="B9184">
        <v>143936510.48209772</v>
      </c>
    </row>
    <row r="9185" spans="1:2" x14ac:dyDescent="0.25">
      <c r="A9185">
        <f ca="1">37985.4911346769*((RANDBETWEEN(1620,2416)))</f>
        <v>82200602.815440848</v>
      </c>
      <c r="B9185">
        <v>185313580.36223552</v>
      </c>
    </row>
    <row r="9186" spans="1:2" x14ac:dyDescent="0.25">
      <c r="A9186">
        <f ca="1">30429.3252396561*((RANDBETWEEN(1620,2416)))</f>
        <v>71113333.085076243</v>
      </c>
      <c r="B9186">
        <v>194734677.39164636</v>
      </c>
    </row>
    <row r="9187" spans="1:2" x14ac:dyDescent="0.25">
      <c r="A9187">
        <f ca="1">34550.0884991785*((RANDBETWEEN(1620,2416)))</f>
        <v>82851112.221029937</v>
      </c>
      <c r="B9187">
        <v>178894026.69673932</v>
      </c>
    </row>
    <row r="9188" spans="1:2" x14ac:dyDescent="0.25">
      <c r="A9188">
        <f ca="1">31864.7279626508*((RANDBETWEEN(1620,2416)))</f>
        <v>72779038.666694403</v>
      </c>
      <c r="B9188">
        <v>197415280.36984926</v>
      </c>
    </row>
    <row r="9189" spans="1:2" x14ac:dyDescent="0.25">
      <c r="A9189">
        <f ca="1">31222.8365514751*((RANDBETWEEN(1620,2416)))</f>
        <v>60946976.948479354</v>
      </c>
      <c r="B9189">
        <v>162220085.47505647</v>
      </c>
    </row>
    <row r="9190" spans="1:2" x14ac:dyDescent="0.25">
      <c r="A9190">
        <f ca="1">31069.7634739964*((RANDBETWEEN(1620,2416)))</f>
        <v>60492829.483870998</v>
      </c>
      <c r="B9190">
        <v>149651207.81181374</v>
      </c>
    </row>
    <row r="9191" spans="1:2" x14ac:dyDescent="0.25">
      <c r="A9191">
        <f ca="1">32123.4466794686*((RANDBETWEEN(1620,2416)))</f>
        <v>71699532.988573849</v>
      </c>
      <c r="B9191">
        <v>151164958.84922734</v>
      </c>
    </row>
    <row r="9192" spans="1:2" x14ac:dyDescent="0.25">
      <c r="A9192">
        <f ca="1">30690.2359386813*((RANDBETWEEN(1620,2416)))</f>
        <v>63498098.157131612</v>
      </c>
      <c r="B9192">
        <v>149772688.14899358</v>
      </c>
    </row>
    <row r="9193" spans="1:2" x14ac:dyDescent="0.25">
      <c r="A9193">
        <f ca="1">29752.47162248*((RANDBETWEEN(1620,2416)))</f>
        <v>67389348.224917114</v>
      </c>
      <c r="B9193">
        <v>156730526.5920482</v>
      </c>
    </row>
    <row r="9194" spans="1:2" x14ac:dyDescent="0.25">
      <c r="A9194">
        <f ca="1">31337.930248287*((RANDBETWEEN(1620,2416)))</f>
        <v>65652963.870161213</v>
      </c>
      <c r="B9194">
        <v>175386709.70367515</v>
      </c>
    </row>
    <row r="9195" spans="1:2" x14ac:dyDescent="0.25">
      <c r="A9195">
        <f ca="1">30578.8718337783*((RANDBETWEEN(1620,2416)))</f>
        <v>63328843.567754924</v>
      </c>
      <c r="B9195">
        <v>157787354.25391626</v>
      </c>
    </row>
    <row r="9196" spans="1:2" x14ac:dyDescent="0.25">
      <c r="A9196">
        <f ca="1">31193.3618226374*((RANDBETWEEN(1620,2416)))</f>
        <v>65755606.722119614</v>
      </c>
      <c r="B9196">
        <v>202958543.52016011</v>
      </c>
    </row>
    <row r="9197" spans="1:2" x14ac:dyDescent="0.25">
      <c r="A9197">
        <f ca="1">29457.5468318517*((RANDBETWEEN(1620,2416)))</f>
        <v>62744574.751844026</v>
      </c>
      <c r="B9197">
        <v>164169010.3152343</v>
      </c>
    </row>
    <row r="9198" spans="1:2" x14ac:dyDescent="0.25">
      <c r="A9198">
        <f ca="1">38005.5687346543*((RANDBETWEEN(1620,2416)))</f>
        <v>73844820.05143331</v>
      </c>
      <c r="B9198">
        <v>191101794.86503726</v>
      </c>
    </row>
    <row r="9199" spans="1:2" x14ac:dyDescent="0.25">
      <c r="A9199">
        <f ca="1">33493.9605931823*((RANDBETWEEN(1620,2416)))</f>
        <v>69700931.994412363</v>
      </c>
      <c r="B9199">
        <v>193772047.40381199</v>
      </c>
    </row>
    <row r="9200" spans="1:2" x14ac:dyDescent="0.25">
      <c r="A9200">
        <f ca="1">33483.6566135885*((RANDBETWEEN(1620,2416)))</f>
        <v>60973738.693344682</v>
      </c>
      <c r="B9200">
        <v>198813462.31432959</v>
      </c>
    </row>
    <row r="9201" spans="1:2" x14ac:dyDescent="0.25">
      <c r="A9201">
        <f ca="1">29788.1180865081*((RANDBETWEEN(1620,2416)))</f>
        <v>56716576.836711444</v>
      </c>
      <c r="B9201">
        <v>154093113.16664004</v>
      </c>
    </row>
    <row r="9202" spans="1:2" x14ac:dyDescent="0.25">
      <c r="A9202">
        <f ca="1">31482.7680869883*((RANDBETWEEN(1620,2416)))</f>
        <v>71056607.57233268</v>
      </c>
      <c r="B9202">
        <v>161751503.04398882</v>
      </c>
    </row>
    <row r="9203" spans="1:2" x14ac:dyDescent="0.25">
      <c r="A9203">
        <f ca="1">32470.0324276429*((RANDBETWEEN(1620,2416)))</f>
        <v>53153443.084051453</v>
      </c>
      <c r="B9203">
        <v>160370162.71187931</v>
      </c>
    </row>
    <row r="9204" spans="1:2" x14ac:dyDescent="0.25">
      <c r="A9204">
        <f ca="1">29710.567602379*((RANDBETWEEN(1620,2416)))</f>
        <v>50864491.735272765</v>
      </c>
      <c r="B9204">
        <v>144340633.82130629</v>
      </c>
    </row>
    <row r="9205" spans="1:2" x14ac:dyDescent="0.25">
      <c r="A9205">
        <f ca="1">31933.3426213861*((RANDBETWEEN(1620,2416)))</f>
        <v>65112085.605006218</v>
      </c>
      <c r="B9205">
        <v>149945912.14822376</v>
      </c>
    </row>
    <row r="9206" spans="1:2" x14ac:dyDescent="0.25">
      <c r="A9206">
        <f ca="1">38246.4010852663*((RANDBETWEEN(1620,2416)))</f>
        <v>78864079.037819088</v>
      </c>
      <c r="B9206">
        <v>143314157.92414397</v>
      </c>
    </row>
    <row r="9207" spans="1:2" x14ac:dyDescent="0.25">
      <c r="A9207">
        <f ca="1">32494.9874148722*((RANDBETWEEN(1620,2416)))</f>
        <v>68824383.344699323</v>
      </c>
      <c r="B9207">
        <v>175783270.64424258</v>
      </c>
    </row>
    <row r="9208" spans="1:2" x14ac:dyDescent="0.25">
      <c r="A9208">
        <f ca="1">37071.2375225062*((RANDBETWEEN(1620,2416)))</f>
        <v>61575325.524882853</v>
      </c>
      <c r="B9208">
        <v>167315966.79801551</v>
      </c>
    </row>
    <row r="9209" spans="1:2" x14ac:dyDescent="0.25">
      <c r="A9209">
        <f ca="1">32857.7168545229*((RANDBETWEEN(1620,2416)))</f>
        <v>73634143.470985726</v>
      </c>
      <c r="B9209">
        <v>152021216.21284333</v>
      </c>
    </row>
    <row r="9210" spans="1:2" x14ac:dyDescent="0.25">
      <c r="A9210">
        <f ca="1">31668.0209821267*((RANDBETWEEN(1620,2416)))</f>
        <v>66376171.978537604</v>
      </c>
      <c r="B9210">
        <v>150702331.86604044</v>
      </c>
    </row>
    <row r="9211" spans="1:2" x14ac:dyDescent="0.25">
      <c r="A9211">
        <f ca="1">32712.5556480771*((RANDBETWEEN(1620,2416)))</f>
        <v>72883573.983915702</v>
      </c>
      <c r="B9211">
        <v>154890753.95345572</v>
      </c>
    </row>
    <row r="9212" spans="1:2" x14ac:dyDescent="0.25">
      <c r="A9212">
        <f ca="1">29951.1082235781*((RANDBETWEEN(1620,2416)))</f>
        <v>70804419.840538651</v>
      </c>
      <c r="B9212">
        <v>150454067.34388906</v>
      </c>
    </row>
    <row r="9213" spans="1:2" x14ac:dyDescent="0.25">
      <c r="A9213">
        <f ca="1">33260.0352122276*((RANDBETWEEN(1620,2416)))</f>
        <v>60865864.438376561</v>
      </c>
      <c r="B9213">
        <v>193368928.58553252</v>
      </c>
    </row>
    <row r="9214" spans="1:2" x14ac:dyDescent="0.25">
      <c r="A9214">
        <f ca="1">35290.9291722122*((RANDBETWEEN(1620,2416)))</f>
        <v>64864727.818525955</v>
      </c>
      <c r="B9214">
        <v>190166077.66403279</v>
      </c>
    </row>
    <row r="9215" spans="1:2" x14ac:dyDescent="0.25">
      <c r="A9215">
        <f ca="1">29079.1585797598*((RANDBETWEEN(1620,2416)))</f>
        <v>48387719.876720235</v>
      </c>
      <c r="B9215">
        <v>147016169.29062515</v>
      </c>
    </row>
    <row r="9216" spans="1:2" x14ac:dyDescent="0.25">
      <c r="A9216">
        <f ca="1">32380.4362117344*((RANDBETWEEN(1620,2416)))</f>
        <v>70589350.941581011</v>
      </c>
      <c r="B9216">
        <v>168693656.20111412</v>
      </c>
    </row>
    <row r="9217" spans="1:2" x14ac:dyDescent="0.25">
      <c r="A9217">
        <f ca="1">33533.2742730617*((RANDBETWEEN(1620,2416)))</f>
        <v>73840269.949281961</v>
      </c>
      <c r="B9217">
        <v>199078032.43619305</v>
      </c>
    </row>
    <row r="9218" spans="1:2" x14ac:dyDescent="0.25">
      <c r="A9218">
        <f ca="1">31147.0904184536*((RANDBETWEEN(1620,2416)))</f>
        <v>64443330.075780436</v>
      </c>
      <c r="B9218">
        <v>175944251.78920326</v>
      </c>
    </row>
    <row r="9219" spans="1:2" x14ac:dyDescent="0.25">
      <c r="A9219">
        <f ca="1">31585.5770579172*((RANDBETWEEN(1620,2416)))</f>
        <v>56127570.431918867</v>
      </c>
      <c r="B9219">
        <v>147702881.43055022</v>
      </c>
    </row>
    <row r="9220" spans="1:2" x14ac:dyDescent="0.25">
      <c r="A9220">
        <f ca="1">32113.3439174375*((RANDBETWEEN(1620,2416)))</f>
        <v>61529166.945810162</v>
      </c>
      <c r="B9220">
        <v>166580527.42732826</v>
      </c>
    </row>
    <row r="9221" spans="1:2" x14ac:dyDescent="0.25">
      <c r="A9221">
        <f ca="1">32694.1712338325*((RANDBETWEEN(1620,2416)))</f>
        <v>65813366.693704747</v>
      </c>
      <c r="B9221">
        <v>199016651.52572697</v>
      </c>
    </row>
    <row r="9222" spans="1:2" x14ac:dyDescent="0.25">
      <c r="A9222">
        <f ca="1">29561.9919422296*((RANDBETWEEN(1620,2416)))</f>
        <v>66810101.789438955</v>
      </c>
      <c r="B9222">
        <v>155559523.04506135</v>
      </c>
    </row>
    <row r="9223" spans="1:2" x14ac:dyDescent="0.25">
      <c r="A9223">
        <f ca="1">31646.9338561523*((RANDBETWEEN(1620,2416)))</f>
        <v>57375891.081204183</v>
      </c>
      <c r="B9223">
        <v>165926750.0030995</v>
      </c>
    </row>
    <row r="9224" spans="1:2" x14ac:dyDescent="0.25">
      <c r="A9224">
        <f ca="1">31022.9794816514*((RANDBETWEEN(1620,2416)))</f>
        <v>59346959.748399153</v>
      </c>
      <c r="B9224">
        <v>180533875.25025466</v>
      </c>
    </row>
    <row r="9225" spans="1:2" x14ac:dyDescent="0.25">
      <c r="A9225">
        <f ca="1">30806.5229458055*((RANDBETWEEN(1620,2416)))</f>
        <v>58008682.70695176</v>
      </c>
      <c r="B9225">
        <v>164932323.60068965</v>
      </c>
    </row>
    <row r="9226" spans="1:2" x14ac:dyDescent="0.25">
      <c r="A9226">
        <f ca="1">26264.7277032899*((RANDBETWEEN(1620,2416)))</f>
        <v>42969094.522582315</v>
      </c>
      <c r="B9226">
        <v>144781958.26337326</v>
      </c>
    </row>
    <row r="9227" spans="1:2" x14ac:dyDescent="0.25">
      <c r="A9227">
        <f ca="1">30927.3758671194*((RANDBETWEEN(1620,2416)))</f>
        <v>60524874.57195276</v>
      </c>
      <c r="B9227">
        <v>163333098.4373053</v>
      </c>
    </row>
    <row r="9228" spans="1:2" x14ac:dyDescent="0.25">
      <c r="A9228">
        <f ca="1">37421.6658958678*((RANDBETWEEN(1620,2416)))</f>
        <v>66161505.303894289</v>
      </c>
      <c r="B9228">
        <v>174204622.48008382</v>
      </c>
    </row>
    <row r="9229" spans="1:2" x14ac:dyDescent="0.25">
      <c r="A9229">
        <f ca="1">35294.5184748681*((RANDBETWEEN(1620,2416)))</f>
        <v>69565495.913964957</v>
      </c>
      <c r="B9229">
        <v>172053650.42781508</v>
      </c>
    </row>
    <row r="9230" spans="1:2" x14ac:dyDescent="0.25">
      <c r="A9230">
        <f ca="1">38895.7159466891*((RANDBETWEEN(1620,2416)))</f>
        <v>70090080.135933831</v>
      </c>
      <c r="B9230">
        <v>144206221.61362076</v>
      </c>
    </row>
    <row r="9231" spans="1:2" x14ac:dyDescent="0.25">
      <c r="A9231">
        <f ca="1">33837.7217408466*((RANDBETWEEN(1620,2416)))</f>
        <v>55121648.715839162</v>
      </c>
      <c r="B9231">
        <v>143258749.81087261</v>
      </c>
    </row>
    <row r="9232" spans="1:2" x14ac:dyDescent="0.25">
      <c r="A9232">
        <f ca="1">30708.863327151*((RANDBETWEEN(1620,2416)))</f>
        <v>72687879.49536632</v>
      </c>
      <c r="B9232">
        <v>143422879.96177697</v>
      </c>
    </row>
    <row r="9233" spans="1:2" x14ac:dyDescent="0.25">
      <c r="A9233">
        <f ca="1">31832.1347943877*((RANDBETWEEN(1620,2416)))</f>
        <v>54814936.115935586</v>
      </c>
      <c r="B9233">
        <v>148575879.50051966</v>
      </c>
    </row>
    <row r="9234" spans="1:2" x14ac:dyDescent="0.25">
      <c r="A9234">
        <f ca="1">32661.1704622896*((RANDBETWEEN(1620,2416)))</f>
        <v>72507798.426282853</v>
      </c>
      <c r="B9234">
        <v>167948608.38824829</v>
      </c>
    </row>
    <row r="9235" spans="1:2" x14ac:dyDescent="0.25">
      <c r="A9235">
        <f ca="1">32206.7044269627*((RANDBETWEEN(1620,2416)))</f>
        <v>58036481.377386816</v>
      </c>
      <c r="B9235">
        <v>172334036.45978945</v>
      </c>
    </row>
    <row r="9236" spans="1:2" x14ac:dyDescent="0.25">
      <c r="A9236">
        <f ca="1">30546.9248808735*((RANDBETWEEN(1620,2416)))</f>
        <v>54342979.363073997</v>
      </c>
      <c r="B9236">
        <v>186570973.42158315</v>
      </c>
    </row>
    <row r="9237" spans="1:2" x14ac:dyDescent="0.25">
      <c r="A9237">
        <f ca="1">31623.9582156345*((RANDBETWEEN(1620,2416)))</f>
        <v>65113729.965991408</v>
      </c>
      <c r="B9237">
        <v>154926903.19860756</v>
      </c>
    </row>
    <row r="9238" spans="1:2" x14ac:dyDescent="0.25">
      <c r="A9238">
        <f ca="1">39069.8321377019*((RANDBETWEEN(1620,2416)))</f>
        <v>72904306.768951699</v>
      </c>
      <c r="B9238">
        <v>165848250.28018963</v>
      </c>
    </row>
    <row r="9239" spans="1:2" x14ac:dyDescent="0.25">
      <c r="A9239">
        <f ca="1">28404.1044289591*((RANDBETWEEN(1620,2416)))</f>
        <v>49195908.870957129</v>
      </c>
      <c r="B9239">
        <v>144354270.32082888</v>
      </c>
    </row>
    <row r="9240" spans="1:2" x14ac:dyDescent="0.25">
      <c r="A9240">
        <f ca="1">33173.2008534411*((RANDBETWEEN(1620,2416)))</f>
        <v>68369966.958942041</v>
      </c>
      <c r="B9240">
        <v>201010606.56392947</v>
      </c>
    </row>
    <row r="9241" spans="1:2" x14ac:dyDescent="0.25">
      <c r="A9241">
        <f ca="1">30636.105813206*((RANDBETWEEN(1620,2416)))</f>
        <v>68379788.175075904</v>
      </c>
      <c r="B9241">
        <v>186932125.98853689</v>
      </c>
    </row>
    <row r="9242" spans="1:2" x14ac:dyDescent="0.25">
      <c r="A9242">
        <f ca="1">29417.5385307712*((RANDBETWEEN(1620,2416)))</f>
        <v>63247707.841158167</v>
      </c>
      <c r="B9242">
        <v>195541996.99564809</v>
      </c>
    </row>
    <row r="9243" spans="1:2" x14ac:dyDescent="0.25">
      <c r="A9243">
        <f ca="1">38133.3822891407*((RANDBETWEEN(1620,2416)))</f>
        <v>63911548.716599785</v>
      </c>
      <c r="B9243">
        <v>175997516.93240809</v>
      </c>
    </row>
    <row r="9244" spans="1:2" x14ac:dyDescent="0.25">
      <c r="A9244">
        <f ca="1">41419.4024012155*((RANDBETWEEN(1620,2416)))</f>
        <v>73022406.433343008</v>
      </c>
      <c r="B9244">
        <v>148806595.98310244</v>
      </c>
    </row>
    <row r="9245" spans="1:2" x14ac:dyDescent="0.25">
      <c r="A9245">
        <f ca="1">33587.7196521055*((RANDBETWEEN(1620,2416)))</f>
        <v>55318974.267017812</v>
      </c>
      <c r="B9245">
        <v>150887251.96515122</v>
      </c>
    </row>
    <row r="9246" spans="1:2" x14ac:dyDescent="0.25">
      <c r="A9246">
        <f ca="1">31114.3086116459*((RANDBETWEEN(1620,2416)))</f>
        <v>64966676.381116726</v>
      </c>
      <c r="B9246">
        <v>145129788.89522067</v>
      </c>
    </row>
    <row r="9247" spans="1:2" x14ac:dyDescent="0.25">
      <c r="A9247">
        <f ca="1">29104.6141168498*((RANDBETWEEN(1620,2416)))</f>
        <v>51777108.513875827</v>
      </c>
      <c r="B9247">
        <v>165050686.62270069</v>
      </c>
    </row>
    <row r="9248" spans="1:2" x14ac:dyDescent="0.25">
      <c r="A9248">
        <f ca="1">38221.5721034036*((RANDBETWEEN(1620,2416)))</f>
        <v>80227079.845044255</v>
      </c>
      <c r="B9248">
        <v>190954285.73434642</v>
      </c>
    </row>
    <row r="9249" spans="1:2" x14ac:dyDescent="0.25">
      <c r="A9249">
        <f ca="1">27910.5542180409*((RANDBETWEEN(1620,2416)))</f>
        <v>54258117.399871446</v>
      </c>
      <c r="B9249">
        <v>163810999.9487575</v>
      </c>
    </row>
    <row r="9250" spans="1:2" x14ac:dyDescent="0.25">
      <c r="A9250">
        <f ca="1">29790.8935765667*((RANDBETWEEN(1620,2416)))</f>
        <v>61339449.87415088</v>
      </c>
      <c r="B9250">
        <v>157777121.13840565</v>
      </c>
    </row>
    <row r="9251" spans="1:2" x14ac:dyDescent="0.25">
      <c r="A9251">
        <f ca="1">32550.0342650641*((RANDBETWEEN(1620,2416)))</f>
        <v>58101811.163139425</v>
      </c>
      <c r="B9251">
        <v>153009850.03103864</v>
      </c>
    </row>
    <row r="9252" spans="1:2" x14ac:dyDescent="0.25">
      <c r="A9252">
        <f ca="1">39097.5037840826*((RANDBETWEEN(1620,2416)))</f>
        <v>68928899.171337575</v>
      </c>
      <c r="B9252">
        <v>169837885.29433978</v>
      </c>
    </row>
    <row r="9253" spans="1:2" x14ac:dyDescent="0.25">
      <c r="A9253">
        <f ca="1">35075.8409731387*((RANDBETWEEN(1620,2416)))</f>
        <v>79341552.281239823</v>
      </c>
      <c r="B9253">
        <v>157955505.96317762</v>
      </c>
    </row>
    <row r="9254" spans="1:2" x14ac:dyDescent="0.25">
      <c r="A9254">
        <f ca="1">40484.0471635822*((RANDBETWEEN(1620,2416)))</f>
        <v>82627940.260871246</v>
      </c>
      <c r="B9254">
        <v>182337763.60170913</v>
      </c>
    </row>
    <row r="9255" spans="1:2" x14ac:dyDescent="0.25">
      <c r="A9255">
        <f ca="1">30820.9497152828*((RANDBETWEEN(1620,2416)))</f>
        <v>55847560.884092458</v>
      </c>
      <c r="B9255">
        <v>179959564.90194917</v>
      </c>
    </row>
    <row r="9256" spans="1:2" x14ac:dyDescent="0.25">
      <c r="A9256">
        <f ca="1">30679.7023669847*((RANDBETWEEN(1620,2416)))</f>
        <v>53873557.356425129</v>
      </c>
      <c r="B9256">
        <v>173234599.67407292</v>
      </c>
    </row>
    <row r="9257" spans="1:2" x14ac:dyDescent="0.25">
      <c r="A9257">
        <f ca="1">30351.3302826404*((RANDBETWEEN(1620,2416)))</f>
        <v>70232978.274029955</v>
      </c>
      <c r="B9257">
        <v>147559993.33373958</v>
      </c>
    </row>
    <row r="9258" spans="1:2" x14ac:dyDescent="0.25">
      <c r="A9258">
        <f ca="1">35698.0262285213*((RANDBETWEEN(1620,2416)))</f>
        <v>68111834.044018716</v>
      </c>
      <c r="B9258">
        <v>181130419.33746019</v>
      </c>
    </row>
    <row r="9259" spans="1:2" x14ac:dyDescent="0.25">
      <c r="A9259">
        <f ca="1">31546.0555234478*((RANDBETWEEN(1620,2416)))</f>
        <v>64921782.267255478</v>
      </c>
      <c r="B9259">
        <v>166499194.17184743</v>
      </c>
    </row>
    <row r="9260" spans="1:2" x14ac:dyDescent="0.25">
      <c r="A9260">
        <f ca="1">40682.8568342526*((RANDBETWEEN(1620,2416)))</f>
        <v>95441982.133156717</v>
      </c>
      <c r="B9260">
        <v>184045913.14584553</v>
      </c>
    </row>
    <row r="9261" spans="1:2" x14ac:dyDescent="0.25">
      <c r="A9261">
        <f ca="1">31398.909559929*((RANDBETWEEN(1620,2416)))</f>
        <v>61510463.827900901</v>
      </c>
      <c r="B9261">
        <v>144140253.49685523</v>
      </c>
    </row>
    <row r="9262" spans="1:2" x14ac:dyDescent="0.25">
      <c r="A9262">
        <f ca="1">32229.767718644*((RANDBETWEEN(1620,2416)))</f>
        <v>66328861.964969322</v>
      </c>
      <c r="B9262">
        <v>190060591.60187739</v>
      </c>
    </row>
    <row r="9263" spans="1:2" x14ac:dyDescent="0.25">
      <c r="A9263">
        <f ca="1">37523.8074879749*((RANDBETWEEN(1620,2416)))</f>
        <v>65216377.414100371</v>
      </c>
      <c r="B9263">
        <v>159690658.46882182</v>
      </c>
    </row>
    <row r="9264" spans="1:2" x14ac:dyDescent="0.25">
      <c r="A9264">
        <f ca="1">41223.4128443823*((RANDBETWEEN(1620,2416)))</f>
        <v>99142307.890739411</v>
      </c>
      <c r="B9264">
        <v>179340164.31440818</v>
      </c>
    </row>
    <row r="9265" spans="1:2" x14ac:dyDescent="0.25">
      <c r="A9265">
        <f ca="1">30225.5001956995*((RANDBETWEEN(1620,2416)))</f>
        <v>61448441.897857077</v>
      </c>
      <c r="B9265">
        <v>147333985.52264184</v>
      </c>
    </row>
    <row r="9266" spans="1:2" x14ac:dyDescent="0.25">
      <c r="A9266">
        <f ca="1">38173.230980228*((RANDBETWEEN(1620,2416)))</f>
        <v>81538021.373767033</v>
      </c>
      <c r="B9266">
        <v>203638577.35420239</v>
      </c>
    </row>
    <row r="9267" spans="1:2" x14ac:dyDescent="0.25">
      <c r="A9267">
        <f ca="1">31494.2828145547*((RANDBETWEEN(1620,2416)))</f>
        <v>75239841.643971264</v>
      </c>
      <c r="B9267">
        <v>181496802.73103678</v>
      </c>
    </row>
    <row r="9268" spans="1:2" x14ac:dyDescent="0.25">
      <c r="A9268">
        <f ca="1">37358.0678262914*((RANDBETWEEN(1620,2416)))</f>
        <v>81739452.403925613</v>
      </c>
      <c r="B9268">
        <v>156938904.25088999</v>
      </c>
    </row>
    <row r="9269" spans="1:2" x14ac:dyDescent="0.25">
      <c r="A9269">
        <f ca="1">31826.5498950991*((RANDBETWEEN(1620,2416)))</f>
        <v>60534097.900478393</v>
      </c>
      <c r="B9269">
        <v>185866716.58484697</v>
      </c>
    </row>
    <row r="9270" spans="1:2" x14ac:dyDescent="0.25">
      <c r="A9270">
        <f ca="1">32165.1486949392*((RANDBETWEEN(1620,2416)))</f>
        <v>65488242.742896117</v>
      </c>
      <c r="B9270">
        <v>168306089.61689579</v>
      </c>
    </row>
    <row r="9271" spans="1:2" x14ac:dyDescent="0.25">
      <c r="A9271">
        <f ca="1">32602.9097773574*((RANDBETWEEN(1620,2416)))</f>
        <v>67031582.502246894</v>
      </c>
      <c r="B9271">
        <v>181706595.58744797</v>
      </c>
    </row>
    <row r="9272" spans="1:2" x14ac:dyDescent="0.25">
      <c r="A9272">
        <f ca="1">29056.629889746*((RANDBETWEEN(1620,2416)))</f>
        <v>63081943.490638532</v>
      </c>
      <c r="B9272">
        <v>164327611.66362014</v>
      </c>
    </row>
    <row r="9273" spans="1:2" x14ac:dyDescent="0.25">
      <c r="A9273">
        <f ca="1">27395.2674893799*((RANDBETWEEN(1620,2416)))</f>
        <v>45941863.579690129</v>
      </c>
      <c r="B9273">
        <v>186969269.96271834</v>
      </c>
    </row>
    <row r="9274" spans="1:2" x14ac:dyDescent="0.25">
      <c r="A9274">
        <f ca="1">34107.5355684497*((RANDBETWEEN(1620,2416)))</f>
        <v>59415326.960239336</v>
      </c>
      <c r="B9274">
        <v>171417408.89170259</v>
      </c>
    </row>
    <row r="9275" spans="1:2" x14ac:dyDescent="0.25">
      <c r="A9275">
        <f ca="1">27324.8583296252*((RANDBETWEEN(1620,2416)))</f>
        <v>55715386.134105727</v>
      </c>
      <c r="B9275">
        <v>166115597.39328253</v>
      </c>
    </row>
    <row r="9276" spans="1:2" x14ac:dyDescent="0.25">
      <c r="A9276">
        <f ca="1">32473.6591282844*((RANDBETWEEN(1620,2416)))</f>
        <v>54718115.631159209</v>
      </c>
      <c r="B9276">
        <v>146956865.08437836</v>
      </c>
    </row>
    <row r="9277" spans="1:2" x14ac:dyDescent="0.25">
      <c r="A9277">
        <f ca="1">36650.4430836982*((RANDBETWEEN(1620,2416)))</f>
        <v>78578549.971448913</v>
      </c>
      <c r="B9277">
        <v>178545742.16658527</v>
      </c>
    </row>
    <row r="9278" spans="1:2" x14ac:dyDescent="0.25">
      <c r="A9278">
        <f ca="1">29652.4536006138*((RANDBETWEEN(1620,2416)))</f>
        <v>55450088.233147763</v>
      </c>
      <c r="B9278">
        <v>161758131.30984291</v>
      </c>
    </row>
    <row r="9279" spans="1:2" x14ac:dyDescent="0.25">
      <c r="A9279">
        <f ca="1">37986.8733507125*((RANDBETWEEN(1620,2416)))</f>
        <v>73276678.693524495</v>
      </c>
      <c r="B9279">
        <v>195266390.43099809</v>
      </c>
    </row>
    <row r="9280" spans="1:2" x14ac:dyDescent="0.25">
      <c r="A9280">
        <f ca="1">31919.780269434*((RANDBETWEEN(1620,2416)))</f>
        <v>74532686.929128468</v>
      </c>
      <c r="B9280">
        <v>158642602.00084448</v>
      </c>
    </row>
    <row r="9281" spans="1:2" x14ac:dyDescent="0.25">
      <c r="A9281">
        <f ca="1">30450.1713290815*((RANDBETWEEN(1620,2416)))</f>
        <v>59925937.175632447</v>
      </c>
      <c r="B9281">
        <v>143914801.36538631</v>
      </c>
    </row>
    <row r="9282" spans="1:2" x14ac:dyDescent="0.25">
      <c r="A9282">
        <f ca="1">28083.642173437*((RANDBETWEEN(1620,2416)))</f>
        <v>52151323.516072556</v>
      </c>
      <c r="B9282">
        <v>201246754.59947687</v>
      </c>
    </row>
    <row r="9283" spans="1:2" x14ac:dyDescent="0.25">
      <c r="A9283">
        <f ca="1">34086.8693261899*((RANDBETWEEN(1620,2416)))</f>
        <v>72979987.227372661</v>
      </c>
      <c r="B9283">
        <v>185944613.69094473</v>
      </c>
    </row>
    <row r="9284" spans="1:2" x14ac:dyDescent="0.25">
      <c r="A9284">
        <f ca="1">39186.3595527409*((RANDBETWEEN(1620,2416)))</f>
        <v>92871672.139995843</v>
      </c>
      <c r="B9284">
        <v>176992570.09730172</v>
      </c>
    </row>
    <row r="9285" spans="1:2" x14ac:dyDescent="0.25">
      <c r="A9285">
        <f ca="1">29649.1030847437*((RANDBETWEEN(1620,2416)))</f>
        <v>60602766.705216072</v>
      </c>
      <c r="B9285">
        <v>177534932.18722266</v>
      </c>
    </row>
    <row r="9286" spans="1:2" x14ac:dyDescent="0.25">
      <c r="A9286">
        <f ca="1">30609.5868294898*((RANDBETWEEN(1620,2416)))</f>
        <v>71565214.007347137</v>
      </c>
      <c r="B9286">
        <v>151354956.68106613</v>
      </c>
    </row>
    <row r="9287" spans="1:2" x14ac:dyDescent="0.25">
      <c r="A9287">
        <f ca="1">33324.1568616214*((RANDBETWEEN(1620,2416)))</f>
        <v>61049855.370490417</v>
      </c>
      <c r="B9287">
        <v>152446630.60455066</v>
      </c>
    </row>
    <row r="9288" spans="1:2" x14ac:dyDescent="0.25">
      <c r="A9288">
        <f ca="1">33003.9887208864*((RANDBETWEEN(1620,2416)))</f>
        <v>72245731.310020432</v>
      </c>
      <c r="B9288">
        <v>147125007.51606867</v>
      </c>
    </row>
    <row r="9289" spans="1:2" x14ac:dyDescent="0.25">
      <c r="A9289">
        <f ca="1">34258.4531689874*((RANDBETWEEN(1620,2416)))</f>
        <v>68140063.353116006</v>
      </c>
      <c r="B9289">
        <v>154729292.81713641</v>
      </c>
    </row>
    <row r="9290" spans="1:2" x14ac:dyDescent="0.25">
      <c r="A9290">
        <f ca="1">30308.6416365082*((RANDBETWEEN(1620,2416)))</f>
        <v>59344320.324282981</v>
      </c>
      <c r="B9290">
        <v>190911599.26590848</v>
      </c>
    </row>
    <row r="9291" spans="1:2" x14ac:dyDescent="0.25">
      <c r="A9291">
        <f ca="1">34944.7921577227*((RANDBETWEEN(1620,2416)))</f>
        <v>67897731.162455127</v>
      </c>
      <c r="B9291">
        <v>162823703.58884454</v>
      </c>
    </row>
    <row r="9292" spans="1:2" x14ac:dyDescent="0.25">
      <c r="A9292">
        <f ca="1">37019.2753711774*((RANDBETWEEN(1620,2416)))</f>
        <v>63488057.261569276</v>
      </c>
      <c r="B9292">
        <v>146127015.50671849</v>
      </c>
    </row>
    <row r="9293" spans="1:2" x14ac:dyDescent="0.25">
      <c r="A9293">
        <f ca="1">41233.0156415283*((RANDBETWEEN(1620,2416)))</f>
        <v>85929604.596945003</v>
      </c>
      <c r="B9293">
        <v>202367280.37201115</v>
      </c>
    </row>
    <row r="9294" spans="1:2" x14ac:dyDescent="0.25">
      <c r="A9294">
        <f ca="1">37454.5301452636*((RANDBETWEEN(1620,2416)))</f>
        <v>82137784.608563155</v>
      </c>
      <c r="B9294">
        <v>202560577.66093436</v>
      </c>
    </row>
    <row r="9295" spans="1:2" x14ac:dyDescent="0.25">
      <c r="A9295">
        <f ca="1">30873.9607632924*((RANDBETWEEN(1620,2416)))</f>
        <v>70979235.794809312</v>
      </c>
      <c r="B9295">
        <v>145377035.33052433</v>
      </c>
    </row>
    <row r="9296" spans="1:2" x14ac:dyDescent="0.25">
      <c r="A9296">
        <f ca="1">38211.1321994881*((RANDBETWEEN(1620,2416)))</f>
        <v>81580767.245907083</v>
      </c>
      <c r="B9296">
        <v>194110261.52919349</v>
      </c>
    </row>
    <row r="9297" spans="1:2" x14ac:dyDescent="0.25">
      <c r="A9297">
        <f ca="1">38311.5394010869*((RANDBETWEEN(1620,2416)))</f>
        <v>78538655.772228077</v>
      </c>
      <c r="B9297">
        <v>169694790.51736742</v>
      </c>
    </row>
    <row r="9298" spans="1:2" x14ac:dyDescent="0.25">
      <c r="A9298">
        <f ca="1">29747.8149259851*((RANDBETWEEN(1620,2416)))</f>
        <v>63184358.902792305</v>
      </c>
      <c r="B9298">
        <v>158114949.50536513</v>
      </c>
    </row>
    <row r="9299" spans="1:2" x14ac:dyDescent="0.25">
      <c r="A9299">
        <f ca="1">32413.7808968644*((RANDBETWEEN(1620,2416)))</f>
        <v>68295836.349693313</v>
      </c>
      <c r="B9299">
        <v>168335287.26528078</v>
      </c>
    </row>
    <row r="9300" spans="1:2" x14ac:dyDescent="0.25">
      <c r="A9300">
        <f ca="1">35896.2210778342*((RANDBETWEEN(1620,2416)))</f>
        <v>77966592.181055814</v>
      </c>
      <c r="B9300">
        <v>156689740.66179803</v>
      </c>
    </row>
    <row r="9301" spans="1:2" x14ac:dyDescent="0.25">
      <c r="A9301">
        <f ca="1">32557.1001943807*((RANDBETWEEN(1620,2416)))</f>
        <v>64593286.785651244</v>
      </c>
      <c r="B9301">
        <v>196956373.08767846</v>
      </c>
    </row>
    <row r="9302" spans="1:2" x14ac:dyDescent="0.25">
      <c r="A9302">
        <f ca="1">38124.3553898059*((RANDBETWEEN(1620,2416)))</f>
        <v>68585715.346260741</v>
      </c>
      <c r="B9302">
        <v>146532903.75962549</v>
      </c>
    </row>
    <row r="9303" spans="1:2" x14ac:dyDescent="0.25">
      <c r="A9303">
        <f ca="1">30474.1143156865*((RANDBETWEEN(1620,2416)))</f>
        <v>58510299.486117996</v>
      </c>
      <c r="B9303">
        <v>144932491.48559082</v>
      </c>
    </row>
    <row r="9304" spans="1:2" x14ac:dyDescent="0.25">
      <c r="A9304">
        <f ca="1">32559.3759925297*((RANDBETWEEN(1620,2416)))</f>
        <v>75765667.934616715</v>
      </c>
      <c r="B9304">
        <v>190652934.45321637</v>
      </c>
    </row>
    <row r="9305" spans="1:2" x14ac:dyDescent="0.25">
      <c r="A9305">
        <f ca="1">30989.3062806151*((RANDBETWEEN(1620,2416)))</f>
        <v>67649655.610582694</v>
      </c>
      <c r="B9305">
        <v>149183070.80991846</v>
      </c>
    </row>
    <row r="9306" spans="1:2" x14ac:dyDescent="0.25">
      <c r="A9306">
        <f ca="1">39986.0079857573*((RANDBETWEEN(1620,2416)))</f>
        <v>67216479.424057975</v>
      </c>
      <c r="B9306">
        <v>166794246.71442607</v>
      </c>
    </row>
    <row r="9307" spans="1:2" x14ac:dyDescent="0.25">
      <c r="A9307">
        <f ca="1">36709.2263202427*((RANDBETWEEN(1620,2416)))</f>
        <v>81164099.394056588</v>
      </c>
      <c r="B9307">
        <v>167749471.12844416</v>
      </c>
    </row>
    <row r="9308" spans="1:2" x14ac:dyDescent="0.25">
      <c r="A9308">
        <f ca="1">39893.0965736294*((RANDBETWEEN(1620,2416)))</f>
        <v>92113159.988510355</v>
      </c>
      <c r="B9308">
        <v>167023255.18042892</v>
      </c>
    </row>
    <row r="9309" spans="1:2" x14ac:dyDescent="0.25">
      <c r="A9309">
        <f ca="1">39274.3691647603*((RANDBETWEEN(1620,2416)))</f>
        <v>84439893.704234719</v>
      </c>
      <c r="B9309">
        <v>164489350.94423798</v>
      </c>
    </row>
    <row r="9310" spans="1:2" x14ac:dyDescent="0.25">
      <c r="A9310">
        <f ca="1">35146.0546769407*((RANDBETWEEN(1620,2416)))</f>
        <v>76829275.523792282</v>
      </c>
      <c r="B9310">
        <v>186128949.36268699</v>
      </c>
    </row>
    <row r="9311" spans="1:2" x14ac:dyDescent="0.25">
      <c r="A9311">
        <f ca="1">30649.4505757557*((RANDBETWEEN(1620,2416)))</f>
        <v>64946185.770026371</v>
      </c>
      <c r="B9311">
        <v>159213291.46808279</v>
      </c>
    </row>
    <row r="9312" spans="1:2" x14ac:dyDescent="0.25">
      <c r="A9312">
        <f ca="1">29890.3957512081*((RANDBETWEEN(1620,2416)))</f>
        <v>49976741.696019948</v>
      </c>
      <c r="B9312">
        <v>192676020.90223178</v>
      </c>
    </row>
    <row r="9313" spans="1:2" x14ac:dyDescent="0.25">
      <c r="A9313">
        <f ca="1">31734.3291129787*((RANDBETWEEN(1620,2416)))</f>
        <v>52298174.378188848</v>
      </c>
      <c r="B9313">
        <v>201328354.74304244</v>
      </c>
    </row>
    <row r="9314" spans="1:2" x14ac:dyDescent="0.25">
      <c r="A9314">
        <f ca="1">32344.0980857418*((RANDBETWEEN(1620,2416)))</f>
        <v>69636843.17860201</v>
      </c>
      <c r="B9314">
        <v>150706803.62101603</v>
      </c>
    </row>
    <row r="9315" spans="1:2" x14ac:dyDescent="0.25">
      <c r="A9315">
        <f ca="1">32382.6846764582*((RANDBETWEEN(1620,2416)))</f>
        <v>73994434.485706985</v>
      </c>
      <c r="B9315">
        <v>150239895.00124216</v>
      </c>
    </row>
    <row r="9316" spans="1:2" x14ac:dyDescent="0.25">
      <c r="A9316">
        <f ca="1">38567.743104216*((RANDBETWEEN(1620,2416)))</f>
        <v>77482595.896370009</v>
      </c>
      <c r="B9316">
        <v>156210563.38456082</v>
      </c>
    </row>
    <row r="9317" spans="1:2" x14ac:dyDescent="0.25">
      <c r="A9317">
        <f ca="1">27656.2185515638*((RANDBETWEEN(1620,2416)))</f>
        <v>63553990.231493682</v>
      </c>
      <c r="B9317">
        <v>147660340.89693844</v>
      </c>
    </row>
    <row r="9318" spans="1:2" x14ac:dyDescent="0.25">
      <c r="A9318">
        <f ca="1">33427.6177798014*((RANDBETWEEN(1620,2416)))</f>
        <v>72337364.875490293</v>
      </c>
      <c r="B9318">
        <v>190886001.23819843</v>
      </c>
    </row>
    <row r="9319" spans="1:2" x14ac:dyDescent="0.25">
      <c r="A9319">
        <f ca="1">33184.2529812285*((RANDBETWEEN(1620,2416)))</f>
        <v>79741759.913892001</v>
      </c>
      <c r="B9319">
        <v>195807293.98074085</v>
      </c>
    </row>
    <row r="9320" spans="1:2" x14ac:dyDescent="0.25">
      <c r="A9320">
        <f ca="1">34141.4303546*((RANDBETWEEN(1620,2416)))</f>
        <v>71526296.592887014</v>
      </c>
      <c r="B9320">
        <v>189113996.81820017</v>
      </c>
    </row>
    <row r="9321" spans="1:2" x14ac:dyDescent="0.25">
      <c r="A9321">
        <f ca="1">31764.3165002854*((RANDBETWEEN(1620,2416)))</f>
        <v>54920503.228993528</v>
      </c>
      <c r="B9321">
        <v>152866491.02415127</v>
      </c>
    </row>
    <row r="9322" spans="1:2" x14ac:dyDescent="0.25">
      <c r="A9322">
        <f ca="1">31573.0298610751*((RANDBETWEEN(1620,2416)))</f>
        <v>67282126.633951038</v>
      </c>
      <c r="B9322">
        <v>166917889.80758446</v>
      </c>
    </row>
    <row r="9323" spans="1:2" x14ac:dyDescent="0.25">
      <c r="A9323">
        <f ca="1">39576.8456609725*((RANDBETWEEN(1620,2416)))</f>
        <v>92649395.692336679</v>
      </c>
      <c r="B9323">
        <v>180236515.64447969</v>
      </c>
    </row>
    <row r="9324" spans="1:2" x14ac:dyDescent="0.25">
      <c r="A9324">
        <f ca="1">28158.1691244796*((RANDBETWEEN(1620,2416)))</f>
        <v>50346806.394569434</v>
      </c>
      <c r="B9324">
        <v>159456371.64073059</v>
      </c>
    </row>
    <row r="9325" spans="1:2" x14ac:dyDescent="0.25">
      <c r="A9325">
        <f ca="1">32752.3516879447*((RANDBETWEEN(1620,2416)))</f>
        <v>70253794.37064141</v>
      </c>
      <c r="B9325">
        <v>182323218.68721169</v>
      </c>
    </row>
    <row r="9326" spans="1:2" x14ac:dyDescent="0.25">
      <c r="A9326">
        <f ca="1">35906.150279978*((RANDBETWEEN(1620,2416)))</f>
        <v>83912673.204308569</v>
      </c>
      <c r="B9326">
        <v>155062683.57027027</v>
      </c>
    </row>
    <row r="9327" spans="1:2" x14ac:dyDescent="0.25">
      <c r="A9327">
        <f ca="1">31346.5469955396*((RANDBETWEEN(1620,2416)))</f>
        <v>71093968.585883766</v>
      </c>
      <c r="B9327">
        <v>150615529.46414226</v>
      </c>
    </row>
    <row r="9328" spans="1:2" x14ac:dyDescent="0.25">
      <c r="A9328">
        <f ca="1">32433.7101649914*((RANDBETWEEN(1620,2416)))</f>
        <v>54002127.424710721</v>
      </c>
      <c r="B9328">
        <v>165863981.17081156</v>
      </c>
    </row>
    <row r="9329" spans="1:2" x14ac:dyDescent="0.25">
      <c r="A9329">
        <f ca="1">40207.9421401815*((RANDBETWEEN(1620,2416)))</f>
        <v>94528871.971566662</v>
      </c>
      <c r="B9329">
        <v>170609777.63676226</v>
      </c>
    </row>
    <row r="9330" spans="1:2" x14ac:dyDescent="0.25">
      <c r="A9330">
        <f ca="1">36896.601352249*((RANDBETWEEN(1620,2416)))</f>
        <v>60215253.40687035</v>
      </c>
      <c r="B9330">
        <v>161407576.52602696</v>
      </c>
    </row>
    <row r="9331" spans="1:2" x14ac:dyDescent="0.25">
      <c r="A9331">
        <f ca="1">31919.3079122067*((RANDBETWEEN(1620,2416)))</f>
        <v>52443422.899755605</v>
      </c>
      <c r="B9331">
        <v>175415090.54858303</v>
      </c>
    </row>
    <row r="9332" spans="1:2" x14ac:dyDescent="0.25">
      <c r="A9332">
        <f ca="1">38234.0296497748*((RANDBETWEEN(1620,2416)))</f>
        <v>90270544.003118306</v>
      </c>
      <c r="B9332">
        <v>154688143.64423585</v>
      </c>
    </row>
    <row r="9333" spans="1:2" x14ac:dyDescent="0.25">
      <c r="A9333">
        <f ca="1">35580.3007860115*((RANDBETWEEN(1620,2416)))</f>
        <v>72050109.09167324</v>
      </c>
      <c r="B9333">
        <v>153142363.02530792</v>
      </c>
    </row>
    <row r="9334" spans="1:2" x14ac:dyDescent="0.25">
      <c r="A9334">
        <f ca="1">32201.5195756254*((RANDBETWEEN(1620,2416)))</f>
        <v>68943453.411414042</v>
      </c>
      <c r="B9334">
        <v>172431005.66268611</v>
      </c>
    </row>
    <row r="9335" spans="1:2" x14ac:dyDescent="0.25">
      <c r="A9335">
        <f ca="1">30195.8005569947*((RANDBETWEEN(1620,2416)))</f>
        <v>58126916.07221476</v>
      </c>
      <c r="B9335">
        <v>152228368.57814953</v>
      </c>
    </row>
    <row r="9336" spans="1:2" x14ac:dyDescent="0.25">
      <c r="A9336">
        <f ca="1">38491.6418167219*((RANDBETWEEN(1620,2416)))</f>
        <v>80986414.382382944</v>
      </c>
      <c r="B9336">
        <v>152883164.67481819</v>
      </c>
    </row>
    <row r="9337" spans="1:2" x14ac:dyDescent="0.25">
      <c r="A9337">
        <f ca="1">41985.9058140007*((RANDBETWEEN(1620,2416)))</f>
        <v>85609261.954747349</v>
      </c>
      <c r="B9337">
        <v>194585553.37449846</v>
      </c>
    </row>
    <row r="9338" spans="1:2" x14ac:dyDescent="0.25">
      <c r="A9338">
        <f ca="1">40702.5654128436*((RANDBETWEEN(1620,2416)))</f>
        <v>87917541.291742131</v>
      </c>
      <c r="B9338">
        <v>189811734.03036487</v>
      </c>
    </row>
    <row r="9339" spans="1:2" x14ac:dyDescent="0.25">
      <c r="A9339">
        <f ca="1">32041.1356770936*((RANDBETWEEN(1620,2416)))</f>
        <v>68920482.841428354</v>
      </c>
      <c r="B9339">
        <v>153987130.28252023</v>
      </c>
    </row>
    <row r="9340" spans="1:2" x14ac:dyDescent="0.25">
      <c r="A9340">
        <f ca="1">35670.455896967*((RANDBETWEEN(1620,2416)))</f>
        <v>79045730.267678887</v>
      </c>
      <c r="B9340">
        <v>180527782.57831973</v>
      </c>
    </row>
    <row r="9341" spans="1:2" x14ac:dyDescent="0.25">
      <c r="A9341">
        <f ca="1">28029.2811551418*((RANDBETWEEN(1620,2416)))</f>
        <v>57712289.898436964</v>
      </c>
      <c r="B9341">
        <v>158887750.00310746</v>
      </c>
    </row>
    <row r="9342" spans="1:2" x14ac:dyDescent="0.25">
      <c r="A9342">
        <f ca="1">37466.8563835848*((RANDBETWEEN(1620,2416)))</f>
        <v>84188026.293914959</v>
      </c>
      <c r="B9342">
        <v>144030061.9394486</v>
      </c>
    </row>
    <row r="9343" spans="1:2" x14ac:dyDescent="0.25">
      <c r="A9343">
        <f ca="1">38631.6865117879*((RANDBETWEEN(1620,2416)))</f>
        <v>89664144.39385961</v>
      </c>
      <c r="B9343">
        <v>154780138.16022965</v>
      </c>
    </row>
    <row r="9344" spans="1:2" x14ac:dyDescent="0.25">
      <c r="A9344">
        <f ca="1">32701.0020528055*((RANDBETWEEN(1620,2416)))</f>
        <v>59221514.717630774</v>
      </c>
      <c r="B9344">
        <v>188530781.0905906</v>
      </c>
    </row>
    <row r="9345" spans="1:2" x14ac:dyDescent="0.25">
      <c r="A9345">
        <f ca="1">36960.5168086762*((RANDBETWEEN(1620,2416)))</f>
        <v>74438480.852673799</v>
      </c>
      <c r="B9345">
        <v>147172676.48986515</v>
      </c>
    </row>
    <row r="9346" spans="1:2" x14ac:dyDescent="0.25">
      <c r="A9346">
        <f ca="1">41031.9767011052*((RANDBETWEEN(1620,2416)))</f>
        <v>89695901.068615943</v>
      </c>
      <c r="B9346">
        <v>199078915.34381485</v>
      </c>
    </row>
    <row r="9347" spans="1:2" x14ac:dyDescent="0.25">
      <c r="A9347">
        <f ca="1">37536.9645706148*((RANDBETWEEN(1620,2416)))</f>
        <v>69405847.491066799</v>
      </c>
      <c r="B9347">
        <v>169397800.29777044</v>
      </c>
    </row>
    <row r="9348" spans="1:2" x14ac:dyDescent="0.25">
      <c r="A9348">
        <f ca="1">28736.5335507079*((RANDBETWEEN(1620,2416)))</f>
        <v>61036397.261703663</v>
      </c>
      <c r="B9348">
        <v>187386971.92358989</v>
      </c>
    </row>
    <row r="9349" spans="1:2" x14ac:dyDescent="0.25">
      <c r="A9349">
        <f ca="1">32618.7125695116*((RANDBETWEEN(1620,2416)))</f>
        <v>59757481.427345224</v>
      </c>
      <c r="B9349">
        <v>187873839.48491132</v>
      </c>
    </row>
    <row r="9350" spans="1:2" x14ac:dyDescent="0.25">
      <c r="A9350">
        <f ca="1">39709.4831946673*((RANDBETWEEN(1620,2416)))</f>
        <v>69332757.657889113</v>
      </c>
      <c r="B9350">
        <v>155131561.72778738</v>
      </c>
    </row>
    <row r="9351" spans="1:2" x14ac:dyDescent="0.25">
      <c r="A9351">
        <f ca="1">30395.6243935881*((RANDBETWEEN(1620,2416)))</f>
        <v>52888386.444843292</v>
      </c>
      <c r="B9351">
        <v>195780123.11474097</v>
      </c>
    </row>
    <row r="9352" spans="1:2" x14ac:dyDescent="0.25">
      <c r="A9352">
        <f ca="1">40442.1573511325*((RANDBETWEEN(1620,2416)))</f>
        <v>79630607.824379802</v>
      </c>
      <c r="B9352">
        <v>156961134.2589063</v>
      </c>
    </row>
    <row r="9353" spans="1:2" x14ac:dyDescent="0.25">
      <c r="A9353">
        <f ca="1">33061.8650780183*((RANDBETWEEN(1620,2416)))</f>
        <v>73893268.449370846</v>
      </c>
      <c r="B9353">
        <v>152111130.31664276</v>
      </c>
    </row>
    <row r="9354" spans="1:2" x14ac:dyDescent="0.25">
      <c r="A9354">
        <f ca="1">35356.8840561949*((RANDBETWEEN(1620,2416)))</f>
        <v>80154056.155393809</v>
      </c>
      <c r="B9354">
        <v>166497141.47519845</v>
      </c>
    </row>
    <row r="9355" spans="1:2" x14ac:dyDescent="0.25">
      <c r="A9355">
        <f ca="1">32158.4302767254*((RANDBETWEEN(1620,2416)))</f>
        <v>63030523.34238179</v>
      </c>
      <c r="B9355">
        <v>191180729.12927765</v>
      </c>
    </row>
    <row r="9356" spans="1:2" x14ac:dyDescent="0.25">
      <c r="A9356">
        <f ca="1">32562.2955205528*((RANDBETWEEN(1620,2416)))</f>
        <v>78279758.431408986</v>
      </c>
      <c r="B9356">
        <v>199846285.86052388</v>
      </c>
    </row>
    <row r="9357" spans="1:2" x14ac:dyDescent="0.25">
      <c r="A9357">
        <f ca="1">29976.4458101969*((RANDBETWEEN(1620,2416)))</f>
        <v>52368850.830414057</v>
      </c>
      <c r="B9357">
        <v>168593999.87329507</v>
      </c>
    </row>
    <row r="9358" spans="1:2" x14ac:dyDescent="0.25">
      <c r="A9358">
        <f ca="1">28684.6033043856*((RANDBETWEEN(1620,2416)))</f>
        <v>59176336.616947442</v>
      </c>
      <c r="B9358">
        <v>182663733.7072143</v>
      </c>
    </row>
    <row r="9359" spans="1:2" x14ac:dyDescent="0.25">
      <c r="A9359">
        <f ca="1">39457.0586965241*((RANDBETWEEN(1620,2416)))</f>
        <v>90830149.11939843</v>
      </c>
      <c r="B9359">
        <v>151819674.11231345</v>
      </c>
    </row>
    <row r="9360" spans="1:2" x14ac:dyDescent="0.25">
      <c r="A9360">
        <f ca="1">28497.1043225247*((RANDBETWEEN(1620,2416)))</f>
        <v>67937096.704898924</v>
      </c>
      <c r="B9360">
        <v>147956604.30367425</v>
      </c>
    </row>
    <row r="9361" spans="1:2" x14ac:dyDescent="0.25">
      <c r="A9361">
        <f ca="1">32604.5111002904*((RANDBETWEEN(1620,2416)))</f>
        <v>68534682.332810491</v>
      </c>
      <c r="B9361">
        <v>158327548.53153172</v>
      </c>
    </row>
    <row r="9362" spans="1:2" x14ac:dyDescent="0.25">
      <c r="A9362">
        <f ca="1">42016.7140035213*((RANDBETWEEN(1620,2416)))</f>
        <v>87940982.409370095</v>
      </c>
      <c r="B9362">
        <v>173269902.72013706</v>
      </c>
    </row>
    <row r="9363" spans="1:2" x14ac:dyDescent="0.25">
      <c r="A9363">
        <f ca="1">29705.0702263914*((RANDBETWEEN(1620,2416)))</f>
        <v>64460002.391269252</v>
      </c>
      <c r="B9363">
        <v>175422076.60589555</v>
      </c>
    </row>
    <row r="9364" spans="1:2" x14ac:dyDescent="0.25">
      <c r="A9364">
        <f ca="1">33749.3850118348*((RANDBETWEEN(1620,2416)))</f>
        <v>59331418.850805521</v>
      </c>
      <c r="B9364">
        <v>150916886.2414228</v>
      </c>
    </row>
    <row r="9365" spans="1:2" x14ac:dyDescent="0.25">
      <c r="A9365">
        <f ca="1">34287.1143878391*((RANDBETWEEN(1620,2416)))</f>
        <v>79374669.80784753</v>
      </c>
      <c r="B9365">
        <v>143298689.00545627</v>
      </c>
    </row>
    <row r="9366" spans="1:2" x14ac:dyDescent="0.25">
      <c r="A9366">
        <f ca="1">31660.7947678855*((RANDBETWEEN(1620,2416)))</f>
        <v>62118479.334591269</v>
      </c>
      <c r="B9366">
        <v>184050334.25002277</v>
      </c>
    </row>
    <row r="9367" spans="1:2" x14ac:dyDescent="0.25">
      <c r="A9367">
        <f ca="1">35559.2954008481*((RANDBETWEEN(1620,2416)))</f>
        <v>58779515.297601953</v>
      </c>
      <c r="B9367">
        <v>162427412.68495807</v>
      </c>
    </row>
    <row r="9368" spans="1:2" x14ac:dyDescent="0.25">
      <c r="A9368">
        <f ca="1">33601.1121106431*((RANDBETWEEN(1620,2416)))</f>
        <v>76711338.948598281</v>
      </c>
      <c r="B9368">
        <v>151650141.83801201</v>
      </c>
    </row>
    <row r="9369" spans="1:2" x14ac:dyDescent="0.25">
      <c r="A9369">
        <f ca="1">39521.5946754927*((RANDBETWEEN(1620,2416)))</f>
        <v>73589209.285767332</v>
      </c>
      <c r="B9369">
        <v>165083647.44218656</v>
      </c>
    </row>
    <row r="9370" spans="1:2" x14ac:dyDescent="0.25">
      <c r="A9370">
        <f ca="1">32815.8671049422*((RANDBETWEEN(1620,2416)))</f>
        <v>75443678.474262029</v>
      </c>
      <c r="B9370">
        <v>184885001.60986021</v>
      </c>
    </row>
    <row r="9371" spans="1:2" x14ac:dyDescent="0.25">
      <c r="A9371">
        <f ca="1">31623.0236931583*((RANDBETWEEN(1620,2416)))</f>
        <v>74693581.963239908</v>
      </c>
      <c r="B9371">
        <v>178647422.62296531</v>
      </c>
    </row>
    <row r="9372" spans="1:2" x14ac:dyDescent="0.25">
      <c r="A9372">
        <f ca="1">33573.5490555985*((RANDBETWEEN(1620,2416)))</f>
        <v>59123019.886908926</v>
      </c>
      <c r="B9372">
        <v>151293753.79389334</v>
      </c>
    </row>
    <row r="9373" spans="1:2" x14ac:dyDescent="0.25">
      <c r="A9373">
        <f ca="1">29854.9051731454*((RANDBETWEEN(1620,2416)))</f>
        <v>62366896.906700648</v>
      </c>
      <c r="B9373">
        <v>164430045.76673776</v>
      </c>
    </row>
    <row r="9374" spans="1:2" x14ac:dyDescent="0.25">
      <c r="A9374">
        <f ca="1">40030.3053549377*((RANDBETWEEN(1620,2416)))</f>
        <v>91068944.682483315</v>
      </c>
      <c r="B9374">
        <v>145841517.26851773</v>
      </c>
    </row>
    <row r="9375" spans="1:2" x14ac:dyDescent="0.25">
      <c r="A9375">
        <f ca="1">31768.7632284824*((RANDBETWEEN(1620,2416)))</f>
        <v>73290536.76810883</v>
      </c>
      <c r="B9375">
        <v>150992101.40063</v>
      </c>
    </row>
    <row r="9376" spans="1:2" x14ac:dyDescent="0.25">
      <c r="A9376">
        <f ca="1">32662.2587429866*((RANDBETWEEN(1620,2416)))</f>
        <v>72542876.668173179</v>
      </c>
      <c r="B9376">
        <v>199749795.0031265</v>
      </c>
    </row>
    <row r="9377" spans="1:2" x14ac:dyDescent="0.25">
      <c r="A9377">
        <f ca="1">29832.2013015707*((RANDBETWEEN(1620,2416)))</f>
        <v>65422017.454344526</v>
      </c>
      <c r="B9377">
        <v>158249341.74704325</v>
      </c>
    </row>
    <row r="9378" spans="1:2" x14ac:dyDescent="0.25">
      <c r="A9378">
        <f ca="1">31161.1195650847*((RANDBETWEEN(1620,2416)))</f>
        <v>51820941.83673586</v>
      </c>
      <c r="B9378">
        <v>165939794.70905513</v>
      </c>
    </row>
    <row r="9379" spans="1:2" x14ac:dyDescent="0.25">
      <c r="A9379">
        <f ca="1">37597.4036188152*((RANDBETWEEN(1620,2416)))</f>
        <v>68239287.568149522</v>
      </c>
      <c r="B9379">
        <v>157748830.59291476</v>
      </c>
    </row>
    <row r="9380" spans="1:2" x14ac:dyDescent="0.25">
      <c r="A9380">
        <f ca="1">34224.9986230918*((RANDBETWEEN(1620,2416)))</f>
        <v>57053072.704693995</v>
      </c>
      <c r="B9380">
        <v>186521278.87737986</v>
      </c>
    </row>
    <row r="9381" spans="1:2" x14ac:dyDescent="0.25">
      <c r="A9381">
        <f ca="1">32550.8519599316*((RANDBETWEEN(1620,2416)))</f>
        <v>57159296.041639902</v>
      </c>
      <c r="B9381">
        <v>189129969.31426543</v>
      </c>
    </row>
    <row r="9382" spans="1:2" x14ac:dyDescent="0.25">
      <c r="A9382">
        <f ca="1">30735.3012480588*((RANDBETWEEN(1620,2416)))</f>
        <v>57505748.635118023</v>
      </c>
      <c r="B9382">
        <v>165876191.05440521</v>
      </c>
    </row>
    <row r="9383" spans="1:2" x14ac:dyDescent="0.25">
      <c r="A9383">
        <f ca="1">41581.4606294145*((RANDBETWEEN(1620,2416)))</f>
        <v>83453991.483234897</v>
      </c>
      <c r="B9383">
        <v>143860739.5845736</v>
      </c>
    </row>
    <row r="9384" spans="1:2" x14ac:dyDescent="0.25">
      <c r="A9384">
        <f ca="1">39709.5552224277*((RANDBETWEEN(1620,2416)))</f>
        <v>83826871.074544787</v>
      </c>
      <c r="B9384">
        <v>183565112.78188956</v>
      </c>
    </row>
    <row r="9385" spans="1:2" x14ac:dyDescent="0.25">
      <c r="A9385">
        <f ca="1">38749.343291662*((RANDBETWEEN(1620,2416)))</f>
        <v>83272338.73378174</v>
      </c>
      <c r="B9385">
        <v>177755563.91016421</v>
      </c>
    </row>
    <row r="9386" spans="1:2" x14ac:dyDescent="0.25">
      <c r="A9386">
        <f ca="1">33308.3093401264*((RANDBETWEEN(1620,2416)))</f>
        <v>62519696.631417252</v>
      </c>
      <c r="B9386">
        <v>168607266.14040229</v>
      </c>
    </row>
    <row r="9387" spans="1:2" x14ac:dyDescent="0.25">
      <c r="A9387">
        <f ca="1">32175.1871353208*((RANDBETWEEN(1620,2416)))</f>
        <v>70109732.767864078</v>
      </c>
      <c r="B9387">
        <v>200868549.76151878</v>
      </c>
    </row>
    <row r="9388" spans="1:2" x14ac:dyDescent="0.25">
      <c r="A9388">
        <f ca="1">30994.6801663831*((RANDBETWEEN(1620,2416)))</f>
        <v>52195041.400189154</v>
      </c>
      <c r="B9388">
        <v>164113890.60516086</v>
      </c>
    </row>
    <row r="9389" spans="1:2" x14ac:dyDescent="0.25">
      <c r="A9389">
        <f ca="1">31465.9011690372*((RANDBETWEEN(1620,2416)))</f>
        <v>69256448.473050863</v>
      </c>
      <c r="B9389">
        <v>195434258.70775056</v>
      </c>
    </row>
    <row r="9390" spans="1:2" x14ac:dyDescent="0.25">
      <c r="A9390">
        <f ca="1">29453.889783694*((RANDBETWEEN(1620,2416)))</f>
        <v>70895512.70935151</v>
      </c>
      <c r="B9390">
        <v>173904308.65025681</v>
      </c>
    </row>
    <row r="9391" spans="1:2" x14ac:dyDescent="0.25">
      <c r="A9391">
        <f ca="1">41116.451464295*((RANDBETWEEN(1620,2416)))</f>
        <v>74749708.762088373</v>
      </c>
      <c r="B9391">
        <v>178695303.92934978</v>
      </c>
    </row>
    <row r="9392" spans="1:2" x14ac:dyDescent="0.25">
      <c r="A9392">
        <f ca="1">31688.1610764739*((RANDBETWEEN(1620,2416)))</f>
        <v>68256298.958724722</v>
      </c>
      <c r="B9392">
        <v>154117883.59483638</v>
      </c>
    </row>
    <row r="9393" spans="1:2" x14ac:dyDescent="0.25">
      <c r="A9393">
        <f ca="1">32375.2506128714*((RANDBETWEEN(1620,2416)))</f>
        <v>63746868.456743799</v>
      </c>
      <c r="B9393">
        <v>159146842.5703285</v>
      </c>
    </row>
    <row r="9394" spans="1:2" x14ac:dyDescent="0.25">
      <c r="A9394">
        <f ca="1">35886.485668216*((RANDBETWEEN(1620,2416)))</f>
        <v>62514258.034032211</v>
      </c>
      <c r="B9394">
        <v>161066227.38151962</v>
      </c>
    </row>
    <row r="9395" spans="1:2" x14ac:dyDescent="0.25">
      <c r="A9395">
        <f ca="1">30801.8317575994*((RANDBETWEEN(1620,2416)))</f>
        <v>59478337.123924397</v>
      </c>
      <c r="B9395">
        <v>148235436.78270775</v>
      </c>
    </row>
    <row r="9396" spans="1:2" x14ac:dyDescent="0.25">
      <c r="A9396">
        <f ca="1">38584.202137784*((RANDBETWEEN(1620,2416)))</f>
        <v>67097927.5176064</v>
      </c>
      <c r="B9396">
        <v>183652859.80120224</v>
      </c>
    </row>
    <row r="9397" spans="1:2" x14ac:dyDescent="0.25">
      <c r="A9397">
        <f ca="1">30492.3809943781*((RANDBETWEEN(1620,2416)))</f>
        <v>62631350.562452637</v>
      </c>
      <c r="B9397">
        <v>146944496.46864864</v>
      </c>
    </row>
    <row r="9398" spans="1:2" x14ac:dyDescent="0.25">
      <c r="A9398">
        <f ca="1">32518.7696013689*((RANDBETWEEN(1620,2416)))</f>
        <v>64972501.663535051</v>
      </c>
      <c r="B9398">
        <v>159339706.23399919</v>
      </c>
    </row>
    <row r="9399" spans="1:2" x14ac:dyDescent="0.25">
      <c r="A9399">
        <f ca="1">38891.5238072177*((RANDBETWEEN(1620,2416)))</f>
        <v>85444677.804457366</v>
      </c>
      <c r="B9399">
        <v>153617739.1801573</v>
      </c>
    </row>
    <row r="9400" spans="1:2" x14ac:dyDescent="0.25">
      <c r="A9400">
        <f ca="1">32571.2219951803*((RANDBETWEEN(1620,2416)))</f>
        <v>64621304.438437723</v>
      </c>
      <c r="B9400">
        <v>147357475.1420694</v>
      </c>
    </row>
    <row r="9401" spans="1:2" x14ac:dyDescent="0.25">
      <c r="A9401">
        <f ca="1">34112.4593941923*((RANDBETWEEN(1620,2416)))</f>
        <v>62835150.2041023</v>
      </c>
      <c r="B9401">
        <v>157112460.27573356</v>
      </c>
    </row>
    <row r="9402" spans="1:2" x14ac:dyDescent="0.25">
      <c r="A9402">
        <f ca="1">32709.8922535446*((RANDBETWEEN(1620,2416)))</f>
        <v>68985162.762725651</v>
      </c>
      <c r="B9402">
        <v>202030894.25340611</v>
      </c>
    </row>
    <row r="9403" spans="1:2" x14ac:dyDescent="0.25">
      <c r="A9403">
        <f ca="1">29962.1552684079*((RANDBETWEEN(1620,2416)))</f>
        <v>55160327.84913896</v>
      </c>
      <c r="B9403">
        <v>176041241.00023282</v>
      </c>
    </row>
    <row r="9404" spans="1:2" x14ac:dyDescent="0.25">
      <c r="A9404">
        <f ca="1">34971.1665556973*((RANDBETWEEN(1620,2416)))</f>
        <v>77496105.087425143</v>
      </c>
      <c r="B9404">
        <v>189305699.76619154</v>
      </c>
    </row>
    <row r="9405" spans="1:2" x14ac:dyDescent="0.25">
      <c r="A9405">
        <f ca="1">31589.194794084*((RANDBETWEEN(1620,2416)))</f>
        <v>75592943.142242953</v>
      </c>
      <c r="B9405">
        <v>177680388.52136013</v>
      </c>
    </row>
    <row r="9406" spans="1:2" x14ac:dyDescent="0.25">
      <c r="A9406">
        <f ca="1">29816.1524729523*((RANDBETWEEN(1620,2416)))</f>
        <v>52744773.724652559</v>
      </c>
      <c r="B9406">
        <v>151676474.80326736</v>
      </c>
    </row>
    <row r="9407" spans="1:2" x14ac:dyDescent="0.25">
      <c r="A9407">
        <f ca="1">31345.3276118881*((RANDBETWEEN(1620,2416)))</f>
        <v>53976654.147671275</v>
      </c>
      <c r="B9407">
        <v>158348983.72950998</v>
      </c>
    </row>
    <row r="9408" spans="1:2" x14ac:dyDescent="0.25">
      <c r="A9408">
        <f ca="1">32023.3390540703*((RANDBETWEEN(1620,2416)))</f>
        <v>58762827.164219089</v>
      </c>
      <c r="B9408">
        <v>202817025.58775645</v>
      </c>
    </row>
    <row r="9409" spans="1:2" x14ac:dyDescent="0.25">
      <c r="A9409">
        <f ca="1">30984.103801395*((RANDBETWEEN(1620,2416)))</f>
        <v>62123128.121796966</v>
      </c>
      <c r="B9409">
        <v>181849781.326516</v>
      </c>
    </row>
    <row r="9410" spans="1:2" x14ac:dyDescent="0.25">
      <c r="A9410">
        <f ca="1">32980.5104342405*((RANDBETWEEN(1620,2416)))</f>
        <v>68467539.661483303</v>
      </c>
      <c r="B9410">
        <v>164045104.51339179</v>
      </c>
    </row>
    <row r="9411" spans="1:2" x14ac:dyDescent="0.25">
      <c r="A9411">
        <f ca="1">31979.8123313651*((RANDBETWEEN(1620,2416)))</f>
        <v>58043359.381427638</v>
      </c>
      <c r="B9411">
        <v>153735988.29315597</v>
      </c>
    </row>
    <row r="9412" spans="1:2" x14ac:dyDescent="0.25">
      <c r="A9412">
        <f ca="1">32700.1339530576*((RANDBETWEEN(1620,2416)))</f>
        <v>73509901.126473442</v>
      </c>
      <c r="B9412">
        <v>146442096.45801353</v>
      </c>
    </row>
    <row r="9413" spans="1:2" x14ac:dyDescent="0.25">
      <c r="A9413">
        <f ca="1">30555.9265554309*((RANDBETWEEN(1620,2416)))</f>
        <v>65542462.461399227</v>
      </c>
      <c r="B9413">
        <v>200092012.46107733</v>
      </c>
    </row>
    <row r="9414" spans="1:2" x14ac:dyDescent="0.25">
      <c r="A9414">
        <f ca="1">37155.4627490329*((RANDBETWEEN(1620,2416)))</f>
        <v>73084795.227347776</v>
      </c>
      <c r="B9414">
        <v>149491516.50010481</v>
      </c>
    </row>
    <row r="9415" spans="1:2" x14ac:dyDescent="0.25">
      <c r="A9415">
        <f ca="1">33586.2296965944*((RANDBETWEEN(1620,2416)))</f>
        <v>77080397.153684229</v>
      </c>
      <c r="B9415">
        <v>193527456.52008766</v>
      </c>
    </row>
    <row r="9416" spans="1:2" x14ac:dyDescent="0.25">
      <c r="A9416">
        <f ca="1">31360.1761767737*((RANDBETWEEN(1620,2416)))</f>
        <v>55256630.423475251</v>
      </c>
      <c r="B9416">
        <v>157842957.70199916</v>
      </c>
    </row>
    <row r="9417" spans="1:2" x14ac:dyDescent="0.25">
      <c r="A9417">
        <f ca="1">31627.4080131776*((RANDBETWEEN(1620,2416)))</f>
        <v>53292182.502204202</v>
      </c>
      <c r="B9417">
        <v>202546150.90395576</v>
      </c>
    </row>
    <row r="9418" spans="1:2" x14ac:dyDescent="0.25">
      <c r="A9418">
        <f ca="1">34137.6197785957*((RANDBETWEEN(1620,2416)))</f>
        <v>60321174.14877861</v>
      </c>
      <c r="B9418">
        <v>161850548.62302098</v>
      </c>
    </row>
    <row r="9419" spans="1:2" x14ac:dyDescent="0.25">
      <c r="A9419">
        <f ca="1">31873.113119935*((RANDBETWEEN(1620,2416)))</f>
        <v>53738068.720210433</v>
      </c>
      <c r="B9419">
        <v>172177815.11416614</v>
      </c>
    </row>
    <row r="9420" spans="1:2" x14ac:dyDescent="0.25">
      <c r="A9420">
        <f ca="1">30736.4088167548*((RANDBETWEEN(1620,2416)))</f>
        <v>51206857.08871346</v>
      </c>
      <c r="B9420">
        <v>167020278.6563018</v>
      </c>
    </row>
    <row r="9421" spans="1:2" x14ac:dyDescent="0.25">
      <c r="A9421">
        <f ca="1">36275.4698499175*((RANDBETWEEN(1620,2416)))</f>
        <v>68270434.257544681</v>
      </c>
      <c r="B9421">
        <v>165265086.50240034</v>
      </c>
    </row>
    <row r="9422" spans="1:2" x14ac:dyDescent="0.25">
      <c r="A9422">
        <f ca="1">29510.2875058058*((RANDBETWEEN(1620,2416)))</f>
        <v>65158714.812819138</v>
      </c>
      <c r="B9422">
        <v>178575313.54561466</v>
      </c>
    </row>
    <row r="9423" spans="1:2" x14ac:dyDescent="0.25">
      <c r="A9423">
        <f ca="1">30453.5509700808*((RANDBETWEEN(1620,2416)))</f>
        <v>56674058.355320387</v>
      </c>
      <c r="B9423">
        <v>164482586.21457583</v>
      </c>
    </row>
    <row r="9424" spans="1:2" x14ac:dyDescent="0.25">
      <c r="A9424">
        <f ca="1">37370.8850472506*((RANDBETWEEN(1620,2416)))</f>
        <v>69173508.22246097</v>
      </c>
      <c r="B9424">
        <v>159976453.72211713</v>
      </c>
    </row>
    <row r="9425" spans="1:2" x14ac:dyDescent="0.25">
      <c r="A9425">
        <f ca="1">32798.3877586156*((RANDBETWEEN(1620,2416)))</f>
        <v>78880122.559470668</v>
      </c>
      <c r="B9425">
        <v>155361582.69729719</v>
      </c>
    </row>
    <row r="9426" spans="1:2" x14ac:dyDescent="0.25">
      <c r="A9426">
        <f ca="1">34080.1770368013*((RANDBETWEEN(1620,2416)))</f>
        <v>55789249.809243746</v>
      </c>
      <c r="B9426">
        <v>170740472.54529947</v>
      </c>
    </row>
    <row r="9427" spans="1:2" x14ac:dyDescent="0.25">
      <c r="A9427">
        <f ca="1">32217.8707062135*((RANDBETWEEN(1620,2416)))</f>
        <v>74455499.202059492</v>
      </c>
      <c r="B9427">
        <v>171470229.38561207</v>
      </c>
    </row>
    <row r="9428" spans="1:2" x14ac:dyDescent="0.25">
      <c r="A9428">
        <f ca="1">32529.0898692784*((RANDBETWEEN(1620,2416)))</f>
        <v>54486225.531041257</v>
      </c>
      <c r="B9428">
        <v>160317145.05753928</v>
      </c>
    </row>
    <row r="9429" spans="1:2" x14ac:dyDescent="0.25">
      <c r="A9429">
        <f ca="1">28927.5604262678*((RANDBETWEEN(1620,2416)))</f>
        <v>55078075.051613852</v>
      </c>
      <c r="B9429">
        <v>154223285.44638929</v>
      </c>
    </row>
    <row r="9430" spans="1:2" x14ac:dyDescent="0.25">
      <c r="A9430">
        <f ca="1">36785.9810578954*((RANDBETWEEN(1620,2416)))</f>
        <v>60623296.783411592</v>
      </c>
      <c r="B9430">
        <v>144116752.22206324</v>
      </c>
    </row>
    <row r="9431" spans="1:2" x14ac:dyDescent="0.25">
      <c r="A9431">
        <f ca="1">38431.2776146605*((RANDBETWEEN(1620,2416)))</f>
        <v>85317436.304546207</v>
      </c>
      <c r="B9431">
        <v>153181272.34573257</v>
      </c>
    </row>
    <row r="9432" spans="1:2" x14ac:dyDescent="0.25">
      <c r="A9432">
        <f ca="1">31024.3918047796*((RANDBETWEEN(1620,2416)))</f>
        <v>52369173.366467886</v>
      </c>
      <c r="B9432">
        <v>200623061.7821801</v>
      </c>
    </row>
    <row r="9433" spans="1:2" x14ac:dyDescent="0.25">
      <c r="A9433">
        <f ca="1">33929.9029820816*((RANDBETWEEN(1620,2416)))</f>
        <v>73593959.568135083</v>
      </c>
      <c r="B9433">
        <v>159239010.00067538</v>
      </c>
    </row>
    <row r="9434" spans="1:2" x14ac:dyDescent="0.25">
      <c r="A9434">
        <f ca="1">33231.824809749*((RANDBETWEEN(1620,2416)))</f>
        <v>72578305.384491801</v>
      </c>
      <c r="B9434">
        <v>163165716.86788893</v>
      </c>
    </row>
    <row r="9435" spans="1:2" x14ac:dyDescent="0.25">
      <c r="A9435">
        <f ca="1">39069.413552388*((RANDBETWEEN(1620,2416)))</f>
        <v>88843846.418130398</v>
      </c>
      <c r="B9435">
        <v>162765548.6596866</v>
      </c>
    </row>
    <row r="9436" spans="1:2" x14ac:dyDescent="0.25">
      <c r="A9436">
        <f ca="1">32411.4927715375*((RANDBETWEEN(1620,2416)))</f>
        <v>70494996.778093994</v>
      </c>
      <c r="B9436">
        <v>153483597.25427705</v>
      </c>
    </row>
    <row r="9437" spans="1:2" x14ac:dyDescent="0.25">
      <c r="A9437">
        <f ca="1">29235.0482216987*((RANDBETWEEN(1620,2416)))</f>
        <v>62270652.712218218</v>
      </c>
      <c r="B9437">
        <v>154740507.99157602</v>
      </c>
    </row>
    <row r="9438" spans="1:2" x14ac:dyDescent="0.25">
      <c r="A9438">
        <f ca="1">30511.6785421034*((RANDBETWEEN(1620,2416)))</f>
        <v>65783178.936775036</v>
      </c>
      <c r="B9438">
        <v>155961969.98152971</v>
      </c>
    </row>
    <row r="9439" spans="1:2" x14ac:dyDescent="0.25">
      <c r="A9439">
        <f ca="1">30866.372840359*((RANDBETWEEN(1620,2416)))</f>
        <v>61609280.189356551</v>
      </c>
      <c r="B9439">
        <v>201237223.89891553</v>
      </c>
    </row>
    <row r="9440" spans="1:2" x14ac:dyDescent="0.25">
      <c r="A9440">
        <f ca="1">31394.3969793291*((RANDBETWEEN(1620,2416)))</f>
        <v>68785123.781709984</v>
      </c>
      <c r="B9440">
        <v>146124551.21185002</v>
      </c>
    </row>
    <row r="9441" spans="1:2" x14ac:dyDescent="0.25">
      <c r="A9441">
        <f ca="1">36367.0406407212*((RANDBETWEEN(1620,2416)))</f>
        <v>70770261.086843476</v>
      </c>
      <c r="B9441">
        <v>168208201.16493857</v>
      </c>
    </row>
    <row r="9442" spans="1:2" x14ac:dyDescent="0.25">
      <c r="A9442">
        <f ca="1">30614.4201724708*((RANDBETWEEN(1620,2416)))</f>
        <v>70872382.699269846</v>
      </c>
      <c r="B9442">
        <v>163420250.42482203</v>
      </c>
    </row>
    <row r="9443" spans="1:2" x14ac:dyDescent="0.25">
      <c r="A9443">
        <f ca="1">32933.0590197532*((RANDBETWEEN(1620,2416)))</f>
        <v>61749485.662037238</v>
      </c>
      <c r="B9443">
        <v>146701025.03296971</v>
      </c>
    </row>
    <row r="9444" spans="1:2" x14ac:dyDescent="0.25">
      <c r="A9444">
        <f ca="1">31887.9362311133*((RANDBETWEEN(1620,2416)))</f>
        <v>68782278.450511411</v>
      </c>
      <c r="B9444">
        <v>167749935.25174707</v>
      </c>
    </row>
    <row r="9445" spans="1:2" x14ac:dyDescent="0.25">
      <c r="A9445">
        <f ca="1">29873.6476504896*((RANDBETWEEN(1620,2416)))</f>
        <v>69993956.445097193</v>
      </c>
      <c r="B9445">
        <v>149448387.44120494</v>
      </c>
    </row>
    <row r="9446" spans="1:2" x14ac:dyDescent="0.25">
      <c r="A9446">
        <f ca="1">31779.5094626111*((RANDBETWEEN(1620,2416)))</f>
        <v>69819582.28935653</v>
      </c>
      <c r="B9446">
        <v>147403389.75924623</v>
      </c>
    </row>
    <row r="9447" spans="1:2" x14ac:dyDescent="0.25">
      <c r="A9447">
        <f ca="1">30700.5740098992*((RANDBETWEEN(1620,2416)))</f>
        <v>63458086.478461705</v>
      </c>
      <c r="B9447">
        <v>150339099.71951547</v>
      </c>
    </row>
    <row r="9448" spans="1:2" x14ac:dyDescent="0.25">
      <c r="A9448">
        <f ca="1">30776.5340166328*((RANDBETWEEN(1620,2416)))</f>
        <v>68447011.65299131</v>
      </c>
      <c r="B9448">
        <v>143004636.5975731</v>
      </c>
    </row>
    <row r="9449" spans="1:2" x14ac:dyDescent="0.25">
      <c r="A9449">
        <f ca="1">28506.3152613887*((RANDBETWEEN(1620,2416)))</f>
        <v>55245238.976571351</v>
      </c>
      <c r="B9449">
        <v>199151568.6879344</v>
      </c>
    </row>
    <row r="9450" spans="1:2" x14ac:dyDescent="0.25">
      <c r="A9450">
        <f ca="1">34283.9872092977*((RANDBETWEEN(1620,2416)))</f>
        <v>64591031.902316913</v>
      </c>
      <c r="B9450">
        <v>145177783.92933622</v>
      </c>
    </row>
    <row r="9451" spans="1:2" x14ac:dyDescent="0.25">
      <c r="A9451">
        <f ca="1">30493.3687482377*((RANDBETWEEN(1620,2416)))</f>
        <v>65103342.277487539</v>
      </c>
      <c r="B9451">
        <v>197979252.66488186</v>
      </c>
    </row>
    <row r="9452" spans="1:2" x14ac:dyDescent="0.25">
      <c r="A9452">
        <f ca="1">41394.006048172*((RANDBETWEEN(1620,2416)))</f>
        <v>71032114.378663152</v>
      </c>
      <c r="B9452">
        <v>152373846.9512822</v>
      </c>
    </row>
    <row r="9453" spans="1:2" x14ac:dyDescent="0.25">
      <c r="A9453">
        <f ca="1">31324.3429955587*((RANDBETWEEN(1620,2416)))</f>
        <v>54817600.242227718</v>
      </c>
      <c r="B9453">
        <v>163957065.21779746</v>
      </c>
    </row>
    <row r="9454" spans="1:2" x14ac:dyDescent="0.25">
      <c r="A9454">
        <f ca="1">42548.4911412687*((RANDBETWEEN(1620,2416)))</f>
        <v>82416427.34063755</v>
      </c>
      <c r="B9454">
        <v>160058222.6690129</v>
      </c>
    </row>
    <row r="9455" spans="1:2" x14ac:dyDescent="0.25">
      <c r="A9455">
        <f ca="1">29816.6137145992*((RANDBETWEEN(1620,2416)))</f>
        <v>69144727.204155609</v>
      </c>
      <c r="B9455">
        <v>177383752.45194453</v>
      </c>
    </row>
    <row r="9456" spans="1:2" x14ac:dyDescent="0.25">
      <c r="A9456">
        <f ca="1">31862.613515626*((RANDBETWEEN(1620,2416)))</f>
        <v>63406600.896095783</v>
      </c>
      <c r="B9456">
        <v>159590246.51559442</v>
      </c>
    </row>
    <row r="9457" spans="1:2" x14ac:dyDescent="0.25">
      <c r="A9457">
        <f ca="1">31257.6487146131*((RANDBETWEEN(1620,2416)))</f>
        <v>64703332.83924906</v>
      </c>
      <c r="B9457">
        <v>168674054.42151052</v>
      </c>
    </row>
    <row r="9458" spans="1:2" x14ac:dyDescent="0.25">
      <c r="A9458">
        <f ca="1">31642.6387465991*((RANDBETWEEN(1620,2416)))</f>
        <v>67272249.975269675</v>
      </c>
      <c r="B9458">
        <v>144138021.20674711</v>
      </c>
    </row>
    <row r="9459" spans="1:2" x14ac:dyDescent="0.25">
      <c r="A9459">
        <f ca="1">38630.0989186601*((RANDBETWEEN(1620,2416)))</f>
        <v>71658833.494114533</v>
      </c>
      <c r="B9459">
        <v>161373124.53632361</v>
      </c>
    </row>
    <row r="9460" spans="1:2" x14ac:dyDescent="0.25">
      <c r="A9460">
        <f ca="1">28877.2960769082*((RANDBETWEEN(1620,2416)))</f>
        <v>59429475.3262771</v>
      </c>
      <c r="B9460">
        <v>149028567.75291726</v>
      </c>
    </row>
    <row r="9461" spans="1:2" x14ac:dyDescent="0.25">
      <c r="A9461">
        <f ca="1">36338.7025524047*((RANDBETWEEN(1620,2416)))</f>
        <v>71078502.192503601</v>
      </c>
      <c r="B9461">
        <v>177279366.32830411</v>
      </c>
    </row>
    <row r="9462" spans="1:2" x14ac:dyDescent="0.25">
      <c r="A9462">
        <f ca="1">32952.2614684212*((RANDBETWEEN(1620,2416)))</f>
        <v>59478831.950500228</v>
      </c>
      <c r="B9462">
        <v>147258212.17789459</v>
      </c>
    </row>
    <row r="9463" spans="1:2" x14ac:dyDescent="0.25">
      <c r="A9463">
        <f ca="1">35563.2580630983*((RANDBETWEEN(1620,2416)))</f>
        <v>71090952.868133411</v>
      </c>
      <c r="B9463">
        <v>199916862.78938162</v>
      </c>
    </row>
    <row r="9464" spans="1:2" x14ac:dyDescent="0.25">
      <c r="A9464">
        <f ca="1">33123.9455308788*((RANDBETWEEN(1620,2416)))</f>
        <v>53992031.215332367</v>
      </c>
      <c r="B9464">
        <v>146845620.88009307</v>
      </c>
    </row>
    <row r="9465" spans="1:2" x14ac:dyDescent="0.25">
      <c r="A9465">
        <f ca="1">30892.6274704022*((RANDBETWEEN(1620,2416)))</f>
        <v>51189083.71845638</v>
      </c>
      <c r="B9465">
        <v>167518914.05977559</v>
      </c>
    </row>
    <row r="9466" spans="1:2" x14ac:dyDescent="0.25">
      <c r="A9466">
        <f ca="1">28710.2632674785*((RANDBETWEEN(1620,2416)))</f>
        <v>58769908.908528417</v>
      </c>
      <c r="B9466">
        <v>146962574.36747408</v>
      </c>
    </row>
    <row r="9467" spans="1:2" x14ac:dyDescent="0.25">
      <c r="A9467">
        <f ca="1">32225.5662135749*((RANDBETWEEN(1620,2416)))</f>
        <v>75955659.56539607</v>
      </c>
      <c r="B9467">
        <v>201619201.44193411</v>
      </c>
    </row>
    <row r="9468" spans="1:2" x14ac:dyDescent="0.25">
      <c r="A9468">
        <f ca="1">32915.8183920043*((RANDBETWEEN(1620,2416)))</f>
        <v>76990099.218897939</v>
      </c>
      <c r="B9468">
        <v>197754890.17474568</v>
      </c>
    </row>
    <row r="9469" spans="1:2" x14ac:dyDescent="0.25">
      <c r="A9469">
        <f ca="1">29828.5860345096*((RANDBETWEEN(1620,2416)))</f>
        <v>60044943.687467806</v>
      </c>
      <c r="B9469">
        <v>182329778.4759655</v>
      </c>
    </row>
    <row r="9470" spans="1:2" x14ac:dyDescent="0.25">
      <c r="A9470">
        <f ca="1">31967.5049495428*((RANDBETWEEN(1620,2416)))</f>
        <v>65757157.681209616</v>
      </c>
      <c r="B9470">
        <v>200029956.10409167</v>
      </c>
    </row>
    <row r="9471" spans="1:2" x14ac:dyDescent="0.25">
      <c r="A9471">
        <f ca="1">29597.9882957822*((RANDBETWEEN(1620,2416)))</f>
        <v>58308036.942690834</v>
      </c>
      <c r="B9471">
        <v>143892762.08451381</v>
      </c>
    </row>
    <row r="9472" spans="1:2" x14ac:dyDescent="0.25">
      <c r="A9472">
        <f ca="1">31347.2827271977*((RANDBETWEEN(1620,2416)))</f>
        <v>75139436.697092876</v>
      </c>
      <c r="B9472">
        <v>153089904.59705287</v>
      </c>
    </row>
    <row r="9473" spans="1:2" x14ac:dyDescent="0.25">
      <c r="A9473">
        <f ca="1">37309.2336071764*((RANDBETWEEN(1620,2416)))</f>
        <v>72790314.767601177</v>
      </c>
      <c r="B9473">
        <v>173763872.62875491</v>
      </c>
    </row>
    <row r="9474" spans="1:2" x14ac:dyDescent="0.25">
      <c r="A9474">
        <f ca="1">30062.5810758062*((RANDBETWEEN(1620,2416)))</f>
        <v>61538103.462175339</v>
      </c>
      <c r="B9474">
        <v>165537608.83454311</v>
      </c>
    </row>
    <row r="9475" spans="1:2" x14ac:dyDescent="0.25">
      <c r="A9475">
        <f ca="1">36518.0685527221*((RANDBETWEEN(1620,2416)))</f>
        <v>68434860.467801288</v>
      </c>
      <c r="B9475">
        <v>143814951.83325708</v>
      </c>
    </row>
    <row r="9476" spans="1:2" x14ac:dyDescent="0.25">
      <c r="A9476">
        <f ca="1">40385.6543092993*((RANDBETWEEN(1620,2416)))</f>
        <v>71159522.892985359</v>
      </c>
      <c r="B9476">
        <v>177126314.23303032</v>
      </c>
    </row>
    <row r="9477" spans="1:2" x14ac:dyDescent="0.25">
      <c r="A9477">
        <f ca="1">31966.2853689973*((RANDBETWEEN(1620,2416)))</f>
        <v>75600264.897678673</v>
      </c>
      <c r="B9477">
        <v>196929169.70779899</v>
      </c>
    </row>
    <row r="9478" spans="1:2" x14ac:dyDescent="0.25">
      <c r="A9478">
        <f ca="1">31057.1629155842*((RANDBETWEEN(1620,2416)))</f>
        <v>52331319.512759447</v>
      </c>
      <c r="B9478">
        <v>149247076.47132784</v>
      </c>
    </row>
    <row r="9479" spans="1:2" x14ac:dyDescent="0.25">
      <c r="A9479">
        <f ca="1">33007.8453601786*((RANDBETWEEN(1620,2416)))</f>
        <v>70207687.081099927</v>
      </c>
      <c r="B9479">
        <v>195836014.33020192</v>
      </c>
    </row>
    <row r="9480" spans="1:2" x14ac:dyDescent="0.25">
      <c r="A9480">
        <f ca="1">32404.0484331927*((RANDBETWEEN(1620,2416)))</f>
        <v>78190968.869294062</v>
      </c>
      <c r="B9480">
        <v>185438523.60485411</v>
      </c>
    </row>
    <row r="9481" spans="1:2" x14ac:dyDescent="0.25">
      <c r="A9481">
        <f ca="1">31187.8405948628*((RANDBETWEEN(1620,2416)))</f>
        <v>65993470.69872959</v>
      </c>
      <c r="B9481">
        <v>146261093.56203693</v>
      </c>
    </row>
    <row r="9482" spans="1:2" x14ac:dyDescent="0.25">
      <c r="A9482">
        <f ca="1">33699.4735942013*((RANDBETWEEN(1620,2416)))</f>
        <v>64399694.038518749</v>
      </c>
      <c r="B9482">
        <v>144170736.59956637</v>
      </c>
    </row>
    <row r="9483" spans="1:2" x14ac:dyDescent="0.25">
      <c r="A9483">
        <f ca="1">29052.6126653325*((RANDBETWEEN(1620,2416)))</f>
        <v>65571746.785655469</v>
      </c>
      <c r="B9483">
        <v>162558127.33268535</v>
      </c>
    </row>
    <row r="9484" spans="1:2" x14ac:dyDescent="0.25">
      <c r="A9484">
        <f ca="1">40182.4228907497*((RANDBETWEEN(1620,2416)))</f>
        <v>85869837.717532054</v>
      </c>
      <c r="B9484">
        <v>150998667.91291785</v>
      </c>
    </row>
    <row r="9485" spans="1:2" x14ac:dyDescent="0.25">
      <c r="A9485">
        <f ca="1">33570.9646416657*((RANDBETWEEN(1620,2416)))</f>
        <v>69760464.525381342</v>
      </c>
      <c r="B9485">
        <v>173377656.64742351</v>
      </c>
    </row>
    <row r="9486" spans="1:2" x14ac:dyDescent="0.25">
      <c r="A9486">
        <f ca="1">29830.0897945045*((RANDBETWEEN(1620,2416)))</f>
        <v>58765276.895173825</v>
      </c>
      <c r="B9486">
        <v>169957694.28652829</v>
      </c>
    </row>
    <row r="9487" spans="1:2" x14ac:dyDescent="0.25">
      <c r="A9487">
        <f ca="1">37354.1856475207*((RANDBETWEEN(1620,2416)))</f>
        <v>71533265.515002146</v>
      </c>
      <c r="B9487">
        <v>184724848.88486847</v>
      </c>
    </row>
    <row r="9488" spans="1:2" x14ac:dyDescent="0.25">
      <c r="A9488">
        <f ca="1">41218.0657916608*((RANDBETWEEN(1620,2416)))</f>
        <v>95337386.176111355</v>
      </c>
      <c r="B9488">
        <v>187533303.48543993</v>
      </c>
    </row>
    <row r="9489" spans="1:2" x14ac:dyDescent="0.25">
      <c r="A9489">
        <f ca="1">28481.207469049*((RANDBETWEEN(1620,2416)))</f>
        <v>56335828.373778872</v>
      </c>
      <c r="B9489">
        <v>185405823.19453728</v>
      </c>
    </row>
    <row r="9490" spans="1:2" x14ac:dyDescent="0.25">
      <c r="A9490">
        <f ca="1">29181.440228757*((RANDBETWEEN(1620,2416)))</f>
        <v>66241869.3192783</v>
      </c>
      <c r="B9490">
        <v>178152289.43816406</v>
      </c>
    </row>
    <row r="9491" spans="1:2" x14ac:dyDescent="0.25">
      <c r="A9491">
        <f ca="1">36307.1624915183*((RANDBETWEEN(1620,2416)))</f>
        <v>86229510.91735591</v>
      </c>
      <c r="B9491">
        <v>177975982.06411186</v>
      </c>
    </row>
    <row r="9492" spans="1:2" x14ac:dyDescent="0.25">
      <c r="A9492">
        <f ca="1">29365.0985314213*((RANDBETWEEN(1620,2416)))</f>
        <v>50801620.459358878</v>
      </c>
      <c r="B9492">
        <v>148357157.52820942</v>
      </c>
    </row>
    <row r="9493" spans="1:2" x14ac:dyDescent="0.25">
      <c r="A9493">
        <f ca="1">38904.4392703333*((RANDBETWEEN(1620,2416)))</f>
        <v>90569534.621336028</v>
      </c>
      <c r="B9493">
        <v>199531260.45833486</v>
      </c>
    </row>
    <row r="9494" spans="1:2" x14ac:dyDescent="0.25">
      <c r="A9494">
        <f ca="1">30232.1938185195*((RANDBETWEEN(1620,2416)))</f>
        <v>56987685.347909264</v>
      </c>
      <c r="B9494">
        <v>165083009.73551199</v>
      </c>
    </row>
    <row r="9495" spans="1:2" x14ac:dyDescent="0.25">
      <c r="A9495">
        <f ca="1">34512.9055452324*((RANDBETWEEN(1620,2416)))</f>
        <v>67024062.568841271</v>
      </c>
      <c r="B9495">
        <v>163544204.78259596</v>
      </c>
    </row>
    <row r="9496" spans="1:2" x14ac:dyDescent="0.25">
      <c r="A9496">
        <f ca="1">40115.9948227793*((RANDBETWEEN(1620,2416)))</f>
        <v>93751079.900835246</v>
      </c>
      <c r="B9496">
        <v>166920616.03677922</v>
      </c>
    </row>
    <row r="9497" spans="1:2" x14ac:dyDescent="0.25">
      <c r="A9497">
        <f ca="1">31569.2052427837*((RANDBETWEEN(1620,2416)))</f>
        <v>70209912.459950939</v>
      </c>
      <c r="B9497">
        <v>182116886.14396459</v>
      </c>
    </row>
    <row r="9498" spans="1:2" x14ac:dyDescent="0.25">
      <c r="A9498">
        <f ca="1">33400.9276113204*((RANDBETWEEN(1620,2416)))</f>
        <v>55311936.124346539</v>
      </c>
      <c r="B9498">
        <v>148822496.92554903</v>
      </c>
    </row>
    <row r="9499" spans="1:2" x14ac:dyDescent="0.25">
      <c r="A9499">
        <f ca="1">33606.3677007045*((RANDBETWEEN(1620,2416)))</f>
        <v>62608663.026412517</v>
      </c>
      <c r="B9499">
        <v>182465435.37532875</v>
      </c>
    </row>
    <row r="9500" spans="1:2" x14ac:dyDescent="0.25">
      <c r="A9500">
        <f ca="1">36125.9897235373*((RANDBETWEEN(1620,2416)))</f>
        <v>81283476.877958983</v>
      </c>
      <c r="B9500">
        <v>159709910.02300745</v>
      </c>
    </row>
    <row r="9501" spans="1:2" x14ac:dyDescent="0.25">
      <c r="A9501">
        <f ca="1">31993.6332736542*((RANDBETWEEN(1620,2416)))</f>
        <v>61075845.919405892</v>
      </c>
      <c r="B9501">
        <v>151075555.6280188</v>
      </c>
    </row>
    <row r="9502" spans="1:2" x14ac:dyDescent="0.25">
      <c r="A9502">
        <f ca="1">30418.1976431948*((RANDBETWEEN(1620,2416)))</f>
        <v>53049336.689731695</v>
      </c>
      <c r="B9502">
        <v>153300215.8690356</v>
      </c>
    </row>
    <row r="9503" spans="1:2" x14ac:dyDescent="0.25">
      <c r="A9503">
        <f ca="1">33007.0948546874*((RANDBETWEEN(1620,2416)))</f>
        <v>74662048.561302811</v>
      </c>
      <c r="B9503">
        <v>169622279.32729059</v>
      </c>
    </row>
    <row r="9504" spans="1:2" x14ac:dyDescent="0.25">
      <c r="A9504">
        <f ca="1">31540.7169705524*((RANDBETWEEN(1620,2416)))</f>
        <v>70714287.447978392</v>
      </c>
      <c r="B9504">
        <v>201378111.25088814</v>
      </c>
    </row>
    <row r="9505" spans="1:2" x14ac:dyDescent="0.25">
      <c r="A9505">
        <f ca="1">35187.2231338409*((RANDBETWEEN(1620,2416)))</f>
        <v>62562882.731969088</v>
      </c>
      <c r="B9505">
        <v>180865149.27517164</v>
      </c>
    </row>
    <row r="9506" spans="1:2" x14ac:dyDescent="0.25">
      <c r="A9506">
        <f ca="1">31770.6802834864*((RANDBETWEEN(1620,2416)))</f>
        <v>59220548.048418611</v>
      </c>
      <c r="B9506">
        <v>151843448.9664664</v>
      </c>
    </row>
    <row r="9507" spans="1:2" x14ac:dyDescent="0.25">
      <c r="A9507">
        <f ca="1">33163.1360498596*((RANDBETWEEN(1620,2416)))</f>
        <v>66259945.827619664</v>
      </c>
      <c r="B9507">
        <v>190526188.64605629</v>
      </c>
    </row>
    <row r="9508" spans="1:2" x14ac:dyDescent="0.25">
      <c r="A9508">
        <f ca="1">29149.8713046465*((RANDBETWEEN(1620,2416)))</f>
        <v>55384755.478828311</v>
      </c>
      <c r="B9508">
        <v>151283090.30029753</v>
      </c>
    </row>
    <row r="9509" spans="1:2" x14ac:dyDescent="0.25">
      <c r="A9509">
        <f ca="1">32417.5951346293*((RANDBETWEEN(1620,2416)))</f>
        <v>53586284.7575422</v>
      </c>
      <c r="B9509">
        <v>156289600.88647446</v>
      </c>
    </row>
    <row r="9510" spans="1:2" x14ac:dyDescent="0.25">
      <c r="A9510">
        <f ca="1">33418.6342996914*((RANDBETWEEN(1620,2416)))</f>
        <v>79837117.341962695</v>
      </c>
      <c r="B9510">
        <v>183356164.22506541</v>
      </c>
    </row>
    <row r="9511" spans="1:2" x14ac:dyDescent="0.25">
      <c r="A9511">
        <f ca="1">29846.7053783561*((RANDBETWEEN(1620,2416)))</f>
        <v>66856620.047517791</v>
      </c>
      <c r="B9511">
        <v>182485663.83021975</v>
      </c>
    </row>
    <row r="9512" spans="1:2" x14ac:dyDescent="0.25">
      <c r="A9512">
        <f ca="1">30344.6819984122*((RANDBETWEEN(1620,2416)))</f>
        <v>68184500.450432137</v>
      </c>
      <c r="B9512">
        <v>145435127.95021048</v>
      </c>
    </row>
    <row r="9513" spans="1:2" x14ac:dyDescent="0.25">
      <c r="A9513">
        <f ca="1">29065.5360995789*((RANDBETWEEN(1620,2416)))</f>
        <v>65862504.801645823</v>
      </c>
      <c r="B9513">
        <v>196144978.79017386</v>
      </c>
    </row>
    <row r="9514" spans="1:2" x14ac:dyDescent="0.25">
      <c r="A9514">
        <f ca="1">32068.8013760863*((RANDBETWEEN(1620,2416)))</f>
        <v>76548228.88471806</v>
      </c>
      <c r="B9514">
        <v>148627619.75312993</v>
      </c>
    </row>
    <row r="9515" spans="1:2" x14ac:dyDescent="0.25">
      <c r="A9515">
        <f ca="1">29701.3908090579*((RANDBETWEEN(1620,2416)))</f>
        <v>65937087.596108444</v>
      </c>
      <c r="B9515">
        <v>162618236.56132442</v>
      </c>
    </row>
    <row r="9516" spans="1:2" x14ac:dyDescent="0.25">
      <c r="A9516">
        <f ca="1">30681.0220119193*((RANDBETWEEN(1620,2416)))</f>
        <v>54949710.42334751</v>
      </c>
      <c r="B9516">
        <v>146856470.18161261</v>
      </c>
    </row>
    <row r="9517" spans="1:2" x14ac:dyDescent="0.25">
      <c r="A9517">
        <f ca="1">32665.0269325314*((RANDBETWEEN(1620,2416)))</f>
        <v>71177093.685985982</v>
      </c>
      <c r="B9517">
        <v>193070315.64088017</v>
      </c>
    </row>
    <row r="9518" spans="1:2" x14ac:dyDescent="0.25">
      <c r="A9518">
        <f ca="1">31755.7341728087*((RANDBETWEEN(1620,2416)))</f>
        <v>52555740.055998452</v>
      </c>
      <c r="B9518">
        <v>150021070.43944591</v>
      </c>
    </row>
    <row r="9519" spans="1:2" x14ac:dyDescent="0.25">
      <c r="A9519">
        <f ca="1">31363.686240799*((RANDBETWEEN(1620,2416)))</f>
        <v>65895104.791918755</v>
      </c>
      <c r="B9519">
        <v>164337789.4863157</v>
      </c>
    </row>
    <row r="9520" spans="1:2" x14ac:dyDescent="0.25">
      <c r="A9520">
        <f ca="1">30961.4040194865*((RANDBETWEEN(1620,2416)))</f>
        <v>73997755.606572643</v>
      </c>
      <c r="B9520">
        <v>144343400.76474038</v>
      </c>
    </row>
    <row r="9521" spans="1:2" x14ac:dyDescent="0.25">
      <c r="A9521">
        <f ca="1">31930.3603158877*((RANDBETWEEN(1620,2416)))</f>
        <v>53387562.448164269</v>
      </c>
      <c r="B9521">
        <v>173197551.27457562</v>
      </c>
    </row>
    <row r="9522" spans="1:2" x14ac:dyDescent="0.25">
      <c r="A9522">
        <f ca="1">29427.777858994*((RANDBETWEEN(1620,2416)))</f>
        <v>69596694.636520848</v>
      </c>
      <c r="B9522">
        <v>148323767.12955463</v>
      </c>
    </row>
    <row r="9523" spans="1:2" x14ac:dyDescent="0.25">
      <c r="A9523">
        <f ca="1">34179.1216075936*((RANDBETWEEN(1620,2416)))</f>
        <v>76937202.738693088</v>
      </c>
      <c r="B9523">
        <v>146413689.73588997</v>
      </c>
    </row>
    <row r="9524" spans="1:2" x14ac:dyDescent="0.25">
      <c r="A9524">
        <f ca="1">42076.0365913119*((RANDBETWEEN(1620,2416)))</f>
        <v>68415635.497473195</v>
      </c>
      <c r="B9524">
        <v>197366048.79905027</v>
      </c>
    </row>
    <row r="9525" spans="1:2" x14ac:dyDescent="0.25">
      <c r="A9525">
        <f ca="1">38255.3544919821*((RANDBETWEEN(1620,2416)))</f>
        <v>71690534.317974493</v>
      </c>
      <c r="B9525">
        <v>143370189.08635509</v>
      </c>
    </row>
    <row r="9526" spans="1:2" x14ac:dyDescent="0.25">
      <c r="A9526">
        <f ca="1">28996.3293973445*((RANDBETWEEN(1620,2416)))</f>
        <v>53759194.702676721</v>
      </c>
      <c r="B9526">
        <v>157076736.05672145</v>
      </c>
    </row>
    <row r="9527" spans="1:2" x14ac:dyDescent="0.25">
      <c r="A9527">
        <f ca="1">38700.4786746529*((RANDBETWEEN(1620,2416)))</f>
        <v>64784601.301368967</v>
      </c>
      <c r="B9527">
        <v>178219546.57547474</v>
      </c>
    </row>
    <row r="9528" spans="1:2" x14ac:dyDescent="0.25">
      <c r="A9528">
        <f ca="1">31305.3113726146*((RANDBETWEEN(1620,2416)))</f>
        <v>68683853.151516467</v>
      </c>
      <c r="B9528">
        <v>150378483.36751953</v>
      </c>
    </row>
    <row r="9529" spans="1:2" x14ac:dyDescent="0.25">
      <c r="A9529">
        <f ca="1">32649.9678100697*((RANDBETWEEN(1620,2416)))</f>
        <v>72580878.441784978</v>
      </c>
      <c r="B9529">
        <v>151264144.2167266</v>
      </c>
    </row>
    <row r="9530" spans="1:2" x14ac:dyDescent="0.25">
      <c r="A9530">
        <f ca="1">32931.6541571404*((RANDBETWEEN(1620,2416)))</f>
        <v>77060070.727708593</v>
      </c>
      <c r="B9530">
        <v>163316864.65280071</v>
      </c>
    </row>
    <row r="9531" spans="1:2" x14ac:dyDescent="0.25">
      <c r="A9531">
        <f ca="1">37140.0169276097*((RANDBETWEEN(1620,2416)))</f>
        <v>77808335.463342369</v>
      </c>
      <c r="B9531">
        <v>175126762.82062137</v>
      </c>
    </row>
    <row r="9532" spans="1:2" x14ac:dyDescent="0.25">
      <c r="A9532">
        <f ca="1">40889.3411618187*((RANDBETWEEN(1620,2416)))</f>
        <v>71433679.009697258</v>
      </c>
      <c r="B9532">
        <v>171766656.08556494</v>
      </c>
    </row>
    <row r="9533" spans="1:2" x14ac:dyDescent="0.25">
      <c r="A9533">
        <f ca="1">38205.2758452549*((RANDBETWEEN(1620,2416)))</f>
        <v>75455419.79437843</v>
      </c>
      <c r="B9533">
        <v>150444587.04711142</v>
      </c>
    </row>
    <row r="9534" spans="1:2" x14ac:dyDescent="0.25">
      <c r="A9534">
        <f ca="1">30830.2263627882*((RANDBETWEEN(1620,2416)))</f>
        <v>55247765.642116517</v>
      </c>
      <c r="B9534">
        <v>196575061.97092167</v>
      </c>
    </row>
    <row r="9535" spans="1:2" x14ac:dyDescent="0.25">
      <c r="A9535">
        <f ca="1">35170.4418425647*((RANDBETWEEN(1620,2416)))</f>
        <v>72837985.055951461</v>
      </c>
      <c r="B9535">
        <v>178266508.52100301</v>
      </c>
    </row>
    <row r="9536" spans="1:2" x14ac:dyDescent="0.25">
      <c r="A9536">
        <f ca="1">34622.7755211671*((RANDBETWEEN(1620,2416)))</f>
        <v>66060255.694386899</v>
      </c>
      <c r="B9536">
        <v>175538733.73564434</v>
      </c>
    </row>
    <row r="9537" spans="1:2" x14ac:dyDescent="0.25">
      <c r="A9537">
        <f ca="1">38605.9240913659*((RANDBETWEEN(1620,2416)))</f>
        <v>90260650.525613353</v>
      </c>
      <c r="B9537">
        <v>152569932.62839594</v>
      </c>
    </row>
    <row r="9538" spans="1:2" x14ac:dyDescent="0.25">
      <c r="A9538">
        <f ca="1">35261.1977123782*((RANDBETWEEN(1620,2416)))</f>
        <v>79090866.468864396</v>
      </c>
      <c r="B9538">
        <v>170348935.08875903</v>
      </c>
    </row>
    <row r="9539" spans="1:2" x14ac:dyDescent="0.25">
      <c r="A9539">
        <f ca="1">30029.0510909746*((RANDBETWEEN(1620,2416)))</f>
        <v>64232140.283594631</v>
      </c>
      <c r="B9539">
        <v>152151478.13437724</v>
      </c>
    </row>
    <row r="9540" spans="1:2" x14ac:dyDescent="0.25">
      <c r="A9540">
        <f ca="1">30881.6462122822*((RANDBETWEEN(1620,2416)))</f>
        <v>56142832.813929006</v>
      </c>
      <c r="B9540">
        <v>166872327.33079097</v>
      </c>
    </row>
    <row r="9541" spans="1:2" x14ac:dyDescent="0.25">
      <c r="A9541">
        <f ca="1">40964.4048807169*((RANDBETWEEN(1620,2416)))</f>
        <v>72916640.687676117</v>
      </c>
      <c r="B9541">
        <v>202051981.85403311</v>
      </c>
    </row>
    <row r="9542" spans="1:2" x14ac:dyDescent="0.25">
      <c r="A9542">
        <f ca="1">39689.1668964645*((RANDBETWEEN(1620,2416)))</f>
        <v>80370562.965340704</v>
      </c>
      <c r="B9542">
        <v>199828290.392598</v>
      </c>
    </row>
    <row r="9543" spans="1:2" x14ac:dyDescent="0.25">
      <c r="A9543">
        <f ca="1">34870.2192987826*((RANDBETWEEN(1620,2416)))</f>
        <v>59907036.755308554</v>
      </c>
      <c r="B9543">
        <v>170780077.43629044</v>
      </c>
    </row>
    <row r="9544" spans="1:2" x14ac:dyDescent="0.25">
      <c r="A9544">
        <f ca="1">30268.5356295416*((RANDBETWEEN(1620,2416)))</f>
        <v>71978577.727049828</v>
      </c>
      <c r="B9544">
        <v>165903941.2846213</v>
      </c>
    </row>
    <row r="9545" spans="1:2" x14ac:dyDescent="0.25">
      <c r="A9545">
        <f ca="1">40263.0128723434*((RANDBETWEEN(1620,2416)))</f>
        <v>97154650.060964629</v>
      </c>
      <c r="B9545">
        <v>147648558.0645721</v>
      </c>
    </row>
    <row r="9546" spans="1:2" x14ac:dyDescent="0.25">
      <c r="A9546">
        <f ca="1">40753.8548817183*((RANDBETWEEN(1620,2416)))</f>
        <v>76943278.01668416</v>
      </c>
      <c r="B9546">
        <v>185755759.24950638</v>
      </c>
    </row>
    <row r="9547" spans="1:2" x14ac:dyDescent="0.25">
      <c r="A9547">
        <f ca="1">38084.1424086286*((RANDBETWEEN(1620,2416)))</f>
        <v>91211521.068665609</v>
      </c>
      <c r="B9547">
        <v>150736275.65979514</v>
      </c>
    </row>
    <row r="9548" spans="1:2" x14ac:dyDescent="0.25">
      <c r="A9548">
        <f ca="1">37523.5499790945*((RANDBETWEEN(1620,2416)))</f>
        <v>78011460.406537503</v>
      </c>
      <c r="B9548">
        <v>148504218.86762995</v>
      </c>
    </row>
    <row r="9549" spans="1:2" x14ac:dyDescent="0.25">
      <c r="A9549">
        <f ca="1">30981.1707867271*((RANDBETWEEN(1620,2416)))</f>
        <v>73146544.227462724</v>
      </c>
      <c r="B9549">
        <v>151088493.52162901</v>
      </c>
    </row>
    <row r="9550" spans="1:2" x14ac:dyDescent="0.25">
      <c r="A9550">
        <f ca="1">30426.471091283*((RANDBETWEEN(1620,2416)))</f>
        <v>57293045.064885929</v>
      </c>
      <c r="B9550">
        <v>145662656.120217</v>
      </c>
    </row>
    <row r="9551" spans="1:2" x14ac:dyDescent="0.25">
      <c r="A9551">
        <f ca="1">33244.5929263032*((RANDBETWEEN(1620,2416)))</f>
        <v>59241864.594672382</v>
      </c>
      <c r="B9551">
        <v>164196607.10890681</v>
      </c>
    </row>
    <row r="9552" spans="1:2" x14ac:dyDescent="0.25">
      <c r="A9552">
        <f ca="1">33613.6040607578*((RANDBETWEEN(1620,2416)))</f>
        <v>73412111.268694982</v>
      </c>
      <c r="B9552">
        <v>149757222.70582226</v>
      </c>
    </row>
    <row r="9553" spans="1:2" x14ac:dyDescent="0.25">
      <c r="A9553">
        <f ca="1">36111.6144315995*((RANDBETWEEN(1620,2416)))</f>
        <v>64784236.290289573</v>
      </c>
      <c r="B9553">
        <v>158084691.09164411</v>
      </c>
    </row>
    <row r="9554" spans="1:2" x14ac:dyDescent="0.25">
      <c r="A9554">
        <f ca="1">36737.9153280065*((RANDBETWEEN(1620,2416)))</f>
        <v>61462532.343754873</v>
      </c>
      <c r="B9554">
        <v>191870987.63841069</v>
      </c>
    </row>
    <row r="9555" spans="1:2" x14ac:dyDescent="0.25">
      <c r="A9555">
        <f ca="1">29030.2265484761*((RANDBETWEEN(1620,2416)))</f>
        <v>62211775.493384331</v>
      </c>
      <c r="B9555">
        <v>153400296.58079296</v>
      </c>
    </row>
    <row r="9556" spans="1:2" x14ac:dyDescent="0.25">
      <c r="A9556">
        <f ca="1">31344.7930456144*((RANDBETWEEN(1620,2416)))</f>
        <v>56890799.37779022</v>
      </c>
      <c r="B9556">
        <v>183700553.01369843</v>
      </c>
    </row>
    <row r="9557" spans="1:2" x14ac:dyDescent="0.25">
      <c r="A9557">
        <f ca="1">29848.8500185758*((RANDBETWEEN(1620,2416)))</f>
        <v>60951351.737931743</v>
      </c>
      <c r="B9557">
        <v>190258750.32428089</v>
      </c>
    </row>
    <row r="9558" spans="1:2" x14ac:dyDescent="0.25">
      <c r="A9558">
        <f ca="1">37669.2365723698*((RANDBETWEEN(1620,2416)))</f>
        <v>78841712.145969942</v>
      </c>
      <c r="B9558">
        <v>160015266.18999916</v>
      </c>
    </row>
    <row r="9559" spans="1:2" x14ac:dyDescent="0.25">
      <c r="A9559">
        <f ca="1">32018.3004957204*((RANDBETWEEN(1620,2416)))</f>
        <v>56640373.576929405</v>
      </c>
      <c r="B9559">
        <v>145634048.72087082</v>
      </c>
    </row>
    <row r="9560" spans="1:2" x14ac:dyDescent="0.25">
      <c r="A9560">
        <f ca="1">31505.7675019488*((RANDBETWEEN(1620,2416)))</f>
        <v>68020952.036707491</v>
      </c>
      <c r="B9560">
        <v>144603702.52650884</v>
      </c>
    </row>
    <row r="9561" spans="1:2" x14ac:dyDescent="0.25">
      <c r="A9561">
        <f ca="1">40756.4927958501*((RANDBETWEEN(1620,2416)))</f>
        <v>92843290.588946581</v>
      </c>
      <c r="B9561">
        <v>159124619.15262702</v>
      </c>
    </row>
    <row r="9562" spans="1:2" x14ac:dyDescent="0.25">
      <c r="A9562">
        <f ca="1">31386.6219966101*((RANDBETWEEN(1620,2416)))</f>
        <v>69489981.100494832</v>
      </c>
      <c r="B9562">
        <v>162305437.8383832</v>
      </c>
    </row>
    <row r="9563" spans="1:2" x14ac:dyDescent="0.25">
      <c r="A9563">
        <f ca="1">30260.9770798236*((RANDBETWEEN(1620,2416)))</f>
        <v>63184920.142671742</v>
      </c>
      <c r="B9563">
        <v>148833932.39375651</v>
      </c>
    </row>
    <row r="9564" spans="1:2" x14ac:dyDescent="0.25">
      <c r="A9564">
        <f ca="1">39474.3640771834*((RANDBETWEEN(1620,2416)))</f>
        <v>80409279.625222549</v>
      </c>
      <c r="B9564">
        <v>157934274.27132744</v>
      </c>
    </row>
    <row r="9565" spans="1:2" x14ac:dyDescent="0.25">
      <c r="A9565">
        <f ca="1">40499.4412400784*((RANDBETWEEN(1620,2416)))</f>
        <v>88774775.198251784</v>
      </c>
      <c r="B9565">
        <v>172363804.36860776</v>
      </c>
    </row>
    <row r="9566" spans="1:2" x14ac:dyDescent="0.25">
      <c r="A9566">
        <f ca="1">29770.1438767171*((RANDBETWEEN(1620,2416)))</f>
        <v>63469946.745160758</v>
      </c>
      <c r="B9566">
        <v>148332439.9605149</v>
      </c>
    </row>
    <row r="9567" spans="1:2" x14ac:dyDescent="0.25">
      <c r="A9567">
        <f ca="1">36301.6400692716*((RANDBETWEEN(1620,2416)))</f>
        <v>68283384.970299855</v>
      </c>
      <c r="B9567">
        <v>155843658.7151092</v>
      </c>
    </row>
    <row r="9568" spans="1:2" x14ac:dyDescent="0.25">
      <c r="A9568">
        <f ca="1">31501.0784762316*((RANDBETWEEN(1620,2416)))</f>
        <v>56355429.393978275</v>
      </c>
      <c r="B9568">
        <v>171249434.08218867</v>
      </c>
    </row>
    <row r="9569" spans="1:2" x14ac:dyDescent="0.25">
      <c r="A9569">
        <f ca="1">38303.6009771177*((RANDBETWEEN(1620,2416)))</f>
        <v>84267922.149658844</v>
      </c>
      <c r="B9569">
        <v>179490092.53502923</v>
      </c>
    </row>
    <row r="9570" spans="1:2" x14ac:dyDescent="0.25">
      <c r="A9570">
        <f ca="1">40373.396508393*((RANDBETWEEN(1620,2416)))</f>
        <v>91930223.84961082</v>
      </c>
      <c r="B9570">
        <v>171343338.90837535</v>
      </c>
    </row>
    <row r="9571" spans="1:2" x14ac:dyDescent="0.25">
      <c r="A9571">
        <f ca="1">32525.0068127284*((RANDBETWEEN(1620,2416)))</f>
        <v>72856015.260511652</v>
      </c>
      <c r="B9571">
        <v>149000068.88964325</v>
      </c>
    </row>
    <row r="9572" spans="1:2" x14ac:dyDescent="0.25">
      <c r="A9572">
        <f ca="1">36175.1208178096*((RANDBETWEEN(1620,2416)))</f>
        <v>77848859.999926239</v>
      </c>
      <c r="B9572">
        <v>151788341.33503175</v>
      </c>
    </row>
    <row r="9573" spans="1:2" x14ac:dyDescent="0.25">
      <c r="A9573">
        <f ca="1">37537.1008806265*((RANDBETWEEN(1620,2416)))</f>
        <v>76688297.099119976</v>
      </c>
      <c r="B9573">
        <v>159137336.19254601</v>
      </c>
    </row>
    <row r="9574" spans="1:2" x14ac:dyDescent="0.25">
      <c r="A9574">
        <f ca="1">30075.5065153955*((RANDBETWEEN(1620,2416)))</f>
        <v>51038134.556626327</v>
      </c>
      <c r="B9574">
        <v>161904396.51517272</v>
      </c>
    </row>
    <row r="9575" spans="1:2" x14ac:dyDescent="0.25">
      <c r="A9575">
        <f ca="1">35344.438109288*((RANDBETWEEN(1620,2416)))</f>
        <v>72597475.876477584</v>
      </c>
      <c r="B9575">
        <v>145287234.17815831</v>
      </c>
    </row>
    <row r="9576" spans="1:2" x14ac:dyDescent="0.25">
      <c r="A9576">
        <f ca="1">37599.037296314*((RANDBETWEEN(1620,2416)))</f>
        <v>83206669.536742896</v>
      </c>
      <c r="B9576">
        <v>145551909.60438505</v>
      </c>
    </row>
    <row r="9577" spans="1:2" x14ac:dyDescent="0.25">
      <c r="A9577">
        <f ca="1">32180.1449832962*((RANDBETWEEN(1620,2416)))</f>
        <v>74368315.056397408</v>
      </c>
      <c r="B9577">
        <v>184026561.89065886</v>
      </c>
    </row>
    <row r="9578" spans="1:2" x14ac:dyDescent="0.25">
      <c r="A9578">
        <f ca="1">33922.0882177801*((RANDBETWEEN(1620,2416)))</f>
        <v>66792591.700809084</v>
      </c>
      <c r="B9578">
        <v>153848463.86780769</v>
      </c>
    </row>
    <row r="9579" spans="1:2" x14ac:dyDescent="0.25">
      <c r="A9579">
        <f ca="1">32135.1910551167*((RANDBETWEEN(1620,2416)))</f>
        <v>74810724.776311591</v>
      </c>
      <c r="B9579">
        <v>150171717.70106256</v>
      </c>
    </row>
    <row r="9580" spans="1:2" x14ac:dyDescent="0.25">
      <c r="A9580">
        <f ca="1">42083.6077354053*((RANDBETWEEN(1620,2416)))</f>
        <v>77391754.625410259</v>
      </c>
      <c r="B9580">
        <v>172567515.67245248</v>
      </c>
    </row>
    <row r="9581" spans="1:2" x14ac:dyDescent="0.25">
      <c r="A9581">
        <f ca="1">33779.607039049*((RANDBETWEEN(1620,2416)))</f>
        <v>57222654.324149087</v>
      </c>
      <c r="B9581">
        <v>174630462.18279761</v>
      </c>
    </row>
    <row r="9582" spans="1:2" x14ac:dyDescent="0.25">
      <c r="A9582">
        <f ca="1">32909.27846558*((RANDBETWEEN(1620,2416)))</f>
        <v>75691340.470833987</v>
      </c>
      <c r="B9582">
        <v>148109512.55177316</v>
      </c>
    </row>
    <row r="9583" spans="1:2" x14ac:dyDescent="0.25">
      <c r="A9583">
        <f ca="1">34534.1046941216*((RANDBETWEEN(1620,2416)))</f>
        <v>80188191.099750251</v>
      </c>
      <c r="B9583">
        <v>201996537.96374154</v>
      </c>
    </row>
    <row r="9584" spans="1:2" x14ac:dyDescent="0.25">
      <c r="A9584">
        <f ca="1">34828.0116606777*((RANDBETWEEN(1620,2416)))</f>
        <v>62655592.977559157</v>
      </c>
      <c r="B9584">
        <v>183914588.80053785</v>
      </c>
    </row>
    <row r="9585" spans="1:2" x14ac:dyDescent="0.25">
      <c r="A9585">
        <f ca="1">32782.9845184809*((RANDBETWEEN(1620,2416)))</f>
        <v>70385067.761178404</v>
      </c>
      <c r="B9585">
        <v>167267040.46264827</v>
      </c>
    </row>
    <row r="9586" spans="1:2" x14ac:dyDescent="0.25">
      <c r="A9586">
        <f ca="1">30965.2532794238*((RANDBETWEEN(1620,2416)))</f>
        <v>61001548.960464835</v>
      </c>
      <c r="B9586">
        <v>152330971.99421382</v>
      </c>
    </row>
    <row r="9587" spans="1:2" x14ac:dyDescent="0.25">
      <c r="A9587">
        <f ca="1">32855.4601664068*((RANDBETWEEN(1620,2416)))</f>
        <v>75896112.984399736</v>
      </c>
      <c r="B9587">
        <v>198505583.93360159</v>
      </c>
    </row>
    <row r="9588" spans="1:2" x14ac:dyDescent="0.25">
      <c r="A9588">
        <f ca="1">30605.0144015712*((RANDBETWEEN(1620,2416)))</f>
        <v>56986536.815725535</v>
      </c>
      <c r="B9588">
        <v>173157432.8548677</v>
      </c>
    </row>
    <row r="9589" spans="1:2" x14ac:dyDescent="0.25">
      <c r="A9589">
        <f ca="1">32834.9410553484*((RANDBETWEEN(1620,2416)))</f>
        <v>53652293.684439257</v>
      </c>
      <c r="B9589">
        <v>165404673.21971744</v>
      </c>
    </row>
    <row r="9590" spans="1:2" x14ac:dyDescent="0.25">
      <c r="A9590">
        <f ca="1">34964.3308586719*((RANDBETWEEN(1620,2416)))</f>
        <v>71537020.93684262</v>
      </c>
      <c r="B9590">
        <v>158696464.05220366</v>
      </c>
    </row>
    <row r="9591" spans="1:2" x14ac:dyDescent="0.25">
      <c r="A9591">
        <f ca="1">28581.4038574444*((RANDBETWEEN(1620,2416)))</f>
        <v>51074968.693253152</v>
      </c>
      <c r="B9591">
        <v>195774631.00459951</v>
      </c>
    </row>
    <row r="9592" spans="1:2" x14ac:dyDescent="0.25">
      <c r="A9592">
        <f ca="1">37215.8005782994*((RANDBETWEEN(1620,2416)))</f>
        <v>80572208.252018258</v>
      </c>
      <c r="B9592">
        <v>143513406.68394566</v>
      </c>
    </row>
    <row r="9593" spans="1:2" x14ac:dyDescent="0.25">
      <c r="A9593">
        <f ca="1">37217.186490169*((RANDBETWEEN(1620,2416)))</f>
        <v>66916501.309323862</v>
      </c>
      <c r="B9593">
        <v>144939077.64547282</v>
      </c>
    </row>
    <row r="9594" spans="1:2" x14ac:dyDescent="0.25">
      <c r="A9594">
        <f ca="1">35169.9602969514*((RANDBETWEEN(1620,2416)))</f>
        <v>83810015.387635291</v>
      </c>
      <c r="B9594">
        <v>157075770.70094156</v>
      </c>
    </row>
    <row r="9595" spans="1:2" x14ac:dyDescent="0.25">
      <c r="A9595">
        <f ca="1">35334.808220265*((RANDBETWEEN(1620,2416)))</f>
        <v>78231265.399666622</v>
      </c>
      <c r="B9595">
        <v>167584975.97036731</v>
      </c>
    </row>
    <row r="9596" spans="1:2" x14ac:dyDescent="0.25">
      <c r="A9596">
        <f ca="1">33532.5581587735*((RANDBETWEEN(1620,2416)))</f>
        <v>74744072.1359061</v>
      </c>
      <c r="B9596">
        <v>165163502.01895052</v>
      </c>
    </row>
    <row r="9597" spans="1:2" x14ac:dyDescent="0.25">
      <c r="A9597">
        <f ca="1">31775.5612277217*((RANDBETWEEN(1620,2416)))</f>
        <v>52556778.270651616</v>
      </c>
      <c r="B9597">
        <v>199358360.13809642</v>
      </c>
    </row>
    <row r="9598" spans="1:2" x14ac:dyDescent="0.25">
      <c r="A9598">
        <f ca="1">33306.3794354139*((RANDBETWEEN(1620,2416)))</f>
        <v>70676137.161948293</v>
      </c>
      <c r="B9598">
        <v>186467428.98525006</v>
      </c>
    </row>
    <row r="9599" spans="1:2" x14ac:dyDescent="0.25">
      <c r="A9599">
        <f ca="1">38263.1008249582*((RANDBETWEEN(1620,2416)))</f>
        <v>69983211.408848479</v>
      </c>
      <c r="B9599">
        <v>157262213.18237799</v>
      </c>
    </row>
    <row r="9600" spans="1:2" x14ac:dyDescent="0.25">
      <c r="A9600">
        <f ca="1">37440.7199856796*((RANDBETWEEN(1620,2416)))</f>
        <v>66794244.454452455</v>
      </c>
      <c r="B9600">
        <v>145716662.00380754</v>
      </c>
    </row>
    <row r="9601" spans="1:2" x14ac:dyDescent="0.25">
      <c r="A9601">
        <f ca="1">40495.9682159197*((RANDBETWEEN(1620,2416)))</f>
        <v>89010138.138591602</v>
      </c>
      <c r="B9601">
        <v>189480369.88471699</v>
      </c>
    </row>
    <row r="9602" spans="1:2" x14ac:dyDescent="0.25">
      <c r="A9602">
        <f ca="1">34303.1390107594*((RANDBETWEEN(1620,2416)))</f>
        <v>60339221.519925743</v>
      </c>
      <c r="B9602">
        <v>150215045.57831681</v>
      </c>
    </row>
    <row r="9603" spans="1:2" x14ac:dyDescent="0.25">
      <c r="A9603">
        <f ca="1">29696.1468017025*((RANDBETWEEN(1620,2416)))</f>
        <v>63698234.889651924</v>
      </c>
      <c r="B9603">
        <v>162508378.06318548</v>
      </c>
    </row>
    <row r="9604" spans="1:2" x14ac:dyDescent="0.25">
      <c r="A9604">
        <f ca="1">32765.815766346*((RANDBETWEEN(1620,2416)))</f>
        <v>68906510.556625664</v>
      </c>
      <c r="B9604">
        <v>159854379.65042782</v>
      </c>
    </row>
    <row r="9605" spans="1:2" x14ac:dyDescent="0.25">
      <c r="A9605">
        <f ca="1">29861.2482617453*((RANDBETWEEN(1620,2416)))</f>
        <v>57900960.379524089</v>
      </c>
      <c r="B9605">
        <v>147172622.78928518</v>
      </c>
    </row>
    <row r="9606" spans="1:2" x14ac:dyDescent="0.25">
      <c r="A9606">
        <f ca="1">30296.7746986169*((RANDBETWEEN(1620,2416)))</f>
        <v>63562633.317698196</v>
      </c>
      <c r="B9606">
        <v>161414165.76368609</v>
      </c>
    </row>
    <row r="9607" spans="1:2" x14ac:dyDescent="0.25">
      <c r="A9607">
        <f ca="1">32876.5779652995*((RANDBETWEEN(1620,2416)))</f>
        <v>55265527.559668444</v>
      </c>
      <c r="B9607">
        <v>186887058.42643726</v>
      </c>
    </row>
    <row r="9608" spans="1:2" x14ac:dyDescent="0.25">
      <c r="A9608">
        <f ca="1">33178.6365328608*((RANDBETWEEN(1620,2416)))</f>
        <v>76012256.296784073</v>
      </c>
      <c r="B9608">
        <v>149229775.92217258</v>
      </c>
    </row>
    <row r="9609" spans="1:2" x14ac:dyDescent="0.25">
      <c r="A9609">
        <f ca="1">29418.7813168025*((RANDBETWEEN(1620,2416)))</f>
        <v>47834938.421120845</v>
      </c>
      <c r="B9609">
        <v>151623336.58925691</v>
      </c>
    </row>
    <row r="9610" spans="1:2" x14ac:dyDescent="0.25">
      <c r="A9610">
        <f ca="1">31971.7678340038*((RANDBETWEEN(1620,2416)))</f>
        <v>60682415.348939292</v>
      </c>
      <c r="B9610">
        <v>152537493.07088837</v>
      </c>
    </row>
    <row r="9611" spans="1:2" x14ac:dyDescent="0.25">
      <c r="A9611">
        <f ca="1">37555.0108146104*((RANDBETWEEN(1620,2416)))</f>
        <v>72518725.883012623</v>
      </c>
      <c r="B9611">
        <v>159455979.7648434</v>
      </c>
    </row>
    <row r="9612" spans="1:2" x14ac:dyDescent="0.25">
      <c r="A9612">
        <f ca="1">29823.8400369892*((RANDBETWEEN(1620,2416)))</f>
        <v>71010563.128071398</v>
      </c>
      <c r="B9612">
        <v>194372698.7543264</v>
      </c>
    </row>
    <row r="9613" spans="1:2" x14ac:dyDescent="0.25">
      <c r="A9613">
        <f ca="1">34513.5895747431*((RANDBETWEEN(1620,2416)))</f>
        <v>66300605.57308156</v>
      </c>
      <c r="B9613">
        <v>196913480.30830657</v>
      </c>
    </row>
    <row r="9614" spans="1:2" x14ac:dyDescent="0.25">
      <c r="A9614">
        <f ca="1">39706.2962652449*((RANDBETWEEN(1620,2416)))</f>
        <v>72662522.16539824</v>
      </c>
      <c r="B9614">
        <v>143611826.0170483</v>
      </c>
    </row>
    <row r="9615" spans="1:2" x14ac:dyDescent="0.25">
      <c r="A9615">
        <f ca="1">34228.1082420431*((RANDBETWEEN(1620,2416)))</f>
        <v>56271009.949918866</v>
      </c>
      <c r="B9615">
        <v>194799335.84270561</v>
      </c>
    </row>
    <row r="9616" spans="1:2" x14ac:dyDescent="0.25">
      <c r="A9616">
        <f ca="1">30976.7174359637*((RANDBETWEEN(1620,2416)))</f>
        <v>74437051.998620883</v>
      </c>
      <c r="B9616">
        <v>193007751.67819917</v>
      </c>
    </row>
    <row r="9617" spans="1:2" x14ac:dyDescent="0.25">
      <c r="A9617">
        <f ca="1">32811.6206190683*((RANDBETWEEN(1620,2416)))</f>
        <v>59651526.28546609</v>
      </c>
      <c r="B9617">
        <v>187949010.65358096</v>
      </c>
    </row>
    <row r="9618" spans="1:2" x14ac:dyDescent="0.25">
      <c r="A9618">
        <f ca="1">30654.1517818932*((RANDBETWEEN(1620,2416)))</f>
        <v>57108684.769666992</v>
      </c>
      <c r="B9618">
        <v>170078264.28364456</v>
      </c>
    </row>
    <row r="9619" spans="1:2" x14ac:dyDescent="0.25">
      <c r="A9619">
        <f ca="1">31680.8024423457*((RANDBETWEEN(1620,2416)))</f>
        <v>72295591.173432797</v>
      </c>
      <c r="B9619">
        <v>176953505.51084602</v>
      </c>
    </row>
    <row r="9620" spans="1:2" x14ac:dyDescent="0.25">
      <c r="A9620">
        <f ca="1">29430.0220977631*((RANDBETWEEN(1620,2416)))</f>
        <v>69925732.504285097</v>
      </c>
      <c r="B9620">
        <v>143411130.50950482</v>
      </c>
    </row>
    <row r="9621" spans="1:2" x14ac:dyDescent="0.25">
      <c r="A9621">
        <f ca="1">32869.5261955348*((RANDBETWEEN(1620,2416)))</f>
        <v>65344618.076723143</v>
      </c>
      <c r="B9621">
        <v>144442986.49763721</v>
      </c>
    </row>
    <row r="9622" spans="1:2" x14ac:dyDescent="0.25">
      <c r="A9622">
        <f ca="1">29272.675477747*((RANDBETWEEN(1620,2416)))</f>
        <v>58574623.630971655</v>
      </c>
      <c r="B9622">
        <v>198952989.20439067</v>
      </c>
    </row>
    <row r="9623" spans="1:2" x14ac:dyDescent="0.25">
      <c r="A9623">
        <f ca="1">27588.7187076871*((RANDBETWEEN(1620,2416)))</f>
        <v>49963169.579621278</v>
      </c>
      <c r="B9623">
        <v>175155778.98803237</v>
      </c>
    </row>
    <row r="9624" spans="1:2" x14ac:dyDescent="0.25">
      <c r="A9624">
        <f ca="1">32472.0874877976*((RANDBETWEEN(1620,2416)))</f>
        <v>57573011.115865164</v>
      </c>
      <c r="B9624">
        <v>181633496.57520884</v>
      </c>
    </row>
    <row r="9625" spans="1:2" x14ac:dyDescent="0.25">
      <c r="A9625">
        <f ca="1">40670.0416302678*((RANDBETWEEN(1620,2416)))</f>
        <v>87521929.588336289</v>
      </c>
      <c r="B9625">
        <v>199345373.83761412</v>
      </c>
    </row>
    <row r="9626" spans="1:2" x14ac:dyDescent="0.25">
      <c r="A9626">
        <f ca="1">32825.0455629285*((RANDBETWEEN(1620,2416)))</f>
        <v>62695837.02519343</v>
      </c>
      <c r="B9626">
        <v>148500542.915797</v>
      </c>
    </row>
    <row r="9627" spans="1:2" x14ac:dyDescent="0.25">
      <c r="A9627">
        <f ca="1">39592.3620868002*((RANDBETWEEN(1620,2416)))</f>
        <v>71068289.945806414</v>
      </c>
      <c r="B9627">
        <v>147508757.60552135</v>
      </c>
    </row>
    <row r="9628" spans="1:2" x14ac:dyDescent="0.25">
      <c r="A9628">
        <f ca="1">32877.9826089357*((RANDBETWEEN(1620,2416)))</f>
        <v>61777729.322190225</v>
      </c>
      <c r="B9628">
        <v>173024419.72943687</v>
      </c>
    </row>
    <row r="9629" spans="1:2" x14ac:dyDescent="0.25">
      <c r="A9629">
        <f ca="1">29426.7611257026*((RANDBETWEEN(1620,2416)))</f>
        <v>57823585.612005591</v>
      </c>
      <c r="B9629">
        <v>193210012.70633277</v>
      </c>
    </row>
    <row r="9630" spans="1:2" x14ac:dyDescent="0.25">
      <c r="A9630">
        <f ca="1">31161.0591974854*((RANDBETWEEN(1620,2416)))</f>
        <v>57523315.278557986</v>
      </c>
      <c r="B9630">
        <v>161231852.80571744</v>
      </c>
    </row>
    <row r="9631" spans="1:2" x14ac:dyDescent="0.25">
      <c r="A9631">
        <f ca="1">36219.2072662866*((RANDBETWEEN(1620,2416)))</f>
        <v>67476383.137091905</v>
      </c>
      <c r="B9631">
        <v>148782147.60121012</v>
      </c>
    </row>
    <row r="9632" spans="1:2" x14ac:dyDescent="0.25">
      <c r="A9632">
        <f ca="1">35351.8075396872*((RANDBETWEEN(1620,2416)))</f>
        <v>67698711.438501</v>
      </c>
      <c r="B9632">
        <v>172021502.86702564</v>
      </c>
    </row>
    <row r="9633" spans="1:2" x14ac:dyDescent="0.25">
      <c r="A9633">
        <f ca="1">34080.2003382405*((RANDBETWEEN(1620,2416)))</f>
        <v>56266410.758434981</v>
      </c>
      <c r="B9633">
        <v>175615895.11894539</v>
      </c>
    </row>
    <row r="9634" spans="1:2" x14ac:dyDescent="0.25">
      <c r="A9634">
        <f ca="1">31330.4001077359*((RANDBETWEEN(1620,2416)))</f>
        <v>63318738.617734164</v>
      </c>
      <c r="B9634">
        <v>182153888.55134654</v>
      </c>
    </row>
    <row r="9635" spans="1:2" x14ac:dyDescent="0.25">
      <c r="A9635">
        <f ca="1">39497.291387675*((RANDBETWEEN(1620,2416)))</f>
        <v>88789911.039493397</v>
      </c>
      <c r="B9635">
        <v>190924243.8124975</v>
      </c>
    </row>
    <row r="9636" spans="1:2" x14ac:dyDescent="0.25">
      <c r="A9636">
        <f ca="1">32953.7524695315*((RANDBETWEEN(1620,2416)))</f>
        <v>64424586.077934124</v>
      </c>
      <c r="B9636">
        <v>145405557.27491364</v>
      </c>
    </row>
    <row r="9637" spans="1:2" x14ac:dyDescent="0.25">
      <c r="A9637">
        <f ca="1">36114.3106896802*((RANDBETWEEN(1620,2416)))</f>
        <v>77934682.468329817</v>
      </c>
      <c r="B9637">
        <v>159355494.12374091</v>
      </c>
    </row>
    <row r="9638" spans="1:2" x14ac:dyDescent="0.25">
      <c r="A9638">
        <f ca="1">35720.7462352192*((RANDBETWEEN(1620,2416)))</f>
        <v>82836410.51947324</v>
      </c>
      <c r="B9638">
        <v>155963714.88210559</v>
      </c>
    </row>
    <row r="9639" spans="1:2" x14ac:dyDescent="0.25">
      <c r="A9639">
        <f ca="1">41801.8115480127*((RANDBETWEEN(1620,2416)))</f>
        <v>78671009.333359987</v>
      </c>
      <c r="B9639">
        <v>150876185.55313736</v>
      </c>
    </row>
    <row r="9640" spans="1:2" x14ac:dyDescent="0.25">
      <c r="A9640">
        <f ca="1">31643.5181181288*((RANDBETWEEN(1620,2416)))</f>
        <v>58097499.264884509</v>
      </c>
      <c r="B9640">
        <v>155989216.66078314</v>
      </c>
    </row>
    <row r="9641" spans="1:2" x14ac:dyDescent="0.25">
      <c r="A9641">
        <f ca="1">29134.9090979981*((RANDBETWEEN(1620,2416)))</f>
        <v>51976677.830828622</v>
      </c>
      <c r="B9641">
        <v>150849679.40493432</v>
      </c>
    </row>
    <row r="9642" spans="1:2" x14ac:dyDescent="0.25">
      <c r="A9642">
        <f ca="1">31763.2449234557*((RANDBETWEEN(1620,2416)))</f>
        <v>73595438.487646803</v>
      </c>
      <c r="B9642">
        <v>146543453.49022579</v>
      </c>
    </row>
    <row r="9643" spans="1:2" x14ac:dyDescent="0.25">
      <c r="A9643">
        <f ca="1">28785.0656511267*((RANDBETWEEN(1620,2416)))</f>
        <v>56130878.019696988</v>
      </c>
      <c r="B9643">
        <v>147839528.50712296</v>
      </c>
    </row>
    <row r="9644" spans="1:2" x14ac:dyDescent="0.25">
      <c r="A9644">
        <f ca="1">30862.9828582612*((RANDBETWEEN(1620,2416)))</f>
        <v>69966382.13967824</v>
      </c>
      <c r="B9644">
        <v>197841990.07444191</v>
      </c>
    </row>
    <row r="9645" spans="1:2" x14ac:dyDescent="0.25">
      <c r="A9645">
        <f ca="1">31542.3725857537*((RANDBETWEEN(1620,2416)))</f>
        <v>54252880.847496346</v>
      </c>
      <c r="B9645">
        <v>167817629.13027328</v>
      </c>
    </row>
    <row r="9646" spans="1:2" x14ac:dyDescent="0.25">
      <c r="A9646">
        <f ca="1">29388.9319988213*((RANDBETWEEN(1620,2416)))</f>
        <v>58689697.201646157</v>
      </c>
      <c r="B9646">
        <v>148431099.35821396</v>
      </c>
    </row>
    <row r="9647" spans="1:2" x14ac:dyDescent="0.25">
      <c r="A9647">
        <f ca="1">33095.1317072019*((RANDBETWEEN(1620,2416)))</f>
        <v>72809289.75584425</v>
      </c>
      <c r="B9647">
        <v>195008385.49103978</v>
      </c>
    </row>
    <row r="9648" spans="1:2" x14ac:dyDescent="0.25">
      <c r="A9648">
        <f ca="1">29541.6770035978*((RANDBETWEEN(1620,2416)))</f>
        <v>49157350.533986747</v>
      </c>
      <c r="B9648">
        <v>155888875.06286877</v>
      </c>
    </row>
    <row r="9649" spans="1:2" x14ac:dyDescent="0.25">
      <c r="A9649">
        <f ca="1">31990.3283722617*((RANDBETWEEN(1620,2416)))</f>
        <v>68971147.970596224</v>
      </c>
      <c r="B9649">
        <v>180498775.86649445</v>
      </c>
    </row>
    <row r="9650" spans="1:2" x14ac:dyDescent="0.25">
      <c r="A9650">
        <f ca="1">28493.5439451197*((RANDBETWEEN(1620,2416)))</f>
        <v>54280201.215453118</v>
      </c>
      <c r="B9650">
        <v>179266243.21040952</v>
      </c>
    </row>
    <row r="9651" spans="1:2" x14ac:dyDescent="0.25">
      <c r="A9651">
        <f ca="1">31597.9962279401*((RANDBETWEEN(1620,2416)))</f>
        <v>71474667.46760051</v>
      </c>
      <c r="B9651">
        <v>155687291.9000479</v>
      </c>
    </row>
    <row r="9652" spans="1:2" x14ac:dyDescent="0.25">
      <c r="A9652">
        <f ca="1">31365.7493322165*((RANDBETWEEN(1620,2416)))</f>
        <v>56458348.797989741</v>
      </c>
      <c r="B9652">
        <v>170228289.59854013</v>
      </c>
    </row>
    <row r="9653" spans="1:2" x14ac:dyDescent="0.25">
      <c r="A9653">
        <f ca="1">29469.8755992867*((RANDBETWEEN(1620,2416)))</f>
        <v>65010545.572026461</v>
      </c>
      <c r="B9653">
        <v>153108490.17637739</v>
      </c>
    </row>
    <row r="9654" spans="1:2" x14ac:dyDescent="0.25">
      <c r="A9654">
        <f ca="1">34040.2358848067*((RANDBETWEEN(1620,2416)))</f>
        <v>75977806.494888633</v>
      </c>
      <c r="B9654">
        <v>189685567.49393326</v>
      </c>
    </row>
    <row r="9655" spans="1:2" x14ac:dyDescent="0.25">
      <c r="A9655">
        <f ca="1">29540.9778032209*((RANDBETWEEN(1620,2416)))</f>
        <v>53321464.934813693</v>
      </c>
      <c r="B9655">
        <v>146270167.23847181</v>
      </c>
    </row>
    <row r="9656" spans="1:2" x14ac:dyDescent="0.25">
      <c r="A9656">
        <f ca="1">28279.6850427488*((RANDBETWEEN(1620,2416)))</f>
        <v>46689760.005578235</v>
      </c>
      <c r="B9656">
        <v>154031791.64894718</v>
      </c>
    </row>
    <row r="9657" spans="1:2" x14ac:dyDescent="0.25">
      <c r="A9657">
        <f ca="1">41627.080469937*((RANDBETWEEN(1620,2416)))</f>
        <v>93993947.701117769</v>
      </c>
      <c r="B9657">
        <v>187944117.13969055</v>
      </c>
    </row>
    <row r="9658" spans="1:2" x14ac:dyDescent="0.25">
      <c r="A9658">
        <f ca="1">29287.2339032491*((RANDBETWEEN(1620,2416)))</f>
        <v>60302414.606789902</v>
      </c>
      <c r="B9658">
        <v>155181467.60866976</v>
      </c>
    </row>
    <row r="9659" spans="1:2" x14ac:dyDescent="0.25">
      <c r="A9659">
        <f ca="1">27968.08093234*((RANDBETWEEN(1620,2416)))</f>
        <v>62340852.398185879</v>
      </c>
      <c r="B9659">
        <v>148967662.71755117</v>
      </c>
    </row>
    <row r="9660" spans="1:2" x14ac:dyDescent="0.25">
      <c r="A9660">
        <f ca="1">32335.1740575198*((RANDBETWEEN(1620,2416)))</f>
        <v>61016473.446539894</v>
      </c>
      <c r="B9660">
        <v>179149508.38476336</v>
      </c>
    </row>
    <row r="9661" spans="1:2" x14ac:dyDescent="0.25">
      <c r="A9661">
        <f ca="1">34004.5506228836*((RANDBETWEEN(1620,2416)))</f>
        <v>71681592.713038713</v>
      </c>
      <c r="B9661">
        <v>144894526.33165869</v>
      </c>
    </row>
    <row r="9662" spans="1:2" x14ac:dyDescent="0.25">
      <c r="A9662">
        <f ca="1">30502.4892512671*((RANDBETWEEN(1620,2416)))</f>
        <v>55087495.587788448</v>
      </c>
      <c r="B9662">
        <v>146237885.28863674</v>
      </c>
    </row>
    <row r="9663" spans="1:2" x14ac:dyDescent="0.25">
      <c r="A9663">
        <f ca="1">30016.2204558103*((RANDBETWEEN(1620,2416)))</f>
        <v>55349910.520514257</v>
      </c>
      <c r="B9663">
        <v>150403018.11284012</v>
      </c>
    </row>
    <row r="9664" spans="1:2" x14ac:dyDescent="0.25">
      <c r="A9664">
        <f ca="1">32487.4257121939*((RANDBETWEEN(1620,2416)))</f>
        <v>62440832.21883668</v>
      </c>
      <c r="B9664">
        <v>157383903.02828047</v>
      </c>
    </row>
    <row r="9665" spans="1:2" x14ac:dyDescent="0.25">
      <c r="A9665">
        <f ca="1">39158.1430364099*((RANDBETWEEN(1620,2416)))</f>
        <v>90298677.84196119</v>
      </c>
      <c r="B9665">
        <v>164831424.16908687</v>
      </c>
    </row>
    <row r="9666" spans="1:2" x14ac:dyDescent="0.25">
      <c r="A9666">
        <f ca="1">34371.8175912783*((RANDBETWEEN(1620,2416)))</f>
        <v>60906860.77174522</v>
      </c>
      <c r="B9666">
        <v>202480063.25011045</v>
      </c>
    </row>
    <row r="9667" spans="1:2" x14ac:dyDescent="0.25">
      <c r="A9667">
        <f ca="1">31242.6326518157*((RANDBETWEEN(1620,2416)))</f>
        <v>51987740.732621327</v>
      </c>
      <c r="B9667">
        <v>158003754.44369644</v>
      </c>
    </row>
    <row r="9668" spans="1:2" x14ac:dyDescent="0.25">
      <c r="A9668">
        <f ca="1">36547.1212560275*((RANDBETWEEN(1620,2416)))</f>
        <v>72217111.601910338</v>
      </c>
      <c r="B9668">
        <v>155086762.72354496</v>
      </c>
    </row>
    <row r="9669" spans="1:2" x14ac:dyDescent="0.25">
      <c r="A9669">
        <f ca="1">29822.196356418*((RANDBETWEEN(1620,2416)))</f>
        <v>65280787.824198999</v>
      </c>
      <c r="B9669">
        <v>151807431.63313508</v>
      </c>
    </row>
    <row r="9670" spans="1:2" x14ac:dyDescent="0.25">
      <c r="A9670">
        <f ca="1">36386.7671801788*((RANDBETWEEN(1620,2416)))</f>
        <v>71390837.207510814</v>
      </c>
      <c r="B9670">
        <v>167821467.00276974</v>
      </c>
    </row>
    <row r="9671" spans="1:2" x14ac:dyDescent="0.25">
      <c r="A9671">
        <f ca="1">32709.0535690538*((RANDBETWEEN(1620,2416)))</f>
        <v>66333960.638041161</v>
      </c>
      <c r="B9671">
        <v>156847429.28952831</v>
      </c>
    </row>
    <row r="9672" spans="1:2" x14ac:dyDescent="0.25">
      <c r="A9672">
        <f ca="1">29211.1747857401*((RANDBETWEEN(1620,2416)))</f>
        <v>61255833.525696993</v>
      </c>
      <c r="B9672">
        <v>182199294.38052565</v>
      </c>
    </row>
    <row r="9673" spans="1:2" x14ac:dyDescent="0.25">
      <c r="A9673">
        <f ca="1">30911.9114881164*((RANDBETWEEN(1620,2416)))</f>
        <v>68655355.41510652</v>
      </c>
      <c r="B9673">
        <v>150550521.07885498</v>
      </c>
    </row>
    <row r="9674" spans="1:2" x14ac:dyDescent="0.25">
      <c r="A9674">
        <f ca="1">30577.7117045403*((RANDBETWEEN(1620,2416)))</f>
        <v>57149743.175785877</v>
      </c>
      <c r="B9674">
        <v>184327456.84123909</v>
      </c>
    </row>
    <row r="9675" spans="1:2" x14ac:dyDescent="0.25">
      <c r="A9675">
        <f ca="1">30529.5724460847*((RANDBETWEEN(1620,2416)))</f>
        <v>56907123.039501935</v>
      </c>
      <c r="B9675">
        <v>186782390.56511948</v>
      </c>
    </row>
    <row r="9676" spans="1:2" x14ac:dyDescent="0.25">
      <c r="A9676">
        <f ca="1">32317.6063246439*((RANDBETWEEN(1620,2416)))</f>
        <v>53291732.829337716</v>
      </c>
      <c r="B9676">
        <v>143262548.97586632</v>
      </c>
    </row>
    <row r="9677" spans="1:2" x14ac:dyDescent="0.25">
      <c r="A9677">
        <f ca="1">33126.3964401248*((RANDBETWEEN(1620,2416)))</f>
        <v>56314873.948212147</v>
      </c>
      <c r="B9677">
        <v>174877929.40366369</v>
      </c>
    </row>
    <row r="9678" spans="1:2" x14ac:dyDescent="0.25">
      <c r="A9678">
        <f ca="1">31613.8400932446*((RANDBETWEEN(1620,2416)))</f>
        <v>62500561.864344634</v>
      </c>
      <c r="B9678">
        <v>149942331.06163955</v>
      </c>
    </row>
    <row r="9679" spans="1:2" x14ac:dyDescent="0.25">
      <c r="A9679">
        <f ca="1">30633.15468274*((RANDBETWEEN(1620,2416)))</f>
        <v>69537261.129819691</v>
      </c>
      <c r="B9679">
        <v>197759632.6924234</v>
      </c>
    </row>
    <row r="9680" spans="1:2" x14ac:dyDescent="0.25">
      <c r="A9680">
        <f ca="1">30075.8323939508*((RANDBETWEEN(1620,2416)))</f>
        <v>67430016.227237597</v>
      </c>
      <c r="B9680">
        <v>162804887.84755331</v>
      </c>
    </row>
    <row r="9681" spans="1:2" x14ac:dyDescent="0.25">
      <c r="A9681">
        <f ca="1">32070.2605630801*((RANDBETWEEN(1620,2416)))</f>
        <v>59233771.260008857</v>
      </c>
      <c r="B9681">
        <v>151879786.55565268</v>
      </c>
    </row>
    <row r="9682" spans="1:2" x14ac:dyDescent="0.25">
      <c r="A9682">
        <f ca="1">30245.613871192*((RANDBETWEEN(1620,2416)))</f>
        <v>66328631.219524011</v>
      </c>
      <c r="B9682">
        <v>146428422.20909488</v>
      </c>
    </row>
    <row r="9683" spans="1:2" x14ac:dyDescent="0.25">
      <c r="A9683">
        <f ca="1">31265.6932544331*((RANDBETWEEN(1620,2416)))</f>
        <v>56590904.790523827</v>
      </c>
      <c r="B9683">
        <v>194709218.05564654</v>
      </c>
    </row>
    <row r="9684" spans="1:2" x14ac:dyDescent="0.25">
      <c r="A9684">
        <f ca="1">32905.8944997631*((RANDBETWEEN(1620,2416)))</f>
        <v>62718634.916548379</v>
      </c>
      <c r="B9684">
        <v>203173848.76683301</v>
      </c>
    </row>
    <row r="9685" spans="1:2" x14ac:dyDescent="0.25">
      <c r="A9685">
        <f ca="1">32503.0588069914*((RANDBETWEEN(1620,2416)))</f>
        <v>68581454.082751811</v>
      </c>
      <c r="B9685">
        <v>159963071.21639943</v>
      </c>
    </row>
    <row r="9686" spans="1:2" x14ac:dyDescent="0.25">
      <c r="A9686">
        <f ca="1">35603.4861219873*((RANDBETWEEN(1620,2416)))</f>
        <v>69604815.368485138</v>
      </c>
      <c r="B9686">
        <v>143046827.43497264</v>
      </c>
    </row>
    <row r="9687" spans="1:2" x14ac:dyDescent="0.25">
      <c r="A9687">
        <f ca="1">28093.5317948358*((RANDBETWEEN(1620,2416)))</f>
        <v>56524185.971209586</v>
      </c>
      <c r="B9687">
        <v>143800845.33203942</v>
      </c>
    </row>
    <row r="9688" spans="1:2" x14ac:dyDescent="0.25">
      <c r="A9688">
        <f ca="1">32394.5057338748*((RANDBETWEEN(1620,2416)))</f>
        <v>74280601.64777483</v>
      </c>
      <c r="B9688">
        <v>152364701.39094859</v>
      </c>
    </row>
    <row r="9689" spans="1:2" x14ac:dyDescent="0.25">
      <c r="A9689">
        <f ca="1">28011.1207509598*((RANDBETWEEN(1620,2416)))</f>
        <v>55518041.328402348</v>
      </c>
      <c r="B9689">
        <v>164072778.44387603</v>
      </c>
    </row>
    <row r="9690" spans="1:2" x14ac:dyDescent="0.25">
      <c r="A9690">
        <f ca="1">41201.4314250199*((RANDBETWEEN(1620,2416)))</f>
        <v>90601947.70361881</v>
      </c>
      <c r="B9690">
        <v>174063692.8600657</v>
      </c>
    </row>
    <row r="9691" spans="1:2" x14ac:dyDescent="0.25">
      <c r="A9691">
        <f ca="1">36803.0269214562*((RANDBETWEEN(1620,2416)))</f>
        <v>77212750.481215134</v>
      </c>
      <c r="B9691">
        <v>160697482.73563302</v>
      </c>
    </row>
    <row r="9692" spans="1:2" x14ac:dyDescent="0.25">
      <c r="A9692">
        <f ca="1">30233.6492749172*((RANDBETWEEN(1620,2416)))</f>
        <v>50157624.147087619</v>
      </c>
      <c r="B9692">
        <v>175403428.31421214</v>
      </c>
    </row>
    <row r="9693" spans="1:2" x14ac:dyDescent="0.25">
      <c r="A9693">
        <f ca="1">37168.0736582409*((RANDBETWEEN(1620,2416)))</f>
        <v>64523775.870706216</v>
      </c>
      <c r="B9693">
        <v>143782175.22609076</v>
      </c>
    </row>
    <row r="9694" spans="1:2" x14ac:dyDescent="0.25">
      <c r="A9694">
        <f ca="1">40808.1172354001*((RANDBETWEEN(1620,2416)))</f>
        <v>88063916.993993431</v>
      </c>
      <c r="B9694">
        <v>162553226.09328955</v>
      </c>
    </row>
    <row r="9695" spans="1:2" x14ac:dyDescent="0.25">
      <c r="A9695">
        <f ca="1">30395.3582605908*((RANDBETWEEN(1620,2416)))</f>
        <v>63951833.780283026</v>
      </c>
      <c r="B9695">
        <v>154531186.43529472</v>
      </c>
    </row>
    <row r="9696" spans="1:2" x14ac:dyDescent="0.25">
      <c r="A9696">
        <f ca="1">28070.8538542515*((RANDBETWEEN(1620,2416)))</f>
        <v>67706899.49645476</v>
      </c>
      <c r="B9696">
        <v>145581861.22350729</v>
      </c>
    </row>
    <row r="9697" spans="1:2" x14ac:dyDescent="0.25">
      <c r="A9697">
        <f ca="1">33140.7692792038*((RANDBETWEEN(1620,2416)))</f>
        <v>54649128.541407041</v>
      </c>
      <c r="B9697">
        <v>161568942.57802096</v>
      </c>
    </row>
    <row r="9698" spans="1:2" x14ac:dyDescent="0.25">
      <c r="A9698">
        <f ca="1">40094.5915199273*((RANDBETWEEN(1620,2416)))</f>
        <v>88809520.216638997</v>
      </c>
      <c r="B9698">
        <v>185688222.97538367</v>
      </c>
    </row>
    <row r="9699" spans="1:2" x14ac:dyDescent="0.25">
      <c r="A9699">
        <f ca="1">31500.3144729158*((RANDBETWEEN(1620,2416)))</f>
        <v>68639185.23648347</v>
      </c>
      <c r="B9699">
        <v>150472872.04629439</v>
      </c>
    </row>
    <row r="9700" spans="1:2" x14ac:dyDescent="0.25">
      <c r="A9700">
        <f ca="1">37769.9045306684*((RANDBETWEEN(1620,2416)))</f>
        <v>82300621.972326458</v>
      </c>
      <c r="B9700">
        <v>152317345.51571155</v>
      </c>
    </row>
    <row r="9701" spans="1:2" x14ac:dyDescent="0.25">
      <c r="A9701">
        <f ca="1">37143.4271107868*((RANDBETWEEN(1620,2416)))</f>
        <v>85132734.937923461</v>
      </c>
      <c r="B9701">
        <v>158997605.3182652</v>
      </c>
    </row>
    <row r="9702" spans="1:2" x14ac:dyDescent="0.25">
      <c r="A9702">
        <f ca="1">31018.0766045323*((RANDBETWEEN(1620,2416)))</f>
        <v>65572213.941981196</v>
      </c>
      <c r="B9702">
        <v>190970271.01835939</v>
      </c>
    </row>
    <row r="9703" spans="1:2" x14ac:dyDescent="0.25">
      <c r="A9703">
        <f ca="1">30734.465791314*((RANDBETWEEN(1620,2416)))</f>
        <v>55998196.671774112</v>
      </c>
      <c r="B9703">
        <v>154874101.0819813</v>
      </c>
    </row>
    <row r="9704" spans="1:2" x14ac:dyDescent="0.25">
      <c r="A9704">
        <f ca="1">29830.2274856578*((RANDBETWEEN(1620,2416)))</f>
        <v>60615022.25085669</v>
      </c>
      <c r="B9704">
        <v>173045543.43369532</v>
      </c>
    </row>
    <row r="9705" spans="1:2" x14ac:dyDescent="0.25">
      <c r="A9705">
        <f ca="1">32072.3799289362*((RANDBETWEEN(1620,2416)))</f>
        <v>61386535.183983847</v>
      </c>
      <c r="B9705">
        <v>153962778.25712824</v>
      </c>
    </row>
    <row r="9706" spans="1:2" x14ac:dyDescent="0.25">
      <c r="A9706">
        <f ca="1">31990.1412317143*((RANDBETWEEN(1620,2416)))</f>
        <v>74888920.623443067</v>
      </c>
      <c r="B9706">
        <v>172937964.11157203</v>
      </c>
    </row>
    <row r="9707" spans="1:2" x14ac:dyDescent="0.25">
      <c r="A9707">
        <f ca="1">39209.1398913046*((RANDBETWEEN(1620,2416)))</f>
        <v>80261109.357500523</v>
      </c>
      <c r="B9707">
        <v>166022069.94474226</v>
      </c>
    </row>
    <row r="9708" spans="1:2" x14ac:dyDescent="0.25">
      <c r="A9708">
        <f ca="1">29937.7940441153*((RANDBETWEEN(1620,2416)))</f>
        <v>70623256.15006803</v>
      </c>
      <c r="B9708">
        <v>166762112.30640668</v>
      </c>
    </row>
    <row r="9709" spans="1:2" x14ac:dyDescent="0.25">
      <c r="A9709">
        <f ca="1">28491.7497605969*((RANDBETWEEN(1620,2416)))</f>
        <v>57125958.269996747</v>
      </c>
      <c r="B9709">
        <v>146677309.14662406</v>
      </c>
    </row>
    <row r="9710" spans="1:2" x14ac:dyDescent="0.25">
      <c r="A9710">
        <f ca="1">29565.1141758445*((RANDBETWEEN(1620,2416)))</f>
        <v>49048524.417725943</v>
      </c>
      <c r="B9710">
        <v>181338424.46133173</v>
      </c>
    </row>
    <row r="9711" spans="1:2" x14ac:dyDescent="0.25">
      <c r="A9711">
        <f ca="1">31779.4920231216*((RANDBETWEEN(1620,2416)))</f>
        <v>55486993.072370373</v>
      </c>
      <c r="B9711">
        <v>174287574.8885594</v>
      </c>
    </row>
    <row r="9712" spans="1:2" x14ac:dyDescent="0.25">
      <c r="A9712">
        <f ca="1">30843.6559881221*((RANDBETWEEN(1620,2416)))</f>
        <v>50861188.724413298</v>
      </c>
      <c r="B9712">
        <v>168528757.4501864</v>
      </c>
    </row>
    <row r="9713" spans="1:2" x14ac:dyDescent="0.25">
      <c r="A9713">
        <f ca="1">30855.221269205*((RANDBETWEEN(1620,2416)))</f>
        <v>50540852.438957773</v>
      </c>
      <c r="B9713">
        <v>160390233.14981443</v>
      </c>
    </row>
    <row r="9714" spans="1:2" x14ac:dyDescent="0.25">
      <c r="A9714">
        <f ca="1">29277.8185167102*((RANDBETWEEN(1620,2416)))</f>
        <v>51382571.496826343</v>
      </c>
      <c r="B9714">
        <v>175769381.24405867</v>
      </c>
    </row>
    <row r="9715" spans="1:2" x14ac:dyDescent="0.25">
      <c r="A9715">
        <f ca="1">39632.9009013404*((RANDBETWEEN(1620,2416)))</f>
        <v>77521954.163021788</v>
      </c>
      <c r="B9715">
        <v>184035032.22931287</v>
      </c>
    </row>
    <row r="9716" spans="1:2" x14ac:dyDescent="0.25">
      <c r="A9716">
        <f ca="1">30017.9217911164*((RANDBETWEEN(1620,2416)))</f>
        <v>69431453.10285233</v>
      </c>
      <c r="B9716">
        <v>145462018.23457199</v>
      </c>
    </row>
    <row r="9717" spans="1:2" x14ac:dyDescent="0.25">
      <c r="A9717">
        <f ca="1">34354.7963001482*((RANDBETWEEN(1620,2416)))</f>
        <v>71767169.471009523</v>
      </c>
      <c r="B9717">
        <v>178698839.98536199</v>
      </c>
    </row>
    <row r="9718" spans="1:2" x14ac:dyDescent="0.25">
      <c r="A9718">
        <f ca="1">37727.4266462802*((RANDBETWEEN(1620,2416)))</f>
        <v>67984822.816596925</v>
      </c>
      <c r="B9718">
        <v>189255537.89450294</v>
      </c>
    </row>
    <row r="9719" spans="1:2" x14ac:dyDescent="0.25">
      <c r="A9719">
        <f ca="1">28342.7533530819*((RANDBETWEEN(1620,2416)))</f>
        <v>58471100.167407885</v>
      </c>
      <c r="B9719">
        <v>150774673.31435663</v>
      </c>
    </row>
    <row r="9720" spans="1:2" x14ac:dyDescent="0.25">
      <c r="A9720">
        <f ca="1">30616.0851055778*((RANDBETWEEN(1620,2416)))</f>
        <v>58170561.700597733</v>
      </c>
      <c r="B9720">
        <v>144024833.72136012</v>
      </c>
    </row>
    <row r="9721" spans="1:2" x14ac:dyDescent="0.25">
      <c r="A9721">
        <f ca="1">37263.7622826655*((RANDBETWEEN(1620,2416)))</f>
        <v>77732208.12164025</v>
      </c>
      <c r="B9721">
        <v>149161010.1508677</v>
      </c>
    </row>
    <row r="9722" spans="1:2" x14ac:dyDescent="0.25">
      <c r="A9722">
        <f ca="1">31842.3956773844*((RANDBETWEEN(1620,2416)))</f>
        <v>59895546.269160122</v>
      </c>
      <c r="B9722">
        <v>175446971.94824761</v>
      </c>
    </row>
    <row r="9723" spans="1:2" x14ac:dyDescent="0.25">
      <c r="A9723">
        <f ca="1">32710.3334653296*((RANDBETWEEN(1620,2416)))</f>
        <v>59238413.905711897</v>
      </c>
      <c r="B9723">
        <v>150640927.02526745</v>
      </c>
    </row>
    <row r="9724" spans="1:2" x14ac:dyDescent="0.25">
      <c r="A9724">
        <f ca="1">31526.6199636884*((RANDBETWEEN(1620,2416)))</f>
        <v>69579250.259860247</v>
      </c>
      <c r="B9724">
        <v>153760097.93580285</v>
      </c>
    </row>
    <row r="9725" spans="1:2" x14ac:dyDescent="0.25">
      <c r="A9725">
        <f ca="1">30849.5127327439*((RANDBETWEEN(1620,2416)))</f>
        <v>50377254.292570829</v>
      </c>
      <c r="B9725">
        <v>145664422.8428387</v>
      </c>
    </row>
    <row r="9726" spans="1:2" x14ac:dyDescent="0.25">
      <c r="A9726">
        <f ca="1">29325.8182862818*((RANDBETWEEN(1620,2416)))</f>
        <v>59707366.030869678</v>
      </c>
      <c r="B9726">
        <v>156724410.20078397</v>
      </c>
    </row>
    <row r="9727" spans="1:2" x14ac:dyDescent="0.25">
      <c r="A9727">
        <f ca="1">35529.5813100306*((RANDBETWEEN(1620,2416)))</f>
        <v>65303370.44783622</v>
      </c>
      <c r="B9727">
        <v>170306210.48467413</v>
      </c>
    </row>
    <row r="9728" spans="1:2" x14ac:dyDescent="0.25">
      <c r="A9728">
        <f ca="1">38309.466543437*((RANDBETWEEN(1620,2416)))</f>
        <v>80028475.609239921</v>
      </c>
      <c r="B9728">
        <v>169186991.05845597</v>
      </c>
    </row>
    <row r="9729" spans="1:2" x14ac:dyDescent="0.25">
      <c r="A9729">
        <f ca="1">33457.6579911072*((RANDBETWEEN(1620,2416)))</f>
        <v>68019418.695921004</v>
      </c>
      <c r="B9729">
        <v>142945206.45358127</v>
      </c>
    </row>
    <row r="9730" spans="1:2" x14ac:dyDescent="0.25">
      <c r="A9730">
        <f ca="1">33489.0093479717*((RANDBETWEEN(1620,2416)))</f>
        <v>80239666.397740081</v>
      </c>
      <c r="B9730">
        <v>177667624.46146232</v>
      </c>
    </row>
    <row r="9731" spans="1:2" x14ac:dyDescent="0.25">
      <c r="A9731">
        <f ca="1">31158.4976689545*((RANDBETWEEN(1620,2416)))</f>
        <v>65245894.118790746</v>
      </c>
      <c r="B9731">
        <v>176879043.1815275</v>
      </c>
    </row>
    <row r="9732" spans="1:2" x14ac:dyDescent="0.25">
      <c r="A9732">
        <f ca="1">30790.0556743757*((RANDBETWEEN(1620,2416)))</f>
        <v>69677895.991112158</v>
      </c>
      <c r="B9732">
        <v>150708282.78479102</v>
      </c>
    </row>
    <row r="9733" spans="1:2" x14ac:dyDescent="0.25">
      <c r="A9733">
        <f ca="1">30793.8437512668*((RANDBETWEEN(1620,2416)))</f>
        <v>73258554.284263819</v>
      </c>
      <c r="B9733">
        <v>155178754.05829796</v>
      </c>
    </row>
    <row r="9734" spans="1:2" x14ac:dyDescent="0.25">
      <c r="A9734">
        <f ca="1">30462.440989973*((RANDBETWEEN(1620,2416)))</f>
        <v>67078295.059920549</v>
      </c>
      <c r="B9734">
        <v>145236923.75091386</v>
      </c>
    </row>
    <row r="9735" spans="1:2" x14ac:dyDescent="0.25">
      <c r="A9735">
        <f ca="1">40532.192742692*((RANDBETWEEN(1620,2416)))</f>
        <v>94723734.439671144</v>
      </c>
      <c r="B9735">
        <v>144034170.21233565</v>
      </c>
    </row>
    <row r="9736" spans="1:2" x14ac:dyDescent="0.25">
      <c r="A9736">
        <f ca="1">31733.6730039474*((RANDBETWEEN(1620,2416)))</f>
        <v>57660083.848172419</v>
      </c>
      <c r="B9736">
        <v>189063533.43793043</v>
      </c>
    </row>
    <row r="9737" spans="1:2" x14ac:dyDescent="0.25">
      <c r="A9737">
        <f ca="1">28062.9063033625*((RANDBETWEEN(1620,2416)))</f>
        <v>50541294.252355851</v>
      </c>
      <c r="B9737">
        <v>156683564.45682472</v>
      </c>
    </row>
    <row r="9738" spans="1:2" x14ac:dyDescent="0.25">
      <c r="A9738">
        <f ca="1">31739.1122014576*((RANDBETWEEN(1620,2416)))</f>
        <v>57003445.513817832</v>
      </c>
      <c r="B9738">
        <v>185025457.62066567</v>
      </c>
    </row>
    <row r="9739" spans="1:2" x14ac:dyDescent="0.25">
      <c r="A9739">
        <f ca="1">38119.9834947317*((RANDBETWEEN(1620,2416)))</f>
        <v>70560089.448748395</v>
      </c>
      <c r="B9739">
        <v>166218632.45678142</v>
      </c>
    </row>
    <row r="9740" spans="1:2" x14ac:dyDescent="0.25">
      <c r="A9740">
        <f ca="1">39637.4889290062*((RANDBETWEEN(1620,2416)))</f>
        <v>93504836.38352558</v>
      </c>
      <c r="B9740">
        <v>147554892.85463542</v>
      </c>
    </row>
    <row r="9741" spans="1:2" x14ac:dyDescent="0.25">
      <c r="A9741">
        <f ca="1">32369.3570309135*((RANDBETWEEN(1620,2416)))</f>
        <v>57682194.229087941</v>
      </c>
      <c r="B9741">
        <v>159502411.64875194</v>
      </c>
    </row>
    <row r="9742" spans="1:2" x14ac:dyDescent="0.25">
      <c r="A9742">
        <f ca="1">32414.4132817765*((RANDBETWEEN(1620,2416)))</f>
        <v>78053907.182517707</v>
      </c>
      <c r="B9742">
        <v>149950805.79386777</v>
      </c>
    </row>
    <row r="9743" spans="1:2" x14ac:dyDescent="0.25">
      <c r="A9743">
        <f ca="1">39835.0044649649*((RANDBETWEEN(1620,2416)))</f>
        <v>81422749.126388296</v>
      </c>
      <c r="B9743">
        <v>150441985.21409333</v>
      </c>
    </row>
    <row r="9744" spans="1:2" x14ac:dyDescent="0.25">
      <c r="A9744">
        <f ca="1">32553.1231134778*((RANDBETWEEN(1620,2416)))</f>
        <v>75458139.377041653</v>
      </c>
      <c r="B9744">
        <v>195980454.22663116</v>
      </c>
    </row>
    <row r="9745" spans="1:2" x14ac:dyDescent="0.25">
      <c r="A9745">
        <f ca="1">30300.353277343*((RANDBETWEEN(1620,2416)))</f>
        <v>68751501.586291373</v>
      </c>
      <c r="B9745">
        <v>161691402.5993219</v>
      </c>
    </row>
    <row r="9746" spans="1:2" x14ac:dyDescent="0.25">
      <c r="A9746">
        <f ca="1">32724.0906444334*((RANDBETWEEN(1620,2416)))</f>
        <v>75625373.479285523</v>
      </c>
      <c r="B9746">
        <v>193549484.34799677</v>
      </c>
    </row>
    <row r="9747" spans="1:2" x14ac:dyDescent="0.25">
      <c r="A9747">
        <f ca="1">36223.7905182628*((RANDBETWEEN(1620,2416)))</f>
        <v>73353175.799482152</v>
      </c>
      <c r="B9747">
        <v>144195932.59698376</v>
      </c>
    </row>
    <row r="9748" spans="1:2" x14ac:dyDescent="0.25">
      <c r="A9748">
        <f ca="1">28889.5935285158*((RANDBETWEEN(1620,2416)))</f>
        <v>69479472.436080426</v>
      </c>
      <c r="B9748">
        <v>176831040.03178966</v>
      </c>
    </row>
    <row r="9749" spans="1:2" x14ac:dyDescent="0.25">
      <c r="A9749">
        <f ca="1">31230.5825654712*((RANDBETWEEN(1620,2416)))</f>
        <v>52810915.118211783</v>
      </c>
      <c r="B9749">
        <v>147592524.18109381</v>
      </c>
    </row>
    <row r="9750" spans="1:2" x14ac:dyDescent="0.25">
      <c r="A9750">
        <f ca="1">31652.2099043835*((RANDBETWEEN(1620,2416)))</f>
        <v>54156931.146400116</v>
      </c>
      <c r="B9750">
        <v>176324206.73521906</v>
      </c>
    </row>
    <row r="9751" spans="1:2" x14ac:dyDescent="0.25">
      <c r="A9751">
        <f ca="1">34654.017083839*((RANDBETWEEN(1620,2416)))</f>
        <v>78283424.592392266</v>
      </c>
      <c r="B9751">
        <v>203183012.24252027</v>
      </c>
    </row>
    <row r="9752" spans="1:2" x14ac:dyDescent="0.25">
      <c r="A9752">
        <f ca="1">30652.1473226412*((RANDBETWEEN(1620,2416)))</f>
        <v>69948200.190267265</v>
      </c>
      <c r="B9752">
        <v>151040980.28549525</v>
      </c>
    </row>
    <row r="9753" spans="1:2" x14ac:dyDescent="0.25">
      <c r="A9753">
        <f ca="1">36846.9155691159*((RANDBETWEEN(1620,2416)))</f>
        <v>84711058.893397406</v>
      </c>
      <c r="B9753">
        <v>196154885.29096445</v>
      </c>
    </row>
    <row r="9754" spans="1:2" x14ac:dyDescent="0.25">
      <c r="A9754">
        <f ca="1">33245.8513097753*((RANDBETWEEN(1620,2416)))</f>
        <v>60806662.045579031</v>
      </c>
      <c r="B9754">
        <v>165787034.62052265</v>
      </c>
    </row>
    <row r="9755" spans="1:2" x14ac:dyDescent="0.25">
      <c r="A9755">
        <f ca="1">32328.0525955495*((RANDBETWEEN(1620,2416)))</f>
        <v>68406159.292182803</v>
      </c>
      <c r="B9755">
        <v>192049185.07748595</v>
      </c>
    </row>
    <row r="9756" spans="1:2" x14ac:dyDescent="0.25">
      <c r="A9756">
        <f ca="1">40506.4095583951*((RANDBETWEEN(1620,2416)))</f>
        <v>91058408.687272102</v>
      </c>
      <c r="B9756">
        <v>174208340.7985886</v>
      </c>
    </row>
    <row r="9757" spans="1:2" x14ac:dyDescent="0.25">
      <c r="A9757">
        <f ca="1">30468.3965215559*((RANDBETWEEN(1620,2416)))</f>
        <v>65232836.952651083</v>
      </c>
      <c r="B9757">
        <v>202008528.22446421</v>
      </c>
    </row>
    <row r="9758" spans="1:2" x14ac:dyDescent="0.25">
      <c r="A9758">
        <f ca="1">30131.8713840963*((RANDBETWEEN(1620,2416)))</f>
        <v>61649808.851860985</v>
      </c>
      <c r="B9758">
        <v>158945950.62823874</v>
      </c>
    </row>
    <row r="9759" spans="1:2" x14ac:dyDescent="0.25">
      <c r="A9759">
        <f ca="1">30723.4086132517*((RANDBETWEEN(1620,2416)))</f>
        <v>61508264.043729872</v>
      </c>
      <c r="B9759">
        <v>199296783.00287044</v>
      </c>
    </row>
    <row r="9760" spans="1:2" x14ac:dyDescent="0.25">
      <c r="A9760">
        <f ca="1">31594.1240555743*((RANDBETWEEN(1620,2416)))</f>
        <v>66158095.772372521</v>
      </c>
      <c r="B9760">
        <v>146289371.13459063</v>
      </c>
    </row>
    <row r="9761" spans="1:2" x14ac:dyDescent="0.25">
      <c r="A9761">
        <f ca="1">34099.7903684326*((RANDBETWEEN(1620,2416)))</f>
        <v>78020320.362973765</v>
      </c>
      <c r="B9761">
        <v>162150213.33053195</v>
      </c>
    </row>
    <row r="9762" spans="1:2" x14ac:dyDescent="0.25">
      <c r="A9762">
        <f ca="1">29773.7853453598*((RANDBETWEEN(1620,2416)))</f>
        <v>57463405.716544509</v>
      </c>
      <c r="B9762">
        <v>178856648.94196391</v>
      </c>
    </row>
    <row r="9763" spans="1:2" x14ac:dyDescent="0.25">
      <c r="A9763">
        <f ca="1">28969.9907932078*((RANDBETWEEN(1620,2416)))</f>
        <v>68166388.336417839</v>
      </c>
      <c r="B9763">
        <v>164776882.15046474</v>
      </c>
    </row>
    <row r="9764" spans="1:2" x14ac:dyDescent="0.25">
      <c r="A9764">
        <f ca="1">31100.9452740404*((RANDBETWEEN(1620,2416)))</f>
        <v>56199408.110191062</v>
      </c>
      <c r="B9764">
        <v>185794197.48172367</v>
      </c>
    </row>
    <row r="9765" spans="1:2" x14ac:dyDescent="0.25">
      <c r="A9765">
        <f ca="1">35813.6718812788*((RANDBETWEEN(1620,2416)))</f>
        <v>68010162.902548477</v>
      </c>
      <c r="B9765">
        <v>155801384.70996734</v>
      </c>
    </row>
    <row r="9766" spans="1:2" x14ac:dyDescent="0.25">
      <c r="A9766">
        <f ca="1">39337.9446773061*((RANDBETWEEN(1620,2416)))</f>
        <v>77102371.567519903</v>
      </c>
      <c r="B9766">
        <v>147734984.72179544</v>
      </c>
    </row>
    <row r="9767" spans="1:2" x14ac:dyDescent="0.25">
      <c r="A9767">
        <f ca="1">32743.5285037305*((RANDBETWEEN(1620,2416)))</f>
        <v>62376421.799606673</v>
      </c>
      <c r="B9767">
        <v>155277301.72790539</v>
      </c>
    </row>
    <row r="9768" spans="1:2" x14ac:dyDescent="0.25">
      <c r="A9768">
        <f ca="1">32075.0649021347*((RANDBETWEEN(1620,2416)))</f>
        <v>63604853.700933151</v>
      </c>
      <c r="B9768">
        <v>157979441.54093224</v>
      </c>
    </row>
    <row r="9769" spans="1:2" x14ac:dyDescent="0.25">
      <c r="A9769">
        <f ca="1">32813.7673575989*((RANDBETWEEN(1620,2416)))</f>
        <v>78260835.147873491</v>
      </c>
      <c r="B9769">
        <v>195635081.23453304</v>
      </c>
    </row>
    <row r="9770" spans="1:2" x14ac:dyDescent="0.25">
      <c r="A9770">
        <f ca="1">33252.9709510968*((RANDBETWEEN(1620,2416)))</f>
        <v>76016291.594207406</v>
      </c>
      <c r="B9770">
        <v>159259895.92017922</v>
      </c>
    </row>
    <row r="9771" spans="1:2" x14ac:dyDescent="0.25">
      <c r="A9771">
        <f ca="1">31397.664851266*((RANDBETWEEN(1620,2416)))</f>
        <v>61445230.113927558</v>
      </c>
      <c r="B9771">
        <v>143155167.16154361</v>
      </c>
    </row>
    <row r="9772" spans="1:2" x14ac:dyDescent="0.25">
      <c r="A9772">
        <f ca="1">38318.910696903*((RANDBETWEEN(1620,2416)))</f>
        <v>89896164.494934395</v>
      </c>
      <c r="B9772">
        <v>171776618.90760785</v>
      </c>
    </row>
    <row r="9773" spans="1:2" x14ac:dyDescent="0.25">
      <c r="A9773">
        <f ca="1">28822.8787038307*((RANDBETWEEN(1620,2416)))</f>
        <v>50612975.003926761</v>
      </c>
      <c r="B9773">
        <v>151901086.92260012</v>
      </c>
    </row>
    <row r="9774" spans="1:2" x14ac:dyDescent="0.25">
      <c r="A9774">
        <f ca="1">29978.6771030283*((RANDBETWEEN(1620,2416)))</f>
        <v>68771085.274347156</v>
      </c>
      <c r="B9774">
        <v>143448878.49592912</v>
      </c>
    </row>
    <row r="9775" spans="1:2" x14ac:dyDescent="0.25">
      <c r="A9775">
        <f ca="1">29083.9151713811*((RANDBETWEEN(1620,2416)))</f>
        <v>66660333.572805516</v>
      </c>
      <c r="B9775">
        <v>163901649.10793227</v>
      </c>
    </row>
    <row r="9776" spans="1:2" x14ac:dyDescent="0.25">
      <c r="A9776">
        <f ca="1">28576.8338059475*((RANDBETWEEN(1620,2416)))</f>
        <v>49780844.489960499</v>
      </c>
      <c r="B9776">
        <v>178701890.65942207</v>
      </c>
    </row>
    <row r="9777" spans="1:2" x14ac:dyDescent="0.25">
      <c r="A9777">
        <f ca="1">32645.6390481346*((RANDBETWEEN(1620,2416)))</f>
        <v>55791397.133261956</v>
      </c>
      <c r="B9777">
        <v>152589513.51139811</v>
      </c>
    </row>
    <row r="9778" spans="1:2" x14ac:dyDescent="0.25">
      <c r="A9778">
        <f ca="1">29589.2246813529*((RANDBETWEEN(1620,2416)))</f>
        <v>70008105.596081063</v>
      </c>
      <c r="B9778">
        <v>178326057.56032589</v>
      </c>
    </row>
    <row r="9779" spans="1:2" x14ac:dyDescent="0.25">
      <c r="A9779">
        <f ca="1">30078.1131162908*((RANDBETWEEN(1620,2416)))</f>
        <v>69570675.63798064</v>
      </c>
      <c r="B9779">
        <v>144383230.84199503</v>
      </c>
    </row>
    <row r="9780" spans="1:2" x14ac:dyDescent="0.25">
      <c r="A9780">
        <f ca="1">32845.7501020948*((RANDBETWEEN(1620,2416)))</f>
        <v>57381525.42835962</v>
      </c>
      <c r="B9780">
        <v>150378153.16548619</v>
      </c>
    </row>
    <row r="9781" spans="1:2" x14ac:dyDescent="0.25">
      <c r="A9781">
        <f ca="1">39996.2248258426*((RANDBETWEEN(1620,2416)))</f>
        <v>90711437.905010954</v>
      </c>
      <c r="B9781">
        <v>175490836.77461177</v>
      </c>
    </row>
    <row r="9782" spans="1:2" x14ac:dyDescent="0.25">
      <c r="A9782">
        <f ca="1">31586.771722712*((RANDBETWEEN(1620,2416)))</f>
        <v>68985509.442402989</v>
      </c>
      <c r="B9782">
        <v>156538989.67764568</v>
      </c>
    </row>
    <row r="9783" spans="1:2" x14ac:dyDescent="0.25">
      <c r="A9783">
        <f ca="1">33719.8217083822*((RANDBETWEEN(1620,2416)))</f>
        <v>64978096.43205253</v>
      </c>
      <c r="B9783">
        <v>147478814.45548892</v>
      </c>
    </row>
    <row r="9784" spans="1:2" x14ac:dyDescent="0.25">
      <c r="A9784">
        <f ca="1">31869.2236133175*((RANDBETWEEN(1620,2416)))</f>
        <v>66957238.811580159</v>
      </c>
      <c r="B9784">
        <v>169983489.39080295</v>
      </c>
    </row>
    <row r="9785" spans="1:2" x14ac:dyDescent="0.25">
      <c r="A9785">
        <f ca="1">30174.5599435106*((RANDBETWEEN(1620,2416)))</f>
        <v>66444380.995610327</v>
      </c>
      <c r="B9785">
        <v>195518853.75126135</v>
      </c>
    </row>
    <row r="9786" spans="1:2" x14ac:dyDescent="0.25">
      <c r="A9786">
        <f ca="1">42851.8616967755*((RANDBETWEEN(1620,2416)))</f>
        <v>70019942.012531132</v>
      </c>
      <c r="B9786">
        <v>185080488.18784586</v>
      </c>
    </row>
    <row r="9787" spans="1:2" x14ac:dyDescent="0.25">
      <c r="A9787">
        <f ca="1">40590.4615750866*((RANDBETWEEN(1620,2416)))</f>
        <v>96970612.702881813</v>
      </c>
      <c r="B9787">
        <v>194855937.77470964</v>
      </c>
    </row>
    <row r="9788" spans="1:2" x14ac:dyDescent="0.25">
      <c r="A9788">
        <f ca="1">32539.7645380229*((RANDBETWEEN(1620,2416)))</f>
        <v>53202515.019667469</v>
      </c>
      <c r="B9788">
        <v>150340414.60780257</v>
      </c>
    </row>
    <row r="9789" spans="1:2" x14ac:dyDescent="0.25">
      <c r="A9789">
        <f ca="1">38409.6320985153*((RANDBETWEEN(1620,2416)))</f>
        <v>79661576.97232078</v>
      </c>
      <c r="B9789">
        <v>154222230.3108595</v>
      </c>
    </row>
    <row r="9790" spans="1:2" x14ac:dyDescent="0.25">
      <c r="A9790">
        <f ca="1">30556.8214785252*((RANDBETWEEN(1620,2416)))</f>
        <v>58424642.666940235</v>
      </c>
      <c r="B9790">
        <v>148972067.12620181</v>
      </c>
    </row>
    <row r="9791" spans="1:2" x14ac:dyDescent="0.25">
      <c r="A9791">
        <f ca="1">27071.870619794*((RANDBETWEEN(1620,2416)))</f>
        <v>55849269.088635094</v>
      </c>
      <c r="B9791">
        <v>155328185.98197672</v>
      </c>
    </row>
    <row r="9792" spans="1:2" x14ac:dyDescent="0.25">
      <c r="A9792">
        <f ca="1">32478.0221056876*((RANDBETWEEN(1620,2416)))</f>
        <v>52971654.054376528</v>
      </c>
      <c r="B9792">
        <v>186098029.78027636</v>
      </c>
    </row>
    <row r="9793" spans="1:2" x14ac:dyDescent="0.25">
      <c r="A9793">
        <f ca="1">31386.245047588*((RANDBETWEEN(1620,2416)))</f>
        <v>69834395.230883211</v>
      </c>
      <c r="B9793">
        <v>168225819.89866835</v>
      </c>
    </row>
    <row r="9794" spans="1:2" x14ac:dyDescent="0.25">
      <c r="A9794">
        <f ca="1">32895.5677161588*((RANDBETWEEN(1620,2416)))</f>
        <v>61514711.629216932</v>
      </c>
      <c r="B9794">
        <v>160893306.12403712</v>
      </c>
    </row>
    <row r="9795" spans="1:2" x14ac:dyDescent="0.25">
      <c r="A9795">
        <f ca="1">31773.2560961394*((RANDBETWEEN(1620,2416)))</f>
        <v>56874128.412089504</v>
      </c>
      <c r="B9795">
        <v>189017229.31358522</v>
      </c>
    </row>
    <row r="9796" spans="1:2" x14ac:dyDescent="0.25">
      <c r="A9796">
        <f ca="1">32565.2861004745*((RANDBETWEEN(1620,2416)))</f>
        <v>60766823.863485351</v>
      </c>
      <c r="B9796">
        <v>151247104.91351923</v>
      </c>
    </row>
    <row r="9797" spans="1:2" x14ac:dyDescent="0.25">
      <c r="A9797">
        <f ca="1">37673.7671575119*((RANDBETWEEN(1620,2416)))</f>
        <v>80659535.484232903</v>
      </c>
      <c r="B9797">
        <v>190365798.67392963</v>
      </c>
    </row>
    <row r="9798" spans="1:2" x14ac:dyDescent="0.25">
      <c r="A9798">
        <f ca="1">31881.3494206454*((RANDBETWEEN(1620,2416)))</f>
        <v>55250378.545978427</v>
      </c>
      <c r="B9798">
        <v>200240048.61871284</v>
      </c>
    </row>
    <row r="9799" spans="1:2" x14ac:dyDescent="0.25">
      <c r="A9799">
        <f ca="1">33863.9506659518*((RANDBETWEEN(1620,2416)))</f>
        <v>62004893.669357799</v>
      </c>
      <c r="B9799">
        <v>194200173.7147249</v>
      </c>
    </row>
    <row r="9800" spans="1:2" x14ac:dyDescent="0.25">
      <c r="A9800">
        <f ca="1">28395.1856370558*((RANDBETWEEN(1620,2416)))</f>
        <v>60737302.077662371</v>
      </c>
      <c r="B9800">
        <v>149875723.24232465</v>
      </c>
    </row>
    <row r="9801" spans="1:2" x14ac:dyDescent="0.25">
      <c r="A9801">
        <f ca="1">29659.9882763397*((RANDBETWEEN(1620,2416)))</f>
        <v>68128993.070752233</v>
      </c>
      <c r="B9801">
        <v>162183612.58787197</v>
      </c>
    </row>
    <row r="9802" spans="1:2" x14ac:dyDescent="0.25">
      <c r="A9802">
        <f ca="1">31899.985758377*((RANDBETWEEN(1620,2416)))</f>
        <v>67978869.651101395</v>
      </c>
      <c r="B9802">
        <v>188001025.09193563</v>
      </c>
    </row>
    <row r="9803" spans="1:2" x14ac:dyDescent="0.25">
      <c r="A9803">
        <f ca="1">37574.9957577114*((RANDBETWEEN(1620,2416)))</f>
        <v>67371967.393576622</v>
      </c>
      <c r="B9803">
        <v>154496749.32896283</v>
      </c>
    </row>
    <row r="9804" spans="1:2" x14ac:dyDescent="0.25">
      <c r="A9804">
        <f ca="1">37151.1229031857*((RANDBETWEEN(1620,2416)))</f>
        <v>84853164.710876226</v>
      </c>
      <c r="B9804">
        <v>150015769.34741747</v>
      </c>
    </row>
    <row r="9805" spans="1:2" x14ac:dyDescent="0.25">
      <c r="A9805">
        <f ca="1">34533.8311682566*((RANDBETWEEN(1620,2416)))</f>
        <v>57395227.401642501</v>
      </c>
      <c r="B9805">
        <v>154898498.93621367</v>
      </c>
    </row>
    <row r="9806" spans="1:2" x14ac:dyDescent="0.25">
      <c r="A9806">
        <f ca="1">35548.8784628962*((RANDBETWEEN(1620,2416)))</f>
        <v>65943169.548672467</v>
      </c>
      <c r="B9806">
        <v>150630436.42318267</v>
      </c>
    </row>
    <row r="9807" spans="1:2" x14ac:dyDescent="0.25">
      <c r="A9807">
        <f ca="1">36129.9898360538*((RANDBETWEEN(1620,2416)))</f>
        <v>77823998.106859937</v>
      </c>
      <c r="B9807">
        <v>180189402.80448008</v>
      </c>
    </row>
    <row r="9808" spans="1:2" x14ac:dyDescent="0.25">
      <c r="A9808">
        <f ca="1">33956.2761972451*((RANDBETWEEN(1620,2416)))</f>
        <v>60068652.592926666</v>
      </c>
      <c r="B9808">
        <v>152142465.93395868</v>
      </c>
    </row>
    <row r="9809" spans="1:2" x14ac:dyDescent="0.25">
      <c r="A9809">
        <f ca="1">31267.206337552*((RANDBETWEEN(1620,2416)))</f>
        <v>61502594.865964815</v>
      </c>
      <c r="B9809">
        <v>143776141.79455245</v>
      </c>
    </row>
    <row r="9810" spans="1:2" x14ac:dyDescent="0.25">
      <c r="A9810">
        <f ca="1">32377.5515320605*((RANDBETWEEN(1620,2416)))</f>
        <v>60416511.158824973</v>
      </c>
      <c r="B9810">
        <v>145464395.76998132</v>
      </c>
    </row>
    <row r="9811" spans="1:2" x14ac:dyDescent="0.25">
      <c r="A9811">
        <f ca="1">33788.8072626154*((RANDBETWEEN(1620,2416)))</f>
        <v>61596995.639747955</v>
      </c>
      <c r="B9811">
        <v>198070420.08688667</v>
      </c>
    </row>
    <row r="9812" spans="1:2" x14ac:dyDescent="0.25">
      <c r="A9812">
        <f ca="1">31676.3741398669*((RANDBETWEEN(1620,2416)))</f>
        <v>71081783.569861352</v>
      </c>
      <c r="B9812">
        <v>148938207.40758491</v>
      </c>
    </row>
    <row r="9813" spans="1:2" x14ac:dyDescent="0.25">
      <c r="A9813">
        <f ca="1">35691.5732264165*((RANDBETWEEN(1620,2416)))</f>
        <v>68777661.607304588</v>
      </c>
      <c r="B9813">
        <v>152295972.88439161</v>
      </c>
    </row>
    <row r="9814" spans="1:2" x14ac:dyDescent="0.25">
      <c r="A9814">
        <f ca="1">34154.7763652206*((RANDBETWEEN(1620,2416)))</f>
        <v>66021182.713971376</v>
      </c>
      <c r="B9814">
        <v>152839997.32460564</v>
      </c>
    </row>
    <row r="9815" spans="1:2" x14ac:dyDescent="0.25">
      <c r="A9815">
        <f ca="1">29531.5918682619*((RANDBETWEEN(1620,2416)))</f>
        <v>51827943.728799641</v>
      </c>
      <c r="B9815">
        <v>153406301.55000016</v>
      </c>
    </row>
    <row r="9816" spans="1:2" x14ac:dyDescent="0.25">
      <c r="A9816">
        <f ca="1">32838.6114119083*((RANDBETWEEN(1620,2416)))</f>
        <v>53920999.93835336</v>
      </c>
      <c r="B9816">
        <v>163668389.26859823</v>
      </c>
    </row>
    <row r="9817" spans="1:2" x14ac:dyDescent="0.25">
      <c r="A9817">
        <f ca="1">28891.724405266*((RANDBETWEEN(1620,2416)))</f>
        <v>50271600.465162911</v>
      </c>
      <c r="B9817">
        <v>173315765.46293744</v>
      </c>
    </row>
    <row r="9818" spans="1:2" x14ac:dyDescent="0.25">
      <c r="A9818">
        <f ca="1">35449.8434740678*((RANDBETWEEN(1620,2416)))</f>
        <v>82208187.016363218</v>
      </c>
      <c r="B9818">
        <v>152861854.46897855</v>
      </c>
    </row>
    <row r="9819" spans="1:2" x14ac:dyDescent="0.25">
      <c r="A9819">
        <f ca="1">41962.8855372791*((RANDBETWEEN(1620,2416)))</f>
        <v>90765721.417134732</v>
      </c>
      <c r="B9819">
        <v>159585911.47025308</v>
      </c>
    </row>
    <row r="9820" spans="1:2" x14ac:dyDescent="0.25">
      <c r="A9820">
        <f ca="1">37517.9965967785*((RANDBETWEEN(1620,2416)))</f>
        <v>89292831.900332734</v>
      </c>
      <c r="B9820">
        <v>170685192.17435861</v>
      </c>
    </row>
    <row r="9821" spans="1:2" x14ac:dyDescent="0.25">
      <c r="A9821">
        <f ca="1">29196.8497462782*((RANDBETWEEN(1620,2416)))</f>
        <v>69838864.593097359</v>
      </c>
      <c r="B9821">
        <v>159081543.36726418</v>
      </c>
    </row>
    <row r="9822" spans="1:2" x14ac:dyDescent="0.25">
      <c r="A9822">
        <f ca="1">30579.7360641673*((RANDBETWEEN(1620,2416)))</f>
        <v>55410481.748271108</v>
      </c>
      <c r="B9822">
        <v>145250546.86136761</v>
      </c>
    </row>
    <row r="9823" spans="1:2" x14ac:dyDescent="0.25">
      <c r="A9823">
        <f ca="1">37806.2115709123*((RANDBETWEEN(1620,2416)))</f>
        <v>65442552.229249261</v>
      </c>
      <c r="B9823">
        <v>150418682.67344788</v>
      </c>
    </row>
    <row r="9824" spans="1:2" x14ac:dyDescent="0.25">
      <c r="A9824">
        <f ca="1">35250.5071447817*((RANDBETWEEN(1620,2416)))</f>
        <v>57599328.67457328</v>
      </c>
      <c r="B9824">
        <v>160344156.96068776</v>
      </c>
    </row>
    <row r="9825" spans="1:2" x14ac:dyDescent="0.25">
      <c r="A9825">
        <f ca="1">37979.2908707512*((RANDBETWEEN(1620,2416)))</f>
        <v>82832833.389108285</v>
      </c>
      <c r="B9825">
        <v>152018392.55076525</v>
      </c>
    </row>
    <row r="9826" spans="1:2" x14ac:dyDescent="0.25">
      <c r="A9826">
        <f ca="1">34387.4384461551*((RANDBETWEEN(1620,2416)))</f>
        <v>77062249.557833478</v>
      </c>
      <c r="B9826">
        <v>143831383.92807326</v>
      </c>
    </row>
    <row r="9827" spans="1:2" x14ac:dyDescent="0.25">
      <c r="A9827">
        <f ca="1">31864.1296148077*((RANDBETWEEN(1620,2416)))</f>
        <v>58566270.232016623</v>
      </c>
      <c r="B9827">
        <v>165946593.59890053</v>
      </c>
    </row>
    <row r="9828" spans="1:2" x14ac:dyDescent="0.25">
      <c r="A9828">
        <f ca="1">31389.3371656602*((RANDBETWEEN(1620,2416)))</f>
        <v>62935621.017148606</v>
      </c>
      <c r="B9828">
        <v>162405978.99197808</v>
      </c>
    </row>
    <row r="9829" spans="1:2" x14ac:dyDescent="0.25">
      <c r="A9829">
        <f ca="1">33257.6930283974*((RANDBETWEEN(1620,2416)))</f>
        <v>57535808.93912755</v>
      </c>
      <c r="B9829">
        <v>144088965.56629649</v>
      </c>
    </row>
    <row r="9830" spans="1:2" x14ac:dyDescent="0.25">
      <c r="A9830">
        <f ca="1">31670.0872161576*((RANDBETWEEN(1620,2416)))</f>
        <v>67045574.636605635</v>
      </c>
      <c r="B9830">
        <v>160060990.74345219</v>
      </c>
    </row>
    <row r="9831" spans="1:2" x14ac:dyDescent="0.25">
      <c r="A9831">
        <f ca="1">29854.2120553171*((RANDBETWEEN(1620,2416)))</f>
        <v>55081021.242060043</v>
      </c>
      <c r="B9831">
        <v>183504109.05033121</v>
      </c>
    </row>
    <row r="9832" spans="1:2" x14ac:dyDescent="0.25">
      <c r="A9832">
        <f ca="1">38761.462443192*((RANDBETWEEN(1620,2416)))</f>
        <v>92484849.389456093</v>
      </c>
      <c r="B9832">
        <v>191253279.15958592</v>
      </c>
    </row>
    <row r="9833" spans="1:2" x14ac:dyDescent="0.25">
      <c r="A9833">
        <f ca="1">31502.6897250108*((RANDBETWEEN(1620,2416)))</f>
        <v>66533680.699222848</v>
      </c>
      <c r="B9833">
        <v>150123611.32145357</v>
      </c>
    </row>
    <row r="9834" spans="1:2" x14ac:dyDescent="0.25">
      <c r="A9834">
        <f ca="1">36478.8002002744*((RANDBETWEEN(1620,2416)))</f>
        <v>70002817.584326521</v>
      </c>
      <c r="B9834">
        <v>143350176.3140589</v>
      </c>
    </row>
    <row r="9835" spans="1:2" x14ac:dyDescent="0.25">
      <c r="A9835">
        <f ca="1">34041.910167652*((RANDBETWEEN(1620,2416)))</f>
        <v>70262502.586033672</v>
      </c>
      <c r="B9835">
        <v>172378678.1113455</v>
      </c>
    </row>
    <row r="9836" spans="1:2" x14ac:dyDescent="0.25">
      <c r="A9836">
        <f ca="1">36707.1606181319*((RANDBETWEEN(1620,2416)))</f>
        <v>66660203.682527609</v>
      </c>
      <c r="B9836">
        <v>192276019.25485158</v>
      </c>
    </row>
    <row r="9837" spans="1:2" x14ac:dyDescent="0.25">
      <c r="A9837">
        <f ca="1">39634.9717425504*((RANDBETWEEN(1620,2416)))</f>
        <v>87593287.551036358</v>
      </c>
      <c r="B9837">
        <v>157962317.59272474</v>
      </c>
    </row>
    <row r="9838" spans="1:2" x14ac:dyDescent="0.25">
      <c r="A9838">
        <f ca="1">27588.1316048873*((RANDBETWEEN(1620,2416)))</f>
        <v>51175984.127066024</v>
      </c>
      <c r="B9838">
        <v>196186754.72386634</v>
      </c>
    </row>
    <row r="9839" spans="1:2" x14ac:dyDescent="0.25">
      <c r="A9839">
        <f ca="1">29627.7477249352*((RANDBETWEEN(1620,2416)))</f>
        <v>49419083.205191851</v>
      </c>
      <c r="B9839">
        <v>172151681.65358922</v>
      </c>
    </row>
    <row r="9840" spans="1:2" x14ac:dyDescent="0.25">
      <c r="A9840">
        <f ca="1">32463.2416600228*((RANDBETWEEN(1620,2416)))</f>
        <v>57005452.355000086</v>
      </c>
      <c r="B9840">
        <v>146975146.99839401</v>
      </c>
    </row>
    <row r="9841" spans="1:2" x14ac:dyDescent="0.25">
      <c r="A9841">
        <f ca="1">30811.7562905821*((RANDBETWEEN(1620,2416)))</f>
        <v>50562092.072845206</v>
      </c>
      <c r="B9841">
        <v>157576331.03919169</v>
      </c>
    </row>
    <row r="9842" spans="1:2" x14ac:dyDescent="0.25">
      <c r="A9842">
        <f ca="1">35884.0225933349*((RANDBETWEEN(1620,2416)))</f>
        <v>84901597.455830365</v>
      </c>
      <c r="B9842">
        <v>203650699.8348549</v>
      </c>
    </row>
    <row r="9843" spans="1:2" x14ac:dyDescent="0.25">
      <c r="A9843">
        <f ca="1">36517.3724241018*((RANDBETWEEN(1620,2416)))</f>
        <v>77307277.421823457</v>
      </c>
      <c r="B9843">
        <v>186693613.70530611</v>
      </c>
    </row>
    <row r="9844" spans="1:2" x14ac:dyDescent="0.25">
      <c r="A9844">
        <f ca="1">30805.5005454423*((RANDBETWEEN(1620,2416)))</f>
        <v>53817209.452887647</v>
      </c>
      <c r="B9844">
        <v>158804308.29535085</v>
      </c>
    </row>
    <row r="9845" spans="1:2" x14ac:dyDescent="0.25">
      <c r="A9845">
        <f ca="1">34198.9499620649*((RANDBETWEEN(1620,2416)))</f>
        <v>82453668.358538404</v>
      </c>
      <c r="B9845">
        <v>163490427.35447389</v>
      </c>
    </row>
    <row r="9846" spans="1:2" x14ac:dyDescent="0.25">
      <c r="A9846">
        <f ca="1">31099.0423287517*((RANDBETWEEN(1620,2416)))</f>
        <v>50691438.995865248</v>
      </c>
      <c r="B9846">
        <v>150717421.36371106</v>
      </c>
    </row>
    <row r="9847" spans="1:2" x14ac:dyDescent="0.25">
      <c r="A9847">
        <f ca="1">36165.4877152178*((RANDBETWEEN(1620,2416)))</f>
        <v>85965364.299072713</v>
      </c>
      <c r="B9847">
        <v>144783857.27234119</v>
      </c>
    </row>
    <row r="9848" spans="1:2" x14ac:dyDescent="0.25">
      <c r="A9848">
        <f ca="1">32142.4420443769*((RANDBETWEEN(1620,2416)))</f>
        <v>59913511.970718563</v>
      </c>
      <c r="B9848">
        <v>200018510.03196993</v>
      </c>
    </row>
    <row r="9849" spans="1:2" x14ac:dyDescent="0.25">
      <c r="A9849">
        <f ca="1">37119.0497438881*((RANDBETWEEN(1620,2416)))</f>
        <v>74460813.786239535</v>
      </c>
      <c r="B9849">
        <v>172752090.82133657</v>
      </c>
    </row>
    <row r="9850" spans="1:2" x14ac:dyDescent="0.25">
      <c r="A9850">
        <f ca="1">31538.056422192*((RANDBETWEEN(1620,2416)))</f>
        <v>52983934.789282553</v>
      </c>
      <c r="B9850">
        <v>202137736.40335879</v>
      </c>
    </row>
    <row r="9851" spans="1:2" x14ac:dyDescent="0.25">
      <c r="A9851">
        <f ca="1">34322.4339507769*((RANDBETWEEN(1620,2416)))</f>
        <v>66105007.78919623</v>
      </c>
      <c r="B9851">
        <v>143717199.16318551</v>
      </c>
    </row>
    <row r="9852" spans="1:2" x14ac:dyDescent="0.25">
      <c r="A9852">
        <f ca="1">32063.1872749804*((RANDBETWEEN(1620,2416)))</f>
        <v>58835948.649589054</v>
      </c>
      <c r="B9852">
        <v>162911671.12707716</v>
      </c>
    </row>
    <row r="9853" spans="1:2" x14ac:dyDescent="0.25">
      <c r="A9853">
        <f ca="1">32361.6615112984*((RANDBETWEEN(1620,2416)))</f>
        <v>62781623.331918843</v>
      </c>
      <c r="B9853">
        <v>191857146.1213654</v>
      </c>
    </row>
    <row r="9854" spans="1:2" x14ac:dyDescent="0.25">
      <c r="A9854">
        <f ca="1">28410.415038533*((RANDBETWEEN(1620,2416)))</f>
        <v>64349590.062277339</v>
      </c>
      <c r="B9854">
        <v>157941962.50888383</v>
      </c>
    </row>
    <row r="9855" spans="1:2" x14ac:dyDescent="0.25">
      <c r="A9855">
        <f ca="1">32835.9071933214*((RANDBETWEEN(1620,2416)))</f>
        <v>68495702.405268356</v>
      </c>
      <c r="B9855">
        <v>162625808.63389802</v>
      </c>
    </row>
    <row r="9856" spans="1:2" x14ac:dyDescent="0.25">
      <c r="A9856">
        <f ca="1">41421.9505972135*((RANDBETWEEN(1620,2416)))</f>
        <v>89140037.685203388</v>
      </c>
      <c r="B9856">
        <v>200987727.19028199</v>
      </c>
    </row>
    <row r="9857" spans="1:2" x14ac:dyDescent="0.25">
      <c r="A9857">
        <f ca="1">31544.3709189928*((RANDBETWEEN(1620,2416)))</f>
        <v>55991258.381212257</v>
      </c>
      <c r="B9857">
        <v>150617536.47116342</v>
      </c>
    </row>
    <row r="9858" spans="1:2" x14ac:dyDescent="0.25">
      <c r="A9858">
        <f ca="1">29072.4812900704*((RANDBETWEEN(1620,2416)))</f>
        <v>54103887.680821016</v>
      </c>
      <c r="B9858">
        <v>158543458.32437074</v>
      </c>
    </row>
    <row r="9859" spans="1:2" x14ac:dyDescent="0.25">
      <c r="A9859">
        <f ca="1">30733.8377910944*((RANDBETWEEN(1620,2416)))</f>
        <v>73238735.456177905</v>
      </c>
      <c r="B9859">
        <v>149400027.85523677</v>
      </c>
    </row>
    <row r="9860" spans="1:2" x14ac:dyDescent="0.25">
      <c r="A9860">
        <f ca="1">32815.8116673345*((RANDBETWEEN(1620,2416)))</f>
        <v>73704313.004833192</v>
      </c>
      <c r="B9860">
        <v>149175146.91007882</v>
      </c>
    </row>
    <row r="9861" spans="1:2" x14ac:dyDescent="0.25">
      <c r="A9861">
        <f ca="1">33692.2487773127*((RANDBETWEEN(1620,2416)))</f>
        <v>65026040.140213527</v>
      </c>
      <c r="B9861">
        <v>193929191.6035955</v>
      </c>
    </row>
    <row r="9862" spans="1:2" x14ac:dyDescent="0.25">
      <c r="A9862">
        <f ca="1">32704.1620923351*((RANDBETWEEN(1620,2416)))</f>
        <v>56153046.312539309</v>
      </c>
      <c r="B9862">
        <v>151914454.48779216</v>
      </c>
    </row>
    <row r="9863" spans="1:2" x14ac:dyDescent="0.25">
      <c r="A9863">
        <f ca="1">41902.0533377393*((RANDBETWEEN(1620,2416)))</f>
        <v>73077181.021017283</v>
      </c>
      <c r="B9863">
        <v>154252648.94763887</v>
      </c>
    </row>
    <row r="9864" spans="1:2" x14ac:dyDescent="0.25">
      <c r="A9864">
        <f ca="1">30399.7724335676*((RANDBETWEEN(1620,2416)))</f>
        <v>54202794.24905099</v>
      </c>
      <c r="B9864">
        <v>149105686.38703597</v>
      </c>
    </row>
    <row r="9865" spans="1:2" x14ac:dyDescent="0.25">
      <c r="A9865">
        <f ca="1">32106.1191701621*((RANDBETWEEN(1620,2416)))</f>
        <v>62542720.143475786</v>
      </c>
      <c r="B9865">
        <v>163174938.18781251</v>
      </c>
    </row>
    <row r="9866" spans="1:2" x14ac:dyDescent="0.25">
      <c r="A9866">
        <f ca="1">32087.3859364138*((RANDBETWEEN(1620,2416)))</f>
        <v>58399042.404273197</v>
      </c>
      <c r="B9866">
        <v>148224378.43751574</v>
      </c>
    </row>
    <row r="9867" spans="1:2" x14ac:dyDescent="0.25">
      <c r="A9867">
        <f ca="1">39487.0659890614*((RANDBETWEEN(1620,2416)))</f>
        <v>75973114.962954044</v>
      </c>
      <c r="B9867">
        <v>168490246.15106076</v>
      </c>
    </row>
    <row r="9868" spans="1:2" x14ac:dyDescent="0.25">
      <c r="A9868">
        <f ca="1">26975.180053233*((RANDBETWEEN(1620,2416)))</f>
        <v>54462888.52747748</v>
      </c>
      <c r="B9868">
        <v>145289892.91299665</v>
      </c>
    </row>
    <row r="9869" spans="1:2" x14ac:dyDescent="0.25">
      <c r="A9869">
        <f ca="1">40584.105352404*((RANDBETWEEN(1620,2416)))</f>
        <v>96711923.054778844</v>
      </c>
      <c r="B9869">
        <v>162916942.17991978</v>
      </c>
    </row>
    <row r="9870" spans="1:2" x14ac:dyDescent="0.25">
      <c r="A9870">
        <f ca="1">29408.2816429421*((RANDBETWEEN(1620,2416)))</f>
        <v>69668219.212129816</v>
      </c>
      <c r="B9870">
        <v>185375803.70791036</v>
      </c>
    </row>
    <row r="9871" spans="1:2" x14ac:dyDescent="0.25">
      <c r="A9871">
        <f ca="1">37822.634467008*((RANDBETWEEN(1620,2416)))</f>
        <v>67551225.158076316</v>
      </c>
      <c r="B9871">
        <v>189985669.97457209</v>
      </c>
    </row>
    <row r="9872" spans="1:2" x14ac:dyDescent="0.25">
      <c r="A9872">
        <f ca="1">32773.458787072*((RANDBETWEEN(1620,2416)))</f>
        <v>75641142.880562112</v>
      </c>
      <c r="B9872">
        <v>167178563.71461836</v>
      </c>
    </row>
    <row r="9873" spans="1:2" x14ac:dyDescent="0.25">
      <c r="A9873">
        <f ca="1">39088.6937319307*((RANDBETWEEN(1620,2416)))</f>
        <v>70633269.573598757</v>
      </c>
      <c r="B9873">
        <v>167772946.88845026</v>
      </c>
    </row>
    <row r="9874" spans="1:2" x14ac:dyDescent="0.25">
      <c r="A9874">
        <f ca="1">33272.8163586597*((RANDBETWEEN(1620,2416)))</f>
        <v>65846903.573787548</v>
      </c>
      <c r="B9874">
        <v>201774914.42447302</v>
      </c>
    </row>
    <row r="9875" spans="1:2" x14ac:dyDescent="0.25">
      <c r="A9875">
        <f ca="1">31846.2582281995*((RANDBETWEEN(1620,2416)))</f>
        <v>62323127.352586493</v>
      </c>
      <c r="B9875">
        <v>155553185.02953526</v>
      </c>
    </row>
    <row r="9876" spans="1:2" x14ac:dyDescent="0.25">
      <c r="A9876">
        <f ca="1">31657.4333432587*((RANDBETWEEN(1620,2416)))</f>
        <v>73888449.423165739</v>
      </c>
      <c r="B9876">
        <v>150568462.17703289</v>
      </c>
    </row>
    <row r="9877" spans="1:2" x14ac:dyDescent="0.25">
      <c r="A9877">
        <f ca="1">37631.5968862467*((RANDBETWEEN(1620,2416)))</f>
        <v>83090565.924832612</v>
      </c>
      <c r="B9877">
        <v>177887199.95768979</v>
      </c>
    </row>
    <row r="9878" spans="1:2" x14ac:dyDescent="0.25">
      <c r="A9878">
        <f ca="1">32994.2768264179*((RANDBETWEEN(1620,2416)))</f>
        <v>74633054.181357309</v>
      </c>
      <c r="B9878">
        <v>161263759.34517413</v>
      </c>
    </row>
    <row r="9879" spans="1:2" x14ac:dyDescent="0.25">
      <c r="A9879">
        <f ca="1">29585.4361264696*((RANDBETWEEN(1620,2416)))</f>
        <v>56685695.618315674</v>
      </c>
      <c r="B9879">
        <v>150049105.13435268</v>
      </c>
    </row>
    <row r="9880" spans="1:2" x14ac:dyDescent="0.25">
      <c r="A9880">
        <f ca="1">36818.9063674478*((RANDBETWEEN(1620,2416)))</f>
        <v>85935327.461623192</v>
      </c>
      <c r="B9880">
        <v>145046298.546388</v>
      </c>
    </row>
    <row r="9881" spans="1:2" x14ac:dyDescent="0.25">
      <c r="A9881">
        <f ca="1">29247.9992274587*((RANDBETWEEN(1620,2416)))</f>
        <v>64257854.302726738</v>
      </c>
      <c r="B9881">
        <v>157480987.23349741</v>
      </c>
    </row>
    <row r="9882" spans="1:2" x14ac:dyDescent="0.25">
      <c r="A9882">
        <f ca="1">37413.6927325627*((RANDBETWEEN(1620,2416)))</f>
        <v>68467057.700589672</v>
      </c>
      <c r="B9882">
        <v>187427746.44164482</v>
      </c>
    </row>
    <row r="9883" spans="1:2" x14ac:dyDescent="0.25">
      <c r="A9883">
        <f ca="1">33140.2658774172*((RANDBETWEEN(1620,2416)))</f>
        <v>70853888.445917904</v>
      </c>
      <c r="B9883">
        <v>162694500.38359469</v>
      </c>
    </row>
    <row r="9884" spans="1:2" x14ac:dyDescent="0.25">
      <c r="A9884">
        <f ca="1">28972.0296515137*((RANDBETWEEN(1620,2416)))</f>
        <v>55307604.604739584</v>
      </c>
      <c r="B9884">
        <v>145929217.01462561</v>
      </c>
    </row>
    <row r="9885" spans="1:2" x14ac:dyDescent="0.25">
      <c r="A9885">
        <f ca="1">30002.3092703166*((RANDBETWEEN(1620,2416)))</f>
        <v>51693978.87275558</v>
      </c>
      <c r="B9885">
        <v>170267305.18309063</v>
      </c>
    </row>
    <row r="9886" spans="1:2" x14ac:dyDescent="0.25">
      <c r="A9886">
        <f ca="1">31185.6548595846*((RANDBETWEEN(1620,2416)))</f>
        <v>63837035.497569673</v>
      </c>
      <c r="B9886">
        <v>161691396.36631188</v>
      </c>
    </row>
    <row r="9887" spans="1:2" x14ac:dyDescent="0.25">
      <c r="A9887">
        <f ca="1">30211.5330778266*((RANDBETWEEN(1620,2416)))</f>
        <v>60997085.284131974</v>
      </c>
      <c r="B9887">
        <v>148855078.8271333</v>
      </c>
    </row>
    <row r="9888" spans="1:2" x14ac:dyDescent="0.25">
      <c r="A9888">
        <f ca="1">29964.8569383439*((RANDBETWEEN(1620,2416)))</f>
        <v>65053704.413144559</v>
      </c>
      <c r="B9888">
        <v>197057685.6597752</v>
      </c>
    </row>
    <row r="9889" spans="1:2" x14ac:dyDescent="0.25">
      <c r="A9889">
        <f ca="1">41559.2171397281*((RANDBETWEEN(1620,2416)))</f>
        <v>73310459.034480363</v>
      </c>
      <c r="B9889">
        <v>193398533.46735147</v>
      </c>
    </row>
    <row r="9890" spans="1:2" x14ac:dyDescent="0.25">
      <c r="A9890">
        <f ca="1">31728.6025325528*((RANDBETWEEN(1620,2416)))</f>
        <v>67232908.766479298</v>
      </c>
      <c r="B9890">
        <v>200893079.71211877</v>
      </c>
    </row>
    <row r="9891" spans="1:2" x14ac:dyDescent="0.25">
      <c r="A9891">
        <f ca="1">32063.1990003008*((RANDBETWEEN(1620,2416)))</f>
        <v>56495356.638529934</v>
      </c>
      <c r="B9891">
        <v>200791951.86342257</v>
      </c>
    </row>
    <row r="9892" spans="1:2" x14ac:dyDescent="0.25">
      <c r="A9892">
        <f ca="1">36168.213453057*((RANDBETWEEN(1620,2416)))</f>
        <v>69732315.537493944</v>
      </c>
      <c r="B9892">
        <v>203362571.05861294</v>
      </c>
    </row>
    <row r="9893" spans="1:2" x14ac:dyDescent="0.25">
      <c r="A9893">
        <f ca="1">30523.185653318*((RANDBETWEEN(1620,2416)))</f>
        <v>64739676.770687483</v>
      </c>
      <c r="B9893">
        <v>196741938.39627269</v>
      </c>
    </row>
    <row r="9894" spans="1:2" x14ac:dyDescent="0.25">
      <c r="A9894">
        <f ca="1">33181.137848763*((RANDBETWEEN(1620,2416)))</f>
        <v>72965322.129429832</v>
      </c>
      <c r="B9894">
        <v>170767975.91964951</v>
      </c>
    </row>
    <row r="9895" spans="1:2" x14ac:dyDescent="0.25">
      <c r="A9895">
        <f ca="1">29679.783041824*((RANDBETWEEN(1620,2416)))</f>
        <v>58914369.338020645</v>
      </c>
      <c r="B9895">
        <v>199585902.36573541</v>
      </c>
    </row>
    <row r="9896" spans="1:2" x14ac:dyDescent="0.25">
      <c r="A9896">
        <f ca="1">32968.341964521*((RANDBETWEEN(1620,2416)))</f>
        <v>74376579.471959367</v>
      </c>
      <c r="B9896">
        <v>167978717.334252</v>
      </c>
    </row>
    <row r="9897" spans="1:2" x14ac:dyDescent="0.25">
      <c r="A9897">
        <f ca="1">29256.7078563572*((RANDBETWEEN(1620,2416)))</f>
        <v>55265921.140658677</v>
      </c>
      <c r="B9897">
        <v>203273973.79234597</v>
      </c>
    </row>
    <row r="9898" spans="1:2" x14ac:dyDescent="0.25">
      <c r="A9898">
        <f ca="1">30026.9681070299*((RANDBETWEEN(1620,2416)))</f>
        <v>61285041.906447947</v>
      </c>
      <c r="B9898">
        <v>148139687.36683658</v>
      </c>
    </row>
    <row r="9899" spans="1:2" x14ac:dyDescent="0.25">
      <c r="A9899">
        <f ca="1">37777.8170115181*((RANDBETWEEN(1620,2416)))</f>
        <v>78048969.945796296</v>
      </c>
      <c r="B9899">
        <v>145959195.93419406</v>
      </c>
    </row>
    <row r="9900" spans="1:2" x14ac:dyDescent="0.25">
      <c r="A9900">
        <f ca="1">29332.1310346858*((RANDBETWEEN(1620,2416)))</f>
        <v>58693594.200406238</v>
      </c>
      <c r="B9900">
        <v>155027049.39630705</v>
      </c>
    </row>
    <row r="9901" spans="1:2" x14ac:dyDescent="0.25">
      <c r="A9901">
        <f ca="1">32183.9231779882*((RANDBETWEEN(1620,2416)))</f>
        <v>77691990.551663578</v>
      </c>
      <c r="B9901">
        <v>168691865.249143</v>
      </c>
    </row>
    <row r="9902" spans="1:2" x14ac:dyDescent="0.25">
      <c r="A9902">
        <f ca="1">33611.2442488314*((RANDBETWEEN(1620,2416)))</f>
        <v>58920511.168201528</v>
      </c>
      <c r="B9902">
        <v>150792465.60633379</v>
      </c>
    </row>
    <row r="9903" spans="1:2" x14ac:dyDescent="0.25">
      <c r="A9903">
        <f ca="1">41976.9980180439*((RANDBETWEEN(1620,2416)))</f>
        <v>95497670.491049796</v>
      </c>
      <c r="B9903">
        <v>166056309.62866077</v>
      </c>
    </row>
    <row r="9904" spans="1:2" x14ac:dyDescent="0.25">
      <c r="A9904">
        <f ca="1">38161.0593076209*((RANDBETWEEN(1620,2416)))</f>
        <v>86587443.568991855</v>
      </c>
      <c r="B9904">
        <v>187936670.12160647</v>
      </c>
    </row>
    <row r="9905" spans="1:2" x14ac:dyDescent="0.25">
      <c r="A9905">
        <f ca="1">31605.4446823021*((RANDBETWEEN(1620,2416)))</f>
        <v>62420753.247546561</v>
      </c>
      <c r="B9905">
        <v>171731481.82326046</v>
      </c>
    </row>
    <row r="9906" spans="1:2" x14ac:dyDescent="0.25">
      <c r="A9906">
        <f ca="1">29388.3068874889*((RANDBETWEEN(1620,2416)))</f>
        <v>67152281.237912104</v>
      </c>
      <c r="B9906">
        <v>148756325.53904417</v>
      </c>
    </row>
    <row r="9907" spans="1:2" x14ac:dyDescent="0.25">
      <c r="A9907">
        <f ca="1">33329.2861926655*((RANDBETWEEN(1620,2416)))</f>
        <v>57093067.248035945</v>
      </c>
      <c r="B9907">
        <v>155884769.82852191</v>
      </c>
    </row>
    <row r="9908" spans="1:2" x14ac:dyDescent="0.25">
      <c r="A9908">
        <f ca="1">38514.6714008506*((RANDBETWEEN(1620,2416)))</f>
        <v>82845058.183229595</v>
      </c>
      <c r="B9908">
        <v>190782791.28564781</v>
      </c>
    </row>
    <row r="9909" spans="1:2" x14ac:dyDescent="0.25">
      <c r="A9909">
        <f ca="1">30413.3967943378*((RANDBETWEEN(1620,2416)))</f>
        <v>67183193.51869224</v>
      </c>
      <c r="B9909">
        <v>160665416.22917542</v>
      </c>
    </row>
    <row r="9910" spans="1:2" x14ac:dyDescent="0.25">
      <c r="A9910">
        <f ca="1">30899.1108366399*((RANDBETWEEN(1620,2416)))</f>
        <v>57194254.158620454</v>
      </c>
      <c r="B9910">
        <v>194656726.70905823</v>
      </c>
    </row>
    <row r="9911" spans="1:2" x14ac:dyDescent="0.25">
      <c r="A9911">
        <f ca="1">30419.865700371*((RANDBETWEEN(1620,2416)))</f>
        <v>72125501.575579748</v>
      </c>
      <c r="B9911">
        <v>180307446.2753973</v>
      </c>
    </row>
    <row r="9912" spans="1:2" x14ac:dyDescent="0.25">
      <c r="A9912">
        <f ca="1">31191.5672634363*((RANDBETWEEN(1620,2416)))</f>
        <v>54429284.874696277</v>
      </c>
      <c r="B9912">
        <v>158193003.77306396</v>
      </c>
    </row>
    <row r="9913" spans="1:2" x14ac:dyDescent="0.25">
      <c r="A9913">
        <f ca="1">30777.9478158908*((RANDBETWEEN(1620,2416)))</f>
        <v>62756235.596601337</v>
      </c>
      <c r="B9913">
        <v>144263900.6349771</v>
      </c>
    </row>
    <row r="9914" spans="1:2" x14ac:dyDescent="0.25">
      <c r="A9914">
        <f ca="1">30997.1568046541*((RANDBETWEEN(1620,2416)))</f>
        <v>57592717.343047313</v>
      </c>
      <c r="B9914">
        <v>178164755.1308015</v>
      </c>
    </row>
    <row r="9915" spans="1:2" x14ac:dyDescent="0.25">
      <c r="A9915">
        <f ca="1">29921.0377369186*((RANDBETWEEN(1620,2416)))</f>
        <v>71301832.927076906</v>
      </c>
      <c r="B9915">
        <v>184982402.50535268</v>
      </c>
    </row>
    <row r="9916" spans="1:2" x14ac:dyDescent="0.25">
      <c r="A9916">
        <f ca="1">29216.3076690756*((RANDBETWEEN(1620,2416)))</f>
        <v>58403399.030482143</v>
      </c>
      <c r="B9916">
        <v>157928792.306752</v>
      </c>
    </row>
    <row r="9917" spans="1:2" x14ac:dyDescent="0.25">
      <c r="A9917">
        <f ca="1">32176.9878467509*((RANDBETWEEN(1620,2416)))</f>
        <v>71336382.056246772</v>
      </c>
      <c r="B9917">
        <v>175876957.437803</v>
      </c>
    </row>
    <row r="9918" spans="1:2" x14ac:dyDescent="0.25">
      <c r="A9918">
        <f ca="1">33803.2496710564*((RANDBETWEEN(1620,2416)))</f>
        <v>71257250.306586906</v>
      </c>
      <c r="B9918">
        <v>179485332.36456603</v>
      </c>
    </row>
    <row r="9919" spans="1:2" x14ac:dyDescent="0.25">
      <c r="A9919">
        <f ca="1">29456.0968187672*((RANDBETWEEN(1620,2416)))</f>
        <v>68573793.394090071</v>
      </c>
      <c r="B9919">
        <v>152683616.22982749</v>
      </c>
    </row>
    <row r="9920" spans="1:2" x14ac:dyDescent="0.25">
      <c r="A9920">
        <f ca="1">41201.4710175729*((RANDBETWEEN(1620,2416)))</f>
        <v>92085287.724275485</v>
      </c>
      <c r="B9920">
        <v>193456429.39694324</v>
      </c>
    </row>
    <row r="9921" spans="1:2" x14ac:dyDescent="0.25">
      <c r="A9921">
        <f ca="1">39895.8049948096*((RANDBETWEEN(1620,2416)))</f>
        <v>84818481.418965191</v>
      </c>
      <c r="B9921">
        <v>149827637.79983452</v>
      </c>
    </row>
    <row r="9922" spans="1:2" x14ac:dyDescent="0.25">
      <c r="A9922">
        <f ca="1">32613.6932093852*((RANDBETWEEN(1620,2416)))</f>
        <v>65847046.589748785</v>
      </c>
      <c r="B9922">
        <v>195823343.85446894</v>
      </c>
    </row>
    <row r="9923" spans="1:2" x14ac:dyDescent="0.25">
      <c r="A9923">
        <f ca="1">32353.5480686778*((RANDBETWEEN(1620,2416)))</f>
        <v>65127692.262248442</v>
      </c>
      <c r="B9923">
        <v>198062602.42432317</v>
      </c>
    </row>
    <row r="9924" spans="1:2" x14ac:dyDescent="0.25">
      <c r="A9924">
        <f ca="1">29500.269643062*((RANDBETWEEN(1620,2416)))</f>
        <v>61065558.161138237</v>
      </c>
      <c r="B9924">
        <v>183770729.18427834</v>
      </c>
    </row>
    <row r="9925" spans="1:2" x14ac:dyDescent="0.25">
      <c r="A9925">
        <f ca="1">33467.1076253318*((RANDBETWEEN(1620,2416)))</f>
        <v>67603557.403170183</v>
      </c>
      <c r="B9925">
        <v>155689648.29732668</v>
      </c>
    </row>
    <row r="9926" spans="1:2" x14ac:dyDescent="0.25">
      <c r="A9926">
        <f ca="1">32380.5432482704*((RANDBETWEEN(1620,2416)))</f>
        <v>54107887.767859817</v>
      </c>
      <c r="B9926">
        <v>162054888.9608947</v>
      </c>
    </row>
    <row r="9927" spans="1:2" x14ac:dyDescent="0.25">
      <c r="A9927">
        <f ca="1">32964.1321828264*((RANDBETWEEN(1620,2416)))</f>
        <v>62532958.750821702</v>
      </c>
      <c r="B9927">
        <v>149803838.80552125</v>
      </c>
    </row>
    <row r="9928" spans="1:2" x14ac:dyDescent="0.25">
      <c r="A9928">
        <f ca="1">34672.350647319*((RANDBETWEEN(1620,2416)))</f>
        <v>71910455.242539644</v>
      </c>
      <c r="B9928">
        <v>194886216.03581572</v>
      </c>
    </row>
    <row r="9929" spans="1:2" x14ac:dyDescent="0.25">
      <c r="A9929">
        <f ca="1">33000.5306911217*((RANDBETWEEN(1620,2416)))</f>
        <v>70555134.617618203</v>
      </c>
      <c r="B9929">
        <v>142972264.21384275</v>
      </c>
    </row>
    <row r="9930" spans="1:2" x14ac:dyDescent="0.25">
      <c r="A9930">
        <f ca="1">34919.5592559444*((RANDBETWEEN(1620,2416)))</f>
        <v>65928127.875222981</v>
      </c>
      <c r="B9930">
        <v>152125105.47530717</v>
      </c>
    </row>
    <row r="9931" spans="1:2" x14ac:dyDescent="0.25">
      <c r="A9931">
        <f ca="1">31806.2356549563*((RANDBETWEEN(1620,2416)))</f>
        <v>66888513.582373068</v>
      </c>
      <c r="B9931">
        <v>157425666.43575978</v>
      </c>
    </row>
    <row r="9932" spans="1:2" x14ac:dyDescent="0.25">
      <c r="A9932">
        <f ca="1">37307.4881470649*((RANDBETWEEN(1620,2416)))</f>
        <v>82673393.733895913</v>
      </c>
      <c r="B9932">
        <v>177934545.56467375</v>
      </c>
    </row>
    <row r="9933" spans="1:2" x14ac:dyDescent="0.25">
      <c r="A9933">
        <f ca="1">40617.8800581845*((RANDBETWEEN(1620,2416)))</f>
        <v>79042394.593226999</v>
      </c>
      <c r="B9933">
        <v>184491441.2799947</v>
      </c>
    </row>
    <row r="9934" spans="1:2" x14ac:dyDescent="0.25">
      <c r="A9934">
        <f ca="1">32339.9397590364*((RANDBETWEEN(1620,2416)))</f>
        <v>55139597.289157122</v>
      </c>
      <c r="B9934">
        <v>168668140.81315306</v>
      </c>
    </row>
    <row r="9935" spans="1:2" x14ac:dyDescent="0.25">
      <c r="A9935">
        <f ca="1">31822.4360606564*((RANDBETWEEN(1620,2416)))</f>
        <v>61544591.34130954</v>
      </c>
      <c r="B9935">
        <v>154795117.50451767</v>
      </c>
    </row>
    <row r="9936" spans="1:2" x14ac:dyDescent="0.25">
      <c r="A9936">
        <f ca="1">38766.6223202512*((RANDBETWEEN(1620,2416)))</f>
        <v>70438952.755896404</v>
      </c>
      <c r="B9936">
        <v>170273917.31189933</v>
      </c>
    </row>
    <row r="9937" spans="1:2" x14ac:dyDescent="0.25">
      <c r="A9937">
        <f ca="1">32571.6269747282*((RANDBETWEEN(1620,2416)))</f>
        <v>69572995.218019471</v>
      </c>
      <c r="B9937">
        <v>171743399.39577743</v>
      </c>
    </row>
    <row r="9938" spans="1:2" x14ac:dyDescent="0.25">
      <c r="A9938">
        <f ca="1">34762.4184919821*((RANDBETWEEN(1620,2416)))</f>
        <v>71819156.604435116</v>
      </c>
      <c r="B9938">
        <v>148969596.26969638</v>
      </c>
    </row>
    <row r="9939" spans="1:2" x14ac:dyDescent="0.25">
      <c r="A9939">
        <f ca="1">38444.7641796545*((RANDBETWEEN(1620,2416)))</f>
        <v>62741855.141196147</v>
      </c>
      <c r="B9939">
        <v>197137382.97134477</v>
      </c>
    </row>
    <row r="9940" spans="1:2" x14ac:dyDescent="0.25">
      <c r="A9940">
        <f ca="1">40329.7693500025*((RANDBETWEEN(1620,2416)))</f>
        <v>89532087.957005501</v>
      </c>
      <c r="B9940">
        <v>182898294.25319475</v>
      </c>
    </row>
    <row r="9941" spans="1:2" x14ac:dyDescent="0.25">
      <c r="A9941">
        <f ca="1">30527.3013482902*((RANDBETWEEN(1620,2416)))</f>
        <v>57940817.959054843</v>
      </c>
      <c r="B9941">
        <v>151709556.55904445</v>
      </c>
    </row>
    <row r="9942" spans="1:2" x14ac:dyDescent="0.25">
      <c r="A9942">
        <f ca="1">30118.0274285985*((RANDBETWEEN(1620,2416)))</f>
        <v>65807889.931487687</v>
      </c>
      <c r="B9942">
        <v>143800943.25174731</v>
      </c>
    </row>
    <row r="9943" spans="1:2" x14ac:dyDescent="0.25">
      <c r="A9943">
        <f ca="1">41148.3889594051*((RANDBETWEEN(1620,2416)))</f>
        <v>91143681.545082301</v>
      </c>
      <c r="B9943">
        <v>164671719.01994082</v>
      </c>
    </row>
    <row r="9944" spans="1:2" x14ac:dyDescent="0.25">
      <c r="A9944">
        <f ca="1">39540.2395154797*((RANDBETWEEN(1620,2416)))</f>
        <v>86197722.14374581</v>
      </c>
      <c r="B9944">
        <v>179291997.76246965</v>
      </c>
    </row>
    <row r="9945" spans="1:2" x14ac:dyDescent="0.25">
      <c r="A9945">
        <f ca="1">33470.3718194013*((RANDBETWEEN(1620,2416)))</f>
        <v>65702339.881484717</v>
      </c>
      <c r="B9945">
        <v>194728963.22843596</v>
      </c>
    </row>
    <row r="9946" spans="1:2" x14ac:dyDescent="0.25">
      <c r="A9946">
        <f ca="1">34771.587446776*((RANDBETWEEN(1620,2416)))</f>
        <v>67109163.772277758</v>
      </c>
      <c r="B9946">
        <v>159770443.97493631</v>
      </c>
    </row>
    <row r="9947" spans="1:2" x14ac:dyDescent="0.25">
      <c r="A9947">
        <f ca="1">33723.6177794323*((RANDBETWEEN(1620,2416)))</f>
        <v>70785873.719028488</v>
      </c>
      <c r="B9947">
        <v>160513901.05988553</v>
      </c>
    </row>
    <row r="9948" spans="1:2" x14ac:dyDescent="0.25">
      <c r="A9948">
        <f ca="1">29978.6015013028*((RANDBETWEEN(1620,2416)))</f>
        <v>69790184.295033008</v>
      </c>
      <c r="B9948">
        <v>184393073.52342224</v>
      </c>
    </row>
    <row r="9949" spans="1:2" x14ac:dyDescent="0.25">
      <c r="A9949">
        <f ca="1">30340.2883160073*((RANDBETWEEN(1620,2416)))</f>
        <v>67416120.638168156</v>
      </c>
      <c r="B9949">
        <v>143213979.33992875</v>
      </c>
    </row>
    <row r="9950" spans="1:2" x14ac:dyDescent="0.25">
      <c r="A9950">
        <f ca="1">31106.9815019527*((RANDBETWEEN(1620,2416)))</f>
        <v>65449089.080108449</v>
      </c>
      <c r="B9950">
        <v>146363607.53090861</v>
      </c>
    </row>
    <row r="9951" spans="1:2" x14ac:dyDescent="0.25">
      <c r="A9951">
        <f ca="1">42061.2850549155*((RANDBETWEEN(1620,2416)))</f>
        <v>93291930.251802489</v>
      </c>
      <c r="B9951">
        <v>202308650.45218694</v>
      </c>
    </row>
    <row r="9952" spans="1:2" x14ac:dyDescent="0.25">
      <c r="A9952">
        <f ca="1">29449.4584794608*((RANDBETWEEN(1620,2416)))</f>
        <v>54569846.562440857</v>
      </c>
      <c r="B9952">
        <v>177169257.90681905</v>
      </c>
    </row>
    <row r="9953" spans="1:2" x14ac:dyDescent="0.25">
      <c r="A9953">
        <f ca="1">30284.1009464925*((RANDBETWEEN(1620,2416)))</f>
        <v>50332175.773070581</v>
      </c>
      <c r="B9953">
        <v>159044828.25338632</v>
      </c>
    </row>
    <row r="9954" spans="1:2" x14ac:dyDescent="0.25">
      <c r="A9954">
        <f ca="1">32301.5578275124*((RANDBETWEEN(1620,2416)))</f>
        <v>57722883.837764658</v>
      </c>
      <c r="B9954">
        <v>203079390.85058266</v>
      </c>
    </row>
    <row r="9955" spans="1:2" x14ac:dyDescent="0.25">
      <c r="A9955">
        <f ca="1">39652.8178350902*((RANDBETWEEN(1620,2416)))</f>
        <v>74467991.894299328</v>
      </c>
      <c r="B9955">
        <v>182405300.68250757</v>
      </c>
    </row>
    <row r="9956" spans="1:2" x14ac:dyDescent="0.25">
      <c r="A9956">
        <f ca="1">37687.1000304091*((RANDBETWEEN(1620,2416)))</f>
        <v>62221402.150205396</v>
      </c>
      <c r="B9956">
        <v>157483888.10794657</v>
      </c>
    </row>
    <row r="9957" spans="1:2" x14ac:dyDescent="0.25">
      <c r="A9957">
        <f ca="1">31686.1087060996*((RANDBETWEEN(1620,2416)))</f>
        <v>63055356.325138293</v>
      </c>
      <c r="B9957">
        <v>179774117.7819925</v>
      </c>
    </row>
    <row r="9958" spans="1:2" x14ac:dyDescent="0.25">
      <c r="A9958">
        <f ca="1">29818.1934904755*((RANDBETWEEN(1620,2416)))</f>
        <v>49766564.935603537</v>
      </c>
      <c r="B9958">
        <v>175953638.5168367</v>
      </c>
    </row>
    <row r="9959" spans="1:2" x14ac:dyDescent="0.25">
      <c r="A9959">
        <f ca="1">33393.2509637905*((RANDBETWEEN(1620,2416)))</f>
        <v>79609510.297676638</v>
      </c>
      <c r="B9959">
        <v>176160379.80857828</v>
      </c>
    </row>
    <row r="9960" spans="1:2" x14ac:dyDescent="0.25">
      <c r="A9960">
        <f ca="1">37280.1551961969*((RANDBETWEEN(1620,2416)))</f>
        <v>71689738.442286626</v>
      </c>
      <c r="B9960">
        <v>195368720.07755926</v>
      </c>
    </row>
    <row r="9961" spans="1:2" x14ac:dyDescent="0.25">
      <c r="A9961">
        <f ca="1">31549.8219628721*((RANDBETWEEN(1620,2416)))</f>
        <v>64992633.243516423</v>
      </c>
      <c r="B9961">
        <v>163622276.000581</v>
      </c>
    </row>
    <row r="9962" spans="1:2" x14ac:dyDescent="0.25">
      <c r="A9962">
        <f ca="1">31151.1059510471*((RANDBETWEEN(1620,2416)))</f>
        <v>57037674.996367201</v>
      </c>
      <c r="B9962">
        <v>192602265.88592279</v>
      </c>
    </row>
    <row r="9963" spans="1:2" x14ac:dyDescent="0.25">
      <c r="A9963">
        <f ca="1">37074.4432242622*((RANDBETWEEN(1620,2416)))</f>
        <v>69477506.602267429</v>
      </c>
      <c r="B9963">
        <v>155102430.94635871</v>
      </c>
    </row>
    <row r="9964" spans="1:2" x14ac:dyDescent="0.25">
      <c r="A9964">
        <f ca="1">39484.6329189228*((RANDBETWEEN(1620,2416)))</f>
        <v>93262702.954495758</v>
      </c>
      <c r="B9964">
        <v>176850315.59163144</v>
      </c>
    </row>
    <row r="9965" spans="1:2" x14ac:dyDescent="0.25">
      <c r="A9965">
        <f ca="1">28143.3178246922*((RANDBETWEEN(1620,2416)))</f>
        <v>65658360.485006884</v>
      </c>
      <c r="B9965">
        <v>174746377.44037542</v>
      </c>
    </row>
    <row r="9966" spans="1:2" x14ac:dyDescent="0.25">
      <c r="A9966">
        <f ca="1">29495.6899229755*((RANDBETWEEN(1620,2416)))</f>
        <v>65539423.008851625</v>
      </c>
      <c r="B9966">
        <v>159219797.84163007</v>
      </c>
    </row>
    <row r="9967" spans="1:2" x14ac:dyDescent="0.25">
      <c r="A9967">
        <f ca="1">29832.6316697535*((RANDBETWEEN(1620,2416)))</f>
        <v>51162963.313627221</v>
      </c>
      <c r="B9967">
        <v>158438177.41819823</v>
      </c>
    </row>
    <row r="9968" spans="1:2" x14ac:dyDescent="0.25">
      <c r="A9968">
        <f ca="1">35579.0375305779*((RANDBETWEEN(1620,2416)))</f>
        <v>64398057.930346064</v>
      </c>
      <c r="B9968">
        <v>154438997.34585327</v>
      </c>
    </row>
    <row r="9969" spans="1:2" x14ac:dyDescent="0.25">
      <c r="A9969">
        <f ca="1">34730.3921223174*((RANDBETWEEN(1620,2416)))</f>
        <v>56471617.590888016</v>
      </c>
      <c r="B9969">
        <v>146261989.25559494</v>
      </c>
    </row>
    <row r="9970" spans="1:2" x14ac:dyDescent="0.25">
      <c r="A9970">
        <f ca="1">34563.1874885797*((RANDBETWEEN(1620,2416)))</f>
        <v>80186594.973504916</v>
      </c>
      <c r="B9970">
        <v>202369619.75912893</v>
      </c>
    </row>
    <row r="9971" spans="1:2" x14ac:dyDescent="0.25">
      <c r="A9971">
        <f ca="1">34079.9514985164*((RANDBETWEEN(1620,2416)))</f>
        <v>62025511.727299817</v>
      </c>
      <c r="B9971">
        <v>157734688.05507675</v>
      </c>
    </row>
    <row r="9972" spans="1:2" x14ac:dyDescent="0.25">
      <c r="A9972">
        <f ca="1">37358.9480332615*((RANDBETWEEN(1620,2416)))</f>
        <v>70720488.626964092</v>
      </c>
      <c r="B9972">
        <v>195257595.34201324</v>
      </c>
    </row>
    <row r="9973" spans="1:2" x14ac:dyDescent="0.25">
      <c r="A9973">
        <f ca="1">31383.8799309884*((RANDBETWEEN(1620,2416)))</f>
        <v>74097340.517063707</v>
      </c>
      <c r="B9973">
        <v>195349380.37344241</v>
      </c>
    </row>
    <row r="9974" spans="1:2" x14ac:dyDescent="0.25">
      <c r="A9974">
        <f ca="1">30418.3621730414*((RANDBETWEEN(1620,2416)))</f>
        <v>68988845.40845798</v>
      </c>
      <c r="B9974">
        <v>143495879.32260233</v>
      </c>
    </row>
    <row r="9975" spans="1:2" x14ac:dyDescent="0.25">
      <c r="A9975">
        <f ca="1">29368.7141972078*((RANDBETWEEN(1620,2416)))</f>
        <v>70220595.645523742</v>
      </c>
      <c r="B9975">
        <v>153950632.40592018</v>
      </c>
    </row>
    <row r="9976" spans="1:2" x14ac:dyDescent="0.25">
      <c r="A9976">
        <f ca="1">29625.890511187*((RANDBETWEEN(1620,2416)))</f>
        <v>56289191.971255295</v>
      </c>
      <c r="B9976">
        <v>171179451.67365593</v>
      </c>
    </row>
    <row r="9977" spans="1:2" x14ac:dyDescent="0.25">
      <c r="A9977">
        <f ca="1">35418.6720176117*((RANDBETWEEN(1620,2416)))</f>
        <v>59255438.285464436</v>
      </c>
      <c r="B9977">
        <v>149347099.50926864</v>
      </c>
    </row>
    <row r="9978" spans="1:2" x14ac:dyDescent="0.25">
      <c r="A9978">
        <f ca="1">28238.6205514741*((RANDBETWEEN(1620,2416)))</f>
        <v>67490303.118023217</v>
      </c>
      <c r="B9978">
        <v>145866176.13137275</v>
      </c>
    </row>
    <row r="9979" spans="1:2" x14ac:dyDescent="0.25">
      <c r="A9979">
        <f ca="1">32457.4275393564*((RANDBETWEEN(1620,2416)))</f>
        <v>68063225.550030455</v>
      </c>
      <c r="B9979">
        <v>198476146.4997918</v>
      </c>
    </row>
    <row r="9980" spans="1:2" x14ac:dyDescent="0.25">
      <c r="A9980">
        <f ca="1">31416.2986937015*((RANDBETWEEN(1620,2416)))</f>
        <v>68707445.24312526</v>
      </c>
      <c r="B9980">
        <v>158698734.26195133</v>
      </c>
    </row>
    <row r="9981" spans="1:2" x14ac:dyDescent="0.25">
      <c r="A9981">
        <f ca="1">31054.0930618944*((RANDBETWEEN(1620,2416)))</f>
        <v>54251500.579129495</v>
      </c>
      <c r="B9981">
        <v>194992936.06634766</v>
      </c>
    </row>
    <row r="9982" spans="1:2" x14ac:dyDescent="0.25">
      <c r="A9982">
        <f ca="1">33488.6333566849*((RANDBETWEEN(1620,2416)))</f>
        <v>58973483.341122031</v>
      </c>
      <c r="B9982">
        <v>190433423.83552861</v>
      </c>
    </row>
    <row r="9983" spans="1:2" x14ac:dyDescent="0.25">
      <c r="A9983">
        <f ca="1">33616.8013949361*((RANDBETWEEN(1620,2416)))</f>
        <v>68981676.462408796</v>
      </c>
      <c r="B9983">
        <v>169762555.11198243</v>
      </c>
    </row>
    <row r="9984" spans="1:2" x14ac:dyDescent="0.25">
      <c r="A9984">
        <f ca="1">38352.0864177183*((RANDBETWEEN(1620,2416)))</f>
        <v>65313603.169374309</v>
      </c>
      <c r="B9984">
        <v>163645509.34022561</v>
      </c>
    </row>
    <row r="9985" spans="1:2" x14ac:dyDescent="0.25">
      <c r="A9985">
        <f ca="1">28471.8383527515*((RANDBETWEEN(1620,2416)))</f>
        <v>58082550.239613131</v>
      </c>
      <c r="B9985">
        <v>180351296.76604214</v>
      </c>
    </row>
    <row r="9986" spans="1:2" x14ac:dyDescent="0.25">
      <c r="A9986">
        <f ca="1">27531.4920866051*((RANDBETWEEN(1620,2416)))</f>
        <v>52006988.551597118</v>
      </c>
      <c r="B9986">
        <v>162480804.47538978</v>
      </c>
    </row>
    <row r="9987" spans="1:2" x14ac:dyDescent="0.25">
      <c r="A9987">
        <f ca="1">34548.0050986842*((RANDBETWEEN(1620,2416)))</f>
        <v>78389423.568914428</v>
      </c>
      <c r="B9987">
        <v>143827548.57062018</v>
      </c>
    </row>
    <row r="9988" spans="1:2" x14ac:dyDescent="0.25">
      <c r="A9988">
        <f ca="1">31359.3263551037*((RANDBETWEEN(1620,2416)))</f>
        <v>70213531.709077135</v>
      </c>
      <c r="B9988">
        <v>176078260.56183711</v>
      </c>
    </row>
    <row r="9989" spans="1:2" x14ac:dyDescent="0.25">
      <c r="A9989">
        <f ca="1">35039.7449961918*((RANDBETWEEN(1620,2416)))</f>
        <v>58271095.928666994</v>
      </c>
      <c r="B9989">
        <v>191135177.49319696</v>
      </c>
    </row>
    <row r="9990" spans="1:2" x14ac:dyDescent="0.25">
      <c r="A9990">
        <f ca="1">30041.4506369984*((RANDBETWEEN(1620,2416)))</f>
        <v>68464466.001719415</v>
      </c>
      <c r="B9990">
        <v>183559963.54767689</v>
      </c>
    </row>
    <row r="9991" spans="1:2" x14ac:dyDescent="0.25">
      <c r="A9991">
        <f ca="1">30860.0876648221*((RANDBETWEEN(1620,2416)))</f>
        <v>66318328.391702615</v>
      </c>
      <c r="B9991">
        <v>157874956.88305667</v>
      </c>
    </row>
    <row r="9992" spans="1:2" x14ac:dyDescent="0.25">
      <c r="A9992">
        <f ca="1">31668.9825479656*((RANDBETWEEN(1620,2416)))</f>
        <v>63559647.973766983</v>
      </c>
      <c r="B9992">
        <v>150168088.80638564</v>
      </c>
    </row>
    <row r="9993" spans="1:2" x14ac:dyDescent="0.25">
      <c r="A9993">
        <f ca="1">29611.0014239527*((RANDBETWEEN(1620,2416)))</f>
        <v>55964792.691270553</v>
      </c>
      <c r="B9993">
        <v>162044077.4617874</v>
      </c>
    </row>
    <row r="9994" spans="1:2" x14ac:dyDescent="0.25">
      <c r="A9994">
        <f ca="1">34615.4149713464*((RANDBETWEEN(1620,2416)))</f>
        <v>63796209.792191416</v>
      </c>
      <c r="B9994">
        <v>185573075.04142392</v>
      </c>
    </row>
    <row r="9995" spans="1:2" x14ac:dyDescent="0.25">
      <c r="A9995">
        <f ca="1">32527.1645307331*((RANDBETWEEN(1620,2416)))</f>
        <v>76081037.83738476</v>
      </c>
      <c r="B9995">
        <v>182421308.20385721</v>
      </c>
    </row>
    <row r="9996" spans="1:2" x14ac:dyDescent="0.25">
      <c r="A9996">
        <f ca="1">32459.0470627219*((RANDBETWEEN(1620,2416)))</f>
        <v>72545970.185183376</v>
      </c>
      <c r="B9996">
        <v>166885377.61498728</v>
      </c>
    </row>
    <row r="9997" spans="1:2" x14ac:dyDescent="0.25">
      <c r="A9997">
        <f ca="1">28237.6179283702*((RANDBETWEEN(1620,2416)))</f>
        <v>60767353.781852588</v>
      </c>
      <c r="B9997">
        <v>146921732.49213383</v>
      </c>
    </row>
    <row r="9998" spans="1:2" x14ac:dyDescent="0.25">
      <c r="A9998">
        <f ca="1">31052.0095909692*((RANDBETWEEN(1620,2416)))</f>
        <v>51763699.988145627</v>
      </c>
      <c r="B9998">
        <v>144430691.03977156</v>
      </c>
    </row>
    <row r="9999" spans="1:2" x14ac:dyDescent="0.25">
      <c r="A9999">
        <f ca="1">28700.5991335082*((RANDBETWEEN(1620,2416)))</f>
        <v>62165497.723178826</v>
      </c>
      <c r="B9999">
        <v>170576217.26223129</v>
      </c>
    </row>
    <row r="10000" spans="1:2" x14ac:dyDescent="0.25">
      <c r="A10000">
        <f ca="1">32013.8494692511*((RANDBETWEEN(1620,2416)))</f>
        <v>57496873.646775015</v>
      </c>
      <c r="B10000">
        <v>145596112.2559334</v>
      </c>
    </row>
    <row r="10001" spans="1:2" x14ac:dyDescent="0.25">
      <c r="A10001">
        <f ca="1">34636.5020609963*((RANDBETWEEN(1620,2416)))</f>
        <v>67783634.53336972</v>
      </c>
      <c r="B10001">
        <v>153778043.92134789</v>
      </c>
    </row>
    <row r="10002" spans="1:2" x14ac:dyDescent="0.25">
      <c r="A10002">
        <f ca="1">30630.7287512975*((RANDBETWEEN(1620,2416)))</f>
        <v>51306470.658423305</v>
      </c>
      <c r="B10002">
        <v>156730407.99885511</v>
      </c>
    </row>
    <row r="10003" spans="1:2" x14ac:dyDescent="0.25">
      <c r="A10003">
        <f ca="1">41345.0152470865*((RANDBETWEEN(1620,2416)))</f>
        <v>86535116.912152097</v>
      </c>
      <c r="B10003">
        <v>173223255.61955795</v>
      </c>
    </row>
    <row r="10004" spans="1:2" x14ac:dyDescent="0.25">
      <c r="A10004">
        <f ca="1">35004.9897679183*((RANDBETWEEN(1620,2416)))</f>
        <v>57828243.096601024</v>
      </c>
      <c r="B10004">
        <v>156744367.03213632</v>
      </c>
    </row>
    <row r="10005" spans="1:2" x14ac:dyDescent="0.25">
      <c r="A10005">
        <f ca="1">40716.4297174603*((RANDBETWEEN(1620,2416)))</f>
        <v>83224382.342488766</v>
      </c>
      <c r="B10005">
        <v>181854480.16033053</v>
      </c>
    </row>
    <row r="10006" spans="1:2" x14ac:dyDescent="0.25">
      <c r="A10006">
        <f ca="1">39600.7586793064*((RANDBETWEEN(1620,2416)))</f>
        <v>79557924.186726466</v>
      </c>
      <c r="B10006">
        <v>185738759.15112028</v>
      </c>
    </row>
    <row r="10007" spans="1:2" x14ac:dyDescent="0.25">
      <c r="A10007">
        <f ca="1">30324.3086232288*((RANDBETWEEN(1620,2416)))</f>
        <v>63772021.03465014</v>
      </c>
      <c r="B10007">
        <v>174072989.76083234</v>
      </c>
    </row>
    <row r="10008" spans="1:2" x14ac:dyDescent="0.25">
      <c r="A10008">
        <f ca="1">36142.1377378678*((RANDBETWEEN(1620,2416)))</f>
        <v>85331587.199105889</v>
      </c>
      <c r="B10008">
        <v>157003658.35409072</v>
      </c>
    </row>
    <row r="10009" spans="1:2" x14ac:dyDescent="0.25">
      <c r="A10009">
        <f ca="1">29672.1068381161*((RANDBETWEEN(1620,2416)))</f>
        <v>63884046.022463925</v>
      </c>
      <c r="B10009">
        <v>172416117.40583813</v>
      </c>
    </row>
    <row r="10010" spans="1:2" x14ac:dyDescent="0.25">
      <c r="A10010">
        <f ca="1">30441.3455725222*((RANDBETWEEN(1620,2416)))</f>
        <v>49771600.01107382</v>
      </c>
      <c r="B10010">
        <v>155092339.65402597</v>
      </c>
    </row>
    <row r="10011" spans="1:2" x14ac:dyDescent="0.25">
      <c r="A10011">
        <f ca="1">29819.6273861317*((RANDBETWEEN(1620,2416)))</f>
        <v>55911801.348996945</v>
      </c>
      <c r="B10011">
        <v>155248651.63604826</v>
      </c>
    </row>
    <row r="10012" spans="1:2" x14ac:dyDescent="0.25">
      <c r="A10012">
        <f ca="1">31867.2137707341*((RANDBETWEEN(1620,2416)))</f>
        <v>58667540.551921487</v>
      </c>
      <c r="B10012">
        <v>190659461.35215133</v>
      </c>
    </row>
    <row r="10013" spans="1:2" x14ac:dyDescent="0.25">
      <c r="A10013">
        <f ca="1">33380.9318724642*((RANDBETWEEN(1620,2416)))</f>
        <v>68965005.248511046</v>
      </c>
      <c r="B10013">
        <v>192715605.79483125</v>
      </c>
    </row>
    <row r="10014" spans="1:2" x14ac:dyDescent="0.25">
      <c r="A10014">
        <f ca="1">31793.454645983*((RANDBETWEEN(1620,2416)))</f>
        <v>74078749.325140461</v>
      </c>
      <c r="B10014">
        <v>159650610.27331054</v>
      </c>
    </row>
    <row r="10015" spans="1:2" x14ac:dyDescent="0.25">
      <c r="A10015">
        <f ca="1">29254.4783212568*((RANDBETWEEN(1620,2416)))</f>
        <v>50902792.278986782</v>
      </c>
      <c r="B10015">
        <v>146666064.98863041</v>
      </c>
    </row>
    <row r="10016" spans="1:2" x14ac:dyDescent="0.25">
      <c r="A10016">
        <f ca="1">29959.142496498*((RANDBETWEEN(1620,2416)))</f>
        <v>56652738.460877694</v>
      </c>
      <c r="B10016">
        <v>143676301.22790593</v>
      </c>
    </row>
    <row r="10017" spans="1:2" x14ac:dyDescent="0.25">
      <c r="A10017">
        <f ca="1">31521.3704371947*((RANDBETWEEN(1620,2416)))</f>
        <v>58598227.642744869</v>
      </c>
      <c r="B10017">
        <v>166237993.56841844</v>
      </c>
    </row>
    <row r="10018" spans="1:2" x14ac:dyDescent="0.25">
      <c r="A10018">
        <f ca="1">30493.2128989012*((RANDBETWEEN(1620,2416)))</f>
        <v>59827683.707644075</v>
      </c>
      <c r="B10018">
        <v>168512967.52223235</v>
      </c>
    </row>
    <row r="10019" spans="1:2" x14ac:dyDescent="0.25">
      <c r="A10019">
        <f ca="1">30235.2343038154*((RANDBETWEEN(1620,2416)))</f>
        <v>59170353.532566763</v>
      </c>
      <c r="B10019">
        <v>144087083.86207521</v>
      </c>
    </row>
    <row r="10020" spans="1:2" x14ac:dyDescent="0.25">
      <c r="A10020">
        <f ca="1">32650.470981292*((RANDBETWEEN(1620,2416)))</f>
        <v>56550615.739597693</v>
      </c>
      <c r="B10020">
        <v>183128392.9622708</v>
      </c>
    </row>
    <row r="10021" spans="1:2" x14ac:dyDescent="0.25">
      <c r="A10021">
        <f ca="1">30082.63396345*((RANDBETWEEN(1620,2416)))</f>
        <v>49846924.477436624</v>
      </c>
      <c r="B10021">
        <v>168538316.44576439</v>
      </c>
    </row>
    <row r="10022" spans="1:2" x14ac:dyDescent="0.25">
      <c r="A10022">
        <f ca="1">35413.600970649*((RANDBETWEEN(1620,2416)))</f>
        <v>62044628.900577046</v>
      </c>
      <c r="B10022">
        <v>154873137.24793112</v>
      </c>
    </row>
    <row r="10023" spans="1:2" x14ac:dyDescent="0.25">
      <c r="A10023">
        <f ca="1">40079.3168911986*((RANDBETWEEN(1620,2416)))</f>
        <v>69056663.003535256</v>
      </c>
      <c r="B10023">
        <v>168415084.57595822</v>
      </c>
    </row>
    <row r="10024" spans="1:2" x14ac:dyDescent="0.25">
      <c r="A10024">
        <f ca="1">32379.0182109606*((RANDBETWEEN(1620,2416)))</f>
        <v>62102956.928622484</v>
      </c>
      <c r="B10024">
        <v>172249435.37304443</v>
      </c>
    </row>
    <row r="10025" spans="1:2" x14ac:dyDescent="0.25">
      <c r="A10025">
        <f ca="1">35197.1944525754*((RANDBETWEEN(1620,2416)))</f>
        <v>71379910.349822998</v>
      </c>
      <c r="B10025">
        <v>156589206.81257436</v>
      </c>
    </row>
    <row r="10026" spans="1:2" x14ac:dyDescent="0.25">
      <c r="A10026">
        <f ca="1">37751.5834231606*((RANDBETWEEN(1620,2416)))</f>
        <v>72294282.255352497</v>
      </c>
      <c r="B10026">
        <v>169230280.02013031</v>
      </c>
    </row>
    <row r="10027" spans="1:2" x14ac:dyDescent="0.25">
      <c r="A10027">
        <f ca="1">30013.3973368867*((RANDBETWEEN(1620,2416)))</f>
        <v>59996781.276436411</v>
      </c>
      <c r="B10027">
        <v>183163569.53724718</v>
      </c>
    </row>
    <row r="10028" spans="1:2" x14ac:dyDescent="0.25">
      <c r="A10028">
        <f ca="1">33787.5577410148*((RANDBETWEEN(1620,2416)))</f>
        <v>69399643.60004431</v>
      </c>
      <c r="B10028">
        <v>176609586.55456415</v>
      </c>
    </row>
    <row r="10029" spans="1:2" x14ac:dyDescent="0.25">
      <c r="A10029">
        <f ca="1">34173.9377473653*((RANDBETWEEN(1620,2416)))</f>
        <v>77301447.184540272</v>
      </c>
      <c r="B10029">
        <v>155089727.384269</v>
      </c>
    </row>
    <row r="10030" spans="1:2" x14ac:dyDescent="0.25">
      <c r="A10030">
        <f ca="1">30146.3161529544*((RANDBETWEEN(1620,2416)))</f>
        <v>57850780.697519511</v>
      </c>
      <c r="B10030">
        <v>203018213.02690098</v>
      </c>
    </row>
    <row r="10031" spans="1:2" x14ac:dyDescent="0.25">
      <c r="A10031">
        <f ca="1">38690.6108885397*((RANDBETWEEN(1620,2416)))</f>
        <v>76530028.337531522</v>
      </c>
      <c r="B10031">
        <v>167572990.63581717</v>
      </c>
    </row>
    <row r="10032" spans="1:2" x14ac:dyDescent="0.25">
      <c r="A10032">
        <f ca="1">31750.4531881618*((RANDBETWEEN(1620,2416)))</f>
        <v>60897369.214894257</v>
      </c>
      <c r="B10032">
        <v>167471448.61778837</v>
      </c>
    </row>
    <row r="10033" spans="1:2" x14ac:dyDescent="0.25">
      <c r="A10033">
        <f ca="1">29658.2989574014*((RANDBETWEEN(1620,2416)))</f>
        <v>69726660.848850667</v>
      </c>
      <c r="B10033">
        <v>199667730.97576261</v>
      </c>
    </row>
    <row r="10034" spans="1:2" x14ac:dyDescent="0.25">
      <c r="A10034">
        <f ca="1">35988.612373305*((RANDBETWEEN(1620,2416)))</f>
        <v>77627436.889218912</v>
      </c>
      <c r="B10034">
        <v>150351021.94978201</v>
      </c>
    </row>
    <row r="10035" spans="1:2" x14ac:dyDescent="0.25">
      <c r="A10035">
        <f ca="1">31691.8839421487*((RANDBETWEEN(1620,2416)))</f>
        <v>74475927.264049351</v>
      </c>
      <c r="B10035">
        <v>180129384.25583029</v>
      </c>
    </row>
    <row r="10036" spans="1:2" x14ac:dyDescent="0.25">
      <c r="A10036">
        <f ca="1">34577.8619659761*((RANDBETWEEN(1620,2416)))</f>
        <v>68152965.934938952</v>
      </c>
      <c r="B10036">
        <v>161010927.22955635</v>
      </c>
    </row>
    <row r="10037" spans="1:2" x14ac:dyDescent="0.25">
      <c r="A10037">
        <f ca="1">31188.9577458678*((RANDBETWEEN(1620,2416)))</f>
        <v>71890547.604225338</v>
      </c>
      <c r="B10037">
        <v>178167337.81711322</v>
      </c>
    </row>
    <row r="10038" spans="1:2" x14ac:dyDescent="0.25">
      <c r="A10038">
        <f ca="1">32095.5469596798*((RANDBETWEEN(1620,2416)))</f>
        <v>61270399.146028772</v>
      </c>
      <c r="B10038">
        <v>144870784.03927431</v>
      </c>
    </row>
    <row r="10039" spans="1:2" x14ac:dyDescent="0.25">
      <c r="A10039">
        <f ca="1">34319.905692195*((RANDBETWEEN(1620,2416)))</f>
        <v>69635088.649463609</v>
      </c>
      <c r="B10039">
        <v>177121898.8969869</v>
      </c>
    </row>
    <row r="10040" spans="1:2" x14ac:dyDescent="0.25">
      <c r="A10040">
        <f ca="1">31041.1462179194*((RANDBETWEEN(1620,2416)))</f>
        <v>58854013.229175203</v>
      </c>
      <c r="B10040">
        <v>173131877.16947037</v>
      </c>
    </row>
    <row r="10041" spans="1:2" x14ac:dyDescent="0.25">
      <c r="A10041">
        <f ca="1">27864.030340661*((RANDBETWEEN(1620,2416)))</f>
        <v>45446233.485618144</v>
      </c>
      <c r="B10041">
        <v>182285478.88486069</v>
      </c>
    </row>
    <row r="10042" spans="1:2" x14ac:dyDescent="0.25">
      <c r="A10042">
        <f ca="1">29761.953233331*((RANDBETWEEN(1620,2416)))</f>
        <v>54404850.510529153</v>
      </c>
      <c r="B10042">
        <v>199053730.11302191</v>
      </c>
    </row>
    <row r="10043" spans="1:2" x14ac:dyDescent="0.25">
      <c r="A10043">
        <f ca="1">38982.8978123922*((RANDBETWEEN(1620,2416)))</f>
        <v>70247181.857930765</v>
      </c>
      <c r="B10043">
        <v>147584879.29712349</v>
      </c>
    </row>
    <row r="10044" spans="1:2" x14ac:dyDescent="0.25">
      <c r="A10044">
        <f ca="1">39974.6436913537*((RANDBETWEEN(1620,2416)))</f>
        <v>74752583.702831417</v>
      </c>
      <c r="B10044">
        <v>188256213.08740634</v>
      </c>
    </row>
    <row r="10045" spans="1:2" x14ac:dyDescent="0.25">
      <c r="A10045">
        <f ca="1">31552.8456507886*((RANDBETWEEN(1620,2416)))</f>
        <v>70110423.036052346</v>
      </c>
      <c r="B10045">
        <v>149635380.41276628</v>
      </c>
    </row>
    <row r="10046" spans="1:2" x14ac:dyDescent="0.25">
      <c r="A10046">
        <f ca="1">39980.5247860427*((RANDBETWEEN(1620,2416)))</f>
        <v>87597329.806219459</v>
      </c>
      <c r="B10046">
        <v>193126786.82367167</v>
      </c>
    </row>
    <row r="10047" spans="1:2" x14ac:dyDescent="0.25">
      <c r="A10047">
        <f ca="1">32451.4493962785*((RANDBETWEEN(1620,2416)))</f>
        <v>72009766.210341975</v>
      </c>
      <c r="B10047">
        <v>155839792.15295181</v>
      </c>
    </row>
    <row r="10048" spans="1:2" x14ac:dyDescent="0.25">
      <c r="A10048">
        <f ca="1">32191.7714196079*((RANDBETWEEN(1620,2416)))</f>
        <v>67087651.638462774</v>
      </c>
      <c r="B10048">
        <v>164994915.59437937</v>
      </c>
    </row>
    <row r="10049" spans="1:2" x14ac:dyDescent="0.25">
      <c r="A10049">
        <f ca="1">38847.5299894634*((RANDBETWEEN(1620,2416)))</f>
        <v>89232776.385797396</v>
      </c>
      <c r="B10049">
        <v>156751193.21859089</v>
      </c>
    </row>
    <row r="10050" spans="1:2" x14ac:dyDescent="0.25">
      <c r="A10050">
        <f ca="1">38546.1682192247*((RANDBETWEEN(1620,2416)))</f>
        <v>80715676.251056418</v>
      </c>
      <c r="B10050">
        <v>182651928.00628135</v>
      </c>
    </row>
    <row r="10051" spans="1:2" x14ac:dyDescent="0.25">
      <c r="A10051">
        <f ca="1">34266.8844354694*((RANDBETWEEN(1620,2416)))</f>
        <v>63530803.743360281</v>
      </c>
      <c r="B10051">
        <v>176088953.97476035</v>
      </c>
    </row>
    <row r="10052" spans="1:2" x14ac:dyDescent="0.25">
      <c r="A10052">
        <f ca="1">33491.6499045463*((RANDBETWEEN(1620,2416)))</f>
        <v>74585904.337424695</v>
      </c>
      <c r="B10052">
        <v>143013583.76872814</v>
      </c>
    </row>
    <row r="10053" spans="1:2" x14ac:dyDescent="0.25">
      <c r="A10053">
        <f ca="1">35143.4987899971*((RANDBETWEEN(1620,2416)))</f>
        <v>68881257.628394395</v>
      </c>
      <c r="B10053">
        <v>151271060.1076405</v>
      </c>
    </row>
    <row r="10054" spans="1:2" x14ac:dyDescent="0.25">
      <c r="A10054">
        <f ca="1">38983.5222963778*((RANDBETWEEN(1620,2416)))</f>
        <v>83736605.892619446</v>
      </c>
      <c r="B10054">
        <v>187937487.34375989</v>
      </c>
    </row>
    <row r="10055" spans="1:2" x14ac:dyDescent="0.25">
      <c r="A10055">
        <f ca="1">37601.5931332316*((RANDBETWEEN(1620,2416)))</f>
        <v>81858668.251045182</v>
      </c>
      <c r="B10055">
        <v>147412731.01828462</v>
      </c>
    </row>
    <row r="10056" spans="1:2" x14ac:dyDescent="0.25">
      <c r="A10056">
        <f ca="1">29347.9031081471*((RANDBETWEEN(1620,2416)))</f>
        <v>58372979.282104574</v>
      </c>
      <c r="B10056">
        <v>169164620.75603107</v>
      </c>
    </row>
    <row r="10057" spans="1:2" x14ac:dyDescent="0.25">
      <c r="A10057">
        <f ca="1">35565.5946546138*((RANDBETWEEN(1620,2416)))</f>
        <v>67539064.249111652</v>
      </c>
      <c r="B10057">
        <v>177695223.74741748</v>
      </c>
    </row>
    <row r="10058" spans="1:2" x14ac:dyDescent="0.25">
      <c r="A10058">
        <f ca="1">35447.1634724283*((RANDBETWEEN(1620,2416)))</f>
        <v>60614649.537852317</v>
      </c>
      <c r="B10058">
        <v>144430074.60815245</v>
      </c>
    </row>
    <row r="10059" spans="1:2" x14ac:dyDescent="0.25">
      <c r="A10059">
        <f ca="1">34906.0667149163*((RANDBETWEEN(1620,2416)))</f>
        <v>74664076.703206003</v>
      </c>
      <c r="B10059">
        <v>186942311.17663559</v>
      </c>
    </row>
    <row r="10060" spans="1:2" x14ac:dyDescent="0.25">
      <c r="A10060">
        <f ca="1">32498.7043116168*((RANDBETWEEN(1620,2416)))</f>
        <v>73642063.970123738</v>
      </c>
      <c r="B10060">
        <v>166537897.9516657</v>
      </c>
    </row>
    <row r="10061" spans="1:2" x14ac:dyDescent="0.25">
      <c r="A10061">
        <f ca="1">34820.013064912*((RANDBETWEEN(1620,2416)))</f>
        <v>57348561.517910093</v>
      </c>
      <c r="B10061">
        <v>147508263.64584586</v>
      </c>
    </row>
    <row r="10062" spans="1:2" x14ac:dyDescent="0.25">
      <c r="A10062">
        <f ca="1">31304.5217155588*((RANDBETWEEN(1620,2416)))</f>
        <v>52466378.395276546</v>
      </c>
      <c r="B10062">
        <v>150377469.27137929</v>
      </c>
    </row>
    <row r="10063" spans="1:2" x14ac:dyDescent="0.25">
      <c r="A10063">
        <f ca="1">39684.5572435198*((RANDBETWEEN(1620,2416)))</f>
        <v>72225894.183206007</v>
      </c>
      <c r="B10063">
        <v>200227861.76442456</v>
      </c>
    </row>
    <row r="10064" spans="1:2" x14ac:dyDescent="0.25">
      <c r="A10064">
        <f ca="1">30649.9897325794*((RANDBETWEEN(1620,2416)))</f>
        <v>73682575.31712079</v>
      </c>
      <c r="B10064">
        <v>172848699.53479722</v>
      </c>
    </row>
    <row r="10065" spans="1:2" x14ac:dyDescent="0.25">
      <c r="A10065">
        <f ca="1">27372.7306537742*((RANDBETWEEN(1620,2416)))</f>
        <v>49572015.21398513</v>
      </c>
      <c r="B10065">
        <v>149160546.51787966</v>
      </c>
    </row>
    <row r="10066" spans="1:2" x14ac:dyDescent="0.25">
      <c r="A10066">
        <f ca="1">30631.1587829538*((RANDBETWEEN(1620,2416)))</f>
        <v>68001172.498157486</v>
      </c>
      <c r="B10066">
        <v>197824714.94511992</v>
      </c>
    </row>
    <row r="10067" spans="1:2" x14ac:dyDescent="0.25">
      <c r="A10067">
        <f ca="1">33495.1403122717*((RANDBETWEEN(1620,2416)))</f>
        <v>76536395.613540873</v>
      </c>
      <c r="B10067">
        <v>200693372.98707977</v>
      </c>
    </row>
    <row r="10068" spans="1:2" x14ac:dyDescent="0.25">
      <c r="A10068">
        <f ca="1">32228.625413862*((RANDBETWEEN(1620,2416)))</f>
        <v>52468202.173767403</v>
      </c>
      <c r="B10068">
        <v>175553585.01506728</v>
      </c>
    </row>
    <row r="10069" spans="1:2" x14ac:dyDescent="0.25">
      <c r="A10069">
        <f ca="1">29218.9663163144*((RANDBETWEEN(1620,2416)))</f>
        <v>54814780.809405796</v>
      </c>
      <c r="B10069">
        <v>192688061.65440759</v>
      </c>
    </row>
    <row r="10070" spans="1:2" x14ac:dyDescent="0.25">
      <c r="A10070">
        <f ca="1">39182.7701812631*((RANDBETWEEN(1620,2416)))</f>
        <v>82205451.84029007</v>
      </c>
      <c r="B10070">
        <v>173975030.47335762</v>
      </c>
    </row>
    <row r="10071" spans="1:2" x14ac:dyDescent="0.25">
      <c r="A10071">
        <f ca="1">32005.7879349275*((RANDBETWEEN(1620,2416)))</f>
        <v>77229966.286980167</v>
      </c>
      <c r="B10071">
        <v>188735696.01002282</v>
      </c>
    </row>
    <row r="10072" spans="1:2" x14ac:dyDescent="0.25">
      <c r="A10072">
        <f ca="1">30822.7283726789*((RANDBETWEEN(1620,2416)))</f>
        <v>74375243.56327416</v>
      </c>
      <c r="B10072">
        <v>161538503.77803671</v>
      </c>
    </row>
    <row r="10073" spans="1:2" x14ac:dyDescent="0.25">
      <c r="A10073">
        <f ca="1">30307.1188133858*((RANDBETWEEN(1620,2416)))</f>
        <v>65736140.706233844</v>
      </c>
      <c r="B10073">
        <v>168827961.42404991</v>
      </c>
    </row>
    <row r="10074" spans="1:2" x14ac:dyDescent="0.25">
      <c r="A10074">
        <f ca="1">30448.758688737*((RANDBETWEEN(1620,2416)))</f>
        <v>60105849.6515669</v>
      </c>
      <c r="B10074">
        <v>180340378.01388955</v>
      </c>
    </row>
    <row r="10075" spans="1:2" x14ac:dyDescent="0.25">
      <c r="A10075">
        <f ca="1">28382.2007902025*((RANDBETWEEN(1620,2416)))</f>
        <v>67407726.876730934</v>
      </c>
      <c r="B10075">
        <v>179829837.80987233</v>
      </c>
    </row>
    <row r="10076" spans="1:2" x14ac:dyDescent="0.25">
      <c r="A10076">
        <f ca="1">30101.3856196885*((RANDBETWEEN(1620,2416)))</f>
        <v>55205941.226508744</v>
      </c>
      <c r="B10076">
        <v>142987638.77330405</v>
      </c>
    </row>
    <row r="10077" spans="1:2" x14ac:dyDescent="0.25">
      <c r="A10077">
        <f ca="1">36637.6207711674*((RANDBETWEEN(1620,2416)))</f>
        <v>72615764.368453816</v>
      </c>
      <c r="B10077">
        <v>148634404.32948527</v>
      </c>
    </row>
    <row r="10078" spans="1:2" x14ac:dyDescent="0.25">
      <c r="A10078">
        <f ca="1">38755.8514707704*((RANDBETWEEN(1620,2416)))</f>
        <v>63598352.263534285</v>
      </c>
      <c r="B10078">
        <v>159338123.19775382</v>
      </c>
    </row>
    <row r="10079" spans="1:2" x14ac:dyDescent="0.25">
      <c r="A10079">
        <f ca="1">37413.9311655176*((RANDBETWEEN(1620,2416)))</f>
        <v>77259767.856793746</v>
      </c>
      <c r="B10079">
        <v>169007313.71655378</v>
      </c>
    </row>
    <row r="10080" spans="1:2" x14ac:dyDescent="0.25">
      <c r="A10080">
        <f ca="1">33413.4759225684*((RANDBETWEEN(1620,2416)))</f>
        <v>76082484.675688326</v>
      </c>
      <c r="B10080">
        <v>148987275.84464955</v>
      </c>
    </row>
    <row r="10081" spans="1:2" x14ac:dyDescent="0.25">
      <c r="A10081">
        <f ca="1">37915.3021153388*((RANDBETWEEN(1620,2416)))</f>
        <v>68967934.547801301</v>
      </c>
      <c r="B10081">
        <v>167338066.64911351</v>
      </c>
    </row>
    <row r="10082" spans="1:2" x14ac:dyDescent="0.25">
      <c r="A10082">
        <f ca="1">30166.7648059386*((RANDBETWEEN(1620,2416)))</f>
        <v>62143535.500233546</v>
      </c>
      <c r="B10082">
        <v>198621296.63112354</v>
      </c>
    </row>
    <row r="10083" spans="1:2" x14ac:dyDescent="0.25">
      <c r="A10083">
        <f ca="1">35643.687049679*((RANDBETWEEN(1620,2416)))</f>
        <v>62483383.398087353</v>
      </c>
      <c r="B10083">
        <v>194263579.16261554</v>
      </c>
    </row>
    <row r="10084" spans="1:2" x14ac:dyDescent="0.25">
      <c r="A10084">
        <f ca="1">37007.3450993952*((RANDBETWEEN(1620,2416)))</f>
        <v>69573808.786862954</v>
      </c>
      <c r="B10084">
        <v>152078951.36583027</v>
      </c>
    </row>
    <row r="10085" spans="1:2" x14ac:dyDescent="0.25">
      <c r="A10085">
        <f ca="1">31116.5267691169*((RANDBETWEEN(1620,2416)))</f>
        <v>50688822.106891483</v>
      </c>
      <c r="B10085">
        <v>155910526.74021301</v>
      </c>
    </row>
    <row r="10086" spans="1:2" x14ac:dyDescent="0.25">
      <c r="A10086">
        <f ca="1">38894.2813495075*((RANDBETWEEN(1620,2416)))</f>
        <v>67637155.266793609</v>
      </c>
      <c r="B10086">
        <v>151072306.23209134</v>
      </c>
    </row>
    <row r="10087" spans="1:2" x14ac:dyDescent="0.25">
      <c r="A10087">
        <f ca="1">31030.2389600145*((RANDBETWEEN(1620,2416)))</f>
        <v>63674050.345949695</v>
      </c>
      <c r="B10087">
        <v>179901547.80479699</v>
      </c>
    </row>
    <row r="10088" spans="1:2" x14ac:dyDescent="0.25">
      <c r="A10088">
        <f ca="1">27666.4578126013*((RANDBETWEEN(1620,2416)))</f>
        <v>61557868.63303791</v>
      </c>
      <c r="B10088">
        <v>162110416.17933738</v>
      </c>
    </row>
    <row r="10089" spans="1:2" x14ac:dyDescent="0.25">
      <c r="A10089">
        <f ca="1">30400.1411418415*((RANDBETWEEN(1620,2416)))</f>
        <v>64174697.950427331</v>
      </c>
      <c r="B10089">
        <v>170076558.00816381</v>
      </c>
    </row>
    <row r="10090" spans="1:2" x14ac:dyDescent="0.25">
      <c r="A10090">
        <f ca="1">31571.0929982676*((RANDBETWEEN(1620,2416)))</f>
        <v>66141439.831370667</v>
      </c>
      <c r="B10090">
        <v>144307394.02608433</v>
      </c>
    </row>
    <row r="10091" spans="1:2" x14ac:dyDescent="0.25">
      <c r="A10091">
        <f ca="1">30257.3934674386*((RANDBETWEEN(1620,2416)))</f>
        <v>69107886.679629669</v>
      </c>
      <c r="B10091">
        <v>177283381.85242549</v>
      </c>
    </row>
    <row r="10092" spans="1:2" x14ac:dyDescent="0.25">
      <c r="A10092">
        <f ca="1">30327.9798158145*((RANDBETWEEN(1620,2416)))</f>
        <v>55682170.941835336</v>
      </c>
      <c r="B10092">
        <v>161171128.81130546</v>
      </c>
    </row>
    <row r="10093" spans="1:2" x14ac:dyDescent="0.25">
      <c r="A10093">
        <f ca="1">29917.907729373*((RANDBETWEEN(1620,2416)))</f>
        <v>63126785.308976978</v>
      </c>
      <c r="B10093">
        <v>164054853.02834195</v>
      </c>
    </row>
    <row r="10094" spans="1:2" x14ac:dyDescent="0.25">
      <c r="A10094">
        <f ca="1">29894.4820353339*((RANDBETWEEN(1620,2416)))</f>
        <v>70640661.049494028</v>
      </c>
      <c r="B10094">
        <v>176051803.04544279</v>
      </c>
    </row>
    <row r="10095" spans="1:2" x14ac:dyDescent="0.25">
      <c r="A10095">
        <f ca="1">31830.9359633739*((RANDBETWEEN(1620,2416)))</f>
        <v>65699051.828403808</v>
      </c>
      <c r="B10095">
        <v>176837063.99687508</v>
      </c>
    </row>
    <row r="10096" spans="1:2" x14ac:dyDescent="0.25">
      <c r="A10096">
        <f ca="1">42343.5028946043*((RANDBETWEEN(1620,2416)))</f>
        <v>96162095.073646292</v>
      </c>
      <c r="B10096">
        <v>173217581.43418118</v>
      </c>
    </row>
    <row r="10097" spans="1:2" x14ac:dyDescent="0.25">
      <c r="A10097">
        <f ca="1">34145.4438717238*((RANDBETWEEN(1620,2416)))</f>
        <v>73924885.982281998</v>
      </c>
      <c r="B10097">
        <v>164732629.7047838</v>
      </c>
    </row>
    <row r="10098" spans="1:2" x14ac:dyDescent="0.25">
      <c r="A10098">
        <f ca="1">33226.1774577389*((RANDBETWEEN(1620,2416)))</f>
        <v>69176901.467012361</v>
      </c>
      <c r="B10098">
        <v>191365346.30694413</v>
      </c>
    </row>
    <row r="10099" spans="1:2" x14ac:dyDescent="0.25">
      <c r="A10099">
        <f ca="1">28892.0849107663*((RANDBETWEEN(1620,2416)))</f>
        <v>67491910.351550087</v>
      </c>
      <c r="B10099">
        <v>152791867.65590185</v>
      </c>
    </row>
    <row r="10100" spans="1:2" x14ac:dyDescent="0.25">
      <c r="A10100">
        <f ca="1">29526.6499680045*((RANDBETWEEN(1620,2416)))</f>
        <v>53384183.142152064</v>
      </c>
      <c r="B10100">
        <v>169270365.80392191</v>
      </c>
    </row>
    <row r="10101" spans="1:2" x14ac:dyDescent="0.25">
      <c r="A10101">
        <f ca="1">29329.8058128881*((RANDBETWEEN(1620,2416)))</f>
        <v>68338447.544029266</v>
      </c>
      <c r="B10101">
        <v>152472702.60330614</v>
      </c>
    </row>
    <row r="10102" spans="1:2" x14ac:dyDescent="0.25">
      <c r="A10102">
        <f ca="1">31064.8746656359*((RANDBETWEEN(1620,2416)))</f>
        <v>55295476.904831864</v>
      </c>
      <c r="B10102">
        <v>187043925.25783831</v>
      </c>
    </row>
    <row r="10103" spans="1:2" x14ac:dyDescent="0.25">
      <c r="A10103">
        <f ca="1">36569.2859901347*((RANDBETWEEN(1620,2416)))</f>
        <v>69883905.527147382</v>
      </c>
      <c r="B10103">
        <v>147087944.97047809</v>
      </c>
    </row>
    <row r="10104" spans="1:2" x14ac:dyDescent="0.25">
      <c r="A10104">
        <f ca="1">32126.1818722936*((RANDBETWEEN(1620,2416)))</f>
        <v>72765801.940745056</v>
      </c>
      <c r="B10104">
        <v>183888538.80526817</v>
      </c>
    </row>
    <row r="10105" spans="1:2" x14ac:dyDescent="0.25">
      <c r="A10105">
        <f ca="1">31913.5561489333*((RANDBETWEEN(1620,2416)))</f>
        <v>63922852.966313347</v>
      </c>
      <c r="B10105">
        <v>161568916.69575834</v>
      </c>
    </row>
    <row r="10106" spans="1:2" x14ac:dyDescent="0.25">
      <c r="A10106">
        <f ca="1">35528.993243057*((RANDBETWEEN(1620,2416)))</f>
        <v>60292701.533467799</v>
      </c>
      <c r="B10106">
        <v>198476318.79630455</v>
      </c>
    </row>
    <row r="10107" spans="1:2" x14ac:dyDescent="0.25">
      <c r="A10107">
        <f ca="1">32791.7378547373*((RANDBETWEEN(1620,2416)))</f>
        <v>65714642.660893477</v>
      </c>
      <c r="B10107">
        <v>151624944.88683507</v>
      </c>
    </row>
    <row r="10108" spans="1:2" x14ac:dyDescent="0.25">
      <c r="A10108">
        <f ca="1">30899.1162005969*((RANDBETWEEN(1620,2416)))</f>
        <v>67576367.130705506</v>
      </c>
      <c r="B10108">
        <v>154636043.07556254</v>
      </c>
    </row>
    <row r="10109" spans="1:2" x14ac:dyDescent="0.25">
      <c r="A10109">
        <f ca="1">32817.4980161998*((RANDBETWEEN(1620,2416)))</f>
        <v>66750790.964950442</v>
      </c>
      <c r="B10109">
        <v>146154039.22053796</v>
      </c>
    </row>
    <row r="10110" spans="1:2" x14ac:dyDescent="0.25">
      <c r="A10110">
        <f ca="1">39404.3183963766*((RANDBETWEEN(1620,2416)))</f>
        <v>75656291.321043</v>
      </c>
      <c r="B10110">
        <v>147326785.53655517</v>
      </c>
    </row>
    <row r="10111" spans="1:2" x14ac:dyDescent="0.25">
      <c r="A10111">
        <f ca="1">32300.8799312295*((RANDBETWEEN(1620,2416)))</f>
        <v>67476538.176338404</v>
      </c>
      <c r="B10111">
        <v>173432866.99217585</v>
      </c>
    </row>
    <row r="10112" spans="1:2" x14ac:dyDescent="0.25">
      <c r="A10112">
        <f ca="1">38893.5037305517*((RANDBETWEEN(1620,2416)))</f>
        <v>67052400.431471102</v>
      </c>
      <c r="B10112">
        <v>155582945.55244005</v>
      </c>
    </row>
    <row r="10113" spans="1:2" x14ac:dyDescent="0.25">
      <c r="A10113">
        <f ca="1">36179.1948485886*((RANDBETWEEN(1620,2416)))</f>
        <v>65303446.701702371</v>
      </c>
      <c r="B10113">
        <v>189301364.51001757</v>
      </c>
    </row>
    <row r="10114" spans="1:2" x14ac:dyDescent="0.25">
      <c r="A10114">
        <f ca="1">33526.0672868719*((RANDBETWEEN(1620,2416)))</f>
        <v>65241726.940252624</v>
      </c>
      <c r="B10114">
        <v>153339789.84560353</v>
      </c>
    </row>
    <row r="10115" spans="1:2" x14ac:dyDescent="0.25">
      <c r="A10115">
        <f ca="1">32754.0019432009*((RANDBETWEEN(1620,2416)))</f>
        <v>79133668.694773406</v>
      </c>
      <c r="B10115">
        <v>192203533.9809269</v>
      </c>
    </row>
    <row r="10116" spans="1:2" x14ac:dyDescent="0.25">
      <c r="A10116">
        <f ca="1">35295.7820501173*((RANDBETWEEN(1620,2416)))</f>
        <v>64944238.972215988</v>
      </c>
      <c r="B10116">
        <v>152635222.67277497</v>
      </c>
    </row>
    <row r="10117" spans="1:2" x14ac:dyDescent="0.25">
      <c r="A10117">
        <f ca="1">36093.9040669569*((RANDBETWEEN(1620,2416)))</f>
        <v>83846139.147540823</v>
      </c>
      <c r="B10117">
        <v>176356568.97651836</v>
      </c>
    </row>
    <row r="10118" spans="1:2" x14ac:dyDescent="0.25">
      <c r="A10118">
        <f ca="1">34383.7935236157*((RANDBETWEEN(1620,2416)))</f>
        <v>73512550.553490281</v>
      </c>
      <c r="B10118">
        <v>193193182.54786921</v>
      </c>
    </row>
    <row r="10119" spans="1:2" x14ac:dyDescent="0.25">
      <c r="A10119">
        <f ca="1">28169.5312267895*((RANDBETWEEN(1620,2416)))</f>
        <v>62339172.604885265</v>
      </c>
      <c r="B10119">
        <v>184939166.65341657</v>
      </c>
    </row>
    <row r="10120" spans="1:2" x14ac:dyDescent="0.25">
      <c r="A10120">
        <f ca="1">37044.3099642187*((RANDBETWEEN(1620,2416)))</f>
        <v>75570392.327006161</v>
      </c>
      <c r="B10120">
        <v>174240428.11762264</v>
      </c>
    </row>
    <row r="10121" spans="1:2" x14ac:dyDescent="0.25">
      <c r="A10121">
        <f ca="1">36384.4209879762*((RANDBETWEEN(1620,2416)))</f>
        <v>86085540.057551771</v>
      </c>
      <c r="B10121">
        <v>182001137.11311859</v>
      </c>
    </row>
    <row r="10122" spans="1:2" x14ac:dyDescent="0.25">
      <c r="A10122">
        <f ca="1">30420.7313378748*((RANDBETWEEN(1620,2416)))</f>
        <v>67168974.794027597</v>
      </c>
      <c r="B10122">
        <v>143091786.48658639</v>
      </c>
    </row>
    <row r="10123" spans="1:2" x14ac:dyDescent="0.25">
      <c r="A10123">
        <f ca="1">37638.4952817458*((RANDBETWEEN(1620,2416)))</f>
        <v>69894685.738202006</v>
      </c>
      <c r="B10123">
        <v>159444913.31588316</v>
      </c>
    </row>
    <row r="10124" spans="1:2" x14ac:dyDescent="0.25">
      <c r="A10124">
        <f ca="1">31322.7453272973*((RANDBETWEEN(1620,2416)))</f>
        <v>60578189.462992974</v>
      </c>
      <c r="B10124">
        <v>185306408.66658282</v>
      </c>
    </row>
    <row r="10125" spans="1:2" x14ac:dyDescent="0.25">
      <c r="A10125">
        <f ca="1">40686.5083510703*((RANDBETWEEN(1620,2416)))</f>
        <v>75676905.532990724</v>
      </c>
      <c r="B10125">
        <v>147620608.00822368</v>
      </c>
    </row>
    <row r="10126" spans="1:2" x14ac:dyDescent="0.25">
      <c r="A10126">
        <f ca="1">40461.9523995649*((RANDBETWEEN(1620,2416)))</f>
        <v>82461458.990313277</v>
      </c>
      <c r="B10126">
        <v>165727655.27490026</v>
      </c>
    </row>
    <row r="10127" spans="1:2" x14ac:dyDescent="0.25">
      <c r="A10127">
        <f ca="1">33287.4937228547*((RANDBETWEEN(1620,2416)))</f>
        <v>64211575.391386643</v>
      </c>
      <c r="B10127">
        <v>166622455.03212395</v>
      </c>
    </row>
    <row r="10128" spans="1:2" x14ac:dyDescent="0.25">
      <c r="A10128">
        <f ca="1">38375.646444808*((RANDBETWEEN(1620,2416)))</f>
        <v>75254642.678268522</v>
      </c>
      <c r="B10128">
        <v>183628980.84168994</v>
      </c>
    </row>
    <row r="10129" spans="1:2" x14ac:dyDescent="0.25">
      <c r="A10129">
        <f ca="1">30869.777205181*((RANDBETWEEN(1620,2416)))</f>
        <v>66863937.426422</v>
      </c>
      <c r="B10129">
        <v>173822619.90896416</v>
      </c>
    </row>
    <row r="10130" spans="1:2" x14ac:dyDescent="0.25">
      <c r="A10130">
        <f ca="1">34673.0156740427*((RANDBETWEEN(1620,2416)))</f>
        <v>56274304.438971259</v>
      </c>
      <c r="B10130">
        <v>191504173.37690768</v>
      </c>
    </row>
    <row r="10131" spans="1:2" x14ac:dyDescent="0.25">
      <c r="A10131">
        <f ca="1">39716.5869123875*((RANDBETWEEN(1620,2416)))</f>
        <v>75024632.677499935</v>
      </c>
      <c r="B10131">
        <v>176863240.21026948</v>
      </c>
    </row>
    <row r="10132" spans="1:2" x14ac:dyDescent="0.25">
      <c r="A10132">
        <f ca="1">30948.9740545111*((RANDBETWEEN(1620,2416)))</f>
        <v>67685406.257215843</v>
      </c>
      <c r="B10132">
        <v>192650214.27150208</v>
      </c>
    </row>
    <row r="10133" spans="1:2" x14ac:dyDescent="0.25">
      <c r="A10133">
        <f ca="1">31239.6290555459*((RANDBETWEEN(1620,2416)))</f>
        <v>51201752.022039689</v>
      </c>
      <c r="B10133">
        <v>178151579.13873067</v>
      </c>
    </row>
    <row r="10134" spans="1:2" x14ac:dyDescent="0.25">
      <c r="A10134">
        <f ca="1">38942.9782612435*((RANDBETWEEN(1620,2416)))</f>
        <v>64528514.978880405</v>
      </c>
      <c r="B10134">
        <v>187673603.20339966</v>
      </c>
    </row>
    <row r="10135" spans="1:2" x14ac:dyDescent="0.25">
      <c r="A10135">
        <f ca="1">31557.9184438656*((RANDBETWEEN(1620,2416)))</f>
        <v>54595198.907887511</v>
      </c>
      <c r="B10135">
        <v>187153495.75114751</v>
      </c>
    </row>
    <row r="10136" spans="1:2" x14ac:dyDescent="0.25">
      <c r="A10136">
        <f ca="1">30905.065528032*((RANDBETWEEN(1620,2416)))</f>
        <v>68052954.292726487</v>
      </c>
      <c r="B10136">
        <v>162191052.25382888</v>
      </c>
    </row>
    <row r="10137" spans="1:2" x14ac:dyDescent="0.25">
      <c r="A10137">
        <f ca="1">38237.8933528944*((RANDBETWEEN(1620,2416)))</f>
        <v>85958784.257306606</v>
      </c>
      <c r="B10137">
        <v>162323150.53981623</v>
      </c>
    </row>
    <row r="10138" spans="1:2" x14ac:dyDescent="0.25">
      <c r="A10138">
        <f ca="1">31555.6627748142*((RANDBETWEEN(1620,2416)))</f>
        <v>66929560.745380998</v>
      </c>
      <c r="B10138">
        <v>156216181.1312542</v>
      </c>
    </row>
    <row r="10139" spans="1:2" x14ac:dyDescent="0.25">
      <c r="A10139">
        <f ca="1">39632.3533329064*((RANDBETWEEN(1620,2416)))</f>
        <v>91709265.612345457</v>
      </c>
      <c r="B10139">
        <v>156627258.67358783</v>
      </c>
    </row>
    <row r="10140" spans="1:2" x14ac:dyDescent="0.25">
      <c r="A10140">
        <f ca="1">32863.7806721073*((RANDBETWEEN(1620,2416)))</f>
        <v>70591400.883686572</v>
      </c>
      <c r="B10140">
        <v>171330747.05934125</v>
      </c>
    </row>
    <row r="10141" spans="1:2" x14ac:dyDescent="0.25">
      <c r="A10141">
        <f ca="1">28918.2018321874*((RANDBETWEEN(1620,2416)))</f>
        <v>51069544.435642943</v>
      </c>
      <c r="B10141">
        <v>168125526.57654732</v>
      </c>
    </row>
    <row r="10142" spans="1:2" x14ac:dyDescent="0.25">
      <c r="A10142">
        <f ca="1">34422.5039761262*((RANDBETWEEN(1620,2416)))</f>
        <v>70153063.103345156</v>
      </c>
      <c r="B10142">
        <v>169705985.64501494</v>
      </c>
    </row>
    <row r="10143" spans="1:2" x14ac:dyDescent="0.25">
      <c r="A10143">
        <f ca="1">34533.0830775203*((RANDBETWEEN(1620,2416)))</f>
        <v>67581243.582707196</v>
      </c>
      <c r="B10143">
        <v>187053199.8135702</v>
      </c>
    </row>
    <row r="10144" spans="1:2" x14ac:dyDescent="0.25">
      <c r="A10144">
        <f ca="1">29623.8852691682*((RANDBETWEEN(1620,2416)))</f>
        <v>48405428.529821001</v>
      </c>
      <c r="B10144">
        <v>143946709.56958759</v>
      </c>
    </row>
    <row r="10145" spans="1:2" x14ac:dyDescent="0.25">
      <c r="A10145">
        <f ca="1">38453.992112532*((RANDBETWEEN(1620,2416)))</f>
        <v>62564645.167089581</v>
      </c>
      <c r="B10145">
        <v>186983142.99882343</v>
      </c>
    </row>
    <row r="10146" spans="1:2" x14ac:dyDescent="0.25">
      <c r="A10146">
        <f ca="1">30175.860911852*((RANDBETWEEN(1620,2416)))</f>
        <v>70370107.646438763</v>
      </c>
      <c r="B10146">
        <v>146484857.82355598</v>
      </c>
    </row>
    <row r="10147" spans="1:2" x14ac:dyDescent="0.25">
      <c r="A10147">
        <f ca="1">39109.5813886628*((RANDBETWEEN(1620,2416)))</f>
        <v>84711353.28784354</v>
      </c>
      <c r="B10147">
        <v>171224745.63626581</v>
      </c>
    </row>
    <row r="10148" spans="1:2" x14ac:dyDescent="0.25">
      <c r="A10148">
        <f ca="1">30414.6630364433*((RANDBETWEEN(1620,2416)))</f>
        <v>72630215.331026673</v>
      </c>
      <c r="B10148">
        <v>150140770.49981043</v>
      </c>
    </row>
    <row r="10149" spans="1:2" x14ac:dyDescent="0.25">
      <c r="A10149">
        <f ca="1">41359.2801743163*((RANDBETWEEN(1620,2416)))</f>
        <v>99096835.297661826</v>
      </c>
      <c r="B10149">
        <v>152743793.08022094</v>
      </c>
    </row>
    <row r="10150" spans="1:2" x14ac:dyDescent="0.25">
      <c r="A10150">
        <f ca="1">29192.2090945752*((RANDBETWEEN(1620,2416)))</f>
        <v>55727927.16154401</v>
      </c>
      <c r="B10150">
        <v>148612156.4005079</v>
      </c>
    </row>
    <row r="10151" spans="1:2" x14ac:dyDescent="0.25">
      <c r="A10151">
        <f ca="1">31388.883846517*((RANDBETWEEN(1620,2416)))</f>
        <v>61333879.036094315</v>
      </c>
      <c r="B10151">
        <v>148803254.00095302</v>
      </c>
    </row>
    <row r="10152" spans="1:2" x14ac:dyDescent="0.25">
      <c r="A10152">
        <f ca="1">31346.5064205646*((RANDBETWEEN(1620,2416)))</f>
        <v>63539368.514484428</v>
      </c>
      <c r="B10152">
        <v>201883474.83394817</v>
      </c>
    </row>
    <row r="10153" spans="1:2" x14ac:dyDescent="0.25">
      <c r="A10153">
        <f ca="1">33555.5342568255*((RANDBETWEEN(1620,2416)))</f>
        <v>71808843.309606507</v>
      </c>
      <c r="B10153">
        <v>154547582.00123125</v>
      </c>
    </row>
    <row r="10154" spans="1:2" x14ac:dyDescent="0.25">
      <c r="A10154">
        <f ca="1">38853.5585407865*((RANDBETWEEN(1620,2416)))</f>
        <v>64108371.59229777</v>
      </c>
      <c r="B10154">
        <v>198742172.7897712</v>
      </c>
    </row>
    <row r="10155" spans="1:2" x14ac:dyDescent="0.25">
      <c r="A10155">
        <f ca="1">37351.8935778278*((RANDBETWEEN(1620,2416)))</f>
        <v>79447477.640039742</v>
      </c>
      <c r="B10155">
        <v>199367361.71215358</v>
      </c>
    </row>
    <row r="10156" spans="1:2" x14ac:dyDescent="0.25">
      <c r="A10156">
        <f ca="1">35776.9433286958*((RANDBETWEEN(1620,2416)))</f>
        <v>83109839.352560416</v>
      </c>
      <c r="B10156">
        <v>152129600.71788627</v>
      </c>
    </row>
    <row r="10157" spans="1:2" x14ac:dyDescent="0.25">
      <c r="A10157">
        <f ca="1">42998.8377644608*((RANDBETWEEN(1620,2416)))</f>
        <v>94640441.919578284</v>
      </c>
      <c r="B10157">
        <v>178263212.82272992</v>
      </c>
    </row>
    <row r="10158" spans="1:2" x14ac:dyDescent="0.25">
      <c r="A10158">
        <f ca="1">38909.2137561311*((RANDBETWEEN(1620,2416)))</f>
        <v>80970073.826508909</v>
      </c>
      <c r="B10158">
        <v>158908234.61763006</v>
      </c>
    </row>
    <row r="10159" spans="1:2" x14ac:dyDescent="0.25">
      <c r="A10159">
        <f ca="1">33694.3984553517*((RANDBETWEEN(1620,2416)))</f>
        <v>76587367.68901436</v>
      </c>
      <c r="B10159">
        <v>167868582.78253213</v>
      </c>
    </row>
    <row r="10160" spans="1:2" x14ac:dyDescent="0.25">
      <c r="A10160">
        <f ca="1">35694.9825016765*((RANDBETWEEN(1620,2416)))</f>
        <v>60931335.130361743</v>
      </c>
      <c r="B10160">
        <v>153402700.99395135</v>
      </c>
    </row>
    <row r="10161" spans="1:2" x14ac:dyDescent="0.25">
      <c r="A10161">
        <f ca="1">38840.9674351403*((RANDBETWEEN(1620,2416)))</f>
        <v>74380452.638293624</v>
      </c>
      <c r="B10161">
        <v>148192843.75260743</v>
      </c>
    </row>
    <row r="10162" spans="1:2" x14ac:dyDescent="0.25">
      <c r="A10162">
        <f ca="1">32919.1285220785*((RANDBETWEEN(1620,2416)))</f>
        <v>78051253.725848198</v>
      </c>
      <c r="B10162">
        <v>143651972.44505414</v>
      </c>
    </row>
    <row r="10163" spans="1:2" x14ac:dyDescent="0.25">
      <c r="A10163">
        <f ca="1">40382.5539692582*((RANDBETWEEN(1620,2416)))</f>
        <v>79351718.549592286</v>
      </c>
      <c r="B10163">
        <v>145442592.11531502</v>
      </c>
    </row>
    <row r="10164" spans="1:2" x14ac:dyDescent="0.25">
      <c r="A10164">
        <f ca="1">33325.3802407185*((RANDBETWEEN(1620,2416)))</f>
        <v>64684563.04723452</v>
      </c>
      <c r="B10164">
        <v>201895023.62204307</v>
      </c>
    </row>
    <row r="10165" spans="1:2" x14ac:dyDescent="0.25">
      <c r="A10165">
        <f ca="1">36039.9406923597*((RANDBETWEEN(1620,2416)))</f>
        <v>73269199.427567244</v>
      </c>
      <c r="B10165">
        <v>197601210.23317772</v>
      </c>
    </row>
    <row r="10166" spans="1:2" x14ac:dyDescent="0.25">
      <c r="A10166">
        <f ca="1">36015.2313987318*((RANDBETWEEN(1620,2416)))</f>
        <v>76352290.565311417</v>
      </c>
      <c r="B10166">
        <v>152249919.00982738</v>
      </c>
    </row>
    <row r="10167" spans="1:2" x14ac:dyDescent="0.25">
      <c r="A10167">
        <f ca="1">28942.3024723593*((RANDBETWEEN(1620,2416)))</f>
        <v>67146141.735873535</v>
      </c>
      <c r="B10167">
        <v>180954358.10568032</v>
      </c>
    </row>
    <row r="10168" spans="1:2" x14ac:dyDescent="0.25">
      <c r="A10168">
        <f ca="1">33666.039732041*((RANDBETWEEN(1620,2416)))</f>
        <v>57939254.378842555</v>
      </c>
      <c r="B10168">
        <v>164434954.50811914</v>
      </c>
    </row>
    <row r="10169" spans="1:2" x14ac:dyDescent="0.25">
      <c r="A10169">
        <f ca="1">36118.7739464696*((RANDBETWEEN(1620,2416)))</f>
        <v>60715659.004015334</v>
      </c>
      <c r="B10169">
        <v>168803763.05788738</v>
      </c>
    </row>
    <row r="10170" spans="1:2" x14ac:dyDescent="0.25">
      <c r="A10170">
        <f ca="1">31190.1162412095*((RANDBETWEEN(1620,2416)))</f>
        <v>65218533.060369126</v>
      </c>
      <c r="B10170">
        <v>151342812.54076022</v>
      </c>
    </row>
    <row r="10171" spans="1:2" x14ac:dyDescent="0.25">
      <c r="A10171">
        <f ca="1">38478.8677620623*((RANDBETWEEN(1620,2416)))</f>
        <v>65337117.459981844</v>
      </c>
      <c r="B10171">
        <v>150661354.45639026</v>
      </c>
    </row>
    <row r="10172" spans="1:2" x14ac:dyDescent="0.25">
      <c r="A10172">
        <f ca="1">31401.9564715331*((RANDBETWEEN(1620,2416)))</f>
        <v>72255901.840997636</v>
      </c>
      <c r="B10172">
        <v>155246584.35535601</v>
      </c>
    </row>
    <row r="10173" spans="1:2" x14ac:dyDescent="0.25">
      <c r="A10173">
        <f ca="1">34780.9238728204*((RANDBETWEEN(1620,2416)))</f>
        <v>75509385.727893189</v>
      </c>
      <c r="B10173">
        <v>160636119.34703439</v>
      </c>
    </row>
    <row r="10174" spans="1:2" x14ac:dyDescent="0.25">
      <c r="A10174">
        <f ca="1">32820.4823996024*((RANDBETWEEN(1620,2416)))</f>
        <v>65706605.764004</v>
      </c>
      <c r="B10174">
        <v>197465125.44787064</v>
      </c>
    </row>
    <row r="10175" spans="1:2" x14ac:dyDescent="0.25">
      <c r="A10175">
        <f ca="1">32550.9844171805*((RANDBETWEEN(1620,2416)))</f>
        <v>66534212.148716964</v>
      </c>
      <c r="B10175">
        <v>163185580.42134932</v>
      </c>
    </row>
    <row r="10176" spans="1:2" x14ac:dyDescent="0.25">
      <c r="A10176">
        <f ca="1">40187.005471747*((RANDBETWEEN(1620,2416)))</f>
        <v>84151589.457838282</v>
      </c>
      <c r="B10176">
        <v>191439280.08959585</v>
      </c>
    </row>
    <row r="10177" spans="1:2" x14ac:dyDescent="0.25">
      <c r="A10177">
        <f ca="1">33600.9705423132*((RANDBETWEEN(1620,2416)))</f>
        <v>61187367.357552387</v>
      </c>
      <c r="B10177">
        <v>170705450.95003182</v>
      </c>
    </row>
    <row r="10178" spans="1:2" x14ac:dyDescent="0.25">
      <c r="A10178">
        <f ca="1">28245.1066016345*((RANDBETWEEN(1620,2416)))</f>
        <v>67647030.310914531</v>
      </c>
      <c r="B10178">
        <v>158313767.80118436</v>
      </c>
    </row>
    <row r="10179" spans="1:2" x14ac:dyDescent="0.25">
      <c r="A10179">
        <f ca="1">32119.0131790528*((RANDBETWEEN(1620,2416)))</f>
        <v>64173788.331747554</v>
      </c>
      <c r="B10179">
        <v>144281632.37864986</v>
      </c>
    </row>
    <row r="10180" spans="1:2" x14ac:dyDescent="0.25">
      <c r="A10180">
        <f ca="1">31118.6773388845*((RANDBETWEEN(1620,2416)))</f>
        <v>66189426.699807264</v>
      </c>
      <c r="B10180">
        <v>153234621.32904655</v>
      </c>
    </row>
    <row r="10181" spans="1:2" x14ac:dyDescent="0.25">
      <c r="A10181">
        <f ca="1">40286.7558167393*((RANDBETWEEN(1620,2416)))</f>
        <v>77310284.41232267</v>
      </c>
      <c r="B10181">
        <v>181329257.72331402</v>
      </c>
    </row>
    <row r="10182" spans="1:2" x14ac:dyDescent="0.25">
      <c r="A10182">
        <f ca="1">31425.1916334222*((RANDBETWEEN(1620,2416)))</f>
        <v>70832381.941733539</v>
      </c>
      <c r="B10182">
        <v>150285277.25109762</v>
      </c>
    </row>
    <row r="10183" spans="1:2" x14ac:dyDescent="0.25">
      <c r="A10183">
        <f ca="1">33716.8218954016*((RANDBETWEEN(1620,2416)))</f>
        <v>57453464.509764306</v>
      </c>
      <c r="B10183">
        <v>145440208.49085552</v>
      </c>
    </row>
    <row r="10184" spans="1:2" x14ac:dyDescent="0.25">
      <c r="A10184">
        <f ca="1">33390.8886863451*((RANDBETWEEN(1620,2416)))</f>
        <v>62407570.954778947</v>
      </c>
      <c r="B10184">
        <v>189969367.0513663</v>
      </c>
    </row>
    <row r="10185" spans="1:2" x14ac:dyDescent="0.25">
      <c r="A10185">
        <f ca="1">30856.6605006858*((RANDBETWEEN(1620,2416)))</f>
        <v>70384042.602064252</v>
      </c>
      <c r="B10185">
        <v>186215747.56929165</v>
      </c>
    </row>
    <row r="10186" spans="1:2" x14ac:dyDescent="0.25">
      <c r="A10186">
        <f ca="1">32293.1857735532*((RANDBETWEEN(1620,2416)))</f>
        <v>76082745.682491228</v>
      </c>
      <c r="B10186">
        <v>178076305.50061795</v>
      </c>
    </row>
    <row r="10187" spans="1:2" x14ac:dyDescent="0.25">
      <c r="A10187">
        <f ca="1">39825.9298139758*((RANDBETWEEN(1620,2416)))</f>
        <v>74912573.980088472</v>
      </c>
      <c r="B10187">
        <v>160216889.15036005</v>
      </c>
    </row>
    <row r="10188" spans="1:2" x14ac:dyDescent="0.25">
      <c r="A10188">
        <f ca="1">36005.685523886*((RANDBETWEEN(1620,2416)))</f>
        <v>76584093.109305471</v>
      </c>
      <c r="B10188">
        <v>169597279.92714697</v>
      </c>
    </row>
    <row r="10189" spans="1:2" x14ac:dyDescent="0.25">
      <c r="A10189">
        <f ca="1">35104.564469591*((RANDBETWEEN(1620,2416)))</f>
        <v>65680640.122604683</v>
      </c>
      <c r="B10189">
        <v>187927648.62345529</v>
      </c>
    </row>
    <row r="10190" spans="1:2" x14ac:dyDescent="0.25">
      <c r="A10190">
        <f ca="1">38104.7463834191*((RANDBETWEEN(1620,2416)))</f>
        <v>73846998.491066188</v>
      </c>
      <c r="B10190">
        <v>171381970.35209936</v>
      </c>
    </row>
    <row r="10191" spans="1:2" x14ac:dyDescent="0.25">
      <c r="A10191">
        <f ca="1">32647.3510083159*((RANDBETWEEN(1620,2416)))</f>
        <v>68690026.521496564</v>
      </c>
      <c r="B10191">
        <v>159705300.12498784</v>
      </c>
    </row>
    <row r="10192" spans="1:2" x14ac:dyDescent="0.25">
      <c r="A10192">
        <f ca="1">35851.5104992108*((RANDBETWEEN(1620,2416)))</f>
        <v>63493025.094102398</v>
      </c>
      <c r="B10192">
        <v>186863521.51298869</v>
      </c>
    </row>
    <row r="10193" spans="1:2" x14ac:dyDescent="0.25">
      <c r="A10193">
        <f ca="1">37026.4440620826*((RANDBETWEEN(1620,2416)))</f>
        <v>68535947.95891495</v>
      </c>
      <c r="B10193">
        <v>155189568.38886991</v>
      </c>
    </row>
    <row r="10194" spans="1:2" x14ac:dyDescent="0.25">
      <c r="A10194">
        <f ca="1">35699.6976098155*((RANDBETWEEN(1620,2416)))</f>
        <v>75968956.513687387</v>
      </c>
      <c r="B10194">
        <v>175113319.97483119</v>
      </c>
    </row>
    <row r="10195" spans="1:2" x14ac:dyDescent="0.25">
      <c r="A10195">
        <f ca="1">34471.747017417*((RANDBETWEEN(1620,2416)))</f>
        <v>80112340.068477124</v>
      </c>
      <c r="B10195">
        <v>153382005.56838006</v>
      </c>
    </row>
    <row r="10196" spans="1:2" x14ac:dyDescent="0.25">
      <c r="A10196">
        <f ca="1">32104.8318699788*((RANDBETWEEN(1620,2416)))</f>
        <v>68126453.22809501</v>
      </c>
      <c r="B10196">
        <v>143375924.69987321</v>
      </c>
    </row>
    <row r="10197" spans="1:2" x14ac:dyDescent="0.25">
      <c r="A10197">
        <f ca="1">32190.532728015*((RANDBETWEEN(1620,2416)))</f>
        <v>75261465.518099084</v>
      </c>
      <c r="B10197">
        <v>199252457.70364451</v>
      </c>
    </row>
    <row r="10198" spans="1:2" x14ac:dyDescent="0.25">
      <c r="A10198">
        <f ca="1">32960.4048761342*((RANDBETWEEN(1620,2416)))</f>
        <v>58339916.630757451</v>
      </c>
      <c r="B10198">
        <v>146034953.75322855</v>
      </c>
    </row>
    <row r="10199" spans="1:2" x14ac:dyDescent="0.25">
      <c r="A10199">
        <f ca="1">30452.7102573678*((RANDBETWEEN(1620,2416)))</f>
        <v>61362211.168596096</v>
      </c>
      <c r="B10199">
        <v>189996878.85296255</v>
      </c>
    </row>
    <row r="10200" spans="1:2" x14ac:dyDescent="0.25">
      <c r="A10200">
        <f ca="1">29419.7087527711*((RANDBETWEEN(1620,2416)))</f>
        <v>65400012.557410054</v>
      </c>
      <c r="B10200">
        <v>187666220.3024241</v>
      </c>
    </row>
    <row r="10201" spans="1:2" x14ac:dyDescent="0.25">
      <c r="A10201">
        <f ca="1">29800.7229762792*((RANDBETWEEN(1620,2416)))</f>
        <v>58588221.371364854</v>
      </c>
      <c r="B10201">
        <v>176447473.21757242</v>
      </c>
    </row>
    <row r="10202" spans="1:2" x14ac:dyDescent="0.25">
      <c r="A10202">
        <f ca="1">37186.2624078947*((RANDBETWEEN(1620,2416)))</f>
        <v>85974638.687052488</v>
      </c>
      <c r="B10202">
        <v>170718229.72769678</v>
      </c>
    </row>
    <row r="10203" spans="1:2" x14ac:dyDescent="0.25">
      <c r="A10203">
        <f ca="1">32454.8320008833*((RANDBETWEEN(1620,2416)))</f>
        <v>74191745.954019144</v>
      </c>
      <c r="B10203">
        <v>165780445.63402253</v>
      </c>
    </row>
    <row r="10204" spans="1:2" x14ac:dyDescent="0.25">
      <c r="A10204">
        <f ca="1">37754.8371329073*((RANDBETWEEN(1620,2416)))</f>
        <v>68751558.419024184</v>
      </c>
      <c r="B10204">
        <v>191083254.29381856</v>
      </c>
    </row>
    <row r="10205" spans="1:2" x14ac:dyDescent="0.25">
      <c r="A10205">
        <f ca="1">35503.2970137321*((RANDBETWEEN(1620,2416)))</f>
        <v>60391108.220358357</v>
      </c>
      <c r="B10205">
        <v>192648226.75940144</v>
      </c>
    </row>
    <row r="10206" spans="1:2" x14ac:dyDescent="0.25">
      <c r="A10206">
        <f ca="1">30588.4819400176*((RANDBETWEEN(1620,2416)))</f>
        <v>59158124.071994133</v>
      </c>
      <c r="B10206">
        <v>161197764.60069117</v>
      </c>
    </row>
    <row r="10207" spans="1:2" x14ac:dyDescent="0.25">
      <c r="A10207">
        <f ca="1">33394.3488544372*((RANDBETWEEN(1620,2416)))</f>
        <v>59508729.65860717</v>
      </c>
      <c r="B10207">
        <v>190466520.33278823</v>
      </c>
    </row>
    <row r="10208" spans="1:2" x14ac:dyDescent="0.25">
      <c r="A10208">
        <f ca="1">33505.5108794822*((RANDBETWEEN(1620,2416)))</f>
        <v>54680993.755314976</v>
      </c>
      <c r="B10208">
        <v>147365595.85673636</v>
      </c>
    </row>
    <row r="10209" spans="1:2" x14ac:dyDescent="0.25">
      <c r="A10209">
        <f ca="1">32921.8474401731*((RANDBETWEEN(1620,2416)))</f>
        <v>54090595.344204478</v>
      </c>
      <c r="B10209">
        <v>178263394.41344726</v>
      </c>
    </row>
    <row r="10210" spans="1:2" x14ac:dyDescent="0.25">
      <c r="A10210">
        <f ca="1">35281.0804888685*((RANDBETWEEN(1620,2416)))</f>
        <v>81957949.975641608</v>
      </c>
      <c r="B10210">
        <v>151590649.3536467</v>
      </c>
    </row>
    <row r="10211" spans="1:2" x14ac:dyDescent="0.25">
      <c r="A10211">
        <f ca="1">37411.0992048885*((RANDBETWEEN(1620,2416)))</f>
        <v>76992042.163660541</v>
      </c>
      <c r="B10211">
        <v>166998066.46197987</v>
      </c>
    </row>
    <row r="10212" spans="1:2" x14ac:dyDescent="0.25">
      <c r="A10212">
        <f ca="1">42910.3123460656*((RANDBETWEEN(1620,2416)))</f>
        <v>94488507.786036476</v>
      </c>
      <c r="B10212">
        <v>160452521.43944612</v>
      </c>
    </row>
    <row r="10213" spans="1:2" x14ac:dyDescent="0.25">
      <c r="A10213">
        <f ca="1">32554.7126383789*((RANDBETWEEN(1620,2416)))</f>
        <v>57231184.818270132</v>
      </c>
      <c r="B10213">
        <v>166492639.94299263</v>
      </c>
    </row>
    <row r="10214" spans="1:2" x14ac:dyDescent="0.25">
      <c r="A10214">
        <f ca="1">40745.5278219899*((RANDBETWEEN(1620,2416)))</f>
        <v>98196722.050995722</v>
      </c>
      <c r="B10214">
        <v>175226798.61292288</v>
      </c>
    </row>
    <row r="10215" spans="1:2" x14ac:dyDescent="0.25">
      <c r="A10215">
        <f ca="1">29316.206746792*((RANDBETWEEN(1620,2416)))</f>
        <v>62765998.64488177</v>
      </c>
      <c r="B10215">
        <v>152086497.96401671</v>
      </c>
    </row>
    <row r="10216" spans="1:2" x14ac:dyDescent="0.25">
      <c r="A10216">
        <f ca="1">30672.9522933861*((RANDBETWEEN(1620,2416)))</f>
        <v>72786915.792205244</v>
      </c>
      <c r="B10216">
        <v>145979833.49360403</v>
      </c>
    </row>
    <row r="10217" spans="1:2" x14ac:dyDescent="0.25">
      <c r="A10217">
        <f ca="1">30084.5304357842*((RANDBETWEEN(1620,2416)))</f>
        <v>71721520.558909461</v>
      </c>
      <c r="B10217">
        <v>153691141.69765362</v>
      </c>
    </row>
    <row r="10218" spans="1:2" x14ac:dyDescent="0.25">
      <c r="A10218">
        <f ca="1">30880.5465605891*((RANDBETWEEN(1620,2416)))</f>
        <v>64509461.765070729</v>
      </c>
      <c r="B10218">
        <v>142974057.68711442</v>
      </c>
    </row>
    <row r="10219" spans="1:2" x14ac:dyDescent="0.25">
      <c r="A10219">
        <f ca="1">35891.9951200548*((RANDBETWEEN(1620,2416)))</f>
        <v>73399130.020512119</v>
      </c>
      <c r="B10219">
        <v>158681520.1802212</v>
      </c>
    </row>
    <row r="10220" spans="1:2" x14ac:dyDescent="0.25">
      <c r="A10220">
        <f ca="1">33949.7861438294*((RANDBETWEEN(1620,2416)))</f>
        <v>72414893.844788015</v>
      </c>
      <c r="B10220">
        <v>165140889.32231882</v>
      </c>
    </row>
    <row r="10221" spans="1:2" x14ac:dyDescent="0.25">
      <c r="A10221">
        <f ca="1">30687.6517635396*((RANDBETWEEN(1620,2416)))</f>
        <v>61651492.392951004</v>
      </c>
      <c r="B10221">
        <v>165259807.47127241</v>
      </c>
    </row>
    <row r="10222" spans="1:2" x14ac:dyDescent="0.25">
      <c r="A10222">
        <f ca="1">41099.1640276698*((RANDBETWEEN(1620,2416)))</f>
        <v>81458543.102841541</v>
      </c>
      <c r="B10222">
        <v>144071659.36613166</v>
      </c>
    </row>
    <row r="10223" spans="1:2" x14ac:dyDescent="0.25">
      <c r="A10223">
        <f ca="1">32643.2818179984*((RANDBETWEEN(1620,2416)))</f>
        <v>54775426.890601374</v>
      </c>
      <c r="B10223">
        <v>162953582.53680229</v>
      </c>
    </row>
    <row r="10224" spans="1:2" x14ac:dyDescent="0.25">
      <c r="A10224">
        <f ca="1">36996.2145162231*((RANDBETWEEN(1620,2416)))</f>
        <v>79911823.355041951</v>
      </c>
      <c r="B10224">
        <v>175427686.00907105</v>
      </c>
    </row>
    <row r="10225" spans="1:2" x14ac:dyDescent="0.25">
      <c r="A10225">
        <f ca="1">40108.5836217749*((RANDBETWEEN(1620,2416)))</f>
        <v>88038341.049796</v>
      </c>
      <c r="B10225">
        <v>159334405.41968566</v>
      </c>
    </row>
    <row r="10226" spans="1:2" x14ac:dyDescent="0.25">
      <c r="A10226">
        <f ca="1">29686.6315789886*((RANDBETWEEN(1620,2416)))</f>
        <v>68308939.26325278</v>
      </c>
      <c r="B10226">
        <v>174616990.60044232</v>
      </c>
    </row>
    <row r="10227" spans="1:2" x14ac:dyDescent="0.25">
      <c r="A10227">
        <f ca="1">32223.6915176893*((RANDBETWEEN(1620,2416)))</f>
        <v>66284133.45188687</v>
      </c>
      <c r="B10227">
        <v>189489435.4065783</v>
      </c>
    </row>
    <row r="10228" spans="1:2" x14ac:dyDescent="0.25">
      <c r="A10228">
        <f ca="1">31533.0702109981*((RANDBETWEEN(1620,2416)))</f>
        <v>65052723.845289245</v>
      </c>
      <c r="B10228">
        <v>181497483.59902906</v>
      </c>
    </row>
    <row r="10229" spans="1:2" x14ac:dyDescent="0.25">
      <c r="A10229">
        <f ca="1">37036.0337767384*((RANDBETWEEN(1620,2416)))</f>
        <v>63701978.095989965</v>
      </c>
      <c r="B10229">
        <v>158051696.60980648</v>
      </c>
    </row>
    <row r="10230" spans="1:2" x14ac:dyDescent="0.25">
      <c r="A10230">
        <f ca="1">31341.8661142717*((RANDBETWEEN(1620,2416)))</f>
        <v>68513319.325797915</v>
      </c>
      <c r="B10230">
        <v>145792883.19291031</v>
      </c>
    </row>
    <row r="10231" spans="1:2" x14ac:dyDescent="0.25">
      <c r="A10231">
        <f ca="1">31225.1124580275*((RANDBETWEEN(1620,2416)))</f>
        <v>65572736.161857679</v>
      </c>
      <c r="B10231">
        <v>184710291.42976052</v>
      </c>
    </row>
    <row r="10232" spans="1:2" x14ac:dyDescent="0.25">
      <c r="A10232">
        <f ca="1">32347.3881074001*((RANDBETWEEN(1620,2416)))</f>
        <v>56640276.576057598</v>
      </c>
      <c r="B10232">
        <v>173270547.04352531</v>
      </c>
    </row>
    <row r="10233" spans="1:2" x14ac:dyDescent="0.25">
      <c r="A10233">
        <f ca="1">40213.1544070334*((RANDBETWEEN(1620,2416)))</f>
        <v>85654018.886981249</v>
      </c>
      <c r="B10233">
        <v>159508580.88594338</v>
      </c>
    </row>
    <row r="10234" spans="1:2" x14ac:dyDescent="0.25">
      <c r="A10234">
        <f ca="1">38447.5582513901*((RANDBETWEEN(1620,2416)))</f>
        <v>80547634.536662206</v>
      </c>
      <c r="B10234">
        <v>178645722.39497668</v>
      </c>
    </row>
    <row r="10235" spans="1:2" x14ac:dyDescent="0.25">
      <c r="A10235">
        <f ca="1">33774.929375967*((RANDBETWEEN(1620,2416)))</f>
        <v>54715385.589066476</v>
      </c>
      <c r="B10235">
        <v>151201696.44509646</v>
      </c>
    </row>
    <row r="10236" spans="1:2" x14ac:dyDescent="0.25">
      <c r="A10236">
        <f ca="1">38811.1152124883*((RANDBETWEEN(1620,2416)))</f>
        <v>65241484.672192745</v>
      </c>
      <c r="B10236">
        <v>180255226.19100255</v>
      </c>
    </row>
    <row r="10237" spans="1:2" x14ac:dyDescent="0.25">
      <c r="A10237">
        <f ca="1">32105.1069739313*((RANDBETWEEN(1620,2416)))</f>
        <v>72718067.295954406</v>
      </c>
      <c r="B10237">
        <v>165730925.42407179</v>
      </c>
    </row>
    <row r="10238" spans="1:2" x14ac:dyDescent="0.25">
      <c r="A10238">
        <f ca="1">30518.3287043628*((RANDBETWEEN(1620,2416)))</f>
        <v>64637820.195840485</v>
      </c>
      <c r="B10238">
        <v>185436057.71917447</v>
      </c>
    </row>
    <row r="10239" spans="1:2" x14ac:dyDescent="0.25">
      <c r="A10239">
        <f ca="1">33909.6214216115*((RANDBETWEEN(1620,2416)))</f>
        <v>58494096.952279784</v>
      </c>
      <c r="B10239">
        <v>166883094.48265818</v>
      </c>
    </row>
    <row r="10240" spans="1:2" x14ac:dyDescent="0.25">
      <c r="A10240">
        <f ca="1">32936.4142380884*((RANDBETWEEN(1620,2416)))</f>
        <v>56947060.217654854</v>
      </c>
      <c r="B10240">
        <v>144500915.67677164</v>
      </c>
    </row>
    <row r="10241" spans="1:2" x14ac:dyDescent="0.25">
      <c r="A10241">
        <f ca="1">30162.4517185545*((RANDBETWEEN(1620,2416)))</f>
        <v>61772701.119599707</v>
      </c>
      <c r="B10241">
        <v>148941021.96400046</v>
      </c>
    </row>
    <row r="10242" spans="1:2" x14ac:dyDescent="0.25">
      <c r="A10242">
        <f ca="1">29994.910249123*((RANDBETWEEN(1620,2416)))</f>
        <v>71717830.40565303</v>
      </c>
      <c r="B10242">
        <v>148671437.65186918</v>
      </c>
    </row>
    <row r="10243" spans="1:2" x14ac:dyDescent="0.25">
      <c r="A10243">
        <f ca="1">34737.1688454771*((RANDBETWEEN(1620,2416)))</f>
        <v>60546885.297666609</v>
      </c>
      <c r="B10243">
        <v>162395637.33689165</v>
      </c>
    </row>
    <row r="10244" spans="1:2" x14ac:dyDescent="0.25">
      <c r="A10244">
        <f ca="1">41169.8733838369*((RANDBETWEEN(1620,2416)))</f>
        <v>93826141.44176437</v>
      </c>
      <c r="B10244">
        <v>200535388.52277997</v>
      </c>
    </row>
    <row r="10245" spans="1:2" x14ac:dyDescent="0.25">
      <c r="A10245">
        <f ca="1">33277.4645739072*((RANDBETWEEN(1620,2416)))</f>
        <v>57769678.500302926</v>
      </c>
      <c r="B10245">
        <v>146908521.03067073</v>
      </c>
    </row>
    <row r="10246" spans="1:2" x14ac:dyDescent="0.25">
      <c r="A10246">
        <f ca="1">30136.4246909707*((RANDBETWEEN(1620,2416)))</f>
        <v>70911007.297853976</v>
      </c>
      <c r="B10246">
        <v>149591971.71677852</v>
      </c>
    </row>
    <row r="10247" spans="1:2" x14ac:dyDescent="0.25">
      <c r="A10247">
        <f ca="1">28673.4938264395*((RANDBETWEEN(1620,2416)))</f>
        <v>55053108.146763764</v>
      </c>
      <c r="B10247">
        <v>181903639.57951659</v>
      </c>
    </row>
    <row r="10248" spans="1:2" x14ac:dyDescent="0.25">
      <c r="A10248">
        <f ca="1">33104.2838930407*((RANDBETWEEN(1620,2416)))</f>
        <v>64321623.604178041</v>
      </c>
      <c r="B10248">
        <v>190060360.06895846</v>
      </c>
    </row>
    <row r="10249" spans="1:2" x14ac:dyDescent="0.25">
      <c r="A10249">
        <f ca="1">33204.0095044309*((RANDBETWEEN(1620,2416)))</f>
        <v>59169544.936895922</v>
      </c>
      <c r="B10249">
        <v>158848892.97007787</v>
      </c>
    </row>
    <row r="10250" spans="1:2" x14ac:dyDescent="0.25">
      <c r="A10250">
        <f ca="1">40594.2095512641*((RANDBETWEEN(1620,2416)))</f>
        <v>66249749.987663016</v>
      </c>
      <c r="B10250">
        <v>148447844.97522461</v>
      </c>
    </row>
    <row r="10251" spans="1:2" x14ac:dyDescent="0.25">
      <c r="A10251">
        <f ca="1">31708.2274706968*((RANDBETWEEN(1620,2416)))</f>
        <v>69472726.388296768</v>
      </c>
      <c r="B10251">
        <v>165864681.65299875</v>
      </c>
    </row>
    <row r="10252" spans="1:2" x14ac:dyDescent="0.25">
      <c r="A10252">
        <f ca="1">32479.6990274471*((RANDBETWEEN(1620,2416)))</f>
        <v>57196749.987334274</v>
      </c>
      <c r="B10252">
        <v>148192777.90015402</v>
      </c>
    </row>
    <row r="10253" spans="1:2" x14ac:dyDescent="0.25">
      <c r="A10253">
        <f ca="1">32116.5353264952*((RANDBETWEEN(1620,2416)))</f>
        <v>53474031.318614528</v>
      </c>
      <c r="B10253">
        <v>195928694.07376647</v>
      </c>
    </row>
    <row r="10254" spans="1:2" x14ac:dyDescent="0.25">
      <c r="A10254">
        <f ca="1">28179.989776641*((RANDBETWEEN(1620,2416)))</f>
        <v>67181095.627512231</v>
      </c>
      <c r="B10254">
        <v>148674858.90545818</v>
      </c>
    </row>
    <row r="10255" spans="1:2" x14ac:dyDescent="0.25">
      <c r="A10255">
        <f ca="1">27897.4890952497*((RANDBETWEEN(1620,2416)))</f>
        <v>45919267.050781012</v>
      </c>
      <c r="B10255">
        <v>177307185.95485121</v>
      </c>
    </row>
    <row r="10256" spans="1:2" x14ac:dyDescent="0.25">
      <c r="A10256">
        <f ca="1">30924.5698044006*((RANDBETWEEN(1620,2416)))</f>
        <v>59993665.420537129</v>
      </c>
      <c r="B10256">
        <v>183688510.89786401</v>
      </c>
    </row>
    <row r="10257" spans="1:2" x14ac:dyDescent="0.25">
      <c r="A10257">
        <f ca="1">31282.4559851022*((RANDBETWEEN(1620,2416)))</f>
        <v>75515848.748036817</v>
      </c>
      <c r="B10257">
        <v>143848149.51045328</v>
      </c>
    </row>
    <row r="10258" spans="1:2" x14ac:dyDescent="0.25">
      <c r="A10258">
        <f ca="1">32194.4362036573*((RANDBETWEEN(1620,2416)))</f>
        <v>71342870.627304614</v>
      </c>
      <c r="B10258">
        <v>147257840.89194655</v>
      </c>
    </row>
    <row r="10259" spans="1:2" x14ac:dyDescent="0.25">
      <c r="A10259">
        <f ca="1">42392.5535784881*((RANDBETWEEN(1620,2416)))</f>
        <v>97757228.551993608</v>
      </c>
      <c r="B10259">
        <v>145294666.58722925</v>
      </c>
    </row>
    <row r="10260" spans="1:2" x14ac:dyDescent="0.25">
      <c r="A10260">
        <f ca="1">39535.0383647892*((RANDBETWEEN(1620,2416)))</f>
        <v>73139820.974860027</v>
      </c>
      <c r="B10260">
        <v>184686846.65941533</v>
      </c>
    </row>
    <row r="10261" spans="1:2" x14ac:dyDescent="0.25">
      <c r="A10261">
        <f ca="1">31035.165229441*((RANDBETWEEN(1620,2416)))</f>
        <v>66756640.408527605</v>
      </c>
      <c r="B10261">
        <v>151251019.6599544</v>
      </c>
    </row>
    <row r="10262" spans="1:2" x14ac:dyDescent="0.25">
      <c r="A10262">
        <f ca="1">35207.5065709416*((RANDBETWEEN(1620,2416)))</f>
        <v>72210595.977001265</v>
      </c>
      <c r="B10262">
        <v>159608066.85169047</v>
      </c>
    </row>
    <row r="10263" spans="1:2" x14ac:dyDescent="0.25">
      <c r="A10263">
        <f ca="1">30269.8044125974*((RANDBETWEEN(1620,2416)))</f>
        <v>72496181.568170771</v>
      </c>
      <c r="B10263">
        <v>196304797.41449594</v>
      </c>
    </row>
    <row r="10264" spans="1:2" x14ac:dyDescent="0.25">
      <c r="A10264">
        <f ca="1">30599.1391997967*((RANDBETWEEN(1620,2416)))</f>
        <v>56088222.153227352</v>
      </c>
      <c r="B10264">
        <v>175040009.17062122</v>
      </c>
    </row>
    <row r="10265" spans="1:2" x14ac:dyDescent="0.25">
      <c r="A10265">
        <f ca="1">35377.8879583635*((RANDBETWEEN(1620,2416)))</f>
        <v>66793452.465390384</v>
      </c>
      <c r="B10265">
        <v>183156729.66527271</v>
      </c>
    </row>
    <row r="10266" spans="1:2" x14ac:dyDescent="0.25">
      <c r="A10266">
        <f ca="1">38068.1950701104*((RANDBETWEEN(1620,2416)))</f>
        <v>69855137.953652576</v>
      </c>
      <c r="B10266">
        <v>147665580.38216972</v>
      </c>
    </row>
    <row r="10267" spans="1:2" x14ac:dyDescent="0.25">
      <c r="A10267">
        <f ca="1">34819.3875285802*((RANDBETWEEN(1620,2416)))</f>
        <v>59575972.061400779</v>
      </c>
      <c r="B10267">
        <v>158011126.2219063</v>
      </c>
    </row>
    <row r="10268" spans="1:2" x14ac:dyDescent="0.25">
      <c r="A10268">
        <f ca="1">33270.3874688401*((RANDBETWEEN(1620,2416)))</f>
        <v>66174800.675523028</v>
      </c>
      <c r="B10268">
        <v>150110523.66854</v>
      </c>
    </row>
    <row r="10269" spans="1:2" x14ac:dyDescent="0.25">
      <c r="A10269">
        <f ca="1">40035.106115128*((RANDBETWEEN(1620,2416)))</f>
        <v>81071089.883134156</v>
      </c>
      <c r="B10269">
        <v>185242466.88052359</v>
      </c>
    </row>
    <row r="10270" spans="1:2" x14ac:dyDescent="0.25">
      <c r="A10270">
        <f ca="1">33281.7356777965*((RANDBETWEEN(1620,2416)))</f>
        <v>59041799.092411071</v>
      </c>
      <c r="B10270">
        <v>186026435.44455329</v>
      </c>
    </row>
    <row r="10271" spans="1:2" x14ac:dyDescent="0.25">
      <c r="A10271">
        <f ca="1">31662.6270099708*((RANDBETWEEN(1620,2416)))</f>
        <v>65130023.759509839</v>
      </c>
      <c r="B10271">
        <v>150475103.43571907</v>
      </c>
    </row>
    <row r="10272" spans="1:2" x14ac:dyDescent="0.25">
      <c r="A10272">
        <f ca="1">32406.6770061033*((RANDBETWEEN(1620,2416)))</f>
        <v>71489129.475463957</v>
      </c>
      <c r="B10272">
        <v>201874442.8012225</v>
      </c>
    </row>
    <row r="10273" spans="1:2" x14ac:dyDescent="0.25">
      <c r="A10273">
        <f ca="1">30327.8158008019*((RANDBETWEEN(1620,2416)))</f>
        <v>58714651.39035245</v>
      </c>
      <c r="B10273">
        <v>149236322.56880379</v>
      </c>
    </row>
    <row r="10274" spans="1:2" x14ac:dyDescent="0.25">
      <c r="A10274">
        <f ca="1">31546.7456628829*((RANDBETWEEN(1620,2416)))</f>
        <v>56941875.921503708</v>
      </c>
      <c r="B10274">
        <v>144243533.26994681</v>
      </c>
    </row>
    <row r="10275" spans="1:2" x14ac:dyDescent="0.25">
      <c r="A10275">
        <f ca="1">31966.5242587104*((RANDBETWEEN(1620,2416)))</f>
        <v>55621752.210156165</v>
      </c>
      <c r="B10275">
        <v>202435985.32133877</v>
      </c>
    </row>
    <row r="10276" spans="1:2" x14ac:dyDescent="0.25">
      <c r="A10276">
        <f ca="1">40096.1699773335*((RANDBETWEEN(1620,2416)))</f>
        <v>96511481.135441646</v>
      </c>
      <c r="B10276">
        <v>192474932.63676524</v>
      </c>
    </row>
    <row r="10277" spans="1:2" x14ac:dyDescent="0.25">
      <c r="A10277">
        <f ca="1">36540.9112444655*((RANDBETWEEN(1620,2416)))</f>
        <v>63836971.944081172</v>
      </c>
      <c r="B10277">
        <v>175360567.81925029</v>
      </c>
    </row>
    <row r="10278" spans="1:2" x14ac:dyDescent="0.25">
      <c r="A10278">
        <f ca="1">29888.843259436*((RANDBETWEEN(1620,2416)))</f>
        <v>71763112.665905759</v>
      </c>
      <c r="B10278">
        <v>156355225.68589553</v>
      </c>
    </row>
    <row r="10279" spans="1:2" x14ac:dyDescent="0.25">
      <c r="A10279">
        <f ca="1">39463.0476294967*((RANDBETWEEN(1620,2416)))</f>
        <v>80307301.926025838</v>
      </c>
      <c r="B10279">
        <v>167431505.01422226</v>
      </c>
    </row>
    <row r="10280" spans="1:2" x14ac:dyDescent="0.25">
      <c r="A10280">
        <f ca="1">31229.4534589375*((RANDBETWEEN(1620,2416)))</f>
        <v>61584482.221024796</v>
      </c>
      <c r="B10280">
        <v>186698108.39742294</v>
      </c>
    </row>
    <row r="10281" spans="1:2" x14ac:dyDescent="0.25">
      <c r="A10281">
        <f ca="1">33385.4477956118*((RANDBETWEEN(1620,2416)))</f>
        <v>77521009.781410545</v>
      </c>
      <c r="B10281">
        <v>154004627.61297673</v>
      </c>
    </row>
    <row r="10282" spans="1:2" x14ac:dyDescent="0.25">
      <c r="A10282">
        <f ca="1">34301.4506043394*((RANDBETWEEN(1620,2416)))</f>
        <v>65104153.247036211</v>
      </c>
      <c r="B10282">
        <v>181879282.26733381</v>
      </c>
    </row>
    <row r="10283" spans="1:2" x14ac:dyDescent="0.25">
      <c r="A10283">
        <f ca="1">29105.2925723528*((RANDBETWEEN(1620,2416)))</f>
        <v>66389172.357536815</v>
      </c>
      <c r="B10283">
        <v>146231596.09043676</v>
      </c>
    </row>
    <row r="10284" spans="1:2" x14ac:dyDescent="0.25">
      <c r="A10284">
        <f ca="1">32677.6047209156*((RANDBETWEEN(1620,2416)))</f>
        <v>57970070.774904281</v>
      </c>
      <c r="B10284">
        <v>178087467.90734276</v>
      </c>
    </row>
    <row r="10285" spans="1:2" x14ac:dyDescent="0.25">
      <c r="A10285">
        <f ca="1">40078.5853888636*((RANDBETWEEN(1620,2416)))</f>
        <v>90737917.32038714</v>
      </c>
      <c r="B10285">
        <v>182669583.3440972</v>
      </c>
    </row>
    <row r="10286" spans="1:2" x14ac:dyDescent="0.25">
      <c r="A10286">
        <f ca="1">32518.9427969519*((RANDBETWEEN(1620,2416)))</f>
        <v>61525839.771832906</v>
      </c>
      <c r="B10286">
        <v>188956844.56307235</v>
      </c>
    </row>
    <row r="10287" spans="1:2" x14ac:dyDescent="0.25">
      <c r="A10287">
        <f ca="1">32329.0087775383*((RANDBETWEEN(1620,2416)))</f>
        <v>56899055.448467381</v>
      </c>
      <c r="B10287">
        <v>187622588.94149578</v>
      </c>
    </row>
    <row r="10288" spans="1:2" x14ac:dyDescent="0.25">
      <c r="A10288">
        <f ca="1">29623.7921034803*((RANDBETWEEN(1620,2416)))</f>
        <v>48908880.762845978</v>
      </c>
      <c r="B10288">
        <v>195859991.81295341</v>
      </c>
    </row>
    <row r="10289" spans="1:2" x14ac:dyDescent="0.25">
      <c r="A10289">
        <f ca="1">30150.1769281792*((RANDBETWEEN(1620,2416)))</f>
        <v>60119452.794789284</v>
      </c>
      <c r="B10289">
        <v>145823742.89306465</v>
      </c>
    </row>
    <row r="10290" spans="1:2" x14ac:dyDescent="0.25">
      <c r="A10290">
        <f ca="1">28686.4218532219*((RANDBETWEEN(1620,2416)))</f>
        <v>64888686.231988035</v>
      </c>
      <c r="B10290">
        <v>157847290.57185179</v>
      </c>
    </row>
    <row r="10291" spans="1:2" x14ac:dyDescent="0.25">
      <c r="A10291">
        <f ca="1">32701.7483325161*((RANDBETWEEN(1620,2416)))</f>
        <v>55691077.41027496</v>
      </c>
      <c r="B10291">
        <v>173178928.85142916</v>
      </c>
    </row>
    <row r="10292" spans="1:2" x14ac:dyDescent="0.25">
      <c r="A10292">
        <f ca="1">36721.074184364*((RANDBETWEEN(1620,2416)))</f>
        <v>77885398.345036075</v>
      </c>
      <c r="B10292">
        <v>159974867.17891884</v>
      </c>
    </row>
    <row r="10293" spans="1:2" x14ac:dyDescent="0.25">
      <c r="A10293">
        <f ca="1">31983.5947307773*((RANDBETWEEN(1620,2416)))</f>
        <v>74681693.696365029</v>
      </c>
      <c r="B10293">
        <v>186371375.71422896</v>
      </c>
    </row>
    <row r="10294" spans="1:2" x14ac:dyDescent="0.25">
      <c r="A10294">
        <f ca="1">31207.8673261143*((RANDBETWEEN(1620,2416)))</f>
        <v>54145649.810808398</v>
      </c>
      <c r="B10294">
        <v>151936742.46542466</v>
      </c>
    </row>
    <row r="10295" spans="1:2" x14ac:dyDescent="0.25">
      <c r="A10295">
        <f ca="1">30747.4907126517*((RANDBETWEEN(1620,2416)))</f>
        <v>65615145.180798799</v>
      </c>
      <c r="B10295">
        <v>180870561.52588099</v>
      </c>
    </row>
    <row r="10296" spans="1:2" x14ac:dyDescent="0.25">
      <c r="A10296">
        <f ca="1">29222.2718582232*((RANDBETWEEN(1620,2416)))</f>
        <v>48245970.837926447</v>
      </c>
      <c r="B10296">
        <v>147178780.91736096</v>
      </c>
    </row>
    <row r="10297" spans="1:2" x14ac:dyDescent="0.25">
      <c r="A10297">
        <f ca="1">31964.8652432934*((RANDBETWEEN(1620,2416)))</f>
        <v>72016841.393140003</v>
      </c>
      <c r="B10297">
        <v>174741938.49184281</v>
      </c>
    </row>
    <row r="10298" spans="1:2" x14ac:dyDescent="0.25">
      <c r="A10298">
        <f ca="1">28969.2526010443*((RANDBETWEEN(1620,2416)))</f>
        <v>62254923.839644223</v>
      </c>
      <c r="B10298">
        <v>193970736.21917793</v>
      </c>
    </row>
    <row r="10299" spans="1:2" x14ac:dyDescent="0.25">
      <c r="A10299">
        <f ca="1">37081.6290279906*((RANDBETWEEN(1620,2416)))</f>
        <v>71345054.249853998</v>
      </c>
      <c r="B10299">
        <v>149666074.61641231</v>
      </c>
    </row>
    <row r="10300" spans="1:2" x14ac:dyDescent="0.25">
      <c r="A10300">
        <f ca="1">29108.7930414364*((RANDBETWEEN(1620,2416)))</f>
        <v>50911279.029472254</v>
      </c>
      <c r="B10300">
        <v>156586637.97578093</v>
      </c>
    </row>
    <row r="10301" spans="1:2" x14ac:dyDescent="0.25">
      <c r="A10301">
        <f ca="1">31643.5646662837*((RANDBETWEEN(1620,2416)))</f>
        <v>57622931.257302657</v>
      </c>
      <c r="B10301">
        <v>168092402.79082519</v>
      </c>
    </row>
    <row r="10302" spans="1:2" x14ac:dyDescent="0.25">
      <c r="A10302">
        <f ca="1">42282.5923190127*((RANDBETWEEN(1620,2416)))</f>
        <v>85833662.407595873</v>
      </c>
      <c r="B10302">
        <v>170617494.62977922</v>
      </c>
    </row>
    <row r="10303" spans="1:2" x14ac:dyDescent="0.25">
      <c r="A10303">
        <f ca="1">28677.4329142739*((RANDBETWEEN(1620,2416)))</f>
        <v>59534350.730032675</v>
      </c>
      <c r="B10303">
        <v>150076784.00903428</v>
      </c>
    </row>
    <row r="10304" spans="1:2" x14ac:dyDescent="0.25">
      <c r="A10304">
        <f ca="1">30787.1531025817*((RANDBETWEEN(1620,2416)))</f>
        <v>51999501.590260431</v>
      </c>
      <c r="B10304">
        <v>170112871.64591944</v>
      </c>
    </row>
    <row r="10305" spans="1:2" x14ac:dyDescent="0.25">
      <c r="A10305">
        <f ca="1">31246.9551359006*((RANDBETWEEN(1620,2416)))</f>
        <v>54619677.577554226</v>
      </c>
      <c r="B10305">
        <v>155763996.53909096</v>
      </c>
    </row>
    <row r="10306" spans="1:2" x14ac:dyDescent="0.25">
      <c r="A10306">
        <f ca="1">31338.8263302411*((RANDBETWEEN(1620,2416)))</f>
        <v>53213327.108749412</v>
      </c>
      <c r="B10306">
        <v>151934745.04961517</v>
      </c>
    </row>
    <row r="10307" spans="1:2" x14ac:dyDescent="0.25">
      <c r="A10307">
        <f ca="1">35762.9902398747*((RANDBETWEEN(1620,2416)))</f>
        <v>71883610.382148057</v>
      </c>
      <c r="B10307">
        <v>165179358.37762284</v>
      </c>
    </row>
    <row r="10308" spans="1:2" x14ac:dyDescent="0.25">
      <c r="A10308">
        <f ca="1">32075.3504559814*((RANDBETWEEN(1620,2416)))</f>
        <v>56741294.956631102</v>
      </c>
      <c r="B10308">
        <v>166234422.4266817</v>
      </c>
    </row>
    <row r="10309" spans="1:2" x14ac:dyDescent="0.25">
      <c r="A10309">
        <f ca="1">40065.4774781617*((RANDBETWEEN(1620,2416)))</f>
        <v>77166109.622939438</v>
      </c>
      <c r="B10309">
        <v>173466976.83392355</v>
      </c>
    </row>
    <row r="10310" spans="1:2" x14ac:dyDescent="0.25">
      <c r="A10310">
        <f ca="1">33757.7065019631*((RANDBETWEEN(1620,2416)))</f>
        <v>78520425.323566228</v>
      </c>
      <c r="B10310">
        <v>175617585.66016567</v>
      </c>
    </row>
    <row r="10311" spans="1:2" x14ac:dyDescent="0.25">
      <c r="A10311">
        <f ca="1">32322.3217940763*((RANDBETWEEN(1620,2416)))</f>
        <v>53364153.282019973</v>
      </c>
      <c r="B10311">
        <v>148605836.59754112</v>
      </c>
    </row>
    <row r="10312" spans="1:2" x14ac:dyDescent="0.25">
      <c r="A10312">
        <f ca="1">33387.2181224889*((RANDBETWEEN(1620,2416)))</f>
        <v>77959154.316011667</v>
      </c>
      <c r="B10312">
        <v>192794642.51751262</v>
      </c>
    </row>
    <row r="10313" spans="1:2" x14ac:dyDescent="0.25">
      <c r="A10313">
        <f ca="1">36335.2763015758*((RANDBETWEEN(1620,2416)))</f>
        <v>79937607.863466859</v>
      </c>
      <c r="B10313">
        <v>158389152.27766907</v>
      </c>
    </row>
    <row r="10314" spans="1:2" x14ac:dyDescent="0.25">
      <c r="A10314">
        <f ca="1">37714.563477962*((RANDBETWEEN(1620,2416)))</f>
        <v>78634864.851550683</v>
      </c>
      <c r="B10314">
        <v>167655649.89046741</v>
      </c>
    </row>
    <row r="10315" spans="1:2" x14ac:dyDescent="0.25">
      <c r="A10315">
        <f ca="1">40525.2156298153*((RANDBETWEEN(1620,2416)))</f>
        <v>71810682.096032649</v>
      </c>
      <c r="B10315">
        <v>147508368.04633471</v>
      </c>
    </row>
    <row r="10316" spans="1:2" x14ac:dyDescent="0.25">
      <c r="A10316">
        <f ca="1">32055.6043258903*((RANDBETWEEN(1620,2416)))</f>
        <v>71483997.646735266</v>
      </c>
      <c r="B10316">
        <v>184333881.07883269</v>
      </c>
    </row>
    <row r="10317" spans="1:2" x14ac:dyDescent="0.25">
      <c r="A10317">
        <f ca="1">43999.2713965731*((RANDBETWEEN(1620,2416)))</f>
        <v>83070624.396730036</v>
      </c>
      <c r="B10317">
        <v>174403272.78173774</v>
      </c>
    </row>
    <row r="10318" spans="1:2" x14ac:dyDescent="0.25">
      <c r="A10318">
        <f ca="1">40304.2418738036*((RANDBETWEEN(1620,2416)))</f>
        <v>83913431.581259012</v>
      </c>
      <c r="B10318">
        <v>179609132.46600652</v>
      </c>
    </row>
    <row r="10319" spans="1:2" x14ac:dyDescent="0.25">
      <c r="A10319">
        <f ca="1">40875.1815775593*((RANDBETWEEN(1620,2416)))</f>
        <v>90988154.191647112</v>
      </c>
      <c r="B10319">
        <v>167800654.05283624</v>
      </c>
    </row>
    <row r="10320" spans="1:2" x14ac:dyDescent="0.25">
      <c r="A10320">
        <f ca="1">30278.3868935053*((RANDBETWEEN(1620,2416)))</f>
        <v>58588678.638932809</v>
      </c>
      <c r="B10320">
        <v>174333298.20323023</v>
      </c>
    </row>
    <row r="10321" spans="1:2" x14ac:dyDescent="0.25">
      <c r="A10321">
        <f ca="1">32940.8280250382*((RANDBETWEEN(1620,2416)))</f>
        <v>67989869.043678775</v>
      </c>
      <c r="B10321">
        <v>187810459.40276331</v>
      </c>
    </row>
    <row r="10322" spans="1:2" x14ac:dyDescent="0.25">
      <c r="A10322">
        <f ca="1">30645.5579879477*((RANDBETWEEN(1620,2416)))</f>
        <v>63589532.824991494</v>
      </c>
      <c r="B10322">
        <v>200916328.96295971</v>
      </c>
    </row>
    <row r="10323" spans="1:2" x14ac:dyDescent="0.25">
      <c r="A10323">
        <f ca="1">30950.5554454949*((RANDBETWEEN(1620,2416)))</f>
        <v>52244537.591995329</v>
      </c>
      <c r="B10323">
        <v>152479418.49045536</v>
      </c>
    </row>
    <row r="10324" spans="1:2" x14ac:dyDescent="0.25">
      <c r="A10324">
        <f ca="1">31229.2340629976*((RANDBETWEEN(1620,2416)))</f>
        <v>71952155.281146422</v>
      </c>
      <c r="B10324">
        <v>155644127.80918017</v>
      </c>
    </row>
    <row r="10325" spans="1:2" x14ac:dyDescent="0.25">
      <c r="A10325">
        <f ca="1">30405.7662905429*((RANDBETWEEN(1620,2416)))</f>
        <v>55642552.311693519</v>
      </c>
      <c r="B10325">
        <v>201113965.98424354</v>
      </c>
    </row>
    <row r="10326" spans="1:2" x14ac:dyDescent="0.25">
      <c r="A10326">
        <f ca="1">37323.0404409227*((RANDBETWEEN(1620,2416)))</f>
        <v>65987135.499551423</v>
      </c>
      <c r="B10326">
        <v>157691823.28837079</v>
      </c>
    </row>
    <row r="10327" spans="1:2" x14ac:dyDescent="0.25">
      <c r="A10327">
        <f ca="1">32305.2482050476*((RANDBETWEEN(1620,2416)))</f>
        <v>65838095.84188693</v>
      </c>
      <c r="B10327">
        <v>145336710.69803455</v>
      </c>
    </row>
    <row r="10328" spans="1:2" x14ac:dyDescent="0.25">
      <c r="A10328">
        <f ca="1">40611.602925146*((RANDBETWEEN(1620,2416)))</f>
        <v>92350785.051782012</v>
      </c>
      <c r="B10328">
        <v>201254903.99194667</v>
      </c>
    </row>
    <row r="10329" spans="1:2" x14ac:dyDescent="0.25">
      <c r="A10329">
        <f ca="1">31613.8696344608*((RANDBETWEEN(1620,2416)))</f>
        <v>76284267.427954003</v>
      </c>
      <c r="B10329">
        <v>166790679.15421835</v>
      </c>
    </row>
    <row r="10330" spans="1:2" x14ac:dyDescent="0.25">
      <c r="A10330">
        <f ca="1">30400.2769053542*((RANDBETWEEN(1620,2416)))</f>
        <v>69738235.22088246</v>
      </c>
      <c r="B10330">
        <v>159406276.93727875</v>
      </c>
    </row>
    <row r="10331" spans="1:2" x14ac:dyDescent="0.25">
      <c r="A10331">
        <f ca="1">38038.8240044066*((RANDBETWEEN(1620,2416)))</f>
        <v>84484228.113787115</v>
      </c>
      <c r="B10331">
        <v>175519817.22645468</v>
      </c>
    </row>
    <row r="10332" spans="1:2" x14ac:dyDescent="0.25">
      <c r="A10332">
        <f ca="1">38239.5727578129*((RANDBETWEEN(1620,2416)))</f>
        <v>72693427.812602386</v>
      </c>
      <c r="B10332">
        <v>174983686.76057154</v>
      </c>
    </row>
    <row r="10333" spans="1:2" x14ac:dyDescent="0.25">
      <c r="A10333">
        <f ca="1">33909.1298012556*((RANDBETWEEN(1620,2416)))</f>
        <v>67682623.083306164</v>
      </c>
      <c r="B10333">
        <v>166007386.9038353</v>
      </c>
    </row>
    <row r="10334" spans="1:2" x14ac:dyDescent="0.25">
      <c r="A10334">
        <f ca="1">36157.1167759767*((RANDBETWEEN(1620,2416)))</f>
        <v>77629329.718022019</v>
      </c>
      <c r="B10334">
        <v>143354688.9001492</v>
      </c>
    </row>
    <row r="10335" spans="1:2" x14ac:dyDescent="0.25">
      <c r="A10335">
        <f ca="1">33152.4332945579*((RANDBETWEEN(1620,2416)))</f>
        <v>75488090.611708283</v>
      </c>
      <c r="B10335">
        <v>173924253.19839859</v>
      </c>
    </row>
    <row r="10336" spans="1:2" x14ac:dyDescent="0.25">
      <c r="A10336">
        <f ca="1">31464.5269568522*((RANDBETWEEN(1620,2416)))</f>
        <v>70102966.059866622</v>
      </c>
      <c r="B10336">
        <v>166331744.82715192</v>
      </c>
    </row>
    <row r="10337" spans="1:2" x14ac:dyDescent="0.25">
      <c r="A10337">
        <f ca="1">33168.4039180888*((RANDBETWEEN(1620,2416)))</f>
        <v>68724932.918280154</v>
      </c>
      <c r="B10337">
        <v>172466764.837116</v>
      </c>
    </row>
    <row r="10338" spans="1:2" x14ac:dyDescent="0.25">
      <c r="A10338">
        <f ca="1">31428.2727786841*((RANDBETWEEN(1620,2416)))</f>
        <v>57230884.729983717</v>
      </c>
      <c r="B10338">
        <v>146847796.50597543</v>
      </c>
    </row>
    <row r="10339" spans="1:2" x14ac:dyDescent="0.25">
      <c r="A10339">
        <f ca="1">30753.1046385035*((RANDBETWEEN(1620,2416)))</f>
        <v>60491356.823936433</v>
      </c>
      <c r="B10339">
        <v>186930553.08975312</v>
      </c>
    </row>
    <row r="10340" spans="1:2" x14ac:dyDescent="0.25">
      <c r="A10340">
        <f ca="1">34410.9644537755*((RANDBETWEEN(1620,2416)))</f>
        <v>79386094.994860172</v>
      </c>
      <c r="B10340">
        <v>164588955.96078476</v>
      </c>
    </row>
    <row r="10341" spans="1:2" x14ac:dyDescent="0.25">
      <c r="A10341">
        <f ca="1">30840.7668274053*((RANDBETWEEN(1620,2416)))</f>
        <v>61650692.887983225</v>
      </c>
      <c r="B10341">
        <v>161484475.2533657</v>
      </c>
    </row>
    <row r="10342" spans="1:2" x14ac:dyDescent="0.25">
      <c r="A10342">
        <f ca="1">37246.0183698358*((RANDBETWEEN(1620,2416)))</f>
        <v>64435611.779815897</v>
      </c>
      <c r="B10342">
        <v>196423278.18430915</v>
      </c>
    </row>
    <row r="10343" spans="1:2" x14ac:dyDescent="0.25">
      <c r="A10343">
        <f ca="1">30074.9030484161*((RANDBETWEEN(1620,2416)))</f>
        <v>49413065.708547577</v>
      </c>
      <c r="B10343">
        <v>158710605.82738912</v>
      </c>
    </row>
    <row r="10344" spans="1:2" x14ac:dyDescent="0.25">
      <c r="A10344">
        <f ca="1">33295.1479184184*((RANDBETWEEN(1620,2416)))</f>
        <v>61862384.832421437</v>
      </c>
      <c r="B10344">
        <v>174343889.55290896</v>
      </c>
    </row>
    <row r="10345" spans="1:2" x14ac:dyDescent="0.25">
      <c r="A10345">
        <f ca="1">33474.602691366*((RANDBETWEEN(1620,2416)))</f>
        <v>74012346.550610274</v>
      </c>
      <c r="B10345">
        <v>164422674.75420976</v>
      </c>
    </row>
    <row r="10346" spans="1:2" x14ac:dyDescent="0.25">
      <c r="A10346">
        <f ca="1">33882.2401924901*((RANDBETWEEN(1620,2416)))</f>
        <v>76302804.913487777</v>
      </c>
      <c r="B10346">
        <v>160648591.71168154</v>
      </c>
    </row>
    <row r="10347" spans="1:2" x14ac:dyDescent="0.25">
      <c r="A10347">
        <f ca="1">34954.9089236015*((RANDBETWEEN(1620,2416)))</f>
        <v>68721350.943800643</v>
      </c>
      <c r="B10347">
        <v>160417507.85925484</v>
      </c>
    </row>
    <row r="10348" spans="1:2" x14ac:dyDescent="0.25">
      <c r="A10348">
        <f ca="1">28962.8123031282*((RANDBETWEEN(1620,2416)))</f>
        <v>56361632.741887562</v>
      </c>
      <c r="B10348">
        <v>151601293.21185175</v>
      </c>
    </row>
    <row r="10349" spans="1:2" x14ac:dyDescent="0.25">
      <c r="A10349">
        <f ca="1">31893.3912406928*((RANDBETWEEN(1620,2416)))</f>
        <v>70548181.424412414</v>
      </c>
      <c r="B10349">
        <v>171842360.87990785</v>
      </c>
    </row>
    <row r="10350" spans="1:2" x14ac:dyDescent="0.25">
      <c r="A10350">
        <f ca="1">31155.8344250412*((RANDBETWEEN(1620,2416)))</f>
        <v>51749840.97999344</v>
      </c>
      <c r="B10350">
        <v>155158076.29594541</v>
      </c>
    </row>
    <row r="10351" spans="1:2" x14ac:dyDescent="0.25">
      <c r="A10351">
        <f ca="1">30584.8128335705*((RANDBETWEEN(1620,2416)))</f>
        <v>73036533.046566412</v>
      </c>
      <c r="B10351">
        <v>150267737.45157039</v>
      </c>
    </row>
    <row r="10352" spans="1:2" x14ac:dyDescent="0.25">
      <c r="A10352">
        <f ca="1">33013.8830184592*((RANDBETWEEN(1620,2416)))</f>
        <v>79695513.606560439</v>
      </c>
      <c r="B10352">
        <v>174086183.36082107</v>
      </c>
    </row>
    <row r="10353" spans="1:2" x14ac:dyDescent="0.25">
      <c r="A10353">
        <f ca="1">27720.5200360988*((RANDBETWEEN(1620,2416)))</f>
        <v>60707938.879056342</v>
      </c>
      <c r="B10353">
        <v>143922711.2573587</v>
      </c>
    </row>
    <row r="10354" spans="1:2" x14ac:dyDescent="0.25">
      <c r="A10354">
        <f ca="1">38261.3916048309*((RANDBETWEEN(1620,2416)))</f>
        <v>82261991.95038645</v>
      </c>
      <c r="B10354">
        <v>159558077.88505983</v>
      </c>
    </row>
    <row r="10355" spans="1:2" x14ac:dyDescent="0.25">
      <c r="A10355">
        <f ca="1">31300.7428383056*((RANDBETWEEN(1620,2416)))</f>
        <v>65668958.474765241</v>
      </c>
      <c r="B10355">
        <v>148922230.99330789</v>
      </c>
    </row>
    <row r="10356" spans="1:2" x14ac:dyDescent="0.25">
      <c r="A10356">
        <f ca="1">36819.3392776454*((RANDBETWEEN(1620,2416)))</f>
        <v>87445930.784407839</v>
      </c>
      <c r="B10356">
        <v>149854001.89124382</v>
      </c>
    </row>
    <row r="10357" spans="1:2" x14ac:dyDescent="0.25">
      <c r="A10357">
        <f ca="1">38263.4449910555*((RANDBETWEEN(1620,2416)))</f>
        <v>62522469.115384743</v>
      </c>
      <c r="B10357">
        <v>187109664.54189041</v>
      </c>
    </row>
    <row r="10358" spans="1:2" x14ac:dyDescent="0.25">
      <c r="A10358">
        <f ca="1">35163.7646123983*((RANDBETWEEN(1620,2416)))</f>
        <v>78520686.379485458</v>
      </c>
      <c r="B10358">
        <v>181624193.48512703</v>
      </c>
    </row>
    <row r="10359" spans="1:2" x14ac:dyDescent="0.25">
      <c r="A10359">
        <f ca="1">34102.0708113178*((RANDBETWEEN(1620,2416)))</f>
        <v>76559148.971408516</v>
      </c>
      <c r="B10359">
        <v>192940830.31012011</v>
      </c>
    </row>
    <row r="10360" spans="1:2" x14ac:dyDescent="0.25">
      <c r="A10360">
        <f ca="1">32197.1849148298*((RANDBETWEEN(1620,2416)))</f>
        <v>58276904.69584202</v>
      </c>
      <c r="B10360">
        <v>145178962.58481362</v>
      </c>
    </row>
    <row r="10361" spans="1:2" x14ac:dyDescent="0.25">
      <c r="A10361">
        <f ca="1">32382.8521206645*((RANDBETWEEN(1620,2416)))</f>
        <v>76423531.004768237</v>
      </c>
      <c r="B10361">
        <v>165425223.83152211</v>
      </c>
    </row>
    <row r="10362" spans="1:2" x14ac:dyDescent="0.25">
      <c r="A10362">
        <f ca="1">32529.9210986059*((RANDBETWEEN(1620,2416)))</f>
        <v>58358678.45089896</v>
      </c>
      <c r="B10362">
        <v>153614204.16468415</v>
      </c>
    </row>
    <row r="10363" spans="1:2" x14ac:dyDescent="0.25">
      <c r="A10363">
        <f ca="1">33284.0006020474*((RANDBETWEEN(1620,2416)))</f>
        <v>61408981.11077743</v>
      </c>
      <c r="B10363">
        <v>180186109.5671275</v>
      </c>
    </row>
    <row r="10364" spans="1:2" x14ac:dyDescent="0.25">
      <c r="A10364">
        <f ca="1">35529.1257344472*((RANDBETWEEN(1620,2416)))</f>
        <v>82747333.835527539</v>
      </c>
      <c r="B10364">
        <v>148218501.3567211</v>
      </c>
    </row>
    <row r="10365" spans="1:2" x14ac:dyDescent="0.25">
      <c r="A10365">
        <f ca="1">29439.5950681558*((RANDBETWEEN(1620,2416)))</f>
        <v>53197348.288157485</v>
      </c>
      <c r="B10365">
        <v>161814125.99489439</v>
      </c>
    </row>
    <row r="10366" spans="1:2" x14ac:dyDescent="0.25">
      <c r="A10366">
        <f ca="1">32135.4667693652*((RANDBETWEEN(1620,2416)))</f>
        <v>61475147.929795571</v>
      </c>
      <c r="B10366">
        <v>164832724.61540461</v>
      </c>
    </row>
    <row r="10367" spans="1:2" x14ac:dyDescent="0.25">
      <c r="A10367">
        <f ca="1">28665.8869899065*((RANDBETWEEN(1620,2416)))</f>
        <v>48961334.978760265</v>
      </c>
      <c r="B10367">
        <v>190988798.38386071</v>
      </c>
    </row>
    <row r="10368" spans="1:2" x14ac:dyDescent="0.25">
      <c r="A10368">
        <f ca="1">31371.4445369672*((RANDBETWEEN(1620,2416)))</f>
        <v>61017459.624401145</v>
      </c>
      <c r="B10368">
        <v>158055156.11822307</v>
      </c>
    </row>
    <row r="10369" spans="1:2" x14ac:dyDescent="0.25">
      <c r="A10369">
        <f ca="1">32002.0977750299*((RANDBETWEEN(1620,2416)))</f>
        <v>66532361.274287194</v>
      </c>
      <c r="B10369">
        <v>184363443.43872201</v>
      </c>
    </row>
    <row r="10370" spans="1:2" x14ac:dyDescent="0.25">
      <c r="A10370">
        <f ca="1">40241.4906935653*((RANDBETWEEN(1620,2416)))</f>
        <v>77786801.510661662</v>
      </c>
      <c r="B10370">
        <v>196150715.33681771</v>
      </c>
    </row>
    <row r="10371" spans="1:2" x14ac:dyDescent="0.25">
      <c r="A10371">
        <f ca="1">30970.9637945383*((RANDBETWEEN(1620,2416)))</f>
        <v>55902589.649141632</v>
      </c>
      <c r="B10371">
        <v>152288389.76713544</v>
      </c>
    </row>
    <row r="10372" spans="1:2" x14ac:dyDescent="0.25">
      <c r="A10372">
        <f ca="1">31000.9504070334*((RANDBETWEEN(1620,2416)))</f>
        <v>53600643.253760695</v>
      </c>
      <c r="B10372">
        <v>168439178.69870996</v>
      </c>
    </row>
    <row r="10373" spans="1:2" x14ac:dyDescent="0.25">
      <c r="A10373">
        <f ca="1">30580.4075805452*((RANDBETWEEN(1620,2416)))</f>
        <v>70854804.364123181</v>
      </c>
      <c r="B10373">
        <v>167012058.49212798</v>
      </c>
    </row>
    <row r="10374" spans="1:2" x14ac:dyDescent="0.25">
      <c r="A10374">
        <f ca="1">34293.399057683*((RANDBETWEEN(1620,2416)))</f>
        <v>76474279.898632988</v>
      </c>
      <c r="B10374">
        <v>169545520.44660372</v>
      </c>
    </row>
    <row r="10375" spans="1:2" x14ac:dyDescent="0.25">
      <c r="A10375">
        <f ca="1">37846.1020491907*((RANDBETWEEN(1620,2416)))</f>
        <v>73534976.281577453</v>
      </c>
      <c r="B10375">
        <v>143062028.47300223</v>
      </c>
    </row>
    <row r="10376" spans="1:2" x14ac:dyDescent="0.25">
      <c r="A10376">
        <f ca="1">31710.6623500124*((RANDBETWEEN(1620,2416)))</f>
        <v>56413268.320672117</v>
      </c>
      <c r="B10376">
        <v>178257190.51127225</v>
      </c>
    </row>
    <row r="10377" spans="1:2" x14ac:dyDescent="0.25">
      <c r="A10377">
        <f ca="1">31421.161731891*((RANDBETWEEN(1620,2416)))</f>
        <v>72897095.21798712</v>
      </c>
      <c r="B10377">
        <v>195242109.22323641</v>
      </c>
    </row>
    <row r="10378" spans="1:2" x14ac:dyDescent="0.25">
      <c r="A10378">
        <f ca="1">29941.785573461*((RANDBETWEEN(1620,2416)))</f>
        <v>59284735.435452729</v>
      </c>
      <c r="B10378">
        <v>192164337.80063623</v>
      </c>
    </row>
    <row r="10379" spans="1:2" x14ac:dyDescent="0.25">
      <c r="A10379">
        <f ca="1">32781.8060339335*((RANDBETWEEN(1620,2416)))</f>
        <v>60416868.520539396</v>
      </c>
      <c r="B10379">
        <v>163691052.39991784</v>
      </c>
    </row>
    <row r="10380" spans="1:2" x14ac:dyDescent="0.25">
      <c r="A10380">
        <f ca="1">34231.3631459797*((RANDBETWEEN(1620,2416)))</f>
        <v>78869060.688337207</v>
      </c>
      <c r="B10380">
        <v>172106593.36060846</v>
      </c>
    </row>
    <row r="10381" spans="1:2" x14ac:dyDescent="0.25">
      <c r="A10381">
        <f ca="1">29974.3624962225*((RANDBETWEEN(1620,2416)))</f>
        <v>55002955.18056836</v>
      </c>
      <c r="B10381">
        <v>190166113.91386449</v>
      </c>
    </row>
    <row r="10382" spans="1:2" x14ac:dyDescent="0.25">
      <c r="A10382">
        <f ca="1">40290.8143271305*((RANDBETWEEN(1620,2416)))</f>
        <v>85215072.301880896</v>
      </c>
      <c r="B10382">
        <v>163011676.02263075</v>
      </c>
    </row>
    <row r="10383" spans="1:2" x14ac:dyDescent="0.25">
      <c r="A10383">
        <f ca="1">31821.1476668778*((RANDBETWEEN(1620,2416)))</f>
        <v>56609821.69937554</v>
      </c>
      <c r="B10383">
        <v>151179306.01162806</v>
      </c>
    </row>
    <row r="10384" spans="1:2" x14ac:dyDescent="0.25">
      <c r="A10384">
        <f ca="1">37604.248198408*((RANDBETWEEN(1620,2416)))</f>
        <v>78856108.472061649</v>
      </c>
      <c r="B10384">
        <v>174345820.23048136</v>
      </c>
    </row>
    <row r="10385" spans="1:2" x14ac:dyDescent="0.25">
      <c r="A10385">
        <f ca="1">32685.3362844277*((RANDBETWEEN(1620,2416)))</f>
        <v>72561446.551429406</v>
      </c>
      <c r="B10385">
        <v>188031788.70248315</v>
      </c>
    </row>
    <row r="10386" spans="1:2" x14ac:dyDescent="0.25">
      <c r="A10386">
        <f ca="1">38491.4024715092*((RANDBETWEEN(1620,2416)))</f>
        <v>90955184.040176257</v>
      </c>
      <c r="B10386">
        <v>195765719.8558597</v>
      </c>
    </row>
    <row r="10387" spans="1:2" x14ac:dyDescent="0.25">
      <c r="A10387">
        <f ca="1">31788.9312960473*((RANDBETWEEN(1620,2416)))</f>
        <v>74894722.133487433</v>
      </c>
      <c r="B10387">
        <v>167872397.45543325</v>
      </c>
    </row>
    <row r="10388" spans="1:2" x14ac:dyDescent="0.25">
      <c r="A10388">
        <f ca="1">31244.1598691258*((RANDBETWEEN(1620,2416)))</f>
        <v>67737338.596264705</v>
      </c>
      <c r="B10388">
        <v>163037019.31199595</v>
      </c>
    </row>
    <row r="10389" spans="1:2" x14ac:dyDescent="0.25">
      <c r="A10389">
        <f ca="1">29781.5612196995*((RANDBETWEEN(1620,2416)))</f>
        <v>60277879.908671722</v>
      </c>
      <c r="B10389">
        <v>192705711.76923314</v>
      </c>
    </row>
    <row r="10390" spans="1:2" x14ac:dyDescent="0.25">
      <c r="A10390">
        <f ca="1">33654.9640448379*((RANDBETWEEN(1620,2416)))</f>
        <v>78954545.649189606</v>
      </c>
      <c r="B10390">
        <v>144562745.40130723</v>
      </c>
    </row>
    <row r="10391" spans="1:2" x14ac:dyDescent="0.25">
      <c r="A10391">
        <f ca="1">32026.859636729*((RANDBETWEEN(1620,2416)))</f>
        <v>74398394.936121568</v>
      </c>
      <c r="B10391">
        <v>199516428.19339523</v>
      </c>
    </row>
    <row r="10392" spans="1:2" x14ac:dyDescent="0.25">
      <c r="A10392">
        <f ca="1">27843.3694108039*((RANDBETWEEN(1620,2416)))</f>
        <v>47640005.061885484</v>
      </c>
      <c r="B10392">
        <v>148579110.44896245</v>
      </c>
    </row>
    <row r="10393" spans="1:2" x14ac:dyDescent="0.25">
      <c r="A10393">
        <f ca="1">36724.4876967802*((RANDBETWEEN(1620,2416)))</f>
        <v>67536332.874378741</v>
      </c>
      <c r="B10393">
        <v>159784697.47562233</v>
      </c>
    </row>
    <row r="10394" spans="1:2" x14ac:dyDescent="0.25">
      <c r="A10394">
        <f ca="1">36245.5091631145*((RANDBETWEEN(1620,2416)))</f>
        <v>60095054.192443825</v>
      </c>
      <c r="B10394">
        <v>180773155.0621365</v>
      </c>
    </row>
    <row r="10395" spans="1:2" x14ac:dyDescent="0.25">
      <c r="A10395">
        <f ca="1">35889.8975770959*((RANDBETWEEN(1620,2416)))</f>
        <v>83300452.276439562</v>
      </c>
      <c r="B10395">
        <v>166982736.79246008</v>
      </c>
    </row>
    <row r="10396" spans="1:2" x14ac:dyDescent="0.25">
      <c r="A10396">
        <f ca="1">31937.5132485427*((RANDBETWEEN(1620,2416)))</f>
        <v>59148274.536301032</v>
      </c>
      <c r="B10396">
        <v>198223623.78273797</v>
      </c>
    </row>
    <row r="10397" spans="1:2" x14ac:dyDescent="0.25">
      <c r="A10397">
        <f ca="1">33051.6364389809*((RANDBETWEEN(1620,2416)))</f>
        <v>68185525.973617494</v>
      </c>
      <c r="B10397">
        <v>178830918.21744958</v>
      </c>
    </row>
    <row r="10398" spans="1:2" x14ac:dyDescent="0.25">
      <c r="A10398">
        <f ca="1">37956.685783029*((RANDBETWEEN(1620,2416)))</f>
        <v>70903089.042698085</v>
      </c>
      <c r="B10398">
        <v>145368932.37458175</v>
      </c>
    </row>
    <row r="10399" spans="1:2" x14ac:dyDescent="0.25">
      <c r="A10399">
        <f ca="1">31058.1334529346*((RANDBETWEEN(1620,2416)))</f>
        <v>52022373.533665523</v>
      </c>
      <c r="B10399">
        <v>197769967.14652199</v>
      </c>
    </row>
    <row r="10400" spans="1:2" x14ac:dyDescent="0.25">
      <c r="A10400">
        <f ca="1">33490.9594862913*((RANDBETWEEN(1620,2416)))</f>
        <v>59647398.845084809</v>
      </c>
      <c r="B10400">
        <v>175598781.0779416</v>
      </c>
    </row>
    <row r="10401" spans="1:2" x14ac:dyDescent="0.25">
      <c r="A10401">
        <f ca="1">31407.8128099762*((RANDBETWEEN(1620,2416)))</f>
        <v>70793210.073686451</v>
      </c>
      <c r="B10401">
        <v>189241142.91199043</v>
      </c>
    </row>
    <row r="10402" spans="1:2" x14ac:dyDescent="0.25">
      <c r="A10402">
        <f ca="1">35338.9638743184*((RANDBETWEEN(1620,2416)))</f>
        <v>60252933.405712821</v>
      </c>
      <c r="B10402">
        <v>169142057.74486712</v>
      </c>
    </row>
    <row r="10403" spans="1:2" x14ac:dyDescent="0.25">
      <c r="A10403">
        <f ca="1">29818.1867170064*((RANDBETWEEN(1620,2416)))</f>
        <v>50661099.232193902</v>
      </c>
      <c r="B10403">
        <v>145320958.63030672</v>
      </c>
    </row>
    <row r="10404" spans="1:2" x14ac:dyDescent="0.25">
      <c r="A10404">
        <f ca="1">32782.3947583537*((RANDBETWEEN(1620,2416)))</f>
        <v>75071683.996630028</v>
      </c>
      <c r="B10404">
        <v>202533638.40791366</v>
      </c>
    </row>
    <row r="10405" spans="1:2" x14ac:dyDescent="0.25">
      <c r="A10405">
        <f ca="1">28614.1136542972*((RANDBETWEEN(1620,2416)))</f>
        <v>54967712.329904929</v>
      </c>
      <c r="B10405">
        <v>197086222.71129766</v>
      </c>
    </row>
    <row r="10406" spans="1:2" x14ac:dyDescent="0.25">
      <c r="A10406">
        <f ca="1">30888.5006298835*((RANDBETWEEN(1620,2416)))</f>
        <v>69869788.424796432</v>
      </c>
      <c r="B10406">
        <v>148969234.586696</v>
      </c>
    </row>
    <row r="10407" spans="1:2" x14ac:dyDescent="0.25">
      <c r="A10407">
        <f ca="1">35502.4265439477*((RANDBETWEEN(1620,2416)))</f>
        <v>74413086.036114454</v>
      </c>
      <c r="B10407">
        <v>156826393.42556831</v>
      </c>
    </row>
    <row r="10408" spans="1:2" x14ac:dyDescent="0.25">
      <c r="A10408">
        <f ca="1">34186.8643458598*((RANDBETWEEN(1620,2416)))</f>
        <v>59074901.589645766</v>
      </c>
      <c r="B10408">
        <v>160760325.57190171</v>
      </c>
    </row>
    <row r="10409" spans="1:2" x14ac:dyDescent="0.25">
      <c r="A10409">
        <f ca="1">30971.1295836812*((RANDBETWEEN(1620,2416)))</f>
        <v>69592128.174531698</v>
      </c>
      <c r="B10409">
        <v>168297462.92931995</v>
      </c>
    </row>
    <row r="10410" spans="1:2" x14ac:dyDescent="0.25">
      <c r="A10410">
        <f ca="1">38435.9828922475*((RANDBETWEEN(1620,2416)))</f>
        <v>90632047.659919694</v>
      </c>
      <c r="B10410">
        <v>164367354.44678554</v>
      </c>
    </row>
    <row r="10411" spans="1:2" x14ac:dyDescent="0.25">
      <c r="A10411">
        <f ca="1">32807.7791908601*((RANDBETWEEN(1620,2416)))</f>
        <v>58168192.505395032</v>
      </c>
      <c r="B10411">
        <v>191207851.70726931</v>
      </c>
    </row>
    <row r="10412" spans="1:2" x14ac:dyDescent="0.25">
      <c r="A10412">
        <f ca="1">39466.158089832*((RANDBETWEEN(1620,2416)))</f>
        <v>66539942.539456695</v>
      </c>
      <c r="B10412">
        <v>150369207.79781461</v>
      </c>
    </row>
    <row r="10413" spans="1:2" x14ac:dyDescent="0.25">
      <c r="A10413">
        <f ca="1">35510.6930632045*((RANDBETWEEN(1620,2416)))</f>
        <v>68358084.146668613</v>
      </c>
      <c r="B10413">
        <v>186739222.69294786</v>
      </c>
    </row>
    <row r="10414" spans="1:2" x14ac:dyDescent="0.25">
      <c r="A10414">
        <f ca="1">28685.0577529348*((RANDBETWEEN(1620,2416)))</f>
        <v>49998055.663365386</v>
      </c>
      <c r="B10414">
        <v>157310232.18072504</v>
      </c>
    </row>
    <row r="10415" spans="1:2" x14ac:dyDescent="0.25">
      <c r="A10415">
        <f ca="1">30711.7703873599*((RANDBETWEEN(1620,2416)))</f>
        <v>55219763.156473063</v>
      </c>
      <c r="B10415">
        <v>167703181.85544935</v>
      </c>
    </row>
    <row r="10416" spans="1:2" x14ac:dyDescent="0.25">
      <c r="A10416">
        <f ca="1">32605.3860625004*((RANDBETWEEN(1620,2416)))</f>
        <v>59667856.494375721</v>
      </c>
      <c r="B10416">
        <v>198714100.17307231</v>
      </c>
    </row>
    <row r="10417" spans="1:2" x14ac:dyDescent="0.25">
      <c r="A10417">
        <f ca="1">30787.5079485196*((RANDBETWEEN(1620,2416)))</f>
        <v>54309164.021188587</v>
      </c>
      <c r="B10417">
        <v>170897567.81970185</v>
      </c>
    </row>
    <row r="10418" spans="1:2" x14ac:dyDescent="0.25">
      <c r="A10418">
        <f ca="1">31403.8474914956*((RANDBETWEEN(1620,2416)))</f>
        <v>59981348.708756581</v>
      </c>
      <c r="B10418">
        <v>162534048.20131558</v>
      </c>
    </row>
    <row r="10419" spans="1:2" x14ac:dyDescent="0.25">
      <c r="A10419">
        <f ca="1">31257.6675814772*((RANDBETWEEN(1620,2416)))</f>
        <v>52231562.528648317</v>
      </c>
      <c r="B10419">
        <v>158308890.47562745</v>
      </c>
    </row>
    <row r="10420" spans="1:2" x14ac:dyDescent="0.25">
      <c r="A10420">
        <f ca="1">29598.6239026268*((RANDBETWEEN(1620,2416)))</f>
        <v>59108451.933545619</v>
      </c>
      <c r="B10420">
        <v>182017441.49897861</v>
      </c>
    </row>
    <row r="10421" spans="1:2" x14ac:dyDescent="0.25">
      <c r="A10421">
        <f ca="1">31446.6917737141*((RANDBETWEEN(1620,2416)))</f>
        <v>54654350.302715041</v>
      </c>
      <c r="B10421">
        <v>151125116.31207132</v>
      </c>
    </row>
    <row r="10422" spans="1:2" x14ac:dyDescent="0.25">
      <c r="A10422">
        <f ca="1">33241.9187380363*((RANDBETWEEN(1620,2416)))</f>
        <v>71237431.855611891</v>
      </c>
      <c r="B10422">
        <v>190957919.21408331</v>
      </c>
    </row>
    <row r="10423" spans="1:2" x14ac:dyDescent="0.25">
      <c r="A10423">
        <f ca="1">40600.2003715413*((RANDBETWEEN(1620,2416)))</f>
        <v>84204815.570576563</v>
      </c>
      <c r="B10423">
        <v>167513856.39514545</v>
      </c>
    </row>
    <row r="10424" spans="1:2" x14ac:dyDescent="0.25">
      <c r="A10424">
        <f ca="1">32696.1980179358*((RANDBETWEEN(1620,2416)))</f>
        <v>59147422.214445889</v>
      </c>
      <c r="B10424">
        <v>176493300.63955182</v>
      </c>
    </row>
    <row r="10425" spans="1:2" x14ac:dyDescent="0.25">
      <c r="A10425">
        <f ca="1">30140.5807549855*((RANDBETWEEN(1620,2416)))</f>
        <v>72789502.523290142</v>
      </c>
      <c r="B10425">
        <v>151278653.55198175</v>
      </c>
    </row>
    <row r="10426" spans="1:2" x14ac:dyDescent="0.25">
      <c r="A10426">
        <f ca="1">30542.8149280383*((RANDBETWEEN(1620,2416)))</f>
        <v>55190866.574965268</v>
      </c>
      <c r="B10426">
        <v>154447242.02475193</v>
      </c>
    </row>
    <row r="10427" spans="1:2" x14ac:dyDescent="0.25">
      <c r="A10427">
        <f ca="1">28835.6201914352*((RANDBETWEEN(1620,2416)))</f>
        <v>60641309.262588196</v>
      </c>
      <c r="B10427">
        <v>148100842.77410978</v>
      </c>
    </row>
    <row r="10428" spans="1:2" x14ac:dyDescent="0.25">
      <c r="A10428">
        <f ca="1">32784.4373657165*((RANDBETWEEN(1620,2416)))</f>
        <v>66552407.852404609</v>
      </c>
      <c r="B10428">
        <v>184605150.85350406</v>
      </c>
    </row>
    <row r="10429" spans="1:2" x14ac:dyDescent="0.25">
      <c r="A10429">
        <f ca="1">38982.3254651881*((RANDBETWEEN(1620,2416)))</f>
        <v>93323687.163660213</v>
      </c>
      <c r="B10429">
        <v>170351584.85823479</v>
      </c>
    </row>
    <row r="10430" spans="1:2" x14ac:dyDescent="0.25">
      <c r="A10430">
        <f ca="1">31854.7331479495*((RANDBETWEEN(1620,2416)))</f>
        <v>70972345.453631401</v>
      </c>
      <c r="B10430">
        <v>147280200.60460395</v>
      </c>
    </row>
    <row r="10431" spans="1:2" x14ac:dyDescent="0.25">
      <c r="A10431">
        <f ca="1">30624.7002075871*((RANDBETWEEN(1620,2416)))</f>
        <v>59565041.903756917</v>
      </c>
      <c r="B10431">
        <v>181383986.33471909</v>
      </c>
    </row>
    <row r="10432" spans="1:2" x14ac:dyDescent="0.25">
      <c r="A10432">
        <f ca="1">33565.2575848621*((RANDBETWEEN(1620,2416)))</f>
        <v>80321661.400575012</v>
      </c>
      <c r="B10432">
        <v>188227037.77359509</v>
      </c>
    </row>
    <row r="10433" spans="1:2" x14ac:dyDescent="0.25">
      <c r="A10433">
        <f ca="1">32180.2312445021*((RANDBETWEEN(1620,2416)))</f>
        <v>66033834.513718411</v>
      </c>
      <c r="B10433">
        <v>156065051.06362471</v>
      </c>
    </row>
    <row r="10434" spans="1:2" x14ac:dyDescent="0.25">
      <c r="A10434">
        <f ca="1">28558.5230396459*((RANDBETWEEN(1620,2416)))</f>
        <v>58202269.954798415</v>
      </c>
      <c r="B10434">
        <v>160103488.50976834</v>
      </c>
    </row>
    <row r="10435" spans="1:2" x14ac:dyDescent="0.25">
      <c r="A10435">
        <f ca="1">39260.6322721308*((RANDBETWEEN(1620,2416)))</f>
        <v>86451912.263232023</v>
      </c>
      <c r="B10435">
        <v>144417666.33071074</v>
      </c>
    </row>
    <row r="10436" spans="1:2" x14ac:dyDescent="0.25">
      <c r="A10436">
        <f ca="1">28980.8367996293*((RANDBETWEEN(1620,2416)))</f>
        <v>50368694.357755736</v>
      </c>
      <c r="B10436">
        <v>166396363.17411682</v>
      </c>
    </row>
    <row r="10437" spans="1:2" x14ac:dyDescent="0.25">
      <c r="A10437">
        <f ca="1">40564.7110361517*((RANDBETWEEN(1620,2416)))</f>
        <v>79871916.030182704</v>
      </c>
      <c r="B10437">
        <v>197224312.92506322</v>
      </c>
    </row>
    <row r="10438" spans="1:2" x14ac:dyDescent="0.25">
      <c r="A10438">
        <f ca="1">41693.6223466828*((RANDBETWEEN(1620,2416)))</f>
        <v>98605416.849904716</v>
      </c>
      <c r="B10438">
        <v>176502718.29460377</v>
      </c>
    </row>
    <row r="10439" spans="1:2" x14ac:dyDescent="0.25">
      <c r="A10439">
        <f ca="1">27506.1361168936*((RANDBETWEEN(1620,2416)))</f>
        <v>49896130.916045018</v>
      </c>
      <c r="B10439">
        <v>157842700.87018824</v>
      </c>
    </row>
    <row r="10440" spans="1:2" x14ac:dyDescent="0.25">
      <c r="A10440">
        <f ca="1">35347.0262338606*((RANDBETWEEN(1620,2416)))</f>
        <v>57509611.682491265</v>
      </c>
      <c r="B10440">
        <v>149765483.2607629</v>
      </c>
    </row>
    <row r="10441" spans="1:2" x14ac:dyDescent="0.25">
      <c r="A10441">
        <f ca="1">33517.4486487844*((RANDBETWEEN(1620,2416)))</f>
        <v>80777051.243570417</v>
      </c>
      <c r="B10441">
        <v>153750123.02422318</v>
      </c>
    </row>
    <row r="10442" spans="1:2" x14ac:dyDescent="0.25">
      <c r="A10442">
        <f ca="1">42766.2710440033*((RANDBETWEEN(1620,2416)))</f>
        <v>85960204.798446566</v>
      </c>
      <c r="B10442">
        <v>184471708.38043392</v>
      </c>
    </row>
    <row r="10443" spans="1:2" x14ac:dyDescent="0.25">
      <c r="A10443">
        <f ca="1">34664.929349307*((RANDBETWEEN(1620,2416)))</f>
        <v>78030755.96528998</v>
      </c>
      <c r="B10443">
        <v>159382911.30643696</v>
      </c>
    </row>
    <row r="10444" spans="1:2" x14ac:dyDescent="0.25">
      <c r="A10444">
        <f ca="1">31697.061385655*((RANDBETWEEN(1620,2416)))</f>
        <v>63520911.016852625</v>
      </c>
      <c r="B10444">
        <v>196872981.4612987</v>
      </c>
    </row>
    <row r="10445" spans="1:2" x14ac:dyDescent="0.25">
      <c r="A10445">
        <f ca="1">38079.3648954918*((RANDBETWEEN(1620,2416)))</f>
        <v>86173602.758498028</v>
      </c>
      <c r="B10445">
        <v>185302064.59259367</v>
      </c>
    </row>
    <row r="10446" spans="1:2" x14ac:dyDescent="0.25">
      <c r="A10446">
        <f ca="1">38498.0957331974*((RANDBETWEEN(1620,2416)))</f>
        <v>79190582.923186973</v>
      </c>
      <c r="B10446">
        <v>144001963.47789755</v>
      </c>
    </row>
    <row r="10447" spans="1:2" x14ac:dyDescent="0.25">
      <c r="A10447">
        <f ca="1">28845.3244045949*((RANDBETWEEN(1620,2416)))</f>
        <v>59450213.597870059</v>
      </c>
      <c r="B10447">
        <v>180408501.6866881</v>
      </c>
    </row>
    <row r="10448" spans="1:2" x14ac:dyDescent="0.25">
      <c r="A10448">
        <f ca="1">31194.9725434509*((RANDBETWEEN(1620,2416)))</f>
        <v>55371076.264625341</v>
      </c>
      <c r="B10448">
        <v>152619443.11836398</v>
      </c>
    </row>
    <row r="10449" spans="1:2" x14ac:dyDescent="0.25">
      <c r="A10449">
        <f ca="1">32408.7625329321*((RANDBETWEEN(1620,2416)))</f>
        <v>57784823.59621796</v>
      </c>
      <c r="B10449">
        <v>196931917.79497194</v>
      </c>
    </row>
    <row r="10450" spans="1:2" x14ac:dyDescent="0.25">
      <c r="A10450">
        <f ca="1">32558.3664461682*((RANDBETWEEN(1620,2416)))</f>
        <v>61502754.216811746</v>
      </c>
      <c r="B10450">
        <v>156632020.09609595</v>
      </c>
    </row>
    <row r="10451" spans="1:2" x14ac:dyDescent="0.25">
      <c r="A10451">
        <f ca="1">30499.3430906036*((RANDBETWEEN(1620,2416)))</f>
        <v>71063469.401106507</v>
      </c>
      <c r="B10451">
        <v>154399669.93031272</v>
      </c>
    </row>
    <row r="10452" spans="1:2" x14ac:dyDescent="0.25">
      <c r="A10452">
        <f ca="1">39504.198595901*((RANDBETWEEN(1620,2416)))</f>
        <v>88568413.252010137</v>
      </c>
      <c r="B10452">
        <v>183517695.04710269</v>
      </c>
    </row>
    <row r="10453" spans="1:2" x14ac:dyDescent="0.25">
      <c r="A10453">
        <f ca="1">28970.2325856262*((RANDBETWEEN(1620,2416)))</f>
        <v>61445863.314113155</v>
      </c>
      <c r="B10453">
        <v>178030948.324296</v>
      </c>
    </row>
    <row r="10454" spans="1:2" x14ac:dyDescent="0.25">
      <c r="A10454">
        <f ca="1">37680.5229954337*((RANDBETWEEN(1620,2416)))</f>
        <v>73703102.979068398</v>
      </c>
      <c r="B10454">
        <v>151223083.92589265</v>
      </c>
    </row>
    <row r="10455" spans="1:2" x14ac:dyDescent="0.25">
      <c r="A10455">
        <f ca="1">30818.8507042342*((RANDBETWEEN(1620,2416)))</f>
        <v>55073286.208466589</v>
      </c>
      <c r="B10455">
        <v>199670174.88261148</v>
      </c>
    </row>
    <row r="10456" spans="1:2" x14ac:dyDescent="0.25">
      <c r="A10456">
        <f ca="1">31822.6246249643*((RANDBETWEEN(1620,2416)))</f>
        <v>60208405.790432446</v>
      </c>
      <c r="B10456">
        <v>203425854.47606713</v>
      </c>
    </row>
    <row r="10457" spans="1:2" x14ac:dyDescent="0.25">
      <c r="A10457">
        <f ca="1">31026.3701183414*((RANDBETWEEN(1620,2416)))</f>
        <v>68971620.773072943</v>
      </c>
      <c r="B10457">
        <v>155644131.14235407</v>
      </c>
    </row>
    <row r="10458" spans="1:2" x14ac:dyDescent="0.25">
      <c r="A10458">
        <f ca="1">38211.6131829067*((RANDBETWEEN(1620,2416)))</f>
        <v>66373572.098709002</v>
      </c>
      <c r="B10458">
        <v>196255030.67469314</v>
      </c>
    </row>
    <row r="10459" spans="1:2" x14ac:dyDescent="0.25">
      <c r="A10459">
        <f ca="1">37042.3459862424*((RANDBETWEEN(1620,2416)))</f>
        <v>85086268.730398685</v>
      </c>
      <c r="B10459">
        <v>163265542.14736545</v>
      </c>
    </row>
    <row r="10460" spans="1:2" x14ac:dyDescent="0.25">
      <c r="A10460">
        <f ca="1">37230.5852459881*((RANDBETWEEN(1620,2416)))</f>
        <v>63552609.014901757</v>
      </c>
      <c r="B10460">
        <v>194754251.35083961</v>
      </c>
    </row>
    <row r="10461" spans="1:2" x14ac:dyDescent="0.25">
      <c r="A10461">
        <f ca="1">30008.0388597029*((RANDBETWEEN(1620,2416)))</f>
        <v>56685185.405978821</v>
      </c>
      <c r="B10461">
        <v>161269506.31509155</v>
      </c>
    </row>
    <row r="10462" spans="1:2" x14ac:dyDescent="0.25">
      <c r="A10462">
        <f ca="1">31178.1237189233*((RANDBETWEEN(1620,2416)))</f>
        <v>50539738.548374623</v>
      </c>
      <c r="B10462">
        <v>197437829.29363713</v>
      </c>
    </row>
    <row r="10463" spans="1:2" x14ac:dyDescent="0.25">
      <c r="A10463">
        <f ca="1">29927.61368961*((RANDBETWEEN(1620,2416)))</f>
        <v>58628195.217945993</v>
      </c>
      <c r="B10463">
        <v>174926129.73146182</v>
      </c>
    </row>
    <row r="10464" spans="1:2" x14ac:dyDescent="0.25">
      <c r="A10464">
        <f ca="1">31465.4931969822*((RANDBETWEEN(1620,2416)))</f>
        <v>55127544.081112809</v>
      </c>
      <c r="B10464">
        <v>174918584.78454593</v>
      </c>
    </row>
    <row r="10465" spans="1:2" x14ac:dyDescent="0.25">
      <c r="A10465">
        <f ca="1">35897.8864397704*((RANDBETWEEN(1620,2416)))</f>
        <v>77252251.618385836</v>
      </c>
      <c r="B10465">
        <v>178969015.88792229</v>
      </c>
    </row>
    <row r="10466" spans="1:2" x14ac:dyDescent="0.25">
      <c r="A10466">
        <f ca="1">38057.8720817553*((RANDBETWEEN(1620,2416)))</f>
        <v>65992350.18976365</v>
      </c>
      <c r="B10466">
        <v>179631081.03440335</v>
      </c>
    </row>
    <row r="10467" spans="1:2" x14ac:dyDescent="0.25">
      <c r="A10467">
        <f ca="1">31552.9635806785*((RANDBETWEEN(1620,2416)))</f>
        <v>56858440.372382648</v>
      </c>
      <c r="B10467">
        <v>169220304.43335995</v>
      </c>
    </row>
    <row r="10468" spans="1:2" x14ac:dyDescent="0.25">
      <c r="A10468">
        <f ca="1">29315.1895811425*((RANDBETWEEN(1620,2416)))</f>
        <v>68861380.326103687</v>
      </c>
      <c r="B10468">
        <v>168548640.23920995</v>
      </c>
    </row>
    <row r="10469" spans="1:2" x14ac:dyDescent="0.25">
      <c r="A10469">
        <f ca="1">37506.1824675523*((RANDBETWEEN(1620,2416)))</f>
        <v>67173572.799386084</v>
      </c>
      <c r="B10469">
        <v>154963885.65448225</v>
      </c>
    </row>
    <row r="10470" spans="1:2" x14ac:dyDescent="0.25">
      <c r="A10470">
        <f ca="1">29689.482250665*((RANDBETWEEN(1620,2416)))</f>
        <v>60507164.826855332</v>
      </c>
      <c r="B10470">
        <v>186444586.62119582</v>
      </c>
    </row>
    <row r="10471" spans="1:2" x14ac:dyDescent="0.25">
      <c r="A10471">
        <f ca="1">33463.860735939*((RANDBETWEEN(1620,2416)))</f>
        <v>64551787.359626345</v>
      </c>
      <c r="B10471">
        <v>161852568.29123643</v>
      </c>
    </row>
    <row r="10472" spans="1:2" x14ac:dyDescent="0.25">
      <c r="A10472">
        <f ca="1">38597.2734552939*((RANDBETWEEN(1620,2416)))</f>
        <v>75071696.87054655</v>
      </c>
      <c r="B10472">
        <v>185948069.7321257</v>
      </c>
    </row>
    <row r="10473" spans="1:2" x14ac:dyDescent="0.25">
      <c r="A10473">
        <f ca="1">33618.4000762602*((RANDBETWEEN(1620,2416)))</f>
        <v>74330282.568611294</v>
      </c>
      <c r="B10473">
        <v>179006741.84700644</v>
      </c>
    </row>
    <row r="10474" spans="1:2" x14ac:dyDescent="0.25">
      <c r="A10474">
        <f ca="1">34673.8432482296*((RANDBETWEEN(1620,2416)))</f>
        <v>69971815.67492725</v>
      </c>
      <c r="B10474">
        <v>174996737.53066811</v>
      </c>
    </row>
    <row r="10475" spans="1:2" x14ac:dyDescent="0.25">
      <c r="A10475">
        <f ca="1">37267.2532903919*((RANDBETWEEN(1620,2416)))</f>
        <v>69987901.679356024</v>
      </c>
      <c r="B10475">
        <v>148181867.42421317</v>
      </c>
    </row>
    <row r="10476" spans="1:2" x14ac:dyDescent="0.25">
      <c r="A10476">
        <f ca="1">29551.350903793*((RANDBETWEEN(1620,2416)))</f>
        <v>51035183.010850459</v>
      </c>
      <c r="B10476">
        <v>187177750.10311952</v>
      </c>
    </row>
    <row r="10477" spans="1:2" x14ac:dyDescent="0.25">
      <c r="A10477">
        <f ca="1">34972.3987973001*((RANDBETWEEN(1620,2416)))</f>
        <v>59033409.169842601</v>
      </c>
      <c r="B10477">
        <v>177937652.12277263</v>
      </c>
    </row>
    <row r="10478" spans="1:2" x14ac:dyDescent="0.25">
      <c r="A10478">
        <f ca="1">30786.5105677636*((RANDBETWEEN(1620,2416)))</f>
        <v>64897964.276845649</v>
      </c>
      <c r="B10478">
        <v>164975163.98486915</v>
      </c>
    </row>
    <row r="10479" spans="1:2" x14ac:dyDescent="0.25">
      <c r="A10479">
        <f ca="1">36092.291688208*((RANDBETWEEN(1620,2416)))</f>
        <v>74674951.502902299</v>
      </c>
      <c r="B10479">
        <v>155688736.35877353</v>
      </c>
    </row>
    <row r="10480" spans="1:2" x14ac:dyDescent="0.25">
      <c r="A10480">
        <f ca="1">36957.3881960533*((RANDBETWEEN(1620,2416)))</f>
        <v>80862765.372964546</v>
      </c>
      <c r="B10480">
        <v>171688762.4456012</v>
      </c>
    </row>
    <row r="10481" spans="1:2" x14ac:dyDescent="0.25">
      <c r="A10481">
        <f ca="1">32874.4246281362*((RANDBETWEEN(1620,2416)))</f>
        <v>56182391.689484812</v>
      </c>
      <c r="B10481">
        <v>161813106.40782598</v>
      </c>
    </row>
    <row r="10482" spans="1:2" x14ac:dyDescent="0.25">
      <c r="A10482">
        <f ca="1">36436.8109505143*((RANDBETWEEN(1620,2416)))</f>
        <v>73237990.01053372</v>
      </c>
      <c r="B10482">
        <v>203504105.04559812</v>
      </c>
    </row>
    <row r="10483" spans="1:2" x14ac:dyDescent="0.25">
      <c r="A10483">
        <f ca="1">33082.2469739743*((RANDBETWEEN(1620,2416)))</f>
        <v>66296822.935844429</v>
      </c>
      <c r="B10483">
        <v>147635158.6756275</v>
      </c>
    </row>
    <row r="10484" spans="1:2" x14ac:dyDescent="0.25">
      <c r="A10484">
        <f ca="1">32536.3495456307*((RANDBETWEEN(1620,2416)))</f>
        <v>65983716.87853913</v>
      </c>
      <c r="B10484">
        <v>155377642.20590708</v>
      </c>
    </row>
    <row r="10485" spans="1:2" x14ac:dyDescent="0.25">
      <c r="A10485">
        <f ca="1">38514.9110069864*((RANDBETWEEN(1620,2416)))</f>
        <v>75027046.641609415</v>
      </c>
      <c r="B10485">
        <v>170522449.0109401</v>
      </c>
    </row>
    <row r="10486" spans="1:2" x14ac:dyDescent="0.25">
      <c r="A10486">
        <f ca="1">31369.9943554451*((RANDBETWEEN(1620,2416)))</f>
        <v>51164460.793730982</v>
      </c>
      <c r="B10486">
        <v>157629444.49188533</v>
      </c>
    </row>
    <row r="10487" spans="1:2" x14ac:dyDescent="0.25">
      <c r="A10487">
        <f ca="1">37118.2303415729*((RANDBETWEEN(1620,2416)))</f>
        <v>85891585.01039958</v>
      </c>
      <c r="B10487">
        <v>199137915.81416219</v>
      </c>
    </row>
    <row r="10488" spans="1:2" x14ac:dyDescent="0.25">
      <c r="A10488">
        <f ca="1">31261.986473159*((RANDBETWEEN(1620,2416)))</f>
        <v>69307824.010993496</v>
      </c>
      <c r="B10488">
        <v>187032666.00565398</v>
      </c>
    </row>
    <row r="10489" spans="1:2" x14ac:dyDescent="0.25">
      <c r="A10489">
        <f ca="1">38609.0868712293*((RANDBETWEEN(1620,2416)))</f>
        <v>70345756.27937974</v>
      </c>
      <c r="B10489">
        <v>159517252.65147218</v>
      </c>
    </row>
    <row r="10490" spans="1:2" x14ac:dyDescent="0.25">
      <c r="A10490">
        <f ca="1">29864.725403688*((RANDBETWEEN(1620,2416)))</f>
        <v>61222687.077560462</v>
      </c>
      <c r="B10490">
        <v>167544208.71481144</v>
      </c>
    </row>
    <row r="10491" spans="1:2" x14ac:dyDescent="0.25">
      <c r="A10491">
        <f ca="1">31217.8846380447*((RANDBETWEEN(1620,2416)))</f>
        <v>69491011.20428741</v>
      </c>
      <c r="B10491">
        <v>144343988.00685295</v>
      </c>
    </row>
    <row r="10492" spans="1:2" x14ac:dyDescent="0.25">
      <c r="A10492">
        <f ca="1">37795.5713022315*((RANDBETWEEN(1620,2416)))</f>
        <v>64025697.78598024</v>
      </c>
      <c r="B10492">
        <v>165043538.16148517</v>
      </c>
    </row>
    <row r="10493" spans="1:2" x14ac:dyDescent="0.25">
      <c r="A10493">
        <f ca="1">41125.8964269303*((RANDBETWEEN(1620,2416)))</f>
        <v>82046163.371725947</v>
      </c>
      <c r="B10493">
        <v>188898589.66358453</v>
      </c>
    </row>
    <row r="10494" spans="1:2" x14ac:dyDescent="0.25">
      <c r="A10494">
        <f ca="1">32225.0634051424*((RANDBETWEEN(1620,2416)))</f>
        <v>70766239.237692669</v>
      </c>
      <c r="B10494">
        <v>172405839.11116806</v>
      </c>
    </row>
    <row r="10495" spans="1:2" x14ac:dyDescent="0.25">
      <c r="A10495">
        <f ca="1">31616.5936435517*((RANDBETWEEN(1620,2416)))</f>
        <v>71706434.383575141</v>
      </c>
      <c r="B10495">
        <v>157249754.47430876</v>
      </c>
    </row>
    <row r="10496" spans="1:2" x14ac:dyDescent="0.25">
      <c r="A10496">
        <f ca="1">39933.6502536095*((RANDBETWEEN(1620,2416)))</f>
        <v>84938874.089427322</v>
      </c>
      <c r="B10496">
        <v>145039556.01052791</v>
      </c>
    </row>
    <row r="10497" spans="1:2" x14ac:dyDescent="0.25">
      <c r="A10497">
        <f ca="1">32096.5439321878*((RANDBETWEEN(1620,2416)))</f>
        <v>52606235.50485573</v>
      </c>
      <c r="B10497">
        <v>198747353.47749463</v>
      </c>
    </row>
    <row r="10498" spans="1:2" x14ac:dyDescent="0.25">
      <c r="A10498">
        <f ca="1">32341.2618209271*((RANDBETWEEN(1620,2416)))</f>
        <v>58343636.324952513</v>
      </c>
      <c r="B10498">
        <v>177966645.5883781</v>
      </c>
    </row>
    <row r="10499" spans="1:2" x14ac:dyDescent="0.25">
      <c r="A10499">
        <f ca="1">39823.0373011622*((RANDBETWEEN(1620,2416)))</f>
        <v>68734562.381805956</v>
      </c>
      <c r="B10499">
        <v>192264454.99833071</v>
      </c>
    </row>
    <row r="10500" spans="1:2" x14ac:dyDescent="0.25">
      <c r="A10500">
        <f ca="1">31979.2122064638*((RANDBETWEEN(1620,2416)))</f>
        <v>70642079.764078528</v>
      </c>
      <c r="B10500">
        <v>164780721.3878811</v>
      </c>
    </row>
    <row r="10501" spans="1:2" x14ac:dyDescent="0.25">
      <c r="A10501">
        <f ca="1">32165.6934925238*((RANDBETWEEN(1620,2416)))</f>
        <v>62787433.697406523</v>
      </c>
      <c r="B10501">
        <v>187660777.49177492</v>
      </c>
    </row>
    <row r="10502" spans="1:2" x14ac:dyDescent="0.25">
      <c r="A10502">
        <f ca="1">28712.5970886771*((RANDBETWEEN(1620,2416)))</f>
        <v>59521213.764827617</v>
      </c>
      <c r="B10502">
        <v>181529968.11273861</v>
      </c>
    </row>
    <row r="10503" spans="1:2" x14ac:dyDescent="0.25">
      <c r="A10503">
        <f ca="1">39510.9141182148*((RANDBETWEEN(1620,2416)))</f>
        <v>80681286.62939471</v>
      </c>
      <c r="B10503">
        <v>163862357.66191861</v>
      </c>
    </row>
    <row r="10504" spans="1:2" x14ac:dyDescent="0.25">
      <c r="A10504">
        <f ca="1">37883.8726379478*((RANDBETWEEN(1620,2416)))</f>
        <v>86526765.105072662</v>
      </c>
      <c r="B10504">
        <v>163578721.3467024</v>
      </c>
    </row>
    <row r="10505" spans="1:2" x14ac:dyDescent="0.25">
      <c r="A10505">
        <f ca="1">31043.1081056867*((RANDBETWEEN(1620,2416)))</f>
        <v>55536120.401073538</v>
      </c>
      <c r="B10505">
        <v>147318881.83908689</v>
      </c>
    </row>
    <row r="10506" spans="1:2" x14ac:dyDescent="0.25">
      <c r="A10506">
        <f ca="1">33348.4415392296*((RANDBETWEEN(1620,2416)))</f>
        <v>73066435.412452057</v>
      </c>
      <c r="B10506">
        <v>143098003.58058447</v>
      </c>
    </row>
    <row r="10507" spans="1:2" x14ac:dyDescent="0.25">
      <c r="A10507">
        <f ca="1">37236.9993017144*((RANDBETWEEN(1620,2416)))</f>
        <v>64233823.795457356</v>
      </c>
      <c r="B10507">
        <v>167395148.7740154</v>
      </c>
    </row>
    <row r="10508" spans="1:2" x14ac:dyDescent="0.25">
      <c r="A10508">
        <f ca="1">29900.0413324461*((RANDBETWEEN(1620,2416)))</f>
        <v>56839978.572979979</v>
      </c>
      <c r="B10508">
        <v>155365711.30892012</v>
      </c>
    </row>
    <row r="10509" spans="1:2" x14ac:dyDescent="0.25">
      <c r="A10509">
        <f ca="1">32916.9799397292*((RANDBETWEEN(1620,2416)))</f>
        <v>60402658.189403139</v>
      </c>
      <c r="B10509">
        <v>146140280.26523048</v>
      </c>
    </row>
    <row r="10510" spans="1:2" x14ac:dyDescent="0.25">
      <c r="A10510">
        <f ca="1">30087.0551158509*((RANDBETWEEN(1620,2416)))</f>
        <v>65409257.821859784</v>
      </c>
      <c r="B10510">
        <v>188496925.1179404</v>
      </c>
    </row>
    <row r="10511" spans="1:2" x14ac:dyDescent="0.25">
      <c r="A10511">
        <f ca="1">36130.5422627551*((RANDBETWEEN(1620,2416)))</f>
        <v>78186493.456602111</v>
      </c>
      <c r="B10511">
        <v>160744285.95045671</v>
      </c>
    </row>
    <row r="10512" spans="1:2" x14ac:dyDescent="0.25">
      <c r="A10512">
        <f ca="1">28811.9319332747*((RANDBETWEEN(1620,2416)))</f>
        <v>47136320.642837457</v>
      </c>
      <c r="B10512">
        <v>192635622.49960637</v>
      </c>
    </row>
    <row r="10513" spans="1:2" x14ac:dyDescent="0.25">
      <c r="A10513">
        <f ca="1">31986.605323125*((RANDBETWEEN(1620,2416)))</f>
        <v>73985018.112388223</v>
      </c>
      <c r="B10513">
        <v>160626829.64584604</v>
      </c>
    </row>
    <row r="10514" spans="1:2" x14ac:dyDescent="0.25">
      <c r="A10514">
        <f ca="1">39578.7106271994*((RANDBETWEEN(1620,2416)))</f>
        <v>84777598.163461089</v>
      </c>
      <c r="B10514">
        <v>162887338.24255386</v>
      </c>
    </row>
    <row r="10515" spans="1:2" x14ac:dyDescent="0.25">
      <c r="A10515">
        <f ca="1">31743.0032960974*((RANDBETWEEN(1620,2416)))</f>
        <v>70882126.360185385</v>
      </c>
      <c r="B10515">
        <v>162380466.07060021</v>
      </c>
    </row>
    <row r="10516" spans="1:2" x14ac:dyDescent="0.25">
      <c r="A10516">
        <f ca="1">31230.2707992878*((RANDBETWEEN(1620,2416)))</f>
        <v>73640978.544720709</v>
      </c>
      <c r="B10516">
        <v>202024037.73811913</v>
      </c>
    </row>
    <row r="10517" spans="1:2" x14ac:dyDescent="0.25">
      <c r="A10517">
        <f ca="1">40299.6733963083*((RANDBETWEEN(1620,2416)))</f>
        <v>82775529.156017184</v>
      </c>
      <c r="B10517">
        <v>185319941.21613365</v>
      </c>
    </row>
    <row r="10518" spans="1:2" x14ac:dyDescent="0.25">
      <c r="A10518">
        <f ca="1">32073.1760088734*((RANDBETWEEN(1620,2416)))</f>
        <v>56448789.775617242</v>
      </c>
      <c r="B10518">
        <v>149810942.49279368</v>
      </c>
    </row>
    <row r="10519" spans="1:2" x14ac:dyDescent="0.25">
      <c r="A10519">
        <f ca="1">36765.3229473225*((RANDBETWEEN(1620,2416)))</f>
        <v>74890962.843695939</v>
      </c>
      <c r="B10519">
        <v>193320080.77421999</v>
      </c>
    </row>
    <row r="10520" spans="1:2" x14ac:dyDescent="0.25">
      <c r="A10520">
        <f ca="1">31833.0547323984*((RANDBETWEEN(1620,2416)))</f>
        <v>53511365.005161695</v>
      </c>
      <c r="B10520">
        <v>156051583.86707032</v>
      </c>
    </row>
    <row r="10521" spans="1:2" x14ac:dyDescent="0.25">
      <c r="A10521">
        <f ca="1">40210.334288382*((RANDBETWEEN(1620,2416)))</f>
        <v>78369941.528056532</v>
      </c>
      <c r="B10521">
        <v>161003673.23352784</v>
      </c>
    </row>
    <row r="10522" spans="1:2" x14ac:dyDescent="0.25">
      <c r="A10522">
        <f ca="1">33066.997380603*((RANDBETWEEN(1620,2416)))</f>
        <v>54362143.69371134</v>
      </c>
      <c r="B10522">
        <v>171469528.17992175</v>
      </c>
    </row>
    <row r="10523" spans="1:2" x14ac:dyDescent="0.25">
      <c r="A10523">
        <f ca="1">38066.6210147087*((RANDBETWEEN(1620,2416)))</f>
        <v>67149519.469946146</v>
      </c>
      <c r="B10523">
        <v>148741412.62539977</v>
      </c>
    </row>
    <row r="10524" spans="1:2" x14ac:dyDescent="0.25">
      <c r="A10524">
        <f ca="1">30426.1529003396*((RANDBETWEEN(1620,2416)))</f>
        <v>68093730.190959916</v>
      </c>
      <c r="B10524">
        <v>179963805.42246956</v>
      </c>
    </row>
    <row r="10525" spans="1:2" x14ac:dyDescent="0.25">
      <c r="A10525">
        <f ca="1">31924.1234466121*((RANDBETWEEN(1620,2416)))</f>
        <v>73712801.03822723</v>
      </c>
      <c r="B10525">
        <v>181575933.34432948</v>
      </c>
    </row>
    <row r="10526" spans="1:2" x14ac:dyDescent="0.25">
      <c r="A10526">
        <f ca="1">33336.3462954427*((RANDBETWEEN(1620,2416)))</f>
        <v>56805134.087434277</v>
      </c>
      <c r="B10526">
        <v>145480114.31461298</v>
      </c>
    </row>
    <row r="10527" spans="1:2" x14ac:dyDescent="0.25">
      <c r="A10527">
        <f ca="1">35517.2211622234*((RANDBETWEEN(1620,2416)))</f>
        <v>70110994.574229166</v>
      </c>
      <c r="B10527">
        <v>178985323.45590544</v>
      </c>
    </row>
    <row r="10528" spans="1:2" x14ac:dyDescent="0.25">
      <c r="A10528">
        <f ca="1">31702.3168982225*((RANDBETWEEN(1620,2416)))</f>
        <v>58110346.874441773</v>
      </c>
      <c r="B10528">
        <v>144713152.37927979</v>
      </c>
    </row>
    <row r="10529" spans="1:2" x14ac:dyDescent="0.25">
      <c r="A10529">
        <f ca="1">30122.3764959084*((RANDBETWEEN(1620,2416)))</f>
        <v>58527777.531549983</v>
      </c>
      <c r="B10529">
        <v>145249073.56811249</v>
      </c>
    </row>
    <row r="10530" spans="1:2" x14ac:dyDescent="0.25">
      <c r="A10530">
        <f ca="1">32233.4241266724*((RANDBETWEEN(1620,2416)))</f>
        <v>73169872.767546266</v>
      </c>
      <c r="B10530">
        <v>166650516.94794425</v>
      </c>
    </row>
    <row r="10531" spans="1:2" x14ac:dyDescent="0.25">
      <c r="A10531">
        <f ca="1">30333.0727378665*((RANDBETWEEN(1620,2416)))</f>
        <v>58967493.402412549</v>
      </c>
      <c r="B10531">
        <v>152220824.91349798</v>
      </c>
    </row>
    <row r="10532" spans="1:2" x14ac:dyDescent="0.25">
      <c r="A10532">
        <f ca="1">30318.699616168*((RANDBETWEEN(1620,2416)))</f>
        <v>65639984.669003762</v>
      </c>
      <c r="B10532">
        <v>157936477.98886812</v>
      </c>
    </row>
    <row r="10533" spans="1:2" x14ac:dyDescent="0.25">
      <c r="A10533">
        <f ca="1">30291.9134919693*((RANDBETWEEN(1620,2416)))</f>
        <v>54979822.98792436</v>
      </c>
      <c r="B10533">
        <v>154319834.99249244</v>
      </c>
    </row>
    <row r="10534" spans="1:2" x14ac:dyDescent="0.25">
      <c r="A10534">
        <f ca="1">32773.7606136563*((RANDBETWEEN(1620,2416)))</f>
        <v>62335692.687174305</v>
      </c>
      <c r="B10534">
        <v>174724549.51522559</v>
      </c>
    </row>
    <row r="10535" spans="1:2" x14ac:dyDescent="0.25">
      <c r="A10535">
        <f ca="1">33126.7127678243*((RANDBETWEEN(1620,2416)))</f>
        <v>78808449.674653932</v>
      </c>
      <c r="B10535">
        <v>181134714.96016842</v>
      </c>
    </row>
    <row r="10536" spans="1:2" x14ac:dyDescent="0.25">
      <c r="A10536">
        <f ca="1">38537.4400973513*((RANDBETWEEN(1620,2416)))</f>
        <v>66746846.248612508</v>
      </c>
      <c r="B10536">
        <v>185724693.75890657</v>
      </c>
    </row>
    <row r="10537" spans="1:2" x14ac:dyDescent="0.25">
      <c r="A10537">
        <f ca="1">29847.7218641675*((RANDBETWEEN(1620,2416)))</f>
        <v>56173412.548363201</v>
      </c>
      <c r="B10537">
        <v>167054019.8747521</v>
      </c>
    </row>
    <row r="10538" spans="1:2" x14ac:dyDescent="0.25">
      <c r="A10538">
        <f ca="1">27345.7114471997*((RANDBETWEEN(1620,2416)))</f>
        <v>54199200.088349812</v>
      </c>
      <c r="B10538">
        <v>172650761.99352756</v>
      </c>
    </row>
    <row r="10539" spans="1:2" x14ac:dyDescent="0.25">
      <c r="A10539">
        <f ca="1">30371.0389775747*((RANDBETWEEN(1620,2416)))</f>
        <v>51205571.716190927</v>
      </c>
      <c r="B10539">
        <v>169602617.50621578</v>
      </c>
    </row>
    <row r="10540" spans="1:2" x14ac:dyDescent="0.25">
      <c r="A10540">
        <f ca="1">39476.9458273797*((RANDBETWEEN(1620,2416)))</f>
        <v>68413547.118849099</v>
      </c>
      <c r="B10540">
        <v>172968255.78008869</v>
      </c>
    </row>
    <row r="10541" spans="1:2" x14ac:dyDescent="0.25">
      <c r="A10541">
        <f ca="1">32805.5568016257*((RANDBETWEEN(1620,2416)))</f>
        <v>63708391.308757201</v>
      </c>
      <c r="B10541">
        <v>148276688.13156006</v>
      </c>
    </row>
    <row r="10542" spans="1:2" x14ac:dyDescent="0.25">
      <c r="A10542">
        <f ca="1">30841.9599721076*((RANDBETWEEN(1620,2416)))</f>
        <v>49994817.114786446</v>
      </c>
      <c r="B10542">
        <v>164757733.41924188</v>
      </c>
    </row>
    <row r="10543" spans="1:2" x14ac:dyDescent="0.25">
      <c r="A10543">
        <f ca="1">33077.0170940252*((RANDBETWEEN(1620,2416)))</f>
        <v>71347125.871812448</v>
      </c>
      <c r="B10543">
        <v>158397608.84300637</v>
      </c>
    </row>
    <row r="10544" spans="1:2" x14ac:dyDescent="0.25">
      <c r="A10544">
        <f ca="1">40278.6196399523*((RANDBETWEEN(1620,2416)))</f>
        <v>78422472.438987225</v>
      </c>
      <c r="B10544">
        <v>200923026.75660253</v>
      </c>
    </row>
    <row r="10545" spans="1:2" x14ac:dyDescent="0.25">
      <c r="A10545">
        <f ca="1">35360.8405994773*((RANDBETWEEN(1620,2416)))</f>
        <v>80799520.769805521</v>
      </c>
      <c r="B10545">
        <v>168407452.69861436</v>
      </c>
    </row>
    <row r="10546" spans="1:2" x14ac:dyDescent="0.25">
      <c r="A10546">
        <f ca="1">40258.3114245342*((RANDBETWEEN(1620,2416)))</f>
        <v>75725883.789548755</v>
      </c>
      <c r="B10546">
        <v>183073577.51003006</v>
      </c>
    </row>
    <row r="10547" spans="1:2" x14ac:dyDescent="0.25">
      <c r="A10547">
        <f ca="1">32992.1442686884*((RANDBETWEEN(1620,2416)))</f>
        <v>63344916.995881781</v>
      </c>
      <c r="B10547">
        <v>197973471.21221161</v>
      </c>
    </row>
    <row r="10548" spans="1:2" x14ac:dyDescent="0.25">
      <c r="A10548">
        <f ca="1">32353.6077270609*((RANDBETWEEN(1620,2416)))</f>
        <v>73830932.833153039</v>
      </c>
      <c r="B10548">
        <v>195650305.10682744</v>
      </c>
    </row>
    <row r="10549" spans="1:2" x14ac:dyDescent="0.25">
      <c r="A10549">
        <f ca="1">31637.2198788769*((RANDBETWEEN(1620,2416)))</f>
        <v>53340352.715786532</v>
      </c>
      <c r="B10549">
        <v>199640434.08374622</v>
      </c>
    </row>
    <row r="10550" spans="1:2" x14ac:dyDescent="0.25">
      <c r="A10550">
        <f ca="1">28847.2606558905*((RANDBETWEEN(1620,2416)))</f>
        <v>55819449.369148135</v>
      </c>
      <c r="B10550">
        <v>150778220.1827586</v>
      </c>
    </row>
    <row r="10551" spans="1:2" x14ac:dyDescent="0.25">
      <c r="A10551">
        <f ca="1">29633.0562699776*((RANDBETWEEN(1620,2416)))</f>
        <v>60332902.565674387</v>
      </c>
      <c r="B10551">
        <v>197962726.97427353</v>
      </c>
    </row>
    <row r="10552" spans="1:2" x14ac:dyDescent="0.25">
      <c r="A10552">
        <f ca="1">42875.8321161177*((RANDBETWEEN(1620,2416)))</f>
        <v>74089437.896651298</v>
      </c>
      <c r="B10552">
        <v>194529200.23141161</v>
      </c>
    </row>
    <row r="10553" spans="1:2" x14ac:dyDescent="0.25">
      <c r="A10553">
        <f ca="1">35665.5212051701*((RANDBETWEEN(1620,2416)))</f>
        <v>67372169.556566343</v>
      </c>
      <c r="B10553">
        <v>184929147.05730239</v>
      </c>
    </row>
    <row r="10554" spans="1:2" x14ac:dyDescent="0.25">
      <c r="A10554">
        <f ca="1">32043.3849200735*((RANDBETWEEN(1620,2416)))</f>
        <v>52198674.034799717</v>
      </c>
      <c r="B10554">
        <v>173113742.82040781</v>
      </c>
    </row>
    <row r="10555" spans="1:2" x14ac:dyDescent="0.25">
      <c r="A10555">
        <f ca="1">30956.1460351291*((RANDBETWEEN(1620,2416)))</f>
        <v>73799452.147747681</v>
      </c>
      <c r="B10555">
        <v>152941228.06245327</v>
      </c>
    </row>
    <row r="10556" spans="1:2" x14ac:dyDescent="0.25">
      <c r="A10556">
        <f ca="1">30130.8910882328*((RANDBETWEEN(1620,2416)))</f>
        <v>68216337.423759043</v>
      </c>
      <c r="B10556">
        <v>194003939.43445021</v>
      </c>
    </row>
    <row r="10557" spans="1:2" x14ac:dyDescent="0.25">
      <c r="A10557">
        <f ca="1">31315.6240482867*((RANDBETWEEN(1620,2416)))</f>
        <v>61597832.502979845</v>
      </c>
      <c r="B10557">
        <v>172039935.79562783</v>
      </c>
    </row>
    <row r="10558" spans="1:2" x14ac:dyDescent="0.25">
      <c r="A10558">
        <f ca="1">33073.7325568903*((RANDBETWEEN(1620,2416)))</f>
        <v>69487912.102026463</v>
      </c>
      <c r="B10558">
        <v>147816227.15043753</v>
      </c>
    </row>
    <row r="10559" spans="1:2" x14ac:dyDescent="0.25">
      <c r="A10559">
        <f ca="1">30982.7083247425*((RANDBETWEEN(1620,2416)))</f>
        <v>55459047.901289076</v>
      </c>
      <c r="B10559">
        <v>176476075.74225563</v>
      </c>
    </row>
    <row r="10560" spans="1:2" x14ac:dyDescent="0.25">
      <c r="A10560">
        <f ca="1">29042.1213225263*((RANDBETWEEN(1620,2416)))</f>
        <v>56080336.273798257</v>
      </c>
      <c r="B10560">
        <v>145444427.50168622</v>
      </c>
    </row>
    <row r="10561" spans="1:2" x14ac:dyDescent="0.25">
      <c r="A10561">
        <f ca="1">32545.1882261108*((RANDBETWEEN(1620,2416)))</f>
        <v>66912906.992883883</v>
      </c>
      <c r="B10561">
        <v>164973633.13511214</v>
      </c>
    </row>
    <row r="10562" spans="1:2" x14ac:dyDescent="0.25">
      <c r="A10562">
        <f ca="1">30965.332826411*((RANDBETWEEN(1620,2416)))</f>
        <v>67628286.892881736</v>
      </c>
      <c r="B10562">
        <v>151525619.56802943</v>
      </c>
    </row>
    <row r="10563" spans="1:2" x14ac:dyDescent="0.25">
      <c r="A10563">
        <f ca="1">29475.7476253497*((RANDBETWEEN(1620,2416)))</f>
        <v>66467810.895163469</v>
      </c>
      <c r="B10563">
        <v>197194610.75350285</v>
      </c>
    </row>
    <row r="10564" spans="1:2" x14ac:dyDescent="0.25">
      <c r="A10564">
        <f ca="1">38878.8683381604*((RANDBETWEEN(1620,2416)))</f>
        <v>72858999.265712529</v>
      </c>
      <c r="B10564">
        <v>156570300.77293614</v>
      </c>
    </row>
    <row r="10565" spans="1:2" x14ac:dyDescent="0.25">
      <c r="A10565">
        <f ca="1">29796.9901443072*((RANDBETWEEN(1620,2416)))</f>
        <v>68622468.30233945</v>
      </c>
      <c r="B10565">
        <v>152756453.76523209</v>
      </c>
    </row>
    <row r="10566" spans="1:2" x14ac:dyDescent="0.25">
      <c r="A10566">
        <f ca="1">34009.2739360858*((RANDBETWEEN(1620,2416)))</f>
        <v>72167679.292374089</v>
      </c>
      <c r="B10566">
        <v>187369917.26660341</v>
      </c>
    </row>
    <row r="10567" spans="1:2" x14ac:dyDescent="0.25">
      <c r="A10567">
        <f ca="1">39317.4101502703*((RANDBETWEEN(1620,2416)))</f>
        <v>64126695.955090784</v>
      </c>
      <c r="B10567">
        <v>174627353.81402937</v>
      </c>
    </row>
    <row r="10568" spans="1:2" x14ac:dyDescent="0.25">
      <c r="A10568">
        <f ca="1">38191.9917522758*((RANDBETWEEN(1620,2416)))</f>
        <v>83296734.01171352</v>
      </c>
      <c r="B10568">
        <v>151451708.22953841</v>
      </c>
    </row>
    <row r="10569" spans="1:2" x14ac:dyDescent="0.25">
      <c r="A10569">
        <f ca="1">37029.5147820363*((RANDBETWEEN(1620,2416)))</f>
        <v>73244380.238867894</v>
      </c>
      <c r="B10569">
        <v>147581677.62180468</v>
      </c>
    </row>
    <row r="10570" spans="1:2" x14ac:dyDescent="0.25">
      <c r="A10570">
        <f ca="1">39739.3918778012*((RANDBETWEEN(1620,2416)))</f>
        <v>79478783.75560233</v>
      </c>
      <c r="B10570">
        <v>177373434.54103482</v>
      </c>
    </row>
    <row r="10571" spans="1:2" x14ac:dyDescent="0.25">
      <c r="A10571">
        <f ca="1">28550.3824025745*((RANDBETWEEN(1620,2416)))</f>
        <v>64780817.67144163</v>
      </c>
      <c r="B10571">
        <v>158941224.48793271</v>
      </c>
    </row>
    <row r="10572" spans="1:2" x14ac:dyDescent="0.25">
      <c r="A10572">
        <f ca="1">28892.3657255733*((RANDBETWEEN(1620,2416)))</f>
        <v>52497428.52336669</v>
      </c>
      <c r="B10572">
        <v>200132961.33013183</v>
      </c>
    </row>
    <row r="10573" spans="1:2" x14ac:dyDescent="0.25">
      <c r="A10573">
        <f ca="1">31727.431016801*((RANDBETWEEN(1620,2416)))</f>
        <v>66595877.704265267</v>
      </c>
      <c r="B10573">
        <v>162584239.59761056</v>
      </c>
    </row>
    <row r="10574" spans="1:2" x14ac:dyDescent="0.25">
      <c r="A10574">
        <f ca="1">33488.8919504777*((RANDBETWEEN(1620,2416)))</f>
        <v>68250361.795073628</v>
      </c>
      <c r="B10574">
        <v>155754546.37961432</v>
      </c>
    </row>
    <row r="10575" spans="1:2" x14ac:dyDescent="0.25">
      <c r="A10575">
        <f ca="1">36534.7092265078*((RANDBETWEEN(1620,2416)))</f>
        <v>73288626.708374679</v>
      </c>
      <c r="B10575">
        <v>178756564.1185413</v>
      </c>
    </row>
    <row r="10576" spans="1:2" x14ac:dyDescent="0.25">
      <c r="A10576">
        <f ca="1">36686.4696564373*((RANDBETWEEN(1620,2416)))</f>
        <v>61376463.735219613</v>
      </c>
      <c r="B10576">
        <v>199774693.3728846</v>
      </c>
    </row>
    <row r="10577" spans="1:2" x14ac:dyDescent="0.25">
      <c r="A10577">
        <f ca="1">37662.6682057386*((RANDBETWEEN(1620,2416)))</f>
        <v>83837099.425974071</v>
      </c>
      <c r="B10577">
        <v>151281414.06708869</v>
      </c>
    </row>
    <row r="10578" spans="1:2" x14ac:dyDescent="0.25">
      <c r="A10578">
        <f ca="1">38537.3354236057*((RANDBETWEEN(1620,2416)))</f>
        <v>78654701.59957926</v>
      </c>
      <c r="B10578">
        <v>151144196.87275428</v>
      </c>
    </row>
    <row r="10579" spans="1:2" x14ac:dyDescent="0.25">
      <c r="A10579">
        <f ca="1">33393.4403869378*((RANDBETWEEN(1620,2416)))</f>
        <v>55099176.638447404</v>
      </c>
      <c r="B10579">
        <v>148375061.31196761</v>
      </c>
    </row>
    <row r="10580" spans="1:2" x14ac:dyDescent="0.25">
      <c r="A10580">
        <f ca="1">29128.6868625652*((RANDBETWEEN(1620,2416)))</f>
        <v>64053982.410780951</v>
      </c>
      <c r="B10580">
        <v>171513552.7792432</v>
      </c>
    </row>
    <row r="10581" spans="1:2" x14ac:dyDescent="0.25">
      <c r="A10581">
        <f ca="1">30202.1253729466*((RANDBETWEEN(1620,2416)))</f>
        <v>58894144.477245823</v>
      </c>
      <c r="B10581">
        <v>154363756.37681913</v>
      </c>
    </row>
    <row r="10582" spans="1:2" x14ac:dyDescent="0.25">
      <c r="A10582">
        <f ca="1">34840.1369051625*((RANDBETWEEN(1620,2416)))</f>
        <v>57730106.851854265</v>
      </c>
      <c r="B10582">
        <v>185298326.96908844</v>
      </c>
    </row>
    <row r="10583" spans="1:2" x14ac:dyDescent="0.25">
      <c r="A10583">
        <f ca="1">39618.3773484343*((RANDBETWEEN(1620,2416)))</f>
        <v>78761334.168687373</v>
      </c>
      <c r="B10583">
        <v>170766697.433456</v>
      </c>
    </row>
    <row r="10584" spans="1:2" x14ac:dyDescent="0.25">
      <c r="A10584">
        <f ca="1">36643.7100586883*((RANDBETWEEN(1620,2416)))</f>
        <v>67131276.827517003</v>
      </c>
      <c r="B10584">
        <v>159620303.07759354</v>
      </c>
    </row>
    <row r="10585" spans="1:2" x14ac:dyDescent="0.25">
      <c r="A10585">
        <f ca="1">36991.6233121705*((RANDBETWEEN(1620,2416)))</f>
        <v>64032499.953367174</v>
      </c>
      <c r="B10585">
        <v>181704791.06320485</v>
      </c>
    </row>
    <row r="10586" spans="1:2" x14ac:dyDescent="0.25">
      <c r="A10586">
        <f ca="1">28955.8131578213*((RANDBETWEEN(1620,2416)))</f>
        <v>59127770.468271181</v>
      </c>
      <c r="B10586">
        <v>173216888.79154909</v>
      </c>
    </row>
    <row r="10587" spans="1:2" x14ac:dyDescent="0.25">
      <c r="A10587">
        <f ca="1">27933.1637431616*((RANDBETWEEN(1620,2416)))</f>
        <v>59944569.392824858</v>
      </c>
      <c r="B10587">
        <v>148092332.68498307</v>
      </c>
    </row>
    <row r="10588" spans="1:2" x14ac:dyDescent="0.25">
      <c r="A10588">
        <f ca="1">32722.0774719991*((RANDBETWEEN(1620,2416)))</f>
        <v>78827484.630045936</v>
      </c>
      <c r="B10588">
        <v>186579793.45069298</v>
      </c>
    </row>
    <row r="10589" spans="1:2" x14ac:dyDescent="0.25">
      <c r="A10589">
        <f ca="1">31323.1381047701*((RANDBETWEEN(1620,2416)))</f>
        <v>61894520.895025775</v>
      </c>
      <c r="B10589">
        <v>195856304.60953629</v>
      </c>
    </row>
    <row r="10590" spans="1:2" x14ac:dyDescent="0.25">
      <c r="A10590">
        <f ca="1">30710.0114949869*((RANDBETWEEN(1620,2416)))</f>
        <v>66978535.070566364</v>
      </c>
      <c r="B10590">
        <v>157038825.19311398</v>
      </c>
    </row>
    <row r="10591" spans="1:2" x14ac:dyDescent="0.25">
      <c r="A10591">
        <f ca="1">35311.7206270605*((RANDBETWEEN(1620,2416)))</f>
        <v>57769974.945871003</v>
      </c>
      <c r="B10591">
        <v>192232307.98882556</v>
      </c>
    </row>
    <row r="10592" spans="1:2" x14ac:dyDescent="0.25">
      <c r="A10592">
        <f ca="1">29876.6074890078*((RANDBETWEEN(1620,2416)))</f>
        <v>54733944.91986233</v>
      </c>
      <c r="B10592">
        <v>152343550.67015466</v>
      </c>
    </row>
    <row r="10593" spans="1:2" x14ac:dyDescent="0.25">
      <c r="A10593">
        <f ca="1">33640.1078113789*((RANDBETWEEN(1620,2416)))</f>
        <v>56078059.721568599</v>
      </c>
      <c r="B10593">
        <v>159632031.96387184</v>
      </c>
    </row>
    <row r="10594" spans="1:2" x14ac:dyDescent="0.25">
      <c r="A10594">
        <f ca="1">33204.6250003144*((RANDBETWEEN(1620,2416)))</f>
        <v>79757509.250755295</v>
      </c>
      <c r="B10594">
        <v>159666658.60316554</v>
      </c>
    </row>
    <row r="10595" spans="1:2" x14ac:dyDescent="0.25">
      <c r="A10595">
        <f ca="1">29955.612880136*((RANDBETWEEN(1620,2416)))</f>
        <v>62307674.790682785</v>
      </c>
      <c r="B10595">
        <v>144414309.98645914</v>
      </c>
    </row>
    <row r="10596" spans="1:2" x14ac:dyDescent="0.25">
      <c r="A10596">
        <f ca="1">39032.7175140964*((RANDBETWEEN(1620,2416)))</f>
        <v>77206715.242882669</v>
      </c>
      <c r="B10596">
        <v>172586632.02056399</v>
      </c>
    </row>
    <row r="10597" spans="1:2" x14ac:dyDescent="0.25">
      <c r="A10597">
        <f ca="1">33998.9515733675*((RANDBETWEEN(1620,2416)))</f>
        <v>55554286.870882474</v>
      </c>
      <c r="B10597">
        <v>189888878.66218019</v>
      </c>
    </row>
    <row r="10598" spans="1:2" x14ac:dyDescent="0.25">
      <c r="A10598">
        <f ca="1">32264.9106018551*((RANDBETWEEN(1620,2416)))</f>
        <v>75822539.914359435</v>
      </c>
      <c r="B10598">
        <v>200502625.16757563</v>
      </c>
    </row>
    <row r="10599" spans="1:2" x14ac:dyDescent="0.25">
      <c r="A10599">
        <f ca="1">39256.950837345*((RANDBETWEEN(1620,2416)))</f>
        <v>79966408.855671957</v>
      </c>
      <c r="B10599">
        <v>148959575.02548847</v>
      </c>
    </row>
    <row r="10600" spans="1:2" x14ac:dyDescent="0.25">
      <c r="A10600">
        <f ca="1">33038.8207111241*((RANDBETWEEN(1620,2416)))</f>
        <v>67663504.816382185</v>
      </c>
      <c r="B10600">
        <v>143934016.62517831</v>
      </c>
    </row>
    <row r="10601" spans="1:2" x14ac:dyDescent="0.25">
      <c r="A10601">
        <f ca="1">32035.5971352725*((RANDBETWEEN(1620,2416)))</f>
        <v>62725699.190863535</v>
      </c>
      <c r="B10601">
        <v>202115274.40512371</v>
      </c>
    </row>
    <row r="10602" spans="1:2" x14ac:dyDescent="0.25">
      <c r="A10602">
        <f ca="1">36468.0572833921*((RANDBETWEEN(1620,2416)))</f>
        <v>74066624.342569381</v>
      </c>
      <c r="B10602">
        <v>174945198.44138467</v>
      </c>
    </row>
    <row r="10603" spans="1:2" x14ac:dyDescent="0.25">
      <c r="A10603">
        <f ca="1">29742.1177087064*((RANDBETWEEN(1620,2416)))</f>
        <v>54368591.17151536</v>
      </c>
      <c r="B10603">
        <v>143262121.54696682</v>
      </c>
    </row>
    <row r="10604" spans="1:2" x14ac:dyDescent="0.25">
      <c r="A10604">
        <f ca="1">32267.2207988014*((RANDBETWEEN(1620,2416)))</f>
        <v>57984195.775446072</v>
      </c>
      <c r="B10604">
        <v>162114734.44914317</v>
      </c>
    </row>
    <row r="10605" spans="1:2" x14ac:dyDescent="0.25">
      <c r="A10605">
        <f ca="1">38501.704239483*((RANDBETWEEN(1620,2416)))</f>
        <v>74731807.928836435</v>
      </c>
      <c r="B10605">
        <v>144580348.78825837</v>
      </c>
    </row>
    <row r="10606" spans="1:2" x14ac:dyDescent="0.25">
      <c r="A10606">
        <f ca="1">29665.6304094994*((RANDBETWEEN(1620,2416)))</f>
        <v>66984993.464649707</v>
      </c>
      <c r="B10606">
        <v>187457374.44354945</v>
      </c>
    </row>
    <row r="10607" spans="1:2" x14ac:dyDescent="0.25">
      <c r="A10607">
        <f ca="1">31198.7886756121*((RANDBETWEEN(1620,2416)))</f>
        <v>52008380.722245447</v>
      </c>
      <c r="B10607">
        <v>176126338.27570286</v>
      </c>
    </row>
    <row r="10608" spans="1:2" x14ac:dyDescent="0.25">
      <c r="A10608">
        <f ca="1">38820.9271997833*((RANDBETWEEN(1620,2416)))</f>
        <v>84474337.586728439</v>
      </c>
      <c r="B10608">
        <v>143995724.56152189</v>
      </c>
    </row>
    <row r="10609" spans="1:2" x14ac:dyDescent="0.25">
      <c r="A10609">
        <f ca="1">38920.4364440188*((RANDBETWEEN(1620,2416)))</f>
        <v>75972691.938724756</v>
      </c>
      <c r="B10609">
        <v>154182133.6915006</v>
      </c>
    </row>
    <row r="10610" spans="1:2" x14ac:dyDescent="0.25">
      <c r="A10610">
        <f ca="1">29321.4114682206*((RANDBETWEEN(1620,2416)))</f>
        <v>69345138.122341618</v>
      </c>
      <c r="B10610">
        <v>154029165.8786687</v>
      </c>
    </row>
    <row r="10611" spans="1:2" x14ac:dyDescent="0.25">
      <c r="A10611">
        <f ca="1">32831.7698313701*((RANDBETWEEN(1620,2416)))</f>
        <v>67337959.924139977</v>
      </c>
      <c r="B10611">
        <v>164234025.76277655</v>
      </c>
    </row>
    <row r="10612" spans="1:2" x14ac:dyDescent="0.25">
      <c r="A10612">
        <f ca="1">30502.1336919207*((RANDBETWEEN(1620,2416)))</f>
        <v>66006617.309316367</v>
      </c>
      <c r="B10612">
        <v>163713328.44585156</v>
      </c>
    </row>
    <row r="10613" spans="1:2" x14ac:dyDescent="0.25">
      <c r="A10613">
        <f ca="1">31249.7021909048*((RANDBETWEEN(1620,2416)))</f>
        <v>58093196.37289194</v>
      </c>
      <c r="B10613">
        <v>194155983.57552788</v>
      </c>
    </row>
    <row r="10614" spans="1:2" x14ac:dyDescent="0.25">
      <c r="A10614">
        <f ca="1">39000.7424372162*((RANDBETWEEN(1620,2416)))</f>
        <v>86776651.922806159</v>
      </c>
      <c r="B10614">
        <v>174969169.86777097</v>
      </c>
    </row>
    <row r="10615" spans="1:2" x14ac:dyDescent="0.25">
      <c r="A10615">
        <f ca="1">29462.70394942*((RANDBETWEEN(1620,2416)))</f>
        <v>52944478.997107774</v>
      </c>
      <c r="B10615">
        <v>149812196.02656925</v>
      </c>
    </row>
    <row r="10616" spans="1:2" x14ac:dyDescent="0.25">
      <c r="A10616">
        <f ca="1">31654.7989927406*((RANDBETWEEN(1620,2416)))</f>
        <v>53243371.905789755</v>
      </c>
      <c r="B10616">
        <v>164392590.32695705</v>
      </c>
    </row>
    <row r="10617" spans="1:2" x14ac:dyDescent="0.25">
      <c r="A10617">
        <f ca="1">38848.6455093914*((RANDBETWEEN(1620,2416)))</f>
        <v>73113150.848674566</v>
      </c>
      <c r="B10617">
        <v>178498796.92631418</v>
      </c>
    </row>
    <row r="10618" spans="1:2" x14ac:dyDescent="0.25">
      <c r="A10618">
        <f ca="1">32787.5809914354*((RANDBETWEEN(1620,2416)))</f>
        <v>74132720.621635482</v>
      </c>
      <c r="B10618">
        <v>179705766.5425508</v>
      </c>
    </row>
    <row r="10619" spans="1:2" x14ac:dyDescent="0.25">
      <c r="A10619">
        <f ca="1">29626.1477703954*((RANDBETWEEN(1620,2416)))</f>
        <v>61059490.554784849</v>
      </c>
      <c r="B10619">
        <v>184220530.00057983</v>
      </c>
    </row>
    <row r="10620" spans="1:2" x14ac:dyDescent="0.25">
      <c r="A10620">
        <f ca="1">39383.4402037595*((RANDBETWEEN(1620,2416)))</f>
        <v>67936434.351485103</v>
      </c>
      <c r="B10620">
        <v>166716342.30508816</v>
      </c>
    </row>
    <row r="10621" spans="1:2" x14ac:dyDescent="0.25">
      <c r="A10621">
        <f ca="1">32994.2300178692*((RANDBETWEEN(1620,2416)))</f>
        <v>68364044.597025022</v>
      </c>
      <c r="B10621">
        <v>166745441.34379539</v>
      </c>
    </row>
    <row r="10622" spans="1:2" x14ac:dyDescent="0.25">
      <c r="A10622">
        <f ca="1">38135.6933882449*((RANDBETWEEN(1620,2416)))</f>
        <v>74669687.654183581</v>
      </c>
      <c r="B10622">
        <v>162332608.00026155</v>
      </c>
    </row>
    <row r="10623" spans="1:2" x14ac:dyDescent="0.25">
      <c r="A10623">
        <f ca="1">32977.1856338686*((RANDBETWEEN(1620,2416)))</f>
        <v>76902796.898181483</v>
      </c>
      <c r="B10623">
        <v>145960533.81487322</v>
      </c>
    </row>
    <row r="10624" spans="1:2" x14ac:dyDescent="0.25">
      <c r="A10624">
        <f ca="1">32160.0917211693*((RANDBETWEEN(1620,2416)))</f>
        <v>77087739.855642736</v>
      </c>
      <c r="B10624">
        <v>197325506.61443996</v>
      </c>
    </row>
    <row r="10625" spans="1:2" x14ac:dyDescent="0.25">
      <c r="A10625">
        <f ca="1">31185.057317332*((RANDBETWEEN(1620,2416)))</f>
        <v>58752647.985853404</v>
      </c>
      <c r="B10625">
        <v>179811583.07036874</v>
      </c>
    </row>
    <row r="10626" spans="1:2" x14ac:dyDescent="0.25">
      <c r="A10626">
        <f ca="1">32354.2513047337*((RANDBETWEEN(1620,2416)))</f>
        <v>77844328.639189333</v>
      </c>
      <c r="B10626">
        <v>196354807.79334563</v>
      </c>
    </row>
    <row r="10627" spans="1:2" x14ac:dyDescent="0.25">
      <c r="A10627">
        <f ca="1">33578.4193453196*((RANDBETWEEN(1620,2416)))</f>
        <v>68768602.819214612</v>
      </c>
      <c r="B10627">
        <v>179593609.3532832</v>
      </c>
    </row>
    <row r="10628" spans="1:2" x14ac:dyDescent="0.25">
      <c r="A10628">
        <f ca="1">38159.3231388679*((RANDBETWEEN(1620,2416)))</f>
        <v>79256914.159428626</v>
      </c>
      <c r="B10628">
        <v>162445143.64385229</v>
      </c>
    </row>
    <row r="10629" spans="1:2" x14ac:dyDescent="0.25">
      <c r="A10629">
        <f ca="1">37589.5673586213*((RANDBETWEEN(1620,2416)))</f>
        <v>66345586.387966767</v>
      </c>
      <c r="B10629">
        <v>162406547.76994234</v>
      </c>
    </row>
    <row r="10630" spans="1:2" x14ac:dyDescent="0.25">
      <c r="A10630">
        <f ca="1">30889.1918796349*((RANDBETWEEN(1620,2416)))</f>
        <v>59677918.711454578</v>
      </c>
      <c r="B10630">
        <v>155960088.32931194</v>
      </c>
    </row>
    <row r="10631" spans="1:2" x14ac:dyDescent="0.25">
      <c r="A10631">
        <f ca="1">30590.4952468808*((RANDBETWEEN(1620,2416)))</f>
        <v>53258052.224819466</v>
      </c>
      <c r="B10631">
        <v>151812107.34069008</v>
      </c>
    </row>
    <row r="10632" spans="1:2" x14ac:dyDescent="0.25">
      <c r="A10632">
        <f ca="1">29498.4397709188*((RANDBETWEEN(1620,2416)))</f>
        <v>52920200.949028239</v>
      </c>
      <c r="B10632">
        <v>177071180.87678802</v>
      </c>
    </row>
    <row r="10633" spans="1:2" x14ac:dyDescent="0.25">
      <c r="A10633">
        <f ca="1">34305.7396040504*((RANDBETWEEN(1620,2416)))</f>
        <v>56158495.731830582</v>
      </c>
      <c r="B10633">
        <v>145688235.52108511</v>
      </c>
    </row>
    <row r="10634" spans="1:2" x14ac:dyDescent="0.25">
      <c r="A10634">
        <f ca="1">27286.7693376298*((RANDBETWEEN(1620,2416)))</f>
        <v>60904069.161589652</v>
      </c>
      <c r="B10634">
        <v>167523004.83698323</v>
      </c>
    </row>
    <row r="10635" spans="1:2" x14ac:dyDescent="0.25">
      <c r="A10635">
        <f ca="1">34622.7847659171*((RANDBETWEEN(1620,2416)))</f>
        <v>66129518.902901679</v>
      </c>
      <c r="B10635">
        <v>164357248.62619856</v>
      </c>
    </row>
    <row r="10636" spans="1:2" x14ac:dyDescent="0.25">
      <c r="A10636">
        <f ca="1">40190.5737229469*((RANDBETWEEN(1620,2416)))</f>
        <v>90227838.008015871</v>
      </c>
      <c r="B10636">
        <v>151032767.52349854</v>
      </c>
    </row>
    <row r="10637" spans="1:2" x14ac:dyDescent="0.25">
      <c r="A10637">
        <f ca="1">34274.353771515*((RANDBETWEEN(1620,2416)))</f>
        <v>76534631.971793011</v>
      </c>
      <c r="B10637">
        <v>194549344.30484524</v>
      </c>
    </row>
    <row r="10638" spans="1:2" x14ac:dyDescent="0.25">
      <c r="A10638">
        <f ca="1">32027.07137244*((RANDBETWEEN(1620,2416)))</f>
        <v>70363475.805250719</v>
      </c>
      <c r="B10638">
        <v>165302448.84122524</v>
      </c>
    </row>
    <row r="10639" spans="1:2" x14ac:dyDescent="0.25">
      <c r="A10639">
        <f ca="1">30412.884192086*((RANDBETWEEN(1620,2416)))</f>
        <v>70679542.862407878</v>
      </c>
      <c r="B10639">
        <v>183272459.93691036</v>
      </c>
    </row>
    <row r="10640" spans="1:2" x14ac:dyDescent="0.25">
      <c r="A10640">
        <f ca="1">32093.4026203987*((RANDBETWEEN(1620,2416)))</f>
        <v>58474179.57436645</v>
      </c>
      <c r="B10640">
        <v>156492641.47393593</v>
      </c>
    </row>
    <row r="10641" spans="1:2" x14ac:dyDescent="0.25">
      <c r="A10641">
        <f ca="1">39999.6965316505*((RANDBETWEEN(1620,2416)))</f>
        <v>69119475.606692001</v>
      </c>
      <c r="B10641">
        <v>174751562.36352336</v>
      </c>
    </row>
    <row r="10642" spans="1:2" x14ac:dyDescent="0.25">
      <c r="A10642">
        <f ca="1">36339.5621099359*((RANDBETWEEN(1620,2416)))</f>
        <v>66210682.164303176</v>
      </c>
      <c r="B10642">
        <v>173941107.76650825</v>
      </c>
    </row>
    <row r="10643" spans="1:2" x14ac:dyDescent="0.25">
      <c r="A10643">
        <f ca="1">29686.0818232305*((RANDBETWEEN(1620,2416)))</f>
        <v>59817454.873809412</v>
      </c>
      <c r="B10643">
        <v>164717532.91093141</v>
      </c>
    </row>
    <row r="10644" spans="1:2" x14ac:dyDescent="0.25">
      <c r="A10644">
        <f ca="1">36528.7759563596*((RANDBETWEEN(1620,2416)))</f>
        <v>79084799.945518464</v>
      </c>
      <c r="B10644">
        <v>144512906.51409936</v>
      </c>
    </row>
    <row r="10645" spans="1:2" x14ac:dyDescent="0.25">
      <c r="A10645">
        <f ca="1">33116.8584323346*((RANDBETWEEN(1620,2416)))</f>
        <v>58484371.991502978</v>
      </c>
      <c r="B10645">
        <v>159051624.38896155</v>
      </c>
    </row>
    <row r="10646" spans="1:2" x14ac:dyDescent="0.25">
      <c r="A10646">
        <f ca="1">35351.5797857515*((RANDBETWEEN(1620,2416)))</f>
        <v>77172498.672295466</v>
      </c>
      <c r="B10646">
        <v>167945494.43726248</v>
      </c>
    </row>
    <row r="10647" spans="1:2" x14ac:dyDescent="0.25">
      <c r="A10647">
        <f ca="1">36793.8116698961*((RANDBETWEEN(1620,2416)))</f>
        <v>76126396.345015123</v>
      </c>
      <c r="B10647">
        <v>176318403.67559683</v>
      </c>
    </row>
    <row r="10648" spans="1:2" x14ac:dyDescent="0.25">
      <c r="A10648">
        <f ca="1">29935.7633005264*((RANDBETWEEN(1620,2416)))</f>
        <v>53555080.544641741</v>
      </c>
      <c r="B10648">
        <v>145257489.41586244</v>
      </c>
    </row>
    <row r="10649" spans="1:2" x14ac:dyDescent="0.25">
      <c r="A10649">
        <f ca="1">36595.0085612408*((RANDBETWEEN(1620,2416)))</f>
        <v>76483567.892993301</v>
      </c>
      <c r="B10649">
        <v>145895903.78749612</v>
      </c>
    </row>
    <row r="10650" spans="1:2" x14ac:dyDescent="0.25">
      <c r="A10650">
        <f ca="1">39456.5037274375*((RANDBETWEEN(1620,2416)))</f>
        <v>89053328.912826419</v>
      </c>
      <c r="B10650">
        <v>181986283.34464595</v>
      </c>
    </row>
    <row r="10651" spans="1:2" x14ac:dyDescent="0.25">
      <c r="A10651">
        <f ca="1">38060.2024007321*((RANDBETWEEN(1620,2416)))</f>
        <v>63103815.580413751</v>
      </c>
      <c r="B10651">
        <v>143090610.90224403</v>
      </c>
    </row>
    <row r="10652" spans="1:2" x14ac:dyDescent="0.25">
      <c r="A10652">
        <f ca="1">35208.9316101993*((RANDBETWEEN(1620,2416)))</f>
        <v>58904542.58386337</v>
      </c>
      <c r="B10652">
        <v>161325590.02597129</v>
      </c>
    </row>
    <row r="10653" spans="1:2" x14ac:dyDescent="0.25">
      <c r="A10653">
        <f ca="1">31772.5301282421*((RANDBETWEEN(1620,2416)))</f>
        <v>65356094.473793991</v>
      </c>
      <c r="B10653">
        <v>179844856.57991415</v>
      </c>
    </row>
    <row r="10654" spans="1:2" x14ac:dyDescent="0.25">
      <c r="A10654">
        <f ca="1">38887.8349778523*((RANDBETWEEN(1620,2416)))</f>
        <v>73614671.613074422</v>
      </c>
      <c r="B10654">
        <v>169497804.78109241</v>
      </c>
    </row>
    <row r="10655" spans="1:2" x14ac:dyDescent="0.25">
      <c r="A10655">
        <f ca="1">31975.8207223308*((RANDBETWEEN(1620,2416)))</f>
        <v>58899461.770533249</v>
      </c>
      <c r="B10655">
        <v>146091859.16711795</v>
      </c>
    </row>
    <row r="10656" spans="1:2" x14ac:dyDescent="0.25">
      <c r="A10656">
        <f ca="1">43014.0346925977*((RANDBETWEEN(1620,2416)))</f>
        <v>73726055.463112414</v>
      </c>
      <c r="B10656">
        <v>200663758.65894341</v>
      </c>
    </row>
    <row r="10657" spans="1:2" x14ac:dyDescent="0.25">
      <c r="A10657">
        <f ca="1">30153.476553589*((RANDBETWEEN(1620,2416)))</f>
        <v>61694013.028643146</v>
      </c>
      <c r="B10657">
        <v>151182555.05019361</v>
      </c>
    </row>
    <row r="10658" spans="1:2" x14ac:dyDescent="0.25">
      <c r="A10658">
        <f ca="1">30513.8712474411*((RANDBETWEEN(1620,2416)))</f>
        <v>70822695.16531086</v>
      </c>
      <c r="B10658">
        <v>190071928.05371022</v>
      </c>
    </row>
    <row r="10659" spans="1:2" x14ac:dyDescent="0.25">
      <c r="A10659">
        <f ca="1">30243.0217305219*((RANDBETWEEN(1620,2416)))</f>
        <v>58610976.113751471</v>
      </c>
      <c r="B10659">
        <v>172568742.64502952</v>
      </c>
    </row>
    <row r="10660" spans="1:2" x14ac:dyDescent="0.25">
      <c r="A10660">
        <f ca="1">32359.9684410789*((RANDBETWEEN(1620,2416)))</f>
        <v>76725485.173798025</v>
      </c>
      <c r="B10660">
        <v>177709063.14654213</v>
      </c>
    </row>
    <row r="10661" spans="1:2" x14ac:dyDescent="0.25">
      <c r="A10661">
        <f ca="1">32455.0288327931*((RANDBETWEEN(1620,2416)))</f>
        <v>54459538.381426737</v>
      </c>
      <c r="B10661">
        <v>155006724.65139109</v>
      </c>
    </row>
    <row r="10662" spans="1:2" x14ac:dyDescent="0.25">
      <c r="A10662">
        <f ca="1">37084.5682044046*((RANDBETWEEN(1620,2416)))</f>
        <v>60522015.309588246</v>
      </c>
      <c r="B10662">
        <v>166381652.28783143</v>
      </c>
    </row>
    <row r="10663" spans="1:2" x14ac:dyDescent="0.25">
      <c r="A10663">
        <f ca="1">32192.7143537897*((RANDBETWEEN(1620,2416)))</f>
        <v>56916718.97750017</v>
      </c>
      <c r="B10663">
        <v>155763793.64776999</v>
      </c>
    </row>
    <row r="10664" spans="1:2" x14ac:dyDescent="0.25">
      <c r="A10664">
        <f ca="1">28085.9002687497*((RANDBETWEEN(1620,2416)))</f>
        <v>51088252.588855684</v>
      </c>
      <c r="B10664">
        <v>149545439.01897895</v>
      </c>
    </row>
    <row r="10665" spans="1:2" x14ac:dyDescent="0.25">
      <c r="A10665">
        <f ca="1">31374.6316378573*((RANDBETWEEN(1620,2416)))</f>
        <v>60270667.376323789</v>
      </c>
      <c r="B10665">
        <v>174963358.92645544</v>
      </c>
    </row>
    <row r="10666" spans="1:2" x14ac:dyDescent="0.25">
      <c r="A10666">
        <f ca="1">29403.7626816831*((RANDBETWEEN(1620,2416)))</f>
        <v>57219722.17855531</v>
      </c>
      <c r="B10666">
        <v>191117043.24865285</v>
      </c>
    </row>
    <row r="10667" spans="1:2" x14ac:dyDescent="0.25">
      <c r="A10667">
        <f ca="1">30490.9037367659*((RANDBETWEEN(1620,2416)))</f>
        <v>50736863.817978404</v>
      </c>
      <c r="B10667">
        <v>146897992.61773503</v>
      </c>
    </row>
    <row r="10668" spans="1:2" x14ac:dyDescent="0.25">
      <c r="A10668">
        <f ca="1">30289.6849622034*((RANDBETWEEN(1620,2416)))</f>
        <v>62760227.241685428</v>
      </c>
      <c r="B10668">
        <v>156378080.3763001</v>
      </c>
    </row>
    <row r="10669" spans="1:2" x14ac:dyDescent="0.25">
      <c r="A10669">
        <f ca="1">30322.3299768523*((RANDBETWEEN(1620,2416)))</f>
        <v>60098858.014121294</v>
      </c>
      <c r="B10669">
        <v>156652840.55207258</v>
      </c>
    </row>
    <row r="10670" spans="1:2" x14ac:dyDescent="0.25">
      <c r="A10670">
        <f ca="1">36683.2408246084*((RANDBETWEEN(1620,2416)))</f>
        <v>74100146.465708941</v>
      </c>
      <c r="B10670">
        <v>169705848.62059766</v>
      </c>
    </row>
    <row r="10671" spans="1:2" x14ac:dyDescent="0.25">
      <c r="A10671">
        <f ca="1">31881.9551757725*((RANDBETWEEN(1620,2416)))</f>
        <v>67717272.793340713</v>
      </c>
      <c r="B10671">
        <v>146650263.61469918</v>
      </c>
    </row>
    <row r="10672" spans="1:2" x14ac:dyDescent="0.25">
      <c r="A10672">
        <f ca="1">30189.2013877756*((RANDBETWEEN(1620,2416)))</f>
        <v>64514323.365676485</v>
      </c>
      <c r="B10672">
        <v>160513858.2587212</v>
      </c>
    </row>
    <row r="10673" spans="1:2" x14ac:dyDescent="0.25">
      <c r="A10673">
        <f ca="1">31050.5055761767*((RANDBETWEEN(1620,2416)))</f>
        <v>51264384.706267774</v>
      </c>
      <c r="B10673">
        <v>164206986.43890506</v>
      </c>
    </row>
    <row r="10674" spans="1:2" x14ac:dyDescent="0.25">
      <c r="A10674">
        <f ca="1">30929.1325182331*((RANDBETWEEN(1620,2416)))</f>
        <v>55827084.195410721</v>
      </c>
      <c r="B10674">
        <v>195640939.41275513</v>
      </c>
    </row>
    <row r="10675" spans="1:2" x14ac:dyDescent="0.25">
      <c r="A10675">
        <f ca="1">37617.4799494745*((RANDBETWEEN(1620,2416)))</f>
        <v>85429296.965256497</v>
      </c>
      <c r="B10675">
        <v>178512322.21842536</v>
      </c>
    </row>
    <row r="10676" spans="1:2" x14ac:dyDescent="0.25">
      <c r="A10676">
        <f ca="1">33271.534244405*((RANDBETWEEN(1620,2416)))</f>
        <v>69836950.379005998</v>
      </c>
      <c r="B10676">
        <v>164264273.49385166</v>
      </c>
    </row>
    <row r="10677" spans="1:2" x14ac:dyDescent="0.25">
      <c r="A10677">
        <f ca="1">30366.8693830871*((RANDBETWEEN(1620,2416)))</f>
        <v>61492910.500751339</v>
      </c>
      <c r="B10677">
        <v>145680287.77626377</v>
      </c>
    </row>
    <row r="10678" spans="1:2" x14ac:dyDescent="0.25">
      <c r="A10678">
        <f ca="1">37110.9489312717*((RANDBETWEEN(1620,2416)))</f>
        <v>76930997.134526312</v>
      </c>
      <c r="B10678">
        <v>185550084.20578349</v>
      </c>
    </row>
    <row r="10679" spans="1:2" x14ac:dyDescent="0.25">
      <c r="A10679">
        <f ca="1">28390.436413063*((RANDBETWEEN(1620,2416)))</f>
        <v>66547182.952219561</v>
      </c>
      <c r="B10679">
        <v>160473251.7432301</v>
      </c>
    </row>
    <row r="10680" spans="1:2" x14ac:dyDescent="0.25">
      <c r="A10680">
        <f ca="1">37506.6305508168*((RANDBETWEEN(1620,2416)))</f>
        <v>69499786.410663456</v>
      </c>
      <c r="B10680">
        <v>177147002.04413587</v>
      </c>
    </row>
    <row r="10681" spans="1:2" x14ac:dyDescent="0.25">
      <c r="A10681">
        <f ca="1">29741.814217708*((RANDBETWEEN(1620,2416)))</f>
        <v>66710889.290319018</v>
      </c>
      <c r="B10681">
        <v>142935339.00730264</v>
      </c>
    </row>
    <row r="10682" spans="1:2" x14ac:dyDescent="0.25">
      <c r="A10682">
        <f ca="1">36632.4855299419*((RANDBETWEEN(1620,2416)))</f>
        <v>66597858.693434291</v>
      </c>
      <c r="B10682">
        <v>173253729.90073222</v>
      </c>
    </row>
    <row r="10683" spans="1:2" x14ac:dyDescent="0.25">
      <c r="A10683">
        <f ca="1">32648.1399206406*((RANDBETWEEN(1620,2416)))</f>
        <v>53967375.288818859</v>
      </c>
      <c r="B10683">
        <v>165786018.19182912</v>
      </c>
    </row>
    <row r="10684" spans="1:2" x14ac:dyDescent="0.25">
      <c r="A10684">
        <f ca="1">31871.471758786*((RANDBETWEEN(1620,2416)))</f>
        <v>54022144.631142341</v>
      </c>
      <c r="B10684">
        <v>145537882.06730881</v>
      </c>
    </row>
    <row r="10685" spans="1:2" x14ac:dyDescent="0.25">
      <c r="A10685">
        <f ca="1">30199.6867407446*((RANDBETWEEN(1620,2416)))</f>
        <v>67345301.431860372</v>
      </c>
      <c r="B10685">
        <v>150146885.68108898</v>
      </c>
    </row>
    <row r="10686" spans="1:2" x14ac:dyDescent="0.25">
      <c r="A10686">
        <f ca="1">41609.8872870827*((RANDBETWEEN(1620,2416)))</f>
        <v>78892346.296308726</v>
      </c>
      <c r="B10686">
        <v>178740956.29684684</v>
      </c>
    </row>
    <row r="10687" spans="1:2" x14ac:dyDescent="0.25">
      <c r="A10687">
        <f ca="1">32139.2030335628*((RANDBETWEEN(1620,2416)))</f>
        <v>61096624.966802895</v>
      </c>
      <c r="B10687">
        <v>162052043.0576281</v>
      </c>
    </row>
    <row r="10688" spans="1:2" x14ac:dyDescent="0.25">
      <c r="A10688">
        <f ca="1">30809.3756462014*((RANDBETWEEN(1620,2416)))</f>
        <v>62327366.93226546</v>
      </c>
      <c r="B10688">
        <v>158425889.23340917</v>
      </c>
    </row>
    <row r="10689" spans="1:2" x14ac:dyDescent="0.25">
      <c r="A10689">
        <f ca="1">39478.3708756128*((RANDBETWEEN(1620,2416)))</f>
        <v>86299718.734089643</v>
      </c>
      <c r="B10689">
        <v>170021465.21516445</v>
      </c>
    </row>
    <row r="10690" spans="1:2" x14ac:dyDescent="0.25">
      <c r="A10690">
        <f ca="1">29011.4248842597*((RANDBETWEEN(1620,2416)))</f>
        <v>69975556.820834443</v>
      </c>
      <c r="B10690">
        <v>178218387.72311524</v>
      </c>
    </row>
    <row r="10691" spans="1:2" x14ac:dyDescent="0.25">
      <c r="A10691">
        <f ca="1">31833.6923674306*((RANDBETWEEN(1620,2416)))</f>
        <v>57236978.876640283</v>
      </c>
      <c r="B10691">
        <v>178664777.7965565</v>
      </c>
    </row>
    <row r="10692" spans="1:2" x14ac:dyDescent="0.25">
      <c r="A10692">
        <f ca="1">30059.6000998478*((RANDBETWEEN(1620,2416)))</f>
        <v>65109093.816270262</v>
      </c>
      <c r="B10692">
        <v>167147929.20196167</v>
      </c>
    </row>
    <row r="10693" spans="1:2" x14ac:dyDescent="0.25">
      <c r="A10693">
        <f ca="1">31588.2082430367*((RANDBETWEEN(1620,2416)))</f>
        <v>55532070.091258466</v>
      </c>
      <c r="B10693">
        <v>148266206.33150437</v>
      </c>
    </row>
    <row r="10694" spans="1:2" x14ac:dyDescent="0.25">
      <c r="A10694">
        <f ca="1">31264.8179643661*((RANDBETWEEN(1620,2416)))</f>
        <v>58840387.408936955</v>
      </c>
      <c r="B10694">
        <v>144974405.44466746</v>
      </c>
    </row>
    <row r="10695" spans="1:2" x14ac:dyDescent="0.25">
      <c r="A10695">
        <f ca="1">30737.0093021857*((RANDBETWEEN(1620,2416)))</f>
        <v>59998642.157866403</v>
      </c>
      <c r="B10695">
        <v>188810883.37283203</v>
      </c>
    </row>
    <row r="10696" spans="1:2" x14ac:dyDescent="0.25">
      <c r="A10696">
        <f ca="1">33070.1099556889*((RANDBETWEEN(1620,2416)))</f>
        <v>70042492.886149094</v>
      </c>
      <c r="B10696">
        <v>155345050.33651173</v>
      </c>
    </row>
    <row r="10697" spans="1:2" x14ac:dyDescent="0.25">
      <c r="A10697">
        <f ca="1">37653.7415524243*((RANDBETWEEN(1620,2416)))</f>
        <v>70789034.118557647</v>
      </c>
      <c r="B10697">
        <v>178239327.46316785</v>
      </c>
    </row>
    <row r="10698" spans="1:2" x14ac:dyDescent="0.25">
      <c r="A10698">
        <f ca="1">40754.5267408153*((RANDBETWEEN(1620,2416)))</f>
        <v>78126427.762142912</v>
      </c>
      <c r="B10698">
        <v>167245687.48385921</v>
      </c>
    </row>
    <row r="10699" spans="1:2" x14ac:dyDescent="0.25">
      <c r="A10699">
        <f ca="1">29979.7578198776*((RANDBETWEEN(1620,2416)))</f>
        <v>50096175.317015417</v>
      </c>
      <c r="B10699">
        <v>162380338.15718728</v>
      </c>
    </row>
    <row r="10700" spans="1:2" x14ac:dyDescent="0.25">
      <c r="A10700">
        <f ca="1">33958.4406209699*((RANDBETWEEN(1620,2416)))</f>
        <v>77221493.972085506</v>
      </c>
      <c r="B10700">
        <v>183050166.55179334</v>
      </c>
    </row>
    <row r="10701" spans="1:2" x14ac:dyDescent="0.25">
      <c r="A10701">
        <f ca="1">36272.8428115027*((RANDBETWEEN(1620,2416)))</f>
        <v>60938375.923324548</v>
      </c>
      <c r="B10701">
        <v>162848885.53365004</v>
      </c>
    </row>
    <row r="10702" spans="1:2" x14ac:dyDescent="0.25">
      <c r="A10702">
        <f ca="1">28864.4957247325*((RANDBETWEEN(1620,2416)))</f>
        <v>55246644.817137934</v>
      </c>
      <c r="B10702">
        <v>163183390.7573536</v>
      </c>
    </row>
    <row r="10703" spans="1:2" x14ac:dyDescent="0.25">
      <c r="A10703">
        <f ca="1">42441.4692322234*((RANDBETWEEN(1620,2416)))</f>
        <v>73720832.056372091</v>
      </c>
      <c r="B10703">
        <v>164693265.21135169</v>
      </c>
    </row>
    <row r="10704" spans="1:2" x14ac:dyDescent="0.25">
      <c r="A10704">
        <f ca="1">34640.6794952655*((RANDBETWEEN(1620,2416)))</f>
        <v>62561067.168449581</v>
      </c>
      <c r="B10704">
        <v>196647350.43108466</v>
      </c>
    </row>
    <row r="10705" spans="1:2" x14ac:dyDescent="0.25">
      <c r="A10705">
        <f ca="1">32206.2106640608*((RANDBETWEEN(1620,2416)))</f>
        <v>62802110.794918492</v>
      </c>
      <c r="B10705">
        <v>199243789.09807938</v>
      </c>
    </row>
    <row r="10706" spans="1:2" x14ac:dyDescent="0.25">
      <c r="A10706">
        <f ca="1">30649.5305310563*((RANDBETWEEN(1620,2416)))</f>
        <v>67459616.698854864</v>
      </c>
      <c r="B10706">
        <v>160933788.32240346</v>
      </c>
    </row>
    <row r="10707" spans="1:2" x14ac:dyDescent="0.25">
      <c r="A10707">
        <f ca="1">32942.6614067171*((RANDBETWEEN(1620,2416)))</f>
        <v>70793779.363035083</v>
      </c>
      <c r="B10707">
        <v>194474221.40184388</v>
      </c>
    </row>
    <row r="10708" spans="1:2" x14ac:dyDescent="0.25">
      <c r="A10708">
        <f ca="1">31788.6422750091*((RANDBETWEEN(1620,2416)))</f>
        <v>52991666.672440194</v>
      </c>
      <c r="B10708">
        <v>181250384.02348712</v>
      </c>
    </row>
    <row r="10709" spans="1:2" x14ac:dyDescent="0.25">
      <c r="A10709">
        <f ca="1">30120.5701750991*((RANDBETWEEN(1620,2416)))</f>
        <v>58132700.437941343</v>
      </c>
      <c r="B10709">
        <v>196110953.51432613</v>
      </c>
    </row>
    <row r="10710" spans="1:2" x14ac:dyDescent="0.25">
      <c r="A10710">
        <f ca="1">29512.7886935764*((RANDBETWEEN(1620,2416)))</f>
        <v>57107246.12207032</v>
      </c>
      <c r="B10710">
        <v>162508267.1916146</v>
      </c>
    </row>
    <row r="10711" spans="1:2" x14ac:dyDescent="0.25">
      <c r="A10711">
        <f ca="1">29725.9322952299*((RANDBETWEEN(1620,2416)))</f>
        <v>56746804.751593813</v>
      </c>
      <c r="B10711">
        <v>153444077.65651685</v>
      </c>
    </row>
    <row r="10712" spans="1:2" x14ac:dyDescent="0.25">
      <c r="A10712">
        <f ca="1">34252.6720020139*((RANDBETWEEN(1620,2416)))</f>
        <v>75253120.38842456</v>
      </c>
      <c r="B10712">
        <v>188218849.32854712</v>
      </c>
    </row>
    <row r="10713" spans="1:2" x14ac:dyDescent="0.25">
      <c r="A10713">
        <f ca="1">34268.3009309559*((RANDBETWEEN(1620,2416)))</f>
        <v>67371479.630259231</v>
      </c>
      <c r="B10713">
        <v>150304585.17813846</v>
      </c>
    </row>
    <row r="10714" spans="1:2" x14ac:dyDescent="0.25">
      <c r="A10714">
        <f ca="1">29403.7954237036*((RANDBETWEEN(1620,2416)))</f>
        <v>60954067.913337477</v>
      </c>
      <c r="B10714">
        <v>179230432.09796938</v>
      </c>
    </row>
    <row r="10715" spans="1:2" x14ac:dyDescent="0.25">
      <c r="A10715">
        <f ca="1">34104.3080208315*((RANDBETWEEN(1620,2416)))</f>
        <v>81645713.401870504</v>
      </c>
      <c r="B10715">
        <v>171395106.28001696</v>
      </c>
    </row>
    <row r="10716" spans="1:2" x14ac:dyDescent="0.25">
      <c r="A10716">
        <f ca="1">32296.3251373767*((RANDBETWEEN(1620,2416)))</f>
        <v>69889247.597283095</v>
      </c>
      <c r="B10716">
        <v>159894186.09586191</v>
      </c>
    </row>
    <row r="10717" spans="1:2" x14ac:dyDescent="0.25">
      <c r="A10717">
        <f ca="1">39807.5120540793*((RANDBETWEEN(1620,2416)))</f>
        <v>79575216.596104518</v>
      </c>
      <c r="B10717">
        <v>157911289.96841535</v>
      </c>
    </row>
    <row r="10718" spans="1:2" x14ac:dyDescent="0.25">
      <c r="A10718">
        <f ca="1">30101.6648939971*((RANDBETWEEN(1620,2416)))</f>
        <v>56199808.357092544</v>
      </c>
      <c r="B10718">
        <v>168668339.95821881</v>
      </c>
    </row>
    <row r="10719" spans="1:2" x14ac:dyDescent="0.25">
      <c r="A10719">
        <f ca="1">34317.5360402621*((RANDBETWEEN(1620,2416)))</f>
        <v>76322200.153542906</v>
      </c>
      <c r="B10719">
        <v>200138115.54532158</v>
      </c>
    </row>
    <row r="10720" spans="1:2" x14ac:dyDescent="0.25">
      <c r="A10720">
        <f ca="1">32877.1938722613*((RANDBETWEEN(1620,2416)))</f>
        <v>54641896.215698242</v>
      </c>
      <c r="B10720">
        <v>148783868.54885796</v>
      </c>
    </row>
    <row r="10721" spans="1:2" x14ac:dyDescent="0.25">
      <c r="A10721">
        <f ca="1">40483.0696528801*((RANDBETWEEN(1620,2416)))</f>
        <v>76836866.201166525</v>
      </c>
      <c r="B10721">
        <v>161561106.81919855</v>
      </c>
    </row>
    <row r="10722" spans="1:2" x14ac:dyDescent="0.25">
      <c r="A10722">
        <f ca="1">35720.7479323325*((RANDBETWEEN(1620,2416)))</f>
        <v>85658353.541733295</v>
      </c>
      <c r="B10722">
        <v>152318270.7940743</v>
      </c>
    </row>
    <row r="10723" spans="1:2" x14ac:dyDescent="0.25">
      <c r="A10723">
        <f ca="1">26627.0684958739*((RANDBETWEEN(1620,2416)))</f>
        <v>63239287.67770046</v>
      </c>
      <c r="B10723">
        <v>144717569.59323448</v>
      </c>
    </row>
    <row r="10724" spans="1:2" x14ac:dyDescent="0.25">
      <c r="A10724">
        <f ca="1">31232.6141929276*((RANDBETWEEN(1620,2416)))</f>
        <v>53782561.640221372</v>
      </c>
      <c r="B10724">
        <v>192367248.00970298</v>
      </c>
    </row>
    <row r="10725" spans="1:2" x14ac:dyDescent="0.25">
      <c r="A10725">
        <f ca="1">35546.6103659138*((RANDBETWEEN(1620,2416)))</f>
        <v>66010055.449501961</v>
      </c>
      <c r="B10725">
        <v>144860710.42151731</v>
      </c>
    </row>
    <row r="10726" spans="1:2" x14ac:dyDescent="0.25">
      <c r="A10726">
        <f ca="1">30474.9961836983*((RANDBETWEEN(1620,2416)))</f>
        <v>53331243.321472049</v>
      </c>
      <c r="B10726">
        <v>151945063.17892057</v>
      </c>
    </row>
    <row r="10727" spans="1:2" x14ac:dyDescent="0.25">
      <c r="A10727">
        <f ca="1">32591.5231267112*((RANDBETWEEN(1620,2416)))</f>
        <v>67464452.872292176</v>
      </c>
      <c r="B10727">
        <v>144079624.93577045</v>
      </c>
    </row>
    <row r="10728" spans="1:2" x14ac:dyDescent="0.25">
      <c r="A10728">
        <f ca="1">40375.9711938675*((RANDBETWEEN(1620,2416)))</f>
        <v>67104864.12420778</v>
      </c>
      <c r="B10728">
        <v>157616166.83206132</v>
      </c>
    </row>
    <row r="10729" spans="1:2" x14ac:dyDescent="0.25">
      <c r="A10729">
        <f ca="1">35776.2877010219*((RANDBETWEEN(1620,2416)))</f>
        <v>59352861.29599537</v>
      </c>
      <c r="B10729">
        <v>147021423.66328371</v>
      </c>
    </row>
    <row r="10730" spans="1:2" x14ac:dyDescent="0.25">
      <c r="A10730">
        <f ca="1">31224.1404631012*((RANDBETWEEN(1620,2416)))</f>
        <v>69848402.215957418</v>
      </c>
      <c r="B10730">
        <v>156787082.70918</v>
      </c>
    </row>
    <row r="10731" spans="1:2" x14ac:dyDescent="0.25">
      <c r="A10731">
        <f ca="1">39670.3251706738*((RANDBETWEEN(1620,2416)))</f>
        <v>69938783.275897905</v>
      </c>
      <c r="B10731">
        <v>177572232.36162668</v>
      </c>
    </row>
    <row r="10732" spans="1:2" x14ac:dyDescent="0.25">
      <c r="A10732">
        <f ca="1">34168.4629727646*((RANDBETWEEN(1620,2416)))</f>
        <v>66867682.03770037</v>
      </c>
      <c r="B10732">
        <v>150403176.63049871</v>
      </c>
    </row>
    <row r="10733" spans="1:2" x14ac:dyDescent="0.25">
      <c r="A10733">
        <f ca="1">32756.1385347921*((RANDBETWEEN(1620,2416)))</f>
        <v>63317615.787753172</v>
      </c>
      <c r="B10733">
        <v>188121309.08585244</v>
      </c>
    </row>
    <row r="10734" spans="1:2" x14ac:dyDescent="0.25">
      <c r="A10734">
        <f ca="1">31986.4706324924*((RANDBETWEEN(1620,2416)))</f>
        <v>66723777.739379115</v>
      </c>
      <c r="B10734">
        <v>166701950.76418704</v>
      </c>
    </row>
    <row r="10735" spans="1:2" x14ac:dyDescent="0.25">
      <c r="A10735">
        <f ca="1">36148.6026847283*((RANDBETWEEN(1620,2416)))</f>
        <v>67380995.404333547</v>
      </c>
      <c r="B10735">
        <v>170708702.24854928</v>
      </c>
    </row>
    <row r="10736" spans="1:2" x14ac:dyDescent="0.25">
      <c r="A10736">
        <f ca="1">38941.9160386439*((RANDBETWEEN(1620,2416)))</f>
        <v>70796403.358254597</v>
      </c>
      <c r="B10736">
        <v>190587428.47910774</v>
      </c>
    </row>
    <row r="10737" spans="1:2" x14ac:dyDescent="0.25">
      <c r="A10737">
        <f ca="1">31507.8386577847*((RANDBETWEEN(1620,2416)))</f>
        <v>51987933.785344698</v>
      </c>
      <c r="B10737">
        <v>166303551.9381865</v>
      </c>
    </row>
    <row r="10738" spans="1:2" x14ac:dyDescent="0.25">
      <c r="A10738">
        <f ca="1">30606.0054134316*((RANDBETWEEN(1620,2416)))</f>
        <v>56896564.063569352</v>
      </c>
      <c r="B10738">
        <v>172468668.57434124</v>
      </c>
    </row>
    <row r="10739" spans="1:2" x14ac:dyDescent="0.25">
      <c r="A10739">
        <f ca="1">30769.0049997174*((RANDBETWEEN(1620,2416)))</f>
        <v>73137924.884328157</v>
      </c>
      <c r="B10739">
        <v>172291149.38446218</v>
      </c>
    </row>
    <row r="10740" spans="1:2" x14ac:dyDescent="0.25">
      <c r="A10740">
        <f ca="1">30275.4968813721*((RANDBETWEEN(1620,2416)))</f>
        <v>68967581.895765573</v>
      </c>
      <c r="B10740">
        <v>152718805.90700638</v>
      </c>
    </row>
    <row r="10741" spans="1:2" x14ac:dyDescent="0.25">
      <c r="A10741">
        <f ca="1">34410.607395334*((RANDBETWEEN(1620,2416)))</f>
        <v>60528258.408392496</v>
      </c>
      <c r="B10741">
        <v>165748191.4912405</v>
      </c>
    </row>
    <row r="10742" spans="1:2" x14ac:dyDescent="0.25">
      <c r="A10742">
        <f ca="1">38329.9744553176*((RANDBETWEEN(1620,2416)))</f>
        <v>90267089.842273027</v>
      </c>
      <c r="B10742">
        <v>166417534.91762608</v>
      </c>
    </row>
    <row r="10743" spans="1:2" x14ac:dyDescent="0.25">
      <c r="A10743">
        <f ca="1">31608.3742705797*((RANDBETWEEN(1620,2416)))</f>
        <v>75512406.132414788</v>
      </c>
      <c r="B10743">
        <v>144294576.90624934</v>
      </c>
    </row>
    <row r="10744" spans="1:2" x14ac:dyDescent="0.25">
      <c r="A10744">
        <f ca="1">31006.8625832332*((RANDBETWEEN(1620,2416)))</f>
        <v>71811893.742768094</v>
      </c>
      <c r="B10744">
        <v>161565884.92344326</v>
      </c>
    </row>
    <row r="10745" spans="1:2" x14ac:dyDescent="0.25">
      <c r="A10745">
        <f ca="1">34515.5783250933*((RANDBETWEEN(1620,2416)))</f>
        <v>75243960.748703405</v>
      </c>
      <c r="B10745">
        <v>180193080.6972661</v>
      </c>
    </row>
    <row r="10746" spans="1:2" x14ac:dyDescent="0.25">
      <c r="A10746">
        <f ca="1">33918.6653604772*((RANDBETWEEN(1620,2416)))</f>
        <v>74688901.123770759</v>
      </c>
      <c r="B10746">
        <v>203097761.83620104</v>
      </c>
    </row>
    <row r="10747" spans="1:2" x14ac:dyDescent="0.25">
      <c r="A10747">
        <f ca="1">33264.3673024691*((RANDBETWEEN(1620,2416)))</f>
        <v>60308297.919376418</v>
      </c>
      <c r="B10747">
        <v>171701145.11125979</v>
      </c>
    </row>
    <row r="10748" spans="1:2" x14ac:dyDescent="0.25">
      <c r="A10748">
        <f ca="1">31687.6468613297*((RANDBETWEEN(1620,2416)))</f>
        <v>67272874.286603019</v>
      </c>
      <c r="B10748">
        <v>170111064.85465121</v>
      </c>
    </row>
    <row r="10749" spans="1:2" x14ac:dyDescent="0.25">
      <c r="A10749">
        <f ca="1">38762.8515881453*((RANDBETWEEN(1620,2416)))</f>
        <v>86053530.525682643</v>
      </c>
      <c r="B10749">
        <v>193543454.46338624</v>
      </c>
    </row>
    <row r="10750" spans="1:2" x14ac:dyDescent="0.25">
      <c r="A10750">
        <f ca="1">29299.7203247552*((RANDBETWEEN(1620,2416)))</f>
        <v>50043922.314681865</v>
      </c>
      <c r="B10750">
        <v>154308224.88180733</v>
      </c>
    </row>
    <row r="10751" spans="1:2" x14ac:dyDescent="0.25">
      <c r="A10751">
        <f ca="1">31876.5406528963*((RANDBETWEEN(1620,2416)))</f>
        <v>52436909.374014385</v>
      </c>
      <c r="B10751">
        <v>164602110.17071036</v>
      </c>
    </row>
    <row r="10752" spans="1:2" x14ac:dyDescent="0.25">
      <c r="A10752">
        <f ca="1">32706.5079325694*((RANDBETWEEN(1620,2416)))</f>
        <v>69403209.832912177</v>
      </c>
      <c r="B10752">
        <v>189598442.52539992</v>
      </c>
    </row>
    <row r="10753" spans="1:2" x14ac:dyDescent="0.25">
      <c r="A10753">
        <f ca="1">28912.348105531*((RANDBETWEEN(1620,2416)))</f>
        <v>49960537.526357636</v>
      </c>
      <c r="B10753">
        <v>152313464.0764021</v>
      </c>
    </row>
    <row r="10754" spans="1:2" x14ac:dyDescent="0.25">
      <c r="A10754">
        <f ca="1">30992.8440847013*((RANDBETWEEN(1620,2416)))</f>
        <v>53369677.513855606</v>
      </c>
      <c r="B10754">
        <v>170514529.78547949</v>
      </c>
    </row>
    <row r="10755" spans="1:2" x14ac:dyDescent="0.25">
      <c r="A10755">
        <f ca="1">31248.5242643477*((RANDBETWEEN(1620,2416)))</f>
        <v>72684067.438872829</v>
      </c>
      <c r="B10755">
        <v>159350165.62087131</v>
      </c>
    </row>
    <row r="10756" spans="1:2" x14ac:dyDescent="0.25">
      <c r="A10756">
        <f ca="1">29336.9978521947*((RANDBETWEEN(1620,2416)))</f>
        <v>55417588.942795783</v>
      </c>
      <c r="B10756">
        <v>168816504.94895363</v>
      </c>
    </row>
    <row r="10757" spans="1:2" x14ac:dyDescent="0.25">
      <c r="A10757">
        <f ca="1">31230.9991907126*((RANDBETWEEN(1620,2416)))</f>
        <v>71518988.146731794</v>
      </c>
      <c r="B10757">
        <v>161568021.25632793</v>
      </c>
    </row>
    <row r="10758" spans="1:2" x14ac:dyDescent="0.25">
      <c r="A10758">
        <f ca="1">32526.0178940347*((RANDBETWEEN(1620,2416)))</f>
        <v>68597371.738519266</v>
      </c>
      <c r="B10758">
        <v>170176894.60313594</v>
      </c>
    </row>
    <row r="10759" spans="1:2" x14ac:dyDescent="0.25">
      <c r="A10759">
        <f ca="1">29921.8811088012*((RANDBETWEEN(1620,2416)))</f>
        <v>55295636.289064676</v>
      </c>
      <c r="B10759">
        <v>164920506.55248666</v>
      </c>
    </row>
    <row r="10760" spans="1:2" x14ac:dyDescent="0.25">
      <c r="A10760">
        <f ca="1">32589.0036958665*((RANDBETWEEN(1620,2416)))</f>
        <v>67231114.62457262</v>
      </c>
      <c r="B10760">
        <v>158909924.4624036</v>
      </c>
    </row>
    <row r="10761" spans="1:2" x14ac:dyDescent="0.25">
      <c r="A10761">
        <f ca="1">37838.1494229077*((RANDBETWEEN(1620,2416)))</f>
        <v>74276287.317167893</v>
      </c>
      <c r="B10761">
        <v>172355828.74862641</v>
      </c>
    </row>
    <row r="10762" spans="1:2" x14ac:dyDescent="0.25">
      <c r="A10762">
        <f ca="1">35814.9753336499*((RANDBETWEEN(1620,2416)))</f>
        <v>67618673.429931089</v>
      </c>
      <c r="B10762">
        <v>168189309.70529523</v>
      </c>
    </row>
    <row r="10763" spans="1:2" x14ac:dyDescent="0.25">
      <c r="A10763">
        <f ca="1">30088.1012489081*((RANDBETWEEN(1620,2416)))</f>
        <v>56716070.854191735</v>
      </c>
      <c r="B10763">
        <v>149110338.51180798</v>
      </c>
    </row>
    <row r="10764" spans="1:2" x14ac:dyDescent="0.25">
      <c r="A10764">
        <f ca="1">30520.4883958343*((RANDBETWEEN(1620,2416)))</f>
        <v>63268972.444564499</v>
      </c>
      <c r="B10764">
        <v>153517891.79643795</v>
      </c>
    </row>
    <row r="10765" spans="1:2" x14ac:dyDescent="0.25">
      <c r="A10765">
        <f ca="1">31477.798836921*((RANDBETWEEN(1620,2416)))</f>
        <v>52819746.448353462</v>
      </c>
      <c r="B10765">
        <v>186033232.74949518</v>
      </c>
    </row>
    <row r="10766" spans="1:2" x14ac:dyDescent="0.25">
      <c r="A10766">
        <f ca="1">30586.4731606867*((RANDBETWEEN(1620,2416)))</f>
        <v>62794029.39888972</v>
      </c>
      <c r="B10766">
        <v>173842256.68497011</v>
      </c>
    </row>
    <row r="10767" spans="1:2" x14ac:dyDescent="0.25">
      <c r="A10767">
        <f ca="1">38738.8736787445*((RANDBETWEEN(1620,2416)))</f>
        <v>85729127.451061487</v>
      </c>
      <c r="B10767">
        <v>196689535.35136515</v>
      </c>
    </row>
    <row r="10768" spans="1:2" x14ac:dyDescent="0.25">
      <c r="A10768">
        <f ca="1">30126.3608282594*((RANDBETWEEN(1620,2416)))</f>
        <v>66519004.708796836</v>
      </c>
      <c r="B10768">
        <v>195948803.51629373</v>
      </c>
    </row>
    <row r="10769" spans="1:2" x14ac:dyDescent="0.25">
      <c r="A10769">
        <f ca="1">36122.7691572924*((RANDBETWEEN(1620,2416)))</f>
        <v>71197978.009023279</v>
      </c>
      <c r="B10769">
        <v>152880487.77721411</v>
      </c>
    </row>
    <row r="10770" spans="1:2" x14ac:dyDescent="0.25">
      <c r="A10770">
        <f ca="1">34085.1465403991*((RANDBETWEEN(1620,2416)))</f>
        <v>69772294.968196988</v>
      </c>
      <c r="B10770">
        <v>176111609.95013994</v>
      </c>
    </row>
    <row r="10771" spans="1:2" x14ac:dyDescent="0.25">
      <c r="A10771">
        <f ca="1">31059.5531271845*((RANDBETWEEN(1620,2416)))</f>
        <v>54757992.163226269</v>
      </c>
      <c r="B10771">
        <v>178113855.13937292</v>
      </c>
    </row>
    <row r="10772" spans="1:2" x14ac:dyDescent="0.25">
      <c r="A10772">
        <f ca="1">39510.1937715495*((RANDBETWEEN(1620,2416)))</f>
        <v>80482264.71264632</v>
      </c>
      <c r="B10772">
        <v>147547537.62206638</v>
      </c>
    </row>
    <row r="10773" spans="1:2" x14ac:dyDescent="0.25">
      <c r="A10773">
        <f ca="1">30488.728067785*((RANDBETWEEN(1620,2416)))</f>
        <v>52684522.101132482</v>
      </c>
      <c r="B10773">
        <v>170135984.74587423</v>
      </c>
    </row>
    <row r="10774" spans="1:2" x14ac:dyDescent="0.25">
      <c r="A10774">
        <f ca="1">32397.7111464384*((RANDBETWEEN(1620,2416)))</f>
        <v>56242426.55021701</v>
      </c>
      <c r="B10774">
        <v>150552059.23978707</v>
      </c>
    </row>
    <row r="10775" spans="1:2" x14ac:dyDescent="0.25">
      <c r="A10775">
        <f ca="1">30971.8932271004*((RANDBETWEEN(1620,2416)))</f>
        <v>59806725.821530797</v>
      </c>
      <c r="B10775">
        <v>203331921.9811708</v>
      </c>
    </row>
    <row r="10776" spans="1:2" x14ac:dyDescent="0.25">
      <c r="A10776">
        <f ca="1">32044.5721533549*((RANDBETWEEN(1620,2416)))</f>
        <v>69312409.567706659</v>
      </c>
      <c r="B10776">
        <v>174462060.35122222</v>
      </c>
    </row>
    <row r="10777" spans="1:2" x14ac:dyDescent="0.25">
      <c r="A10777">
        <f ca="1">34707.1382167294*((RANDBETWEEN(1620,2416)))</f>
        <v>82880646.061549813</v>
      </c>
      <c r="B10777">
        <v>193059421.0002847</v>
      </c>
    </row>
    <row r="10778" spans="1:2" x14ac:dyDescent="0.25">
      <c r="A10778">
        <f ca="1">30610.5468556671*((RANDBETWEEN(1620,2416)))</f>
        <v>50262517.937005393</v>
      </c>
      <c r="B10778">
        <v>158866758.72378898</v>
      </c>
    </row>
    <row r="10779" spans="1:2" x14ac:dyDescent="0.25">
      <c r="A10779">
        <f ca="1">39592.6503695596*((RANDBETWEEN(1620,2416)))</f>
        <v>90231650.192226216</v>
      </c>
      <c r="B10779">
        <v>184576594.73544523</v>
      </c>
    </row>
    <row r="10780" spans="1:2" x14ac:dyDescent="0.25">
      <c r="A10780">
        <f ca="1">32370.7977701505*((RANDBETWEEN(1620,2416)))</f>
        <v>54123973.871691696</v>
      </c>
      <c r="B10780">
        <v>147700986.30212581</v>
      </c>
    </row>
    <row r="10781" spans="1:2" x14ac:dyDescent="0.25">
      <c r="A10781">
        <f ca="1">29928.9982063858*((RANDBETWEEN(1620,2416)))</f>
        <v>69046198.862132013</v>
      </c>
      <c r="B10781">
        <v>146214618.96675488</v>
      </c>
    </row>
    <row r="10782" spans="1:2" x14ac:dyDescent="0.25">
      <c r="A10782">
        <f ca="1">37923.458788746*((RANDBETWEEN(1620,2416)))</f>
        <v>61549773.614134781</v>
      </c>
      <c r="B10782">
        <v>188017310.00067776</v>
      </c>
    </row>
    <row r="10783" spans="1:2" x14ac:dyDescent="0.25">
      <c r="A10783">
        <f ca="1">31600.3889156931*((RANDBETWEEN(1620,2416)))</f>
        <v>71100875.06030944</v>
      </c>
      <c r="B10783">
        <v>199728995.379695</v>
      </c>
    </row>
    <row r="10784" spans="1:2" x14ac:dyDescent="0.25">
      <c r="A10784">
        <f ca="1">35430.9741336613*((RANDBETWEEN(1620,2416)))</f>
        <v>73979873.991084784</v>
      </c>
      <c r="B10784">
        <v>145585288.02398944</v>
      </c>
    </row>
    <row r="10785" spans="1:2" x14ac:dyDescent="0.25">
      <c r="A10785">
        <f ca="1">30657.3263345469*((RANDBETWEEN(1620,2416)))</f>
        <v>56348165.802897178</v>
      </c>
      <c r="B10785">
        <v>159587032.35704154</v>
      </c>
    </row>
    <row r="10786" spans="1:2" x14ac:dyDescent="0.25">
      <c r="A10786">
        <f ca="1">31624.3359711369*((RANDBETWEEN(1620,2416)))</f>
        <v>60718725.064582817</v>
      </c>
      <c r="B10786">
        <v>171785554.97283286</v>
      </c>
    </row>
    <row r="10787" spans="1:2" x14ac:dyDescent="0.25">
      <c r="A10787">
        <f ca="1">30772.0650252147*((RANDBETWEEN(1620,2416)))</f>
        <v>54035746.184277102</v>
      </c>
      <c r="B10787">
        <v>188857679.89414918</v>
      </c>
    </row>
    <row r="10788" spans="1:2" x14ac:dyDescent="0.25">
      <c r="A10788">
        <f ca="1">41159.7838984208*((RANDBETWEEN(1620,2416)))</f>
        <v>78080110.055304304</v>
      </c>
      <c r="B10788">
        <v>148234936.09633815</v>
      </c>
    </row>
    <row r="10789" spans="1:2" x14ac:dyDescent="0.25">
      <c r="A10789">
        <f ca="1">29799.2101104281*((RANDBETWEEN(1620,2416)))</f>
        <v>51731428.751703113</v>
      </c>
      <c r="B10789">
        <v>145065943.29015544</v>
      </c>
    </row>
    <row r="10790" spans="1:2" x14ac:dyDescent="0.25">
      <c r="A10790">
        <f ca="1">33632.435285681*((RANDBETWEEN(1620,2416)))</f>
        <v>55258091.17437394</v>
      </c>
      <c r="B10790">
        <v>152416826.69994304</v>
      </c>
    </row>
    <row r="10791" spans="1:2" x14ac:dyDescent="0.25">
      <c r="A10791">
        <f ca="1">41443.2744029443*((RANDBETWEEN(1620,2416)))</f>
        <v>76504284.547835097</v>
      </c>
      <c r="B10791">
        <v>146024217.59922236</v>
      </c>
    </row>
    <row r="10792" spans="1:2" x14ac:dyDescent="0.25">
      <c r="A10792">
        <f ca="1">41225.7708663796*((RANDBETWEEN(1620,2416)))</f>
        <v>93706177.179280818</v>
      </c>
      <c r="B10792">
        <v>179407692.20736074</v>
      </c>
    </row>
    <row r="10793" spans="1:2" x14ac:dyDescent="0.25">
      <c r="A10793">
        <f ca="1">30535.3561296577*((RANDBETWEEN(1620,2416)))</f>
        <v>73651278.984734342</v>
      </c>
      <c r="B10793">
        <v>152710320.29791519</v>
      </c>
    </row>
    <row r="10794" spans="1:2" x14ac:dyDescent="0.25">
      <c r="A10794">
        <f ca="1">36599.8295579857*((RANDBETWEEN(1620,2416)))</f>
        <v>88168989.405187637</v>
      </c>
      <c r="B10794">
        <v>160086693.61190936</v>
      </c>
    </row>
    <row r="10795" spans="1:2" x14ac:dyDescent="0.25">
      <c r="A10795">
        <f ca="1">33301.1799104614*((RANDBETWEEN(1620,2416)))</f>
        <v>64204674.867369644</v>
      </c>
      <c r="B10795">
        <v>144204142.9101904</v>
      </c>
    </row>
    <row r="10796" spans="1:2" x14ac:dyDescent="0.25">
      <c r="A10796">
        <f ca="1">31136.9945467323*((RANDBETWEEN(1620,2416)))</f>
        <v>56731604.064146265</v>
      </c>
      <c r="B10796">
        <v>195369481.86128947</v>
      </c>
    </row>
    <row r="10797" spans="1:2" x14ac:dyDescent="0.25">
      <c r="A10797">
        <f ca="1">31171.0214874216*((RANDBETWEEN(1620,2416)))</f>
        <v>53707670.022827417</v>
      </c>
      <c r="B10797">
        <v>161591601.98928192</v>
      </c>
    </row>
    <row r="10798" spans="1:2" x14ac:dyDescent="0.25">
      <c r="A10798">
        <f ca="1">30571.3877677323*((RANDBETWEEN(1620,2416)))</f>
        <v>62946487.413760863</v>
      </c>
      <c r="B10798">
        <v>144524669.86911082</v>
      </c>
    </row>
    <row r="10799" spans="1:2" x14ac:dyDescent="0.25">
      <c r="A10799">
        <f ca="1">29695.6263433662*((RANDBETWEEN(1620,2416)))</f>
        <v>51700085.463800542</v>
      </c>
      <c r="B10799">
        <v>151010290.11703089</v>
      </c>
    </row>
    <row r="10800" spans="1:2" x14ac:dyDescent="0.25">
      <c r="A10800">
        <f ca="1">34312.6590879284*((RANDBETWEEN(1620,2416)))</f>
        <v>56101197.608762957</v>
      </c>
      <c r="B10800">
        <v>154493441.72356093</v>
      </c>
    </row>
    <row r="10801" spans="1:2" x14ac:dyDescent="0.25">
      <c r="A10801">
        <f ca="1">29806.3269709009*((RANDBETWEEN(1620,2416)))</f>
        <v>51922621.583309367</v>
      </c>
      <c r="B10801">
        <v>195768100.42451748</v>
      </c>
    </row>
    <row r="10802" spans="1:2" x14ac:dyDescent="0.25">
      <c r="A10802">
        <f ca="1">33080.7489019843*((RANDBETWEEN(1620,2416)))</f>
        <v>64540541.107771382</v>
      </c>
      <c r="B10802">
        <v>143685775.67419308</v>
      </c>
    </row>
    <row r="10803" spans="1:2" x14ac:dyDescent="0.25">
      <c r="A10803">
        <f ca="1">34920.9376140092*((RANDBETWEEN(1620,2416)))</f>
        <v>84264222.46260421</v>
      </c>
      <c r="B10803">
        <v>174169355.18931103</v>
      </c>
    </row>
    <row r="10804" spans="1:2" x14ac:dyDescent="0.25">
      <c r="A10804">
        <f ca="1">34039.1586859071*((RANDBETWEEN(1620,2416)))</f>
        <v>76588107.043290928</v>
      </c>
      <c r="B10804">
        <v>149471825.14252913</v>
      </c>
    </row>
    <row r="10805" spans="1:2" x14ac:dyDescent="0.25">
      <c r="A10805">
        <f ca="1">41640.8147154383*((RANDBETWEEN(1620,2416)))</f>
        <v>92609171.927134886</v>
      </c>
      <c r="B10805">
        <v>149455779.27774927</v>
      </c>
    </row>
    <row r="10806" spans="1:2" x14ac:dyDescent="0.25">
      <c r="A10806">
        <f ca="1">32292.4119104549*((RANDBETWEEN(1620,2416)))</f>
        <v>70429750.376702219</v>
      </c>
      <c r="B10806">
        <v>155432945.53563103</v>
      </c>
    </row>
    <row r="10807" spans="1:2" x14ac:dyDescent="0.25">
      <c r="A10807">
        <f ca="1">28232.7470006249*((RANDBETWEEN(1620,2416)))</f>
        <v>67391567.090491682</v>
      </c>
      <c r="B10807">
        <v>171339059.44316748</v>
      </c>
    </row>
    <row r="10808" spans="1:2" x14ac:dyDescent="0.25">
      <c r="A10808">
        <f ca="1">31661.4017867606*((RANDBETWEEN(1620,2416)))</f>
        <v>72662917.100615531</v>
      </c>
      <c r="B10808">
        <v>179513538.74222633</v>
      </c>
    </row>
    <row r="10809" spans="1:2" x14ac:dyDescent="0.25">
      <c r="A10809">
        <f ca="1">38624.2004428312*((RANDBETWEEN(1620,2416)))</f>
        <v>65583892.351927437</v>
      </c>
      <c r="B10809">
        <v>152296398.48745865</v>
      </c>
    </row>
    <row r="10810" spans="1:2" x14ac:dyDescent="0.25">
      <c r="A10810">
        <f ca="1">31773.5175683223*((RANDBETWEEN(1620,2416)))</f>
        <v>65961822.471837111</v>
      </c>
      <c r="B10810">
        <v>165778357.64812288</v>
      </c>
    </row>
    <row r="10811" spans="1:2" x14ac:dyDescent="0.25">
      <c r="A10811">
        <f ca="1">33002.0327522335*((RANDBETWEEN(1620,2416)))</f>
        <v>66928122.421529628</v>
      </c>
      <c r="B10811">
        <v>169084871.47948086</v>
      </c>
    </row>
    <row r="10812" spans="1:2" x14ac:dyDescent="0.25">
      <c r="A10812">
        <f ca="1">32887.7998377466*((RANDBETWEEN(1620,2416)))</f>
        <v>78897831.810754076</v>
      </c>
      <c r="B10812">
        <v>161301408.90130991</v>
      </c>
    </row>
    <row r="10813" spans="1:2" x14ac:dyDescent="0.25">
      <c r="A10813">
        <f ca="1">30403.1438329124*((RANDBETWEEN(1620,2416)))</f>
        <v>60806287.665824786</v>
      </c>
      <c r="B10813">
        <v>158619537.032547</v>
      </c>
    </row>
    <row r="10814" spans="1:2" x14ac:dyDescent="0.25">
      <c r="A10814">
        <f ca="1">42839.7245859301*((RANDBETWEEN(1620,2416)))</f>
        <v>94590111.885733575</v>
      </c>
      <c r="B10814">
        <v>175713696.64864963</v>
      </c>
    </row>
    <row r="10815" spans="1:2" x14ac:dyDescent="0.25">
      <c r="A10815">
        <f ca="1">35019.4944512934*((RANDBETWEEN(1620,2416)))</f>
        <v>59988393.995065562</v>
      </c>
      <c r="B10815">
        <v>143071572.94275078</v>
      </c>
    </row>
    <row r="10816" spans="1:2" x14ac:dyDescent="0.25">
      <c r="A10816">
        <f ca="1">35879.1751739921*((RANDBETWEEN(1620,2416)))</f>
        <v>63793173.459357932</v>
      </c>
      <c r="B10816">
        <v>164416994.78837097</v>
      </c>
    </row>
    <row r="10817" spans="1:2" x14ac:dyDescent="0.25">
      <c r="A10817">
        <f ca="1">33549.424629609*((RANDBETWEEN(1620,2416)))</f>
        <v>65152982.630700648</v>
      </c>
      <c r="B10817">
        <v>163396934.13518077</v>
      </c>
    </row>
    <row r="10818" spans="1:2" x14ac:dyDescent="0.25">
      <c r="A10818">
        <f ca="1">30063.7283204793*((RANDBETWEEN(1620,2416)))</f>
        <v>48763367.335817352</v>
      </c>
      <c r="B10818">
        <v>195084972.4721055</v>
      </c>
    </row>
    <row r="10819" spans="1:2" x14ac:dyDescent="0.25">
      <c r="A10819">
        <f ca="1">33082.0551380845*((RANDBETWEEN(1620,2416)))</f>
        <v>54651555.08811564</v>
      </c>
      <c r="B10819">
        <v>162117468.40240443</v>
      </c>
    </row>
    <row r="10820" spans="1:2" x14ac:dyDescent="0.25">
      <c r="A10820">
        <f ca="1">34021.2389843194*((RANDBETWEEN(1620,2416)))</f>
        <v>81378803.650492102</v>
      </c>
      <c r="B10820">
        <v>179885887.19951308</v>
      </c>
    </row>
    <row r="10821" spans="1:2" x14ac:dyDescent="0.25">
      <c r="A10821">
        <f ca="1">32037.012538164*((RANDBETWEEN(1620,2416)))</f>
        <v>60197546.559210204</v>
      </c>
      <c r="B10821">
        <v>170552557.94585729</v>
      </c>
    </row>
    <row r="10822" spans="1:2" x14ac:dyDescent="0.25">
      <c r="A10822">
        <f ca="1">32149.3022755829*((RANDBETWEEN(1620,2416)))</f>
        <v>55071754.798073508</v>
      </c>
      <c r="B10822">
        <v>162254615.58400214</v>
      </c>
    </row>
    <row r="10823" spans="1:2" x14ac:dyDescent="0.25">
      <c r="A10823">
        <f ca="1">30615.5416348397*((RANDBETWEEN(1620,2416)))</f>
        <v>73232375.590536535</v>
      </c>
      <c r="B10823">
        <v>184593619.78156298</v>
      </c>
    </row>
    <row r="10824" spans="1:2" x14ac:dyDescent="0.25">
      <c r="A10824">
        <f ca="1">38032.2000947673*((RANDBETWEEN(1620,2416)))</f>
        <v>62106582.754755013</v>
      </c>
      <c r="B10824">
        <v>150098774.38127607</v>
      </c>
    </row>
    <row r="10825" spans="1:2" x14ac:dyDescent="0.25">
      <c r="A10825">
        <f ca="1">31892.0048095088*((RANDBETWEEN(1620,2416)))</f>
        <v>55492088.368545286</v>
      </c>
      <c r="B10825">
        <v>148608110.02040109</v>
      </c>
    </row>
    <row r="10826" spans="1:2" x14ac:dyDescent="0.25">
      <c r="A10826">
        <f ca="1">29526.1040089861*((RANDBETWEEN(1620,2416)))</f>
        <v>57487324.505495861</v>
      </c>
      <c r="B10826">
        <v>172837949.41827551</v>
      </c>
    </row>
    <row r="10827" spans="1:2" x14ac:dyDescent="0.25">
      <c r="A10827">
        <f ca="1">31774.1404407507*((RANDBETWEEN(1620,2416)))</f>
        <v>62181992.84254913</v>
      </c>
      <c r="B10827">
        <v>175305478.15079835</v>
      </c>
    </row>
    <row r="10828" spans="1:2" x14ac:dyDescent="0.25">
      <c r="A10828">
        <f ca="1">31877.3265873571*((RANDBETWEEN(1620,2416)))</f>
        <v>60630675.169153236</v>
      </c>
      <c r="B10828">
        <v>147406982.12619823</v>
      </c>
    </row>
    <row r="10829" spans="1:2" x14ac:dyDescent="0.25">
      <c r="A10829">
        <f ca="1">33749.9179442689*((RANDBETWEEN(1620,2416)))</f>
        <v>56801111.900204614</v>
      </c>
      <c r="B10829">
        <v>160520990.4237414</v>
      </c>
    </row>
    <row r="10830" spans="1:2" x14ac:dyDescent="0.25">
      <c r="A10830">
        <f ca="1">35573.7105846628*((RANDBETWEEN(1620,2416)))</f>
        <v>65811364.581626214</v>
      </c>
      <c r="B10830">
        <v>166821057.12351009</v>
      </c>
    </row>
    <row r="10831" spans="1:2" x14ac:dyDescent="0.25">
      <c r="A10831">
        <f ca="1">31474.4305322162*((RANDBETWEEN(1620,2416)))</f>
        <v>73933437.320175827</v>
      </c>
      <c r="B10831">
        <v>197691419.43068138</v>
      </c>
    </row>
    <row r="10832" spans="1:2" x14ac:dyDescent="0.25">
      <c r="A10832">
        <f ca="1">31703.8574992422*((RANDBETWEEN(1620,2416)))</f>
        <v>55101304.333682917</v>
      </c>
      <c r="B10832">
        <v>191588103.83996969</v>
      </c>
    </row>
    <row r="10833" spans="1:2" x14ac:dyDescent="0.25">
      <c r="A10833">
        <f ca="1">32263.3219727338*((RANDBETWEEN(1620,2416)))</f>
        <v>57396449.789493509</v>
      </c>
      <c r="B10833">
        <v>156025079.34860522</v>
      </c>
    </row>
    <row r="10834" spans="1:2" x14ac:dyDescent="0.25">
      <c r="A10834">
        <f ca="1">30533.507219432*((RANDBETWEEN(1620,2416)))</f>
        <v>69585862.953085601</v>
      </c>
      <c r="B10834">
        <v>193861557.23066097</v>
      </c>
    </row>
    <row r="10835" spans="1:2" x14ac:dyDescent="0.25">
      <c r="A10835">
        <f ca="1">40363.7470103542*((RANDBETWEEN(1620,2416)))</f>
        <v>76892938.054724693</v>
      </c>
      <c r="B10835">
        <v>144961055.22721744</v>
      </c>
    </row>
    <row r="10836" spans="1:2" x14ac:dyDescent="0.25">
      <c r="A10836">
        <f ca="1">31914.4892239598*((RANDBETWEEN(1620,2416)))</f>
        <v>70339534.249607354</v>
      </c>
      <c r="B10836">
        <v>149509046.2269415</v>
      </c>
    </row>
    <row r="10837" spans="1:2" x14ac:dyDescent="0.25">
      <c r="A10837">
        <f ca="1">32524.4614665222*((RANDBETWEEN(1620,2416)))</f>
        <v>65406692.009176075</v>
      </c>
      <c r="B10837">
        <v>175835039.72679698</v>
      </c>
    </row>
    <row r="10838" spans="1:2" x14ac:dyDescent="0.25">
      <c r="A10838">
        <f ca="1">30066.9654775997*((RANDBETWEEN(1620,2416)))</f>
        <v>58029243.371767417</v>
      </c>
      <c r="B10838">
        <v>143082080.91043818</v>
      </c>
    </row>
    <row r="10839" spans="1:2" x14ac:dyDescent="0.25">
      <c r="A10839">
        <f ca="1">40443.4636035079*((RANDBETWEEN(1620,2416)))</f>
        <v>86063690.548264906</v>
      </c>
      <c r="B10839">
        <v>174617507.19400147</v>
      </c>
    </row>
    <row r="10840" spans="1:2" x14ac:dyDescent="0.25">
      <c r="A10840">
        <f ca="1">37395.5543842216*((RANDBETWEEN(1620,2416)))</f>
        <v>85635819.539867535</v>
      </c>
      <c r="B10840">
        <v>151278787.29340714</v>
      </c>
    </row>
    <row r="10841" spans="1:2" x14ac:dyDescent="0.25">
      <c r="A10841">
        <f ca="1">31008.7853961782*((RANDBETWEEN(1620,2416)))</f>
        <v>65273493.258955114</v>
      </c>
      <c r="B10841">
        <v>155609718.19701019</v>
      </c>
    </row>
    <row r="10842" spans="1:2" x14ac:dyDescent="0.25">
      <c r="A10842">
        <f ca="1">31059.4618878953*((RANDBETWEEN(1620,2416)))</f>
        <v>67616448.52994813</v>
      </c>
      <c r="B10842">
        <v>197661308.5951463</v>
      </c>
    </row>
    <row r="10843" spans="1:2" x14ac:dyDescent="0.25">
      <c r="A10843">
        <f ca="1">30927.2841897717*((RANDBETWEEN(1620,2416)))</f>
        <v>62349404.926579833</v>
      </c>
      <c r="B10843">
        <v>143724164.01381013</v>
      </c>
    </row>
    <row r="10844" spans="1:2" x14ac:dyDescent="0.25">
      <c r="A10844">
        <f ca="1">35032.8200777184*((RANDBETWEEN(1620,2416)))</f>
        <v>65266143.804789387</v>
      </c>
      <c r="B10844">
        <v>168985631.58588979</v>
      </c>
    </row>
    <row r="10845" spans="1:2" x14ac:dyDescent="0.25">
      <c r="A10845">
        <f ca="1">36620.8752116983*((RANDBETWEEN(1620,2416)))</f>
        <v>83312491.106613532</v>
      </c>
      <c r="B10845">
        <v>185081252.86459297</v>
      </c>
    </row>
    <row r="10846" spans="1:2" x14ac:dyDescent="0.25">
      <c r="A10846">
        <f ca="1">31301.5525817789*((RANDBETWEEN(1620,2416)))</f>
        <v>59347743.695052803</v>
      </c>
      <c r="B10846">
        <v>169422040.10323572</v>
      </c>
    </row>
    <row r="10847" spans="1:2" x14ac:dyDescent="0.25">
      <c r="A10847">
        <f ca="1">40623.1821038476*((RANDBETWEEN(1620,2416)))</f>
        <v>86852363.338026151</v>
      </c>
      <c r="B10847">
        <v>196220077.82674325</v>
      </c>
    </row>
    <row r="10848" spans="1:2" x14ac:dyDescent="0.25">
      <c r="A10848">
        <f ca="1">29973.4234858774*((RANDBETWEEN(1620,2416)))</f>
        <v>57429079.398941211</v>
      </c>
      <c r="B10848">
        <v>177055267.81179628</v>
      </c>
    </row>
    <row r="10849" spans="1:2" x14ac:dyDescent="0.25">
      <c r="A10849">
        <f ca="1">35381.5055562651*((RANDBETWEEN(1620,2416)))</f>
        <v>80316017.612721756</v>
      </c>
      <c r="B10849">
        <v>153843474.48003682</v>
      </c>
    </row>
    <row r="10850" spans="1:2" x14ac:dyDescent="0.25">
      <c r="A10850">
        <f ca="1">29704.8654666558*((RANDBETWEEN(1620,2416)))</f>
        <v>52310268.086780921</v>
      </c>
      <c r="B10850">
        <v>168883807.78501979</v>
      </c>
    </row>
    <row r="10851" spans="1:2" x14ac:dyDescent="0.25">
      <c r="A10851">
        <f ca="1">32905.0726377766*((RANDBETWEEN(1620,2416)))</f>
        <v>74233843.870823905</v>
      </c>
      <c r="B10851">
        <v>173079088.6476078</v>
      </c>
    </row>
    <row r="10852" spans="1:2" x14ac:dyDescent="0.25">
      <c r="A10852">
        <f ca="1">30478.9194450201*((RANDBETWEEN(1620,2416)))</f>
        <v>54648702.564921036</v>
      </c>
      <c r="B10852">
        <v>175584684.8168315</v>
      </c>
    </row>
    <row r="10853" spans="1:2" x14ac:dyDescent="0.25">
      <c r="A10853">
        <f ca="1">29322.4941558387*((RANDBETWEEN(1620,2416)))</f>
        <v>61137400.314923733</v>
      </c>
      <c r="B10853">
        <v>147740826.37937051</v>
      </c>
    </row>
    <row r="10854" spans="1:2" x14ac:dyDescent="0.25">
      <c r="A10854">
        <f ca="1">30913.7298839646*((RANDBETWEEN(1620,2416)))</f>
        <v>64764264.106905781</v>
      </c>
      <c r="B10854">
        <v>197881149.90712622</v>
      </c>
    </row>
    <row r="10855" spans="1:2" x14ac:dyDescent="0.25">
      <c r="A10855">
        <f ca="1">34966.9319134665*((RANDBETWEEN(1620,2416)))</f>
        <v>71787111.2183467</v>
      </c>
      <c r="B10855">
        <v>160228685.75849521</v>
      </c>
    </row>
    <row r="10856" spans="1:2" x14ac:dyDescent="0.25">
      <c r="A10856">
        <f ca="1">34009.9713969352*((RANDBETWEEN(1620,2416)))</f>
        <v>79787392.897209868</v>
      </c>
      <c r="B10856">
        <v>157130059.79420283</v>
      </c>
    </row>
    <row r="10857" spans="1:2" x14ac:dyDescent="0.25">
      <c r="A10857">
        <f ca="1">35616.5451849165*((RANDBETWEEN(1620,2416)))</f>
        <v>84731760.994916439</v>
      </c>
      <c r="B10857">
        <v>182503804.28300607</v>
      </c>
    </row>
    <row r="10858" spans="1:2" x14ac:dyDescent="0.25">
      <c r="A10858">
        <f ca="1">40375.1214680322*((RANDBETWEEN(1620,2416)))</f>
        <v>81396244.879552826</v>
      </c>
      <c r="B10858">
        <v>184560384.29538363</v>
      </c>
    </row>
    <row r="10859" spans="1:2" x14ac:dyDescent="0.25">
      <c r="A10859">
        <f ca="1">31265.448869474*((RANDBETWEEN(1620,2416)))</f>
        <v>52963670.38488894</v>
      </c>
      <c r="B10859">
        <v>188090170.86638629</v>
      </c>
    </row>
    <row r="10860" spans="1:2" x14ac:dyDescent="0.25">
      <c r="A10860">
        <f ca="1">28064.3755960612*((RANDBETWEEN(1620,2416)))</f>
        <v>49533622.927048028</v>
      </c>
      <c r="B10860">
        <v>177084341.23438883</v>
      </c>
    </row>
    <row r="10861" spans="1:2" x14ac:dyDescent="0.25">
      <c r="A10861">
        <f ca="1">40263.6988307796*((RANDBETWEEN(1620,2416)))</f>
        <v>78272630.527035475</v>
      </c>
      <c r="B10861">
        <v>188723873.63465455</v>
      </c>
    </row>
    <row r="10862" spans="1:2" x14ac:dyDescent="0.25">
      <c r="A10862">
        <f ca="1">31065.1239118558*((RANDBETWEEN(1620,2416)))</f>
        <v>61105098.734620377</v>
      </c>
      <c r="B10862">
        <v>191962483.82293278</v>
      </c>
    </row>
    <row r="10863" spans="1:2" x14ac:dyDescent="0.25">
      <c r="A10863">
        <f ca="1">41440.2113267823*((RANDBETWEEN(1620,2416)))</f>
        <v>93406236.330567345</v>
      </c>
      <c r="B10863">
        <v>176311266.15635931</v>
      </c>
    </row>
    <row r="10864" spans="1:2" x14ac:dyDescent="0.25">
      <c r="A10864">
        <f ca="1">33358.2831402532*((RANDBETWEEN(1620,2416)))</f>
        <v>76790767.788862824</v>
      </c>
      <c r="B10864">
        <v>182806968.60141206</v>
      </c>
    </row>
    <row r="10865" spans="1:2" x14ac:dyDescent="0.25">
      <c r="A10865">
        <f ca="1">29569.108355771*((RANDBETWEEN(1620,2416)))</f>
        <v>66057388.066792451</v>
      </c>
      <c r="B10865">
        <v>147651465.18833125</v>
      </c>
    </row>
    <row r="10866" spans="1:2" x14ac:dyDescent="0.25">
      <c r="A10866">
        <f ca="1">32695.145839402*((RANDBETWEEN(1620,2416)))</f>
        <v>77127849.035149246</v>
      </c>
      <c r="B10866">
        <v>172276001.15455568</v>
      </c>
    </row>
    <row r="10867" spans="1:2" x14ac:dyDescent="0.25">
      <c r="A10867">
        <f ca="1">30076.6185980114*((RANDBETWEEN(1620,2416)))</f>
        <v>60875076.042375013</v>
      </c>
      <c r="B10867">
        <v>162508224.34941587</v>
      </c>
    </row>
    <row r="10868" spans="1:2" x14ac:dyDescent="0.25">
      <c r="A10868">
        <f ca="1">32235.9676616319*((RANDBETWEEN(1620,2416)))</f>
        <v>69952049.825741127</v>
      </c>
      <c r="B10868">
        <v>198352982.55266365</v>
      </c>
    </row>
    <row r="10869" spans="1:2" x14ac:dyDescent="0.25">
      <c r="A10869">
        <f ca="1">30837.4939633295*((RANDBETWEEN(1620,2416)))</f>
        <v>69631061.36919792</v>
      </c>
      <c r="B10869">
        <v>184914423.13239115</v>
      </c>
    </row>
    <row r="10870" spans="1:2" x14ac:dyDescent="0.25">
      <c r="A10870">
        <f ca="1">29782.550392654*((RANDBETWEEN(1620,2416)))</f>
        <v>60756402.801014148</v>
      </c>
      <c r="B10870">
        <v>172218762.24160737</v>
      </c>
    </row>
    <row r="10871" spans="1:2" x14ac:dyDescent="0.25">
      <c r="A10871">
        <f ca="1">35110.0226861982*((RANDBETWEEN(1620,2416)))</f>
        <v>62987380.699039519</v>
      </c>
      <c r="B10871">
        <v>144346617.38445738</v>
      </c>
    </row>
    <row r="10872" spans="1:2" x14ac:dyDescent="0.25">
      <c r="A10872">
        <f ca="1">37731.302766228*((RANDBETWEEN(1620,2416)))</f>
        <v>81424151.369520038</v>
      </c>
      <c r="B10872">
        <v>145727154.50742605</v>
      </c>
    </row>
    <row r="10873" spans="1:2" x14ac:dyDescent="0.25">
      <c r="A10873">
        <f ca="1">35271.3251908592*((RANDBETWEEN(1620,2416)))</f>
        <v>69872495.203092098</v>
      </c>
      <c r="B10873">
        <v>189778442.26970971</v>
      </c>
    </row>
    <row r="10874" spans="1:2" x14ac:dyDescent="0.25">
      <c r="A10874">
        <f ca="1">28751.5328052659*((RANDBETWEEN(1620,2416)))</f>
        <v>50401437.007631071</v>
      </c>
      <c r="B10874">
        <v>146485105.50381312</v>
      </c>
    </row>
    <row r="10875" spans="1:2" x14ac:dyDescent="0.25">
      <c r="A10875">
        <f ca="1">29491.6633644274*((RANDBETWEEN(1620,2416)))</f>
        <v>47864969.640465729</v>
      </c>
      <c r="B10875">
        <v>153836680.62547556</v>
      </c>
    </row>
    <row r="10876" spans="1:2" x14ac:dyDescent="0.25">
      <c r="A10876">
        <f ca="1">34320.2574518362*((RANDBETWEEN(1620,2416)))</f>
        <v>76705775.40485394</v>
      </c>
      <c r="B10876">
        <v>154630912.77669954</v>
      </c>
    </row>
    <row r="10877" spans="1:2" x14ac:dyDescent="0.25">
      <c r="A10877">
        <f ca="1">37423.3310304135*((RANDBETWEEN(1620,2416)))</f>
        <v>86896974.652620241</v>
      </c>
      <c r="B10877">
        <v>201709308.82612997</v>
      </c>
    </row>
    <row r="10878" spans="1:2" x14ac:dyDescent="0.25">
      <c r="A10878">
        <f ca="1">28135.1018050151*((RANDBETWEEN(1620,2416)))</f>
        <v>64485653.337094605</v>
      </c>
      <c r="B10878">
        <v>150500708.80702379</v>
      </c>
    </row>
    <row r="10879" spans="1:2" x14ac:dyDescent="0.25">
      <c r="A10879">
        <f ca="1">30087.5680223807*((RANDBETWEEN(1620,2416)))</f>
        <v>54247885.144352369</v>
      </c>
      <c r="B10879">
        <v>148721288.17111838</v>
      </c>
    </row>
    <row r="10880" spans="1:2" x14ac:dyDescent="0.25">
      <c r="A10880">
        <f ca="1">32858.6360104043*((RANDBETWEEN(1620,2416)))</f>
        <v>78597857.336887151</v>
      </c>
      <c r="B10880">
        <v>187043979.56493533</v>
      </c>
    </row>
    <row r="10881" spans="1:2" x14ac:dyDescent="0.25">
      <c r="A10881">
        <f ca="1">30593.2276120792*((RANDBETWEEN(1620,2416)))</f>
        <v>53354588.955466211</v>
      </c>
      <c r="B10881">
        <v>156674841.67426902</v>
      </c>
    </row>
    <row r="10882" spans="1:2" x14ac:dyDescent="0.25">
      <c r="A10882">
        <f ca="1">30741.1768214803*((RANDBETWEEN(1620,2416)))</f>
        <v>63849424.258214533</v>
      </c>
      <c r="B10882">
        <v>147755614.94821161</v>
      </c>
    </row>
    <row r="10883" spans="1:2" x14ac:dyDescent="0.25">
      <c r="A10883">
        <f ca="1">36098.1073080368*((RANDBETWEEN(1620,2416)))</f>
        <v>78910462.575368628</v>
      </c>
      <c r="B10883">
        <v>189452247.06164947</v>
      </c>
    </row>
    <row r="10884" spans="1:2" x14ac:dyDescent="0.25">
      <c r="A10884">
        <f ca="1">30302.2983586406*((RANDBETWEEN(1620,2416)))</f>
        <v>68725612.677396953</v>
      </c>
      <c r="B10884">
        <v>199047546.74610621</v>
      </c>
    </row>
    <row r="10885" spans="1:2" x14ac:dyDescent="0.25">
      <c r="A10885">
        <f ca="1">32230.0224416775*((RANDBETWEEN(1620,2416)))</f>
        <v>77706584.10688448</v>
      </c>
      <c r="B10885">
        <v>187084445.75333413</v>
      </c>
    </row>
    <row r="10886" spans="1:2" x14ac:dyDescent="0.25">
      <c r="A10886">
        <f ca="1">30230.0478659206*((RANDBETWEEN(1620,2416)))</f>
        <v>57951001.758969828</v>
      </c>
      <c r="B10886">
        <v>146538857.22981161</v>
      </c>
    </row>
    <row r="10887" spans="1:2" x14ac:dyDescent="0.25">
      <c r="A10887">
        <f ca="1">30996.5383875038*((RANDBETWEEN(1620,2416)))</f>
        <v>74763650.590659052</v>
      </c>
      <c r="B10887">
        <v>194488698.27346525</v>
      </c>
    </row>
    <row r="10888" spans="1:2" x14ac:dyDescent="0.25">
      <c r="A10888">
        <f ca="1">31820.3004662034*((RANDBETWEEN(1620,2416)))</f>
        <v>71150191.842430741</v>
      </c>
      <c r="B10888">
        <v>148271370.20005864</v>
      </c>
    </row>
    <row r="10889" spans="1:2" x14ac:dyDescent="0.25">
      <c r="A10889">
        <f ca="1">32679.7620134397*((RANDBETWEEN(1620,2416)))</f>
        <v>68856258.562317446</v>
      </c>
      <c r="B10889">
        <v>150531385.70183623</v>
      </c>
    </row>
    <row r="10890" spans="1:2" x14ac:dyDescent="0.25">
      <c r="A10890">
        <f ca="1">31783.6014173313*((RANDBETWEEN(1620,2416)))</f>
        <v>66777346.577812992</v>
      </c>
      <c r="B10890">
        <v>143508027.41639379</v>
      </c>
    </row>
    <row r="10891" spans="1:2" x14ac:dyDescent="0.25">
      <c r="A10891">
        <f ca="1">29069.356608396*((RANDBETWEEN(1620,2416)))</f>
        <v>53894587.151966214</v>
      </c>
      <c r="B10891">
        <v>145723510.26368582</v>
      </c>
    </row>
    <row r="10892" spans="1:2" x14ac:dyDescent="0.25">
      <c r="A10892">
        <f ca="1">37914.1322974056*((RANDBETWEEN(1620,2416)))</f>
        <v>80908758.322663501</v>
      </c>
      <c r="B10892">
        <v>146885054.59739363</v>
      </c>
    </row>
    <row r="10893" spans="1:2" x14ac:dyDescent="0.25">
      <c r="A10893">
        <f ca="1">34261.6133784973*((RANDBETWEEN(1620,2416)))</f>
        <v>59546684.051828369</v>
      </c>
      <c r="B10893">
        <v>143270715.98614317</v>
      </c>
    </row>
    <row r="10894" spans="1:2" x14ac:dyDescent="0.25">
      <c r="A10894">
        <f ca="1">30017.0308908022*((RANDBETWEEN(1620,2416)))</f>
        <v>70389937.438931108</v>
      </c>
      <c r="B10894">
        <v>154762693.0571335</v>
      </c>
    </row>
    <row r="10895" spans="1:2" x14ac:dyDescent="0.25">
      <c r="A10895">
        <f ca="1">31351.4417683896*((RANDBETWEEN(1620,2416)))</f>
        <v>63956941.207514733</v>
      </c>
      <c r="B10895">
        <v>168773258.71288314</v>
      </c>
    </row>
    <row r="10896" spans="1:2" x14ac:dyDescent="0.25">
      <c r="A10896">
        <f ca="1">37252.6266818132*((RANDBETWEEN(1620,2416)))</f>
        <v>62100128.678582661</v>
      </c>
      <c r="B10896">
        <v>189957116.53040698</v>
      </c>
    </row>
    <row r="10897" spans="1:2" x14ac:dyDescent="0.25">
      <c r="A10897">
        <f ca="1">28898.9349799104*((RANDBETWEEN(1620,2416)))</f>
        <v>48463513.961309686</v>
      </c>
      <c r="B10897">
        <v>148538428.59913477</v>
      </c>
    </row>
    <row r="10898" spans="1:2" x14ac:dyDescent="0.25">
      <c r="A10898">
        <f ca="1">34915.0024821357*((RANDBETWEEN(1620,2416)))</f>
        <v>71645585.093342498</v>
      </c>
      <c r="B10898">
        <v>171579749.00609398</v>
      </c>
    </row>
    <row r="10899" spans="1:2" x14ac:dyDescent="0.25">
      <c r="A10899">
        <f ca="1">29084.2246429224*((RANDBETWEEN(1620,2416)))</f>
        <v>50926477.349757202</v>
      </c>
      <c r="B10899">
        <v>154589959.29476187</v>
      </c>
    </row>
    <row r="10900" spans="1:2" x14ac:dyDescent="0.25">
      <c r="A10900">
        <f ca="1">37386.9575801757*((RANDBETWEEN(1620,2416)))</f>
        <v>84457137.173616871</v>
      </c>
      <c r="B10900">
        <v>180296584.7484442</v>
      </c>
    </row>
    <row r="10901" spans="1:2" x14ac:dyDescent="0.25">
      <c r="A10901">
        <f ca="1">29231.9125847999*((RANDBETWEEN(1620,2416)))</f>
        <v>70215054.02868937</v>
      </c>
      <c r="B10901">
        <v>173597501.01263174</v>
      </c>
    </row>
    <row r="10902" spans="1:2" x14ac:dyDescent="0.25">
      <c r="A10902">
        <f ca="1">40691.2987871667*((RANDBETWEEN(1620,2416)))</f>
        <v>84393753.684583828</v>
      </c>
      <c r="B10902">
        <v>151114250.75977206</v>
      </c>
    </row>
    <row r="10903" spans="1:2" x14ac:dyDescent="0.25">
      <c r="A10903">
        <f ca="1">37582.8960444633*((RANDBETWEEN(1620,2416)))</f>
        <v>76293278.970260531</v>
      </c>
      <c r="B10903">
        <v>143164953.19812781</v>
      </c>
    </row>
    <row r="10904" spans="1:2" x14ac:dyDescent="0.25">
      <c r="A10904">
        <f ca="1">32152.3328099139*((RANDBETWEEN(1620,2416)))</f>
        <v>75590134.436107546</v>
      </c>
      <c r="B10904">
        <v>165211014.11294264</v>
      </c>
    </row>
    <row r="10905" spans="1:2" x14ac:dyDescent="0.25">
      <c r="A10905">
        <f ca="1">39003.926789709*((RANDBETWEEN(1620,2416)))</f>
        <v>80036057.772482768</v>
      </c>
      <c r="B10905">
        <v>177945241.65168205</v>
      </c>
    </row>
    <row r="10906" spans="1:2" x14ac:dyDescent="0.25">
      <c r="A10906">
        <f ca="1">29492.4767922165*((RANDBETWEEN(1620,2416)))</f>
        <v>61550799.065355815</v>
      </c>
      <c r="B10906">
        <v>174846925.12937135</v>
      </c>
    </row>
    <row r="10907" spans="1:2" x14ac:dyDescent="0.25">
      <c r="A10907">
        <f ca="1">31229.2961036275*((RANDBETWEEN(1620,2416)))</f>
        <v>67205445.215006307</v>
      </c>
      <c r="B10907">
        <v>161934875.54489556</v>
      </c>
    </row>
    <row r="10908" spans="1:2" x14ac:dyDescent="0.25">
      <c r="A10908">
        <f ca="1">36219.5839604564*((RANDBETWEEN(1620,2416)))</f>
        <v>68020378.677737132</v>
      </c>
      <c r="B10908">
        <v>200466999.00465524</v>
      </c>
    </row>
    <row r="10909" spans="1:2" x14ac:dyDescent="0.25">
      <c r="A10909">
        <f ca="1">30318.0091324157*((RANDBETWEEN(1620,2416)))</f>
        <v>51904431.634695731</v>
      </c>
      <c r="B10909">
        <v>178651891.67657217</v>
      </c>
    </row>
    <row r="10910" spans="1:2" x14ac:dyDescent="0.25">
      <c r="A10910">
        <f ca="1">31119.898392768*((RANDBETWEEN(1620,2416)))</f>
        <v>72198164.271221727</v>
      </c>
      <c r="B10910">
        <v>146977697.58726239</v>
      </c>
    </row>
    <row r="10911" spans="1:2" x14ac:dyDescent="0.25">
      <c r="A10911">
        <f ca="1">29535.4192424384*((RANDBETWEEN(1620,2416)))</f>
        <v>68640314.319426805</v>
      </c>
      <c r="B10911">
        <v>177967864.19428337</v>
      </c>
    </row>
    <row r="10912" spans="1:2" x14ac:dyDescent="0.25">
      <c r="A10912">
        <f ca="1">30964.0170514502*((RANDBETWEEN(1620,2416)))</f>
        <v>68089873.496139064</v>
      </c>
      <c r="B10912">
        <v>150164691.83804578</v>
      </c>
    </row>
    <row r="10913" spans="1:2" x14ac:dyDescent="0.25">
      <c r="A10913">
        <f ca="1">32562.4765849406*((RANDBETWEEN(1620,2416)))</f>
        <v>62650204.949425697</v>
      </c>
      <c r="B10913">
        <v>197118994.49756357</v>
      </c>
    </row>
    <row r="10914" spans="1:2" x14ac:dyDescent="0.25">
      <c r="A10914">
        <f ca="1">30504.4629323435*((RANDBETWEEN(1620,2416)))</f>
        <v>65157532.823485672</v>
      </c>
      <c r="B10914">
        <v>187427867.63311538</v>
      </c>
    </row>
    <row r="10915" spans="1:2" x14ac:dyDescent="0.25">
      <c r="A10915">
        <f ca="1">32126.9554758018*((RANDBETWEEN(1620,2416)))</f>
        <v>70165270.759151161</v>
      </c>
      <c r="B10915">
        <v>155474373.48270792</v>
      </c>
    </row>
    <row r="10916" spans="1:2" x14ac:dyDescent="0.25">
      <c r="A10916">
        <f ca="1">36385.7557510011*((RANDBETWEEN(1620,2416)))</f>
        <v>82923137.356531531</v>
      </c>
      <c r="B10916">
        <v>144399551.1873832</v>
      </c>
    </row>
    <row r="10917" spans="1:2" x14ac:dyDescent="0.25">
      <c r="A10917">
        <f ca="1">30194.1795526401*((RANDBETWEEN(1620,2416)))</f>
        <v>51390493.598593511</v>
      </c>
      <c r="B10917">
        <v>151034818.91552424</v>
      </c>
    </row>
    <row r="10918" spans="1:2" x14ac:dyDescent="0.25">
      <c r="A10918">
        <f ca="1">29971.1338563576*((RANDBETWEEN(1620,2416)))</f>
        <v>68244271.790926337</v>
      </c>
      <c r="B10918">
        <v>178927876.20020023</v>
      </c>
    </row>
    <row r="10919" spans="1:2" x14ac:dyDescent="0.25">
      <c r="A10919">
        <f ca="1">31172.5985029974*((RANDBETWEEN(1620,2416)))</f>
        <v>53024590.053598523</v>
      </c>
      <c r="B10919">
        <v>159535494.26346114</v>
      </c>
    </row>
    <row r="10920" spans="1:2" x14ac:dyDescent="0.25">
      <c r="A10920">
        <f ca="1">31238.3900408116*((RANDBETWEEN(1620,2416)))</f>
        <v>52949071.119175591</v>
      </c>
      <c r="B10920">
        <v>173971771.15757889</v>
      </c>
    </row>
    <row r="10921" spans="1:2" x14ac:dyDescent="0.25">
      <c r="A10921">
        <f ca="1">29644.6853151591*((RANDBETWEEN(1620,2416)))</f>
        <v>66581963.217847399</v>
      </c>
      <c r="B10921">
        <v>178414115.92204392</v>
      </c>
    </row>
    <row r="10922" spans="1:2" x14ac:dyDescent="0.25">
      <c r="A10922">
        <f ca="1">34308.5965641781*((RANDBETWEEN(1620,2416)))</f>
        <v>58839243.107565381</v>
      </c>
      <c r="B10922">
        <v>172651537.90337873</v>
      </c>
    </row>
    <row r="10923" spans="1:2" x14ac:dyDescent="0.25">
      <c r="A10923">
        <f ca="1">31527.83195082*((RANDBETWEEN(1620,2416)))</f>
        <v>65294139.970148198</v>
      </c>
      <c r="B10923">
        <v>165537464.32547843</v>
      </c>
    </row>
    <row r="10924" spans="1:2" x14ac:dyDescent="0.25">
      <c r="A10924">
        <f ca="1">29460.9460728551*((RANDBETWEEN(1620,2416)))</f>
        <v>56034719.430570461</v>
      </c>
      <c r="B10924">
        <v>155587839.70648682</v>
      </c>
    </row>
    <row r="10925" spans="1:2" x14ac:dyDescent="0.25">
      <c r="A10925">
        <f ca="1">41627.1968734344*((RANDBETWEEN(1620,2416)))</f>
        <v>71349015.441066563</v>
      </c>
      <c r="B10925">
        <v>148272408.06266272</v>
      </c>
    </row>
    <row r="10926" spans="1:2" x14ac:dyDescent="0.25">
      <c r="A10926">
        <f ca="1">30960.7292657398*((RANDBETWEEN(1620,2416)))</f>
        <v>68856661.887005329</v>
      </c>
      <c r="B10926">
        <v>144793062.90770194</v>
      </c>
    </row>
    <row r="10927" spans="1:2" x14ac:dyDescent="0.25">
      <c r="A10927">
        <f ca="1">30587.2424680555*((RANDBETWEEN(1620,2416)))</f>
        <v>56494636.838498466</v>
      </c>
      <c r="B10927">
        <v>173948102.43842107</v>
      </c>
    </row>
    <row r="10928" spans="1:2" x14ac:dyDescent="0.25">
      <c r="A10928">
        <f ca="1">37230.8410513363*((RANDBETWEEN(1620,2416)))</f>
        <v>71371522.295411661</v>
      </c>
      <c r="B10928">
        <v>148665560.19928485</v>
      </c>
    </row>
    <row r="10929" spans="1:2" x14ac:dyDescent="0.25">
      <c r="A10929">
        <f ca="1">31193.0776851888*((RANDBETWEEN(1620,2416)))</f>
        <v>74738614.133712307</v>
      </c>
      <c r="B10929">
        <v>148337403.45770997</v>
      </c>
    </row>
    <row r="10930" spans="1:2" x14ac:dyDescent="0.25">
      <c r="A10930">
        <f ca="1">35265.714373714*((RANDBETWEEN(1620,2416)))</f>
        <v>76138677.332848564</v>
      </c>
      <c r="B10930">
        <v>158072172.91654426</v>
      </c>
    </row>
    <row r="10931" spans="1:2" x14ac:dyDescent="0.25">
      <c r="A10931">
        <f ca="1">33414.2934318074*((RANDBETWEEN(1620,2416)))</f>
        <v>74380217.179203272</v>
      </c>
      <c r="B10931">
        <v>157257346.72707164</v>
      </c>
    </row>
    <row r="10932" spans="1:2" x14ac:dyDescent="0.25">
      <c r="A10932">
        <f ca="1">41585.8804994852*((RANDBETWEEN(1620,2416)))</f>
        <v>83753963.325963184</v>
      </c>
      <c r="B10932">
        <v>155722768.98373818</v>
      </c>
    </row>
    <row r="10933" spans="1:2" x14ac:dyDescent="0.25">
      <c r="A10933">
        <f ca="1">32043.8546132336*((RANDBETWEEN(1620,2416)))</f>
        <v>53897763.459458865</v>
      </c>
      <c r="B10933">
        <v>159497035.74893087</v>
      </c>
    </row>
    <row r="10934" spans="1:2" x14ac:dyDescent="0.25">
      <c r="A10934">
        <f ca="1">39610.7390405756*((RANDBETWEEN(1620,2416)))</f>
        <v>67694753.020343736</v>
      </c>
      <c r="B10934">
        <v>202870439.54647136</v>
      </c>
    </row>
    <row r="10935" spans="1:2" x14ac:dyDescent="0.25">
      <c r="A10935">
        <f ca="1">33022.9540850262*((RANDBETWEEN(1620,2416)))</f>
        <v>60200845.2970028</v>
      </c>
      <c r="B10935">
        <v>169238870.11465505</v>
      </c>
    </row>
    <row r="10936" spans="1:2" x14ac:dyDescent="0.25">
      <c r="A10936">
        <f ca="1">30754.1957099682*((RANDBETWEEN(1620,2416)))</f>
        <v>57018278.846280999</v>
      </c>
      <c r="B10936">
        <v>178010994.12199566</v>
      </c>
    </row>
    <row r="10937" spans="1:2" x14ac:dyDescent="0.25">
      <c r="A10937">
        <f ca="1">31136.704727743*((RANDBETWEEN(1620,2416)))</f>
        <v>55111967.368105084</v>
      </c>
      <c r="B10937">
        <v>184320074.8198109</v>
      </c>
    </row>
    <row r="10938" spans="1:2" x14ac:dyDescent="0.25">
      <c r="A10938">
        <f ca="1">37406.4756994701*((RANDBETWEEN(1620,2416)))</f>
        <v>66583526.745056771</v>
      </c>
      <c r="B10938">
        <v>167040018.50900045</v>
      </c>
    </row>
    <row r="10939" spans="1:2" x14ac:dyDescent="0.25">
      <c r="A10939">
        <f ca="1">34910.6316017883*((RANDBETWEEN(1620,2416)))</f>
        <v>63327885.725643925</v>
      </c>
      <c r="B10939">
        <v>194703193.82075706</v>
      </c>
    </row>
    <row r="10940" spans="1:2" x14ac:dyDescent="0.25">
      <c r="A10940">
        <f ca="1">37002.7916365022*((RANDBETWEEN(1620,2416)))</f>
        <v>74930653.063916877</v>
      </c>
      <c r="B10940">
        <v>173144694.67645502</v>
      </c>
    </row>
    <row r="10941" spans="1:2" x14ac:dyDescent="0.25">
      <c r="A10941">
        <f ca="1">30856.6667669141*((RANDBETWEEN(1620,2416)))</f>
        <v>70723480.229767099</v>
      </c>
      <c r="B10941">
        <v>152592587.13962498</v>
      </c>
    </row>
    <row r="10942" spans="1:2" x14ac:dyDescent="0.25">
      <c r="A10942">
        <f ca="1">32945.7228250519*((RANDBETWEEN(1620,2416)))</f>
        <v>60455401.383970216</v>
      </c>
      <c r="B10942">
        <v>150843087.66885248</v>
      </c>
    </row>
    <row r="10943" spans="1:2" x14ac:dyDescent="0.25">
      <c r="A10943">
        <f ca="1">29927.2315032346*((RANDBETWEEN(1620,2416)))</f>
        <v>64403402.1949609</v>
      </c>
      <c r="B10943">
        <v>144654280.17821252</v>
      </c>
    </row>
    <row r="10944" spans="1:2" x14ac:dyDescent="0.25">
      <c r="A10944">
        <f ca="1">31917.7752155244*((RANDBETWEEN(1620,2416)))</f>
        <v>74017320.724801198</v>
      </c>
      <c r="B10944">
        <v>183555683.7448577</v>
      </c>
    </row>
    <row r="10945" spans="1:2" x14ac:dyDescent="0.25">
      <c r="A10945">
        <f ca="1">39198.3545851504*((RANDBETWEEN(1620,2416)))</f>
        <v>78396709.170300975</v>
      </c>
      <c r="B10945">
        <v>148720461.03391969</v>
      </c>
    </row>
    <row r="10946" spans="1:2" x14ac:dyDescent="0.25">
      <c r="A10946">
        <f ca="1">31707.1502078284*((RANDBETWEEN(1620,2416)))</f>
        <v>68170372.946831167</v>
      </c>
      <c r="B10946">
        <v>160800467.17144069</v>
      </c>
    </row>
    <row r="10947" spans="1:2" x14ac:dyDescent="0.25">
      <c r="A10947">
        <f ca="1">34085.6538374137*((RANDBETWEEN(1620,2416)))</f>
        <v>56070900.56254556</v>
      </c>
      <c r="B10947">
        <v>183683246.69489008</v>
      </c>
    </row>
    <row r="10948" spans="1:2" x14ac:dyDescent="0.25">
      <c r="A10948">
        <f ca="1">31171.3773082611*((RANDBETWEEN(1620,2416)))</f>
        <v>60815357.128417425</v>
      </c>
      <c r="B10948">
        <v>159481496.03370199</v>
      </c>
    </row>
    <row r="10949" spans="1:2" x14ac:dyDescent="0.25">
      <c r="A10949">
        <f ca="1">31603.3481018825*((RANDBETWEEN(1620,2416)))</f>
        <v>72466477.197616607</v>
      </c>
      <c r="B10949">
        <v>195973437.32444358</v>
      </c>
    </row>
    <row r="10950" spans="1:2" x14ac:dyDescent="0.25">
      <c r="A10950">
        <f ca="1">31870.6406991833*((RANDBETWEEN(1620,2416)))</f>
        <v>67820723.407862023</v>
      </c>
      <c r="B10950">
        <v>164791044.15299681</v>
      </c>
    </row>
    <row r="10951" spans="1:2" x14ac:dyDescent="0.25">
      <c r="A10951">
        <f ca="1">32107.7256077104*((RANDBETWEEN(1620,2416)))</f>
        <v>73558799.367264599</v>
      </c>
      <c r="B10951">
        <v>181853777.31347618</v>
      </c>
    </row>
    <row r="10952" spans="1:2" x14ac:dyDescent="0.25">
      <c r="A10952">
        <f ca="1">28687.4336490114*((RANDBETWEEN(1620,2416)))</f>
        <v>61362420.575235434</v>
      </c>
      <c r="B10952">
        <v>143054873.73238355</v>
      </c>
    </row>
    <row r="10953" spans="1:2" x14ac:dyDescent="0.25">
      <c r="A10953">
        <f ca="1">29086.0934454602*((RANDBETWEEN(1620,2416)))</f>
        <v>54100133.808555894</v>
      </c>
      <c r="B10953">
        <v>173395312.98695564</v>
      </c>
    </row>
    <row r="10954" spans="1:2" x14ac:dyDescent="0.25">
      <c r="A10954">
        <f ca="1">30046.3388228362*((RANDBETWEEN(1620,2416)))</f>
        <v>57839202.233959712</v>
      </c>
      <c r="B10954">
        <v>162768993.01680067</v>
      </c>
    </row>
    <row r="10955" spans="1:2" x14ac:dyDescent="0.25">
      <c r="A10955">
        <f ca="1">30793.2996453501*((RANDBETWEEN(1620,2416)))</f>
        <v>67221773.125799164</v>
      </c>
      <c r="B10955">
        <v>193030425.43953866</v>
      </c>
    </row>
    <row r="10956" spans="1:2" x14ac:dyDescent="0.25">
      <c r="A10956">
        <f ca="1">29010.5525729795*((RANDBETWEEN(1620,2416)))</f>
        <v>55671250.387547612</v>
      </c>
      <c r="B10956">
        <v>197048862.05570671</v>
      </c>
    </row>
    <row r="10957" spans="1:2" x14ac:dyDescent="0.25">
      <c r="A10957">
        <f ca="1">31297.4680891838*((RANDBETWEEN(1620,2416)))</f>
        <v>72391043.690282136</v>
      </c>
      <c r="B10957">
        <v>145494781.13631737</v>
      </c>
    </row>
    <row r="10958" spans="1:2" x14ac:dyDescent="0.25">
      <c r="A10958">
        <f ca="1">33563.9936235742*((RANDBETWEEN(1620,2416)))</f>
        <v>73639402.010121807</v>
      </c>
      <c r="B10958">
        <v>158964359.28426933</v>
      </c>
    </row>
    <row r="10959" spans="1:2" x14ac:dyDescent="0.25">
      <c r="A10959">
        <f ca="1">33480.8667985403*((RANDBETWEEN(1620,2416)))</f>
        <v>77039474.503441155</v>
      </c>
      <c r="B10959">
        <v>168232195.16231161</v>
      </c>
    </row>
    <row r="10960" spans="1:2" x14ac:dyDescent="0.25">
      <c r="A10960">
        <f ca="1">33927.2281422221*((RANDBETWEEN(1620,2416)))</f>
        <v>67922310.740728721</v>
      </c>
      <c r="B10960">
        <v>155064594.52376878</v>
      </c>
    </row>
    <row r="10961" spans="1:2" x14ac:dyDescent="0.25">
      <c r="A10961">
        <f ca="1">37645.9447215879*((RANDBETWEEN(1620,2416)))</f>
        <v>73296654.372931615</v>
      </c>
      <c r="B10961">
        <v>143011518.96813038</v>
      </c>
    </row>
    <row r="10962" spans="1:2" x14ac:dyDescent="0.25">
      <c r="A10962">
        <f ca="1">32577.6037313991*((RANDBETWEEN(1620,2416)))</f>
        <v>67207596.497876421</v>
      </c>
      <c r="B10962">
        <v>152914759.72500458</v>
      </c>
    </row>
    <row r="10963" spans="1:2" x14ac:dyDescent="0.25">
      <c r="A10963">
        <f ca="1">30034.8302036643*((RANDBETWEEN(1620,2416)))</f>
        <v>55714610.027797312</v>
      </c>
      <c r="B10963">
        <v>155806593.77241999</v>
      </c>
    </row>
    <row r="10964" spans="1:2" x14ac:dyDescent="0.25">
      <c r="A10964">
        <f ca="1">33928.1083747803*((RANDBETWEEN(1620,2416)))</f>
        <v>70299040.552544758</v>
      </c>
      <c r="B10964">
        <v>160810634.71305859</v>
      </c>
    </row>
    <row r="10965" spans="1:2" x14ac:dyDescent="0.25">
      <c r="A10965">
        <f ca="1">32047.5959068335*((RANDBETWEEN(1620,2416)))</f>
        <v>65056619.690871939</v>
      </c>
      <c r="B10965">
        <v>162731379.24585217</v>
      </c>
    </row>
    <row r="10966" spans="1:2" x14ac:dyDescent="0.25">
      <c r="A10966">
        <f ca="1">33710.8669280317*((RANDBETWEEN(1620,2416)))</f>
        <v>74972968.047942445</v>
      </c>
      <c r="B10966">
        <v>179275847.57567203</v>
      </c>
    </row>
    <row r="10967" spans="1:2" x14ac:dyDescent="0.25">
      <c r="A10967">
        <f ca="1">30081.1226695689*((RANDBETWEEN(1620,2416)))</f>
        <v>60342732.075155169</v>
      </c>
      <c r="B10967">
        <v>202342703.79262331</v>
      </c>
    </row>
    <row r="10968" spans="1:2" x14ac:dyDescent="0.25">
      <c r="A10968">
        <f ca="1">33282.9071192701*((RANDBETWEEN(1620,2416)))</f>
        <v>62272319.220154397</v>
      </c>
      <c r="B10968">
        <v>178656087.52641565</v>
      </c>
    </row>
    <row r="10969" spans="1:2" x14ac:dyDescent="0.25">
      <c r="A10969">
        <f ca="1">31429.1180213943*((RANDBETWEEN(1620,2416)))</f>
        <v>70212649.659794778</v>
      </c>
      <c r="B10969">
        <v>148612320.43686125</v>
      </c>
    </row>
    <row r="10970" spans="1:2" x14ac:dyDescent="0.25">
      <c r="A10970">
        <f ca="1">32635.3337151456*((RANDBETWEEN(1620,2416)))</f>
        <v>68795283.471526846</v>
      </c>
      <c r="B10970">
        <v>163335719.67733195</v>
      </c>
    </row>
    <row r="10971" spans="1:2" x14ac:dyDescent="0.25">
      <c r="A10971">
        <f ca="1">33003.5277732826*((RANDBETWEEN(1620,2416)))</f>
        <v>55709954.881301068</v>
      </c>
      <c r="B10971">
        <v>197099816.74241146</v>
      </c>
    </row>
    <row r="10972" spans="1:2" x14ac:dyDescent="0.25">
      <c r="A10972">
        <f ca="1">28333.0698933497*((RANDBETWEEN(1620,2416)))</f>
        <v>48817879.426241502</v>
      </c>
      <c r="B10972">
        <v>147085819.38937825</v>
      </c>
    </row>
    <row r="10973" spans="1:2" x14ac:dyDescent="0.25">
      <c r="A10973">
        <f ca="1">32522.0393848422*((RANDBETWEEN(1620,2416)))</f>
        <v>74377904.07313402</v>
      </c>
      <c r="B10973">
        <v>157999439.27755988</v>
      </c>
    </row>
    <row r="10974" spans="1:2" x14ac:dyDescent="0.25">
      <c r="A10974">
        <f ca="1">39982.9129853108*((RANDBETWEEN(1620,2416)))</f>
        <v>89561725.087096259</v>
      </c>
      <c r="B10974">
        <v>169863318.38933763</v>
      </c>
    </row>
    <row r="10975" spans="1:2" x14ac:dyDescent="0.25">
      <c r="A10975">
        <f ca="1">33020.7959961022*((RANDBETWEEN(1620,2416)))</f>
        <v>69905025.123748332</v>
      </c>
      <c r="B10975">
        <v>159838296.43007523</v>
      </c>
    </row>
    <row r="10976" spans="1:2" x14ac:dyDescent="0.25">
      <c r="A10976">
        <f ca="1">30733.8984447305*((RANDBETWEEN(1620,2416)))</f>
        <v>51817352.777815707</v>
      </c>
      <c r="B10976">
        <v>151202893.85719281</v>
      </c>
    </row>
    <row r="10977" spans="1:2" x14ac:dyDescent="0.25">
      <c r="A10977">
        <f ca="1">29781.9635470298*((RANDBETWEEN(1620,2416)))</f>
        <v>52446037.806319475</v>
      </c>
      <c r="B10977">
        <v>166704280.08444709</v>
      </c>
    </row>
    <row r="10978" spans="1:2" x14ac:dyDescent="0.25">
      <c r="A10978">
        <f ca="1">32932.8718748096*((RANDBETWEEN(1620,2416)))</f>
        <v>78775429.524544656</v>
      </c>
      <c r="B10978">
        <v>195012442.88051999</v>
      </c>
    </row>
    <row r="10979" spans="1:2" x14ac:dyDescent="0.25">
      <c r="A10979">
        <f ca="1">30746.1967093521*((RANDBETWEEN(1620,2416)))</f>
        <v>52483757.782864034</v>
      </c>
      <c r="B10979">
        <v>145108855.46861881</v>
      </c>
    </row>
    <row r="10980" spans="1:2" x14ac:dyDescent="0.25">
      <c r="A10980">
        <f ca="1">29235.5858724844*((RANDBETWEEN(1620,2416)))</f>
        <v>56453916.319767371</v>
      </c>
      <c r="B10980">
        <v>179939253.70582736</v>
      </c>
    </row>
    <row r="10981" spans="1:2" x14ac:dyDescent="0.25">
      <c r="A10981">
        <f ca="1">29743.7354192392*((RANDBETWEEN(1620,2416)))</f>
        <v>61837225.936598241</v>
      </c>
      <c r="B10981">
        <v>154378012.10355592</v>
      </c>
    </row>
    <row r="10982" spans="1:2" x14ac:dyDescent="0.25">
      <c r="A10982">
        <f ca="1">32416.9048247464*((RANDBETWEEN(1620,2416)))</f>
        <v>62856378.455183297</v>
      </c>
      <c r="B10982">
        <v>169267594.64587179</v>
      </c>
    </row>
    <row r="10983" spans="1:2" x14ac:dyDescent="0.25">
      <c r="A10983">
        <f ca="1">34101.5432877782*((RANDBETWEEN(1620,2416)))</f>
        <v>77376401.719968736</v>
      </c>
      <c r="B10983">
        <v>157596357.77561429</v>
      </c>
    </row>
    <row r="10984" spans="1:2" x14ac:dyDescent="0.25">
      <c r="A10984">
        <f ca="1">31229.392294655*((RANDBETWEEN(1620,2416)))</f>
        <v>51903249.993716545</v>
      </c>
      <c r="B10984">
        <v>145803491.95476562</v>
      </c>
    </row>
    <row r="10985" spans="1:2" x14ac:dyDescent="0.25">
      <c r="A10985">
        <f ca="1">34800.4537606129*((RANDBETWEEN(1620,2416)))</f>
        <v>78544624.137703389</v>
      </c>
      <c r="B10985">
        <v>151371387.22242853</v>
      </c>
    </row>
    <row r="10986" spans="1:2" x14ac:dyDescent="0.25">
      <c r="A10986">
        <f ca="1">38601.3788038099*((RANDBETWEEN(1620,2416)))</f>
        <v>66896189.467002518</v>
      </c>
      <c r="B10986">
        <v>168709646.7026256</v>
      </c>
    </row>
    <row r="10987" spans="1:2" x14ac:dyDescent="0.25">
      <c r="A10987">
        <f ca="1">32366.4392130552*((RANDBETWEEN(1620,2416)))</f>
        <v>70947234.755017057</v>
      </c>
      <c r="B10987">
        <v>157470830.15825412</v>
      </c>
    </row>
    <row r="10988" spans="1:2" x14ac:dyDescent="0.25">
      <c r="A10988">
        <f ca="1">30322.6892407153*((RANDBETWEEN(1620,2416)))</f>
        <v>61191186.88776356</v>
      </c>
      <c r="B10988">
        <v>146437570.58066159</v>
      </c>
    </row>
    <row r="10989" spans="1:2" x14ac:dyDescent="0.25">
      <c r="A10989">
        <f ca="1">30672.0105529084*((RANDBETWEEN(1620,2416)))</f>
        <v>66650278.931469865</v>
      </c>
      <c r="B10989">
        <v>145186943.48045808</v>
      </c>
    </row>
    <row r="10990" spans="1:2" x14ac:dyDescent="0.25">
      <c r="A10990">
        <f ca="1">35626.0040014636*((RANDBETWEEN(1620,2416)))</f>
        <v>77664688.723190576</v>
      </c>
      <c r="B10990">
        <v>162389909.0657168</v>
      </c>
    </row>
    <row r="10991" spans="1:2" x14ac:dyDescent="0.25">
      <c r="A10991">
        <f ca="1">34013.6043534408*((RANDBETWEEN(1620,2416)))</f>
        <v>70884351.472570613</v>
      </c>
      <c r="B10991">
        <v>183532337.18878645</v>
      </c>
    </row>
    <row r="10992" spans="1:2" x14ac:dyDescent="0.25">
      <c r="A10992">
        <f ca="1">29942.5904902281*((RANDBETWEEN(1620,2416)))</f>
        <v>57938912.598591313</v>
      </c>
      <c r="B10992">
        <v>165019670.34857112</v>
      </c>
    </row>
    <row r="10993" spans="1:2" x14ac:dyDescent="0.25">
      <c r="A10993">
        <f ca="1">32233.3272646794*((RANDBETWEEN(1620,2416)))</f>
        <v>71396819.891264811</v>
      </c>
      <c r="B10993">
        <v>175216365.35969445</v>
      </c>
    </row>
    <row r="10994" spans="1:2" x14ac:dyDescent="0.25">
      <c r="A10994">
        <f ca="1">29809.038800403*((RANDBETWEEN(1620,2416)))</f>
        <v>59647886.639606424</v>
      </c>
      <c r="B10994">
        <v>151400141.56269646</v>
      </c>
    </row>
    <row r="10995" spans="1:2" x14ac:dyDescent="0.25">
      <c r="A10995">
        <f ca="1">36163.6983360495*((RANDBETWEEN(1620,2416)))</f>
        <v>86322747.928150088</v>
      </c>
      <c r="B10995">
        <v>158847502.56113866</v>
      </c>
    </row>
    <row r="10996" spans="1:2" x14ac:dyDescent="0.25">
      <c r="A10996">
        <f ca="1">34647.9821994701*((RANDBETWEEN(1620,2416)))</f>
        <v>68499060.808352426</v>
      </c>
      <c r="B10996">
        <v>194316251.74599889</v>
      </c>
    </row>
    <row r="10997" spans="1:2" x14ac:dyDescent="0.25">
      <c r="A10997">
        <f ca="1">29869.3738957185*((RANDBETWEEN(1620,2416)))</f>
        <v>51733755.587384485</v>
      </c>
      <c r="B10997">
        <v>162899331.2787292</v>
      </c>
    </row>
    <row r="10998" spans="1:2" x14ac:dyDescent="0.25">
      <c r="A10998">
        <f ca="1">39151.3692424607*((RANDBETWEEN(1620,2416)))</f>
        <v>69532831.774610281</v>
      </c>
      <c r="B10998">
        <v>182355981.35964924</v>
      </c>
    </row>
    <row r="10999" spans="1:2" x14ac:dyDescent="0.25">
      <c r="A10999">
        <f ca="1">33269.097555615*((RANDBETWEEN(1620,2416)))</f>
        <v>77583535.499694198</v>
      </c>
      <c r="B10999">
        <v>164294214.68576011</v>
      </c>
    </row>
    <row r="11000" spans="1:2" x14ac:dyDescent="0.25">
      <c r="A11000">
        <f ca="1">30356.3169332476*((RANDBETWEEN(1620,2416)))</f>
        <v>51514669.835721143</v>
      </c>
      <c r="B11000">
        <v>160879064.51029173</v>
      </c>
    </row>
    <row r="11001" spans="1:2" x14ac:dyDescent="0.25">
      <c r="A11001">
        <f ca="1">34245.7391271947*((RANDBETWEEN(1620,2416)))</f>
        <v>70443485.384639516</v>
      </c>
      <c r="B11001">
        <v>172396603.81945026</v>
      </c>
    </row>
    <row r="11002" spans="1:2" x14ac:dyDescent="0.25">
      <c r="A11002">
        <f ca="1">32536.8663774971*((RANDBETWEEN(1620,2416)))</f>
        <v>57948159.018322393</v>
      </c>
      <c r="B11002">
        <v>189854586.83811527</v>
      </c>
    </row>
    <row r="11003" spans="1:2" x14ac:dyDescent="0.25">
      <c r="A11003">
        <f ca="1">29255.4693186073*((RANDBETWEEN(1620,2416)))</f>
        <v>53625275.261007242</v>
      </c>
      <c r="B11003">
        <v>186796601.02558449</v>
      </c>
    </row>
    <row r="11004" spans="1:2" x14ac:dyDescent="0.25">
      <c r="A11004">
        <f ca="1">39147.9926552832*((RANDBETWEEN(1620,2416)))</f>
        <v>68195803.205503315</v>
      </c>
      <c r="B11004">
        <v>165228258.36204129</v>
      </c>
    </row>
    <row r="11005" spans="1:2" x14ac:dyDescent="0.25">
      <c r="A11005">
        <f ca="1">40165.9850691591*((RANDBETWEEN(1620,2416)))</f>
        <v>82701763.257398769</v>
      </c>
      <c r="B11005">
        <v>150424911.19700551</v>
      </c>
    </row>
    <row r="11006" spans="1:2" x14ac:dyDescent="0.25">
      <c r="A11006">
        <f ca="1">28601.1249267405*((RANDBETWEEN(1620,2416)))</f>
        <v>60662985.969616629</v>
      </c>
      <c r="B11006">
        <v>187090587.6992746</v>
      </c>
    </row>
    <row r="11007" spans="1:2" x14ac:dyDescent="0.25">
      <c r="A11007">
        <f ca="1">32613.7692298583*((RANDBETWEEN(1620,2416)))</f>
        <v>62487981.844408542</v>
      </c>
      <c r="B11007">
        <v>195345136.12220359</v>
      </c>
    </row>
    <row r="11008" spans="1:2" x14ac:dyDescent="0.25">
      <c r="A11008">
        <f ca="1">29197.1302824257*((RANDBETWEEN(1620,2416)))</f>
        <v>56467249.966211475</v>
      </c>
      <c r="B11008">
        <v>178656135.1881327</v>
      </c>
    </row>
    <row r="11009" spans="1:2" x14ac:dyDescent="0.25">
      <c r="A11009">
        <f ca="1">33553.0183928355*((RANDBETWEEN(1620,2416)))</f>
        <v>59925690.849604145</v>
      </c>
      <c r="B11009">
        <v>143164077.97273123</v>
      </c>
    </row>
    <row r="11010" spans="1:2" x14ac:dyDescent="0.25">
      <c r="A11010">
        <f ca="1">39678.5908535835*((RANDBETWEEN(1620,2416)))</f>
        <v>66421961.088898823</v>
      </c>
      <c r="B11010">
        <v>151187433.67594057</v>
      </c>
    </row>
    <row r="11011" spans="1:2" x14ac:dyDescent="0.25">
      <c r="A11011">
        <f ca="1">31087.2184522599*((RANDBETWEEN(1620,2416)))</f>
        <v>58817017.31167578</v>
      </c>
      <c r="B11011">
        <v>164370584.3301442</v>
      </c>
    </row>
    <row r="11012" spans="1:2" x14ac:dyDescent="0.25">
      <c r="A11012">
        <f ca="1">29120.5154181987*((RANDBETWEEN(1620,2416)))</f>
        <v>65171713.50592871</v>
      </c>
      <c r="B11012">
        <v>146597585.4504773</v>
      </c>
    </row>
    <row r="11013" spans="1:2" x14ac:dyDescent="0.25">
      <c r="A11013">
        <f ca="1">41809.6210428336*((RANDBETWEEN(1620,2416)))</f>
        <v>86671344.421794057</v>
      </c>
      <c r="B11013">
        <v>167173895.78575915</v>
      </c>
    </row>
    <row r="11014" spans="1:2" x14ac:dyDescent="0.25">
      <c r="A11014">
        <f ca="1">33916.3245470736*((RANDBETWEEN(1620,2416)))</f>
        <v>55114027.388994671</v>
      </c>
      <c r="B11014">
        <v>155993401.55861172</v>
      </c>
    </row>
    <row r="11015" spans="1:2" x14ac:dyDescent="0.25">
      <c r="A11015">
        <f ca="1">30867.0643073192*((RANDBETWEEN(1620,2416)))</f>
        <v>64789967.981062926</v>
      </c>
      <c r="B11015">
        <v>194162666.73112699</v>
      </c>
    </row>
    <row r="11016" spans="1:2" x14ac:dyDescent="0.25">
      <c r="A11016">
        <f ca="1">30554.4725860908*((RANDBETWEEN(1620,2416)))</f>
        <v>56586883.229440227</v>
      </c>
      <c r="B11016">
        <v>148419697.0376983</v>
      </c>
    </row>
    <row r="11017" spans="1:2" x14ac:dyDescent="0.25">
      <c r="A11017">
        <f ca="1">32182.960975437*((RANDBETWEEN(1620,2416)))</f>
        <v>72025466.663028017</v>
      </c>
      <c r="B11017">
        <v>181360428.21694949</v>
      </c>
    </row>
    <row r="11018" spans="1:2" x14ac:dyDescent="0.25">
      <c r="A11018">
        <f ca="1">29614.5893783288*((RANDBETWEEN(1620,2416)))</f>
        <v>62042564.747598767</v>
      </c>
      <c r="B11018">
        <v>197467497.85851949</v>
      </c>
    </row>
    <row r="11019" spans="1:2" x14ac:dyDescent="0.25">
      <c r="A11019">
        <f ca="1">32311.3983019466*((RANDBETWEEN(1620,2416)))</f>
        <v>62005573.341435455</v>
      </c>
      <c r="B11019">
        <v>154748652.28653216</v>
      </c>
    </row>
    <row r="11020" spans="1:2" x14ac:dyDescent="0.25">
      <c r="A11020">
        <f ca="1">27617.2786577754*((RANDBETWEEN(1620,2416)))</f>
        <v>50401533.55044008</v>
      </c>
      <c r="B11020">
        <v>153719511.7174021</v>
      </c>
    </row>
    <row r="11021" spans="1:2" x14ac:dyDescent="0.25">
      <c r="A11021">
        <f ca="1">32380.3249027987*((RANDBETWEEN(1620,2416)))</f>
        <v>69552937.891211525</v>
      </c>
      <c r="B11021">
        <v>196645375.87822282</v>
      </c>
    </row>
    <row r="11022" spans="1:2" x14ac:dyDescent="0.25">
      <c r="A11022">
        <f ca="1">32519.1883198346*((RANDBETWEEN(1620,2416)))</f>
        <v>78533839.792400613</v>
      </c>
      <c r="B11022">
        <v>176354483.32658705</v>
      </c>
    </row>
    <row r="11023" spans="1:2" x14ac:dyDescent="0.25">
      <c r="A11023">
        <f ca="1">33030.9700003424*((RANDBETWEEN(1620,2416)))</f>
        <v>79274328.000821844</v>
      </c>
      <c r="B11023">
        <v>151695769.63081771</v>
      </c>
    </row>
    <row r="11024" spans="1:2" x14ac:dyDescent="0.25">
      <c r="A11024">
        <f ca="1">39567.4404833678*((RANDBETWEEN(1620,2416)))</f>
        <v>76088188.04951629</v>
      </c>
      <c r="B11024">
        <v>172882949.01995534</v>
      </c>
    </row>
    <row r="11025" spans="1:2" x14ac:dyDescent="0.25">
      <c r="A11025">
        <f ca="1">29203.6715632476*((RANDBETWEEN(1620,2416)))</f>
        <v>63342763.620684057</v>
      </c>
      <c r="B11025">
        <v>203250049.77840161</v>
      </c>
    </row>
    <row r="11026" spans="1:2" x14ac:dyDescent="0.25">
      <c r="A11026">
        <f ca="1">38632.5007226349*((RANDBETWEEN(1620,2416)))</f>
        <v>85339194.096300542</v>
      </c>
      <c r="B11026">
        <v>178620898.00137776</v>
      </c>
    </row>
    <row r="11027" spans="1:2" x14ac:dyDescent="0.25">
      <c r="A11027">
        <f ca="1">32824.1647712888*((RANDBETWEEN(1620,2416)))</f>
        <v>64171242.127869546</v>
      </c>
      <c r="B11027">
        <v>163558029.00167727</v>
      </c>
    </row>
    <row r="11028" spans="1:2" x14ac:dyDescent="0.25">
      <c r="A11028">
        <f ca="1">28654.0300630841*((RANDBETWEEN(1620,2416)))</f>
        <v>67279662.588121533</v>
      </c>
      <c r="B11028">
        <v>168384007.48565453</v>
      </c>
    </row>
    <row r="11029" spans="1:2" x14ac:dyDescent="0.25">
      <c r="A11029">
        <f ca="1">30150.7255037847*((RANDBETWEEN(1620,2416)))</f>
        <v>57045172.653160647</v>
      </c>
      <c r="B11029">
        <v>179166278.49235052</v>
      </c>
    </row>
    <row r="11030" spans="1:2" x14ac:dyDescent="0.25">
      <c r="A11030">
        <f ca="1">31849.7512681322*((RANDBETWEEN(1620,2416)))</f>
        <v>52074343.323396161</v>
      </c>
      <c r="B11030">
        <v>191701730.1537891</v>
      </c>
    </row>
    <row r="11031" spans="1:2" x14ac:dyDescent="0.25">
      <c r="A11031">
        <f ca="1">39162.6952039631*((RANDBETWEEN(1620,2416)))</f>
        <v>81105941.767407596</v>
      </c>
      <c r="B11031">
        <v>145638114.43342942</v>
      </c>
    </row>
    <row r="11032" spans="1:2" x14ac:dyDescent="0.25">
      <c r="A11032">
        <f ca="1">40933.978698451*((RANDBETWEEN(1620,2416)))</f>
        <v>90505026.902275085</v>
      </c>
      <c r="B11032">
        <v>179363512.67195475</v>
      </c>
    </row>
    <row r="11033" spans="1:2" x14ac:dyDescent="0.25">
      <c r="A11033">
        <f ca="1">29343.3897662478*((RANDBETWEEN(1620,2416)))</f>
        <v>62090612.745380402</v>
      </c>
      <c r="B11033">
        <v>158903716.74204335</v>
      </c>
    </row>
    <row r="11034" spans="1:2" x14ac:dyDescent="0.25">
      <c r="A11034">
        <f ca="1">40468.8085146002*((RANDBETWEEN(1620,2416)))</f>
        <v>73289012.219940901</v>
      </c>
      <c r="B11034">
        <v>159429488.41348231</v>
      </c>
    </row>
    <row r="11035" spans="1:2" x14ac:dyDescent="0.25">
      <c r="A11035">
        <f ca="1">42313.8541367105*((RANDBETWEEN(1620,2416)))</f>
        <v>87843561.187810972</v>
      </c>
      <c r="B11035">
        <v>196444429.07507786</v>
      </c>
    </row>
    <row r="11036" spans="1:2" x14ac:dyDescent="0.25">
      <c r="A11036">
        <f ca="1">36969.0729470935*((RANDBETWEEN(1620,2416)))</f>
        <v>88171238.97881788</v>
      </c>
      <c r="B11036">
        <v>167397481.93293199</v>
      </c>
    </row>
    <row r="11037" spans="1:2" x14ac:dyDescent="0.25">
      <c r="A11037">
        <f ca="1">37054.2224432493*((RANDBETWEEN(1620,2416)))</f>
        <v>68253877.740465209</v>
      </c>
      <c r="B11037">
        <v>196394105.77321553</v>
      </c>
    </row>
    <row r="11038" spans="1:2" x14ac:dyDescent="0.25">
      <c r="A11038">
        <f ca="1">36875.6348111942*((RANDBETWEEN(1620,2416)))</f>
        <v>70690591.933059216</v>
      </c>
      <c r="B11038">
        <v>147282109.21345231</v>
      </c>
    </row>
    <row r="11039" spans="1:2" x14ac:dyDescent="0.25">
      <c r="A11039">
        <f ca="1">33950.4262347178*((RANDBETWEEN(1620,2416)))</f>
        <v>70582936.141978234</v>
      </c>
      <c r="B11039">
        <v>155668068.55352205</v>
      </c>
    </row>
    <row r="11040" spans="1:2" x14ac:dyDescent="0.25">
      <c r="A11040">
        <f ca="1">30110.1886047336*((RANDBETWEEN(1620,2416)))</f>
        <v>52933711.56712158</v>
      </c>
      <c r="B11040">
        <v>203475018.78013679</v>
      </c>
    </row>
    <row r="11041" spans="1:2" x14ac:dyDescent="0.25">
      <c r="A11041">
        <f ca="1">32463.975725333*((RANDBETWEEN(1620,2416)))</f>
        <v>68921020.464881927</v>
      </c>
      <c r="B11041">
        <v>165720383.7654002</v>
      </c>
    </row>
    <row r="11042" spans="1:2" x14ac:dyDescent="0.25">
      <c r="A11042">
        <f ca="1">31075.0463008938*((RANDBETWEEN(1620,2416)))</f>
        <v>67153175.056231603</v>
      </c>
      <c r="B11042">
        <v>143181130.14689302</v>
      </c>
    </row>
    <row r="11043" spans="1:2" x14ac:dyDescent="0.25">
      <c r="A11043">
        <f ca="1">31857.0822540548*((RANDBETWEEN(1620,2416)))</f>
        <v>62248738.724423036</v>
      </c>
      <c r="B11043">
        <v>160951225.77411816</v>
      </c>
    </row>
    <row r="11044" spans="1:2" x14ac:dyDescent="0.25">
      <c r="A11044">
        <f ca="1">38264.9259535472*((RANDBETWEEN(1620,2416)))</f>
        <v>72626829.459832594</v>
      </c>
      <c r="B11044">
        <v>176568579.41528422</v>
      </c>
    </row>
    <row r="11045" spans="1:2" x14ac:dyDescent="0.25">
      <c r="A11045">
        <f ca="1">33081.6812067351*((RANDBETWEEN(1620,2416)))</f>
        <v>56205776.370242946</v>
      </c>
      <c r="B11045">
        <v>192917454.61951873</v>
      </c>
    </row>
    <row r="11046" spans="1:2" x14ac:dyDescent="0.25">
      <c r="A11046">
        <f ca="1">39520.0374172367*((RANDBETWEEN(1620,2416)))</f>
        <v>66828383.272547223</v>
      </c>
      <c r="B11046">
        <v>154843251.83925498</v>
      </c>
    </row>
    <row r="11047" spans="1:2" x14ac:dyDescent="0.25">
      <c r="A11047">
        <f ca="1">34672.9023987594*((RANDBETWEEN(1620,2416)))</f>
        <v>70767393.79586795</v>
      </c>
      <c r="B11047">
        <v>148861469.877498</v>
      </c>
    </row>
    <row r="11048" spans="1:2" x14ac:dyDescent="0.25">
      <c r="A11048">
        <f ca="1">33991.4406948876*((RANDBETWEEN(1620,2416)))</f>
        <v>67880907.067690611</v>
      </c>
      <c r="B11048">
        <v>154648238.84726012</v>
      </c>
    </row>
    <row r="11049" spans="1:2" x14ac:dyDescent="0.25">
      <c r="A11049">
        <f ca="1">37350.2407335287*((RANDBETWEEN(1620,2416)))</f>
        <v>82506681.780364946</v>
      </c>
      <c r="B11049">
        <v>149660116.43142673</v>
      </c>
    </row>
    <row r="11050" spans="1:2" x14ac:dyDescent="0.25">
      <c r="A11050">
        <f ca="1">36037.0170443683*((RANDBETWEEN(1620,2416)))</f>
        <v>82164398.861159727</v>
      </c>
      <c r="B11050">
        <v>191924151.65390754</v>
      </c>
    </row>
    <row r="11051" spans="1:2" x14ac:dyDescent="0.25">
      <c r="A11051">
        <f ca="1">38562.4388373974*((RANDBETWEEN(1620,2416)))</f>
        <v>91431542.483469322</v>
      </c>
      <c r="B11051">
        <v>158101664.98944402</v>
      </c>
    </row>
    <row r="11052" spans="1:2" x14ac:dyDescent="0.25">
      <c r="A11052">
        <f ca="1">34242.3068374208*((RANDBETWEEN(1620,2416)))</f>
        <v>76463071.167960599</v>
      </c>
      <c r="B11052">
        <v>163676687.51308918</v>
      </c>
    </row>
    <row r="11053" spans="1:2" x14ac:dyDescent="0.25">
      <c r="A11053">
        <f ca="1">31572.9297792722*((RANDBETWEEN(1620,2416)))</f>
        <v>72901894.860339597</v>
      </c>
      <c r="B11053">
        <v>146845180.99611241</v>
      </c>
    </row>
    <row r="11054" spans="1:2" x14ac:dyDescent="0.25">
      <c r="A11054">
        <f ca="1">31431.5824625703*((RANDBETWEEN(1620,2416)))</f>
        <v>67955081.284076929</v>
      </c>
      <c r="B11054">
        <v>149613097.16450661</v>
      </c>
    </row>
    <row r="11055" spans="1:2" x14ac:dyDescent="0.25">
      <c r="A11055">
        <f ca="1">29276.5125372098*((RANDBETWEEN(1620,2416)))</f>
        <v>57704006.210840456</v>
      </c>
      <c r="B11055">
        <v>180558293.87128443</v>
      </c>
    </row>
    <row r="11056" spans="1:2" x14ac:dyDescent="0.25">
      <c r="A11056">
        <f ca="1">30461.7925340758*((RANDBETWEEN(1620,2416)))</f>
        <v>70579973.301453739</v>
      </c>
      <c r="B11056">
        <v>173604988.48557431</v>
      </c>
    </row>
    <row r="11057" spans="1:2" x14ac:dyDescent="0.25">
      <c r="A11057">
        <f ca="1">31808.8250949163*((RANDBETWEEN(1620,2416)))</f>
        <v>51816576.079618692</v>
      </c>
      <c r="B11057">
        <v>162993609.19955355</v>
      </c>
    </row>
    <row r="11058" spans="1:2" x14ac:dyDescent="0.25">
      <c r="A11058">
        <f ca="1">38320.6395330276*((RANDBETWEEN(1620,2416)))</f>
        <v>84650292.728458002</v>
      </c>
      <c r="B11058">
        <v>147150798.12515455</v>
      </c>
    </row>
    <row r="11059" spans="1:2" x14ac:dyDescent="0.25">
      <c r="A11059">
        <f ca="1">30456.7964282056*((RANDBETWEEN(1620,2416)))</f>
        <v>66944038.549195901</v>
      </c>
      <c r="B11059">
        <v>160640564.8779223</v>
      </c>
    </row>
    <row r="11060" spans="1:2" x14ac:dyDescent="0.25">
      <c r="A11060">
        <f ca="1">38530.5219252422*((RANDBETWEEN(1620,2416)))</f>
        <v>89660524.520038515</v>
      </c>
      <c r="B11060">
        <v>189405478.50001279</v>
      </c>
    </row>
    <row r="11061" spans="1:2" x14ac:dyDescent="0.25">
      <c r="A11061">
        <f ca="1">31106.2817884784*((RANDBETWEEN(1620,2416)))</f>
        <v>61652650.504764266</v>
      </c>
      <c r="B11061">
        <v>161605554.26506442</v>
      </c>
    </row>
    <row r="11062" spans="1:2" x14ac:dyDescent="0.25">
      <c r="A11062">
        <f ca="1">31936.4337243654*((RANDBETWEEN(1620,2416)))</f>
        <v>76743250.239650145</v>
      </c>
      <c r="B11062">
        <v>156468014.59909549</v>
      </c>
    </row>
    <row r="11063" spans="1:2" x14ac:dyDescent="0.25">
      <c r="A11063">
        <f ca="1">35623.9234149382*((RANDBETWEEN(1620,2416)))</f>
        <v>57782003.779029727</v>
      </c>
      <c r="B11063">
        <v>144664460.74930149</v>
      </c>
    </row>
    <row r="11064" spans="1:2" x14ac:dyDescent="0.25">
      <c r="A11064">
        <f ca="1">30019.4879375986*((RANDBETWEEN(1620,2416)))</f>
        <v>60219092.802822866</v>
      </c>
      <c r="B11064">
        <v>186672542.15843207</v>
      </c>
    </row>
    <row r="11065" spans="1:2" x14ac:dyDescent="0.25">
      <c r="A11065">
        <f ca="1">41912.5618553702*((RANDBETWEEN(1620,2416)))</f>
        <v>91453209.968417794</v>
      </c>
      <c r="B11065">
        <v>175283876.58704579</v>
      </c>
    </row>
    <row r="11066" spans="1:2" x14ac:dyDescent="0.25">
      <c r="A11066">
        <f ca="1">31556.6297250007*((RANDBETWEEN(1620,2416)))</f>
        <v>63081702.820276327</v>
      </c>
      <c r="B11066">
        <v>192191628.77148589</v>
      </c>
    </row>
    <row r="11067" spans="1:2" x14ac:dyDescent="0.25">
      <c r="A11067">
        <f ca="1">30051.7085060668*((RANDBETWEEN(1620,2416)))</f>
        <v>69148981.272459745</v>
      </c>
      <c r="B11067">
        <v>147317713.61587581</v>
      </c>
    </row>
    <row r="11068" spans="1:2" x14ac:dyDescent="0.25">
      <c r="A11068">
        <f ca="1">29026.1543620319*((RANDBETWEEN(1620,2416)))</f>
        <v>66847233.495759398</v>
      </c>
      <c r="B11068">
        <v>193730987.39855352</v>
      </c>
    </row>
    <row r="11069" spans="1:2" x14ac:dyDescent="0.25">
      <c r="A11069">
        <f ca="1">37581.622582027*((RANDBETWEEN(1620,2416)))</f>
        <v>75501479.767292172</v>
      </c>
      <c r="B11069">
        <v>162323499.25236839</v>
      </c>
    </row>
    <row r="11070" spans="1:2" x14ac:dyDescent="0.25">
      <c r="A11070">
        <f ca="1">33492.2274165892*((RANDBETWEEN(1620,2416)))</f>
        <v>66950962.605761826</v>
      </c>
      <c r="B11070">
        <v>171552284.31454629</v>
      </c>
    </row>
    <row r="11071" spans="1:2" x14ac:dyDescent="0.25">
      <c r="A11071">
        <f ca="1">34185.840102543*((RANDBETWEEN(1620,2416)))</f>
        <v>81499042.804462522</v>
      </c>
      <c r="B11071">
        <v>173678984.97557443</v>
      </c>
    </row>
    <row r="11072" spans="1:2" x14ac:dyDescent="0.25">
      <c r="A11072">
        <f ca="1">29809.8970972921*((RANDBETWEEN(1620,2416)))</f>
        <v>51600931.875412598</v>
      </c>
      <c r="B11072">
        <v>202524532.17230046</v>
      </c>
    </row>
    <row r="11073" spans="1:2" x14ac:dyDescent="0.25">
      <c r="A11073">
        <f ca="1">35546.9663539918*((RANDBETWEEN(1620,2416)))</f>
        <v>68890020.79403618</v>
      </c>
      <c r="B11073">
        <v>156783102.80665213</v>
      </c>
    </row>
    <row r="11074" spans="1:2" x14ac:dyDescent="0.25">
      <c r="A11074">
        <f ca="1">31311.3978997932*((RANDBETWEEN(1620,2416)))</f>
        <v>55515108.47633341</v>
      </c>
      <c r="B11074">
        <v>200895689.45615169</v>
      </c>
    </row>
    <row r="11075" spans="1:2" x14ac:dyDescent="0.25">
      <c r="A11075">
        <f ca="1">31587.9524366289*((RANDBETWEEN(1620,2416)))</f>
        <v>60301401.201524496</v>
      </c>
      <c r="B11075">
        <v>172763603.42276996</v>
      </c>
    </row>
    <row r="11076" spans="1:2" x14ac:dyDescent="0.25">
      <c r="A11076">
        <f ca="1">30425.9367666618*((RANDBETWEEN(1620,2416)))</f>
        <v>73478637.291488141</v>
      </c>
      <c r="B11076">
        <v>179700827.69212443</v>
      </c>
    </row>
    <row r="11077" spans="1:2" x14ac:dyDescent="0.25">
      <c r="A11077">
        <f ca="1">38343.4622895736*((RANDBETWEEN(1620,2416)))</f>
        <v>74079569.14345628</v>
      </c>
      <c r="B11077">
        <v>170313698.43444401</v>
      </c>
    </row>
    <row r="11078" spans="1:2" x14ac:dyDescent="0.25">
      <c r="A11078">
        <f ca="1">38756.2855272502*((RANDBETWEEN(1620,2416)))</f>
        <v>63831602.263381042</v>
      </c>
      <c r="B11078">
        <v>147795264.79901776</v>
      </c>
    </row>
    <row r="11079" spans="1:2" x14ac:dyDescent="0.25">
      <c r="A11079">
        <f ca="1">29014.9903603625*((RANDBETWEEN(1620,2416)))</f>
        <v>54025912.050994948</v>
      </c>
      <c r="B11079">
        <v>149597503.33489445</v>
      </c>
    </row>
    <row r="11080" spans="1:2" x14ac:dyDescent="0.25">
      <c r="A11080">
        <f ca="1">34775.0007510134*((RANDBETWEEN(1620,2416)))</f>
        <v>71497401.544083551</v>
      </c>
      <c r="B11080">
        <v>171059534.22169787</v>
      </c>
    </row>
    <row r="11081" spans="1:2" x14ac:dyDescent="0.25">
      <c r="A11081">
        <f ca="1">30459.4464853256*((RANDBETWEEN(1620,2416)))</f>
        <v>55405733.156807341</v>
      </c>
      <c r="B11081">
        <v>151073495.71598595</v>
      </c>
    </row>
    <row r="11082" spans="1:2" x14ac:dyDescent="0.25">
      <c r="A11082">
        <f ca="1">34155.8556591143*((RANDBETWEEN(1620,2416)))</f>
        <v>79139117.562167808</v>
      </c>
      <c r="B11082">
        <v>170581858.37737298</v>
      </c>
    </row>
    <row r="11083" spans="1:2" x14ac:dyDescent="0.25">
      <c r="A11083">
        <f ca="1">30019.2116576611*((RANDBETWEEN(1620,2416)))</f>
        <v>51993274.591069095</v>
      </c>
      <c r="B11083">
        <v>167309749.12799764</v>
      </c>
    </row>
    <row r="11084" spans="1:2" x14ac:dyDescent="0.25">
      <c r="A11084">
        <f ca="1">32764.747160845*((RANDBETWEEN(1620,2416)))</f>
        <v>69395734.486669809</v>
      </c>
      <c r="B11084">
        <v>171230584.15125525</v>
      </c>
    </row>
    <row r="11085" spans="1:2" x14ac:dyDescent="0.25">
      <c r="A11085">
        <f ca="1">37622.0747759406*((RANDBETWEEN(1620,2416)))</f>
        <v>79758798.524994031</v>
      </c>
      <c r="B11085">
        <v>196742730.13428012</v>
      </c>
    </row>
    <row r="11086" spans="1:2" x14ac:dyDescent="0.25">
      <c r="A11086">
        <f ca="1">38429.7940896624*((RANDBETWEEN(1620,2416)))</f>
        <v>86428606.907650754</v>
      </c>
      <c r="B11086">
        <v>166145668.84544671</v>
      </c>
    </row>
    <row r="11087" spans="1:2" x14ac:dyDescent="0.25">
      <c r="A11087">
        <f ca="1">29676.5308959366*((RANDBETWEEN(1620,2416)))</f>
        <v>58907913.828434065</v>
      </c>
      <c r="B11087">
        <v>151557852.95426971</v>
      </c>
    </row>
    <row r="11088" spans="1:2" x14ac:dyDescent="0.25">
      <c r="A11088">
        <f ca="1">31019.6231531386*((RANDBETWEEN(1620,2416)))</f>
        <v>55835321.675649457</v>
      </c>
      <c r="B11088">
        <v>181641732.09399641</v>
      </c>
    </row>
    <row r="11089" spans="1:2" x14ac:dyDescent="0.25">
      <c r="A11089">
        <f ca="1">39953.2345036643*((RANDBETWEEN(1620,2416)))</f>
        <v>91452953.7788876</v>
      </c>
      <c r="B11089">
        <v>165130433.04080054</v>
      </c>
    </row>
    <row r="11090" spans="1:2" x14ac:dyDescent="0.25">
      <c r="A11090">
        <f ca="1">37623.7094365738*((RANDBETWEEN(1620,2416)))</f>
        <v>72312769.537094861</v>
      </c>
      <c r="B11090">
        <v>164980811.86881176</v>
      </c>
    </row>
    <row r="11091" spans="1:2" x14ac:dyDescent="0.25">
      <c r="A11091">
        <f ca="1">32344.1121074409*((RANDBETWEEN(1620,2416)))</f>
        <v>76332104.573560491</v>
      </c>
      <c r="B11091">
        <v>186084756.9499591</v>
      </c>
    </row>
    <row r="11092" spans="1:2" x14ac:dyDescent="0.25">
      <c r="A11092">
        <f ca="1">41838.0836217289*((RANDBETWEEN(1620,2416)))</f>
        <v>95474506.824785307</v>
      </c>
      <c r="B11092">
        <v>145909119.80555132</v>
      </c>
    </row>
    <row r="11093" spans="1:2" x14ac:dyDescent="0.25">
      <c r="A11093">
        <f ca="1">41395.3783983223*((RANDBETWEEN(1620,2416)))</f>
        <v>80431220.227940157</v>
      </c>
      <c r="B11093">
        <v>163310460.13969302</v>
      </c>
    </row>
    <row r="11094" spans="1:2" x14ac:dyDescent="0.25">
      <c r="A11094">
        <f ca="1">31530.7693814687*((RANDBETWEEN(1620,2416)))</f>
        <v>55021192.570662804</v>
      </c>
      <c r="B11094">
        <v>162526677.33708945</v>
      </c>
    </row>
    <row r="11095" spans="1:2" x14ac:dyDescent="0.25">
      <c r="A11095">
        <f ca="1">30715.9051866498*((RANDBETWEEN(1620,2416)))</f>
        <v>62568298.865205802</v>
      </c>
      <c r="B11095">
        <v>186533330.03468865</v>
      </c>
    </row>
    <row r="11096" spans="1:2" x14ac:dyDescent="0.25">
      <c r="A11096">
        <f ca="1">29823.5605529832*((RANDBETWEEN(1620,2416)))</f>
        <v>68952071.998497263</v>
      </c>
      <c r="B11096">
        <v>165283172.3989265</v>
      </c>
    </row>
    <row r="11097" spans="1:2" x14ac:dyDescent="0.25">
      <c r="A11097">
        <f ca="1">32460.4082021173*((RANDBETWEEN(1620,2416)))</f>
        <v>66219232.732319213</v>
      </c>
      <c r="B11097">
        <v>156366812.81759277</v>
      </c>
    </row>
    <row r="11098" spans="1:2" x14ac:dyDescent="0.25">
      <c r="A11098">
        <f ca="1">31041.0667570124*((RANDBETWEEN(1620,2416)))</f>
        <v>60002382.041304946</v>
      </c>
      <c r="B11098">
        <v>200592344.56638163</v>
      </c>
    </row>
    <row r="11099" spans="1:2" x14ac:dyDescent="0.25">
      <c r="A11099">
        <f ca="1">40459.6354189571*((RANDBETWEEN(1620,2416)))</f>
        <v>79624562.504507542</v>
      </c>
      <c r="B11099">
        <v>168065844.18635827</v>
      </c>
    </row>
    <row r="11100" spans="1:2" x14ac:dyDescent="0.25">
      <c r="A11100">
        <f ca="1">29942.6818993326*((RANDBETWEEN(1620,2416)))</f>
        <v>54016598.146395944</v>
      </c>
      <c r="B11100">
        <v>162113301.46893167</v>
      </c>
    </row>
    <row r="11101" spans="1:2" x14ac:dyDescent="0.25">
      <c r="A11101">
        <f ca="1">32450.864900672*((RANDBETWEEN(1620,2416)))</f>
        <v>59904296.606640577</v>
      </c>
      <c r="B11101">
        <v>151476702.84876162</v>
      </c>
    </row>
    <row r="11102" spans="1:2" x14ac:dyDescent="0.25">
      <c r="A11102">
        <f ca="1">37320.8616742425*((RANDBETWEEN(1620,2416)))</f>
        <v>73148888.881515265</v>
      </c>
      <c r="B11102">
        <v>162779079.64926553</v>
      </c>
    </row>
    <row r="11103" spans="1:2" x14ac:dyDescent="0.25">
      <c r="A11103">
        <f ca="1">32182.1729491529*((RANDBETWEEN(1620,2416)))</f>
        <v>69062943.148882046</v>
      </c>
      <c r="B11103">
        <v>183851305.30380177</v>
      </c>
    </row>
    <row r="11104" spans="1:2" x14ac:dyDescent="0.25">
      <c r="A11104">
        <f ca="1">38029.6167910812*((RANDBETWEEN(1620,2416)))</f>
        <v>78417069.82320936</v>
      </c>
      <c r="B11104">
        <v>144556481.04005238</v>
      </c>
    </row>
    <row r="11105" spans="1:2" x14ac:dyDescent="0.25">
      <c r="A11105">
        <f ca="1">30909.1496282225*((RANDBETWEEN(1620,2416)))</f>
        <v>62251027.351240128</v>
      </c>
      <c r="B11105">
        <v>149225570.31658548</v>
      </c>
    </row>
    <row r="11106" spans="1:2" x14ac:dyDescent="0.25">
      <c r="A11106">
        <f ca="1">33392.3668088011*((RANDBETWEEN(1620,2416)))</f>
        <v>71927158.106157631</v>
      </c>
      <c r="B11106">
        <v>148262772.19398993</v>
      </c>
    </row>
    <row r="11107" spans="1:2" x14ac:dyDescent="0.25">
      <c r="A11107">
        <f ca="1">35831.786850248*((RANDBETWEEN(1620,2416)))</f>
        <v>65751328.870205171</v>
      </c>
      <c r="B11107">
        <v>181101184.92336965</v>
      </c>
    </row>
    <row r="11108" spans="1:2" x14ac:dyDescent="0.25">
      <c r="A11108">
        <f ca="1">31061.5026588757*((RANDBETWEEN(1620,2416)))</f>
        <v>65695078.123522088</v>
      </c>
      <c r="B11108">
        <v>152847975.54686671</v>
      </c>
    </row>
    <row r="11109" spans="1:2" x14ac:dyDescent="0.25">
      <c r="A11109">
        <f ca="1">33225.8069820755*((RANDBETWEEN(1620,2416)))</f>
        <v>70272581.767089814</v>
      </c>
      <c r="B11109">
        <v>149793026.27001217</v>
      </c>
    </row>
    <row r="11110" spans="1:2" x14ac:dyDescent="0.25">
      <c r="A11110">
        <f ca="1">31387.2202048281*((RANDBETWEEN(1620,2416)))</f>
        <v>53264112.687593333</v>
      </c>
      <c r="B11110">
        <v>164746538.50497434</v>
      </c>
    </row>
    <row r="11111" spans="1:2" x14ac:dyDescent="0.25">
      <c r="A11111">
        <f ca="1">29428.0557362673*((RANDBETWEEN(1620,2416)))</f>
        <v>52882216.158072382</v>
      </c>
      <c r="B11111">
        <v>147807548.45126337</v>
      </c>
    </row>
    <row r="11112" spans="1:2" x14ac:dyDescent="0.25">
      <c r="A11112">
        <f ca="1">33541.0879744758*((RANDBETWEEN(1620,2416)))</f>
        <v>69497134.283113927</v>
      </c>
      <c r="B11112">
        <v>155072266.87025762</v>
      </c>
    </row>
    <row r="11113" spans="1:2" x14ac:dyDescent="0.25">
      <c r="A11113">
        <f ca="1">42012.2222452249*((RANDBETWEEN(1620,2416)))</f>
        <v>74403645.596293271</v>
      </c>
      <c r="B11113">
        <v>155625695.63375545</v>
      </c>
    </row>
    <row r="11114" spans="1:2" x14ac:dyDescent="0.25">
      <c r="A11114">
        <f ca="1">32725.932734085*((RANDBETWEEN(1620,2416)))</f>
        <v>57532189.746521503</v>
      </c>
      <c r="B11114">
        <v>158905765.20589665</v>
      </c>
    </row>
    <row r="11115" spans="1:2" x14ac:dyDescent="0.25">
      <c r="A11115">
        <f ca="1">29637.2943025748*((RANDBETWEEN(1620,2416)))</f>
        <v>66328264.649162456</v>
      </c>
      <c r="B11115">
        <v>168254243.67569908</v>
      </c>
    </row>
    <row r="11116" spans="1:2" x14ac:dyDescent="0.25">
      <c r="A11116">
        <f ca="1">30393.6162753346*((RANDBETWEEN(1620,2416)))</f>
        <v>53614339.109690234</v>
      </c>
      <c r="B11116">
        <v>173086843.37779582</v>
      </c>
    </row>
    <row r="11117" spans="1:2" x14ac:dyDescent="0.25">
      <c r="A11117">
        <f ca="1">37228.3301907772*((RANDBETWEEN(1620,2416)))</f>
        <v>76206391.900520965</v>
      </c>
      <c r="B11117">
        <v>152687920.96160376</v>
      </c>
    </row>
    <row r="11118" spans="1:2" x14ac:dyDescent="0.25">
      <c r="A11118">
        <f ca="1">31829.4504842622*((RANDBETWEEN(1620,2416)))</f>
        <v>67955876.78389971</v>
      </c>
      <c r="B11118">
        <v>162125179.63019702</v>
      </c>
    </row>
    <row r="11119" spans="1:2" x14ac:dyDescent="0.25">
      <c r="A11119">
        <f ca="1">32587.7546982991*((RANDBETWEEN(1620,2416)))</f>
        <v>67424064.470780864</v>
      </c>
      <c r="B11119">
        <v>169779428.23382014</v>
      </c>
    </row>
    <row r="11120" spans="1:2" x14ac:dyDescent="0.25">
      <c r="A11120">
        <f ca="1">34985.8694034175*((RANDBETWEEN(1620,2416)))</f>
        <v>69936752.937431514</v>
      </c>
      <c r="B11120">
        <v>199451059.96927226</v>
      </c>
    </row>
    <row r="11121" spans="1:2" x14ac:dyDescent="0.25">
      <c r="A11121">
        <f ca="1">40596.0871654332*((RANDBETWEEN(1620,2416)))</f>
        <v>81882307.812678769</v>
      </c>
      <c r="B11121">
        <v>157176651.69292209</v>
      </c>
    </row>
    <row r="11122" spans="1:2" x14ac:dyDescent="0.25">
      <c r="A11122">
        <f ca="1">34687.5004373823*((RANDBETWEEN(1620,2416)))</f>
        <v>71421563.400570124</v>
      </c>
      <c r="B11122">
        <v>148798093.05855447</v>
      </c>
    </row>
    <row r="11123" spans="1:2" x14ac:dyDescent="0.25">
      <c r="A11123">
        <f ca="1">32769.3379757362*((RANDBETWEEN(1620,2416)))</f>
        <v>64326210.446370117</v>
      </c>
      <c r="B11123">
        <v>200456549.73034686</v>
      </c>
    </row>
    <row r="11124" spans="1:2" x14ac:dyDescent="0.25">
      <c r="A11124">
        <f ca="1">30395.1984879709*((RANDBETWEEN(1620,2416)))</f>
        <v>71246345.255803689</v>
      </c>
      <c r="B11124">
        <v>164728673.82184577</v>
      </c>
    </row>
    <row r="11125" spans="1:2" x14ac:dyDescent="0.25">
      <c r="A11125">
        <f ca="1">30173.3113344222*((RANDBETWEEN(1620,2416)))</f>
        <v>63182913.934280187</v>
      </c>
      <c r="B11125">
        <v>159036531.08625025</v>
      </c>
    </row>
    <row r="11126" spans="1:2" x14ac:dyDescent="0.25">
      <c r="A11126">
        <f ca="1">29663.1428683647*((RANDBETWEEN(1620,2416)))</f>
        <v>61224726.880304672</v>
      </c>
      <c r="B11126">
        <v>203604533.9914251</v>
      </c>
    </row>
    <row r="11127" spans="1:2" x14ac:dyDescent="0.25">
      <c r="A11127">
        <f ca="1">28189.8699101214*((RANDBETWEEN(1620,2416)))</f>
        <v>56661638.519344062</v>
      </c>
      <c r="B11127">
        <v>144205118.79586005</v>
      </c>
    </row>
    <row r="11128" spans="1:2" x14ac:dyDescent="0.25">
      <c r="A11128">
        <f ca="1">32033.2984079571*((RANDBETWEEN(1620,2416)))</f>
        <v>66757393.88218265</v>
      </c>
      <c r="B11128">
        <v>147017091.51564038</v>
      </c>
    </row>
    <row r="11129" spans="1:2" x14ac:dyDescent="0.25">
      <c r="A11129">
        <f ca="1">40053.4720885999*((RANDBETWEEN(1620,2416)))</f>
        <v>95727798.291753829</v>
      </c>
      <c r="B11129">
        <v>166579849.33209187</v>
      </c>
    </row>
    <row r="11130" spans="1:2" x14ac:dyDescent="0.25">
      <c r="A11130">
        <f ca="1">29254.0792385853*((RANDBETWEEN(1620,2416)))</f>
        <v>54178554.749860063</v>
      </c>
      <c r="B11130">
        <v>177967590.48165339</v>
      </c>
    </row>
    <row r="11131" spans="1:2" x14ac:dyDescent="0.25">
      <c r="A11131">
        <f ca="1">36512.1449107428*((RANDBETWEEN(1620,2416)))</f>
        <v>60756209.131476</v>
      </c>
      <c r="B11131">
        <v>149245272.66019565</v>
      </c>
    </row>
    <row r="11132" spans="1:2" x14ac:dyDescent="0.25">
      <c r="A11132">
        <f ca="1">31174.0240671873*((RANDBETWEEN(1620,2416)))</f>
        <v>54492194.069443479</v>
      </c>
      <c r="B11132">
        <v>158222845.51902327</v>
      </c>
    </row>
    <row r="11133" spans="1:2" x14ac:dyDescent="0.25">
      <c r="A11133">
        <f ca="1">30509.1127262287*((RANDBETWEEN(1620,2416)))</f>
        <v>55374039.59810511</v>
      </c>
      <c r="B11133">
        <v>156412491.23315352</v>
      </c>
    </row>
    <row r="11134" spans="1:2" x14ac:dyDescent="0.25">
      <c r="A11134">
        <f ca="1">31073.0352842554*((RANDBETWEEN(1620,2416)))</f>
        <v>74979234.14090839</v>
      </c>
      <c r="B11134">
        <v>144950794.59561449</v>
      </c>
    </row>
    <row r="11135" spans="1:2" x14ac:dyDescent="0.25">
      <c r="A11135">
        <f ca="1">40440.7984222439*((RANDBETWEEN(1620,2416)))</f>
        <v>66686876.598280221</v>
      </c>
      <c r="B11135">
        <v>196084674.49890706</v>
      </c>
    </row>
    <row r="11136" spans="1:2" x14ac:dyDescent="0.25">
      <c r="A11136">
        <f ca="1">35013.400974074*((RANDBETWEEN(1620,2416)))</f>
        <v>73773235.852373838</v>
      </c>
      <c r="B11136">
        <v>166556263.72049472</v>
      </c>
    </row>
    <row r="11137" spans="1:2" x14ac:dyDescent="0.25">
      <c r="A11137">
        <f ca="1">33085.2212806455*((RANDBETWEEN(1620,2416)))</f>
        <v>59321801.756197415</v>
      </c>
      <c r="B11137">
        <v>200961669.56580564</v>
      </c>
    </row>
    <row r="11138" spans="1:2" x14ac:dyDescent="0.25">
      <c r="A11138">
        <f ca="1">28716.0552151436*((RANDBETWEEN(1620,2416)))</f>
        <v>59959123.289219931</v>
      </c>
      <c r="B11138">
        <v>148694199.24476638</v>
      </c>
    </row>
    <row r="11139" spans="1:2" x14ac:dyDescent="0.25">
      <c r="A11139">
        <f ca="1">31280.9064147569*((RANDBETWEEN(1620,2416)))</f>
        <v>66878577.914750181</v>
      </c>
      <c r="B11139">
        <v>152117146.70760182</v>
      </c>
    </row>
    <row r="11140" spans="1:2" x14ac:dyDescent="0.25">
      <c r="A11140">
        <f ca="1">29591.970422676*((RANDBETWEEN(1620,2416)))</f>
        <v>62172729.858042337</v>
      </c>
      <c r="B11140">
        <v>148435108.57388988</v>
      </c>
    </row>
    <row r="11141" spans="1:2" x14ac:dyDescent="0.25">
      <c r="A11141">
        <f ca="1">35346.7233808718*((RANDBETWEEN(1620,2416)))</f>
        <v>70269286.081173196</v>
      </c>
      <c r="B11141">
        <v>159559716.64981505</v>
      </c>
    </row>
    <row r="11142" spans="1:2" x14ac:dyDescent="0.25">
      <c r="A11142">
        <f ca="1">27889.8635233165*((RANDBETWEEN(1620,2416)))</f>
        <v>48472582.803524137</v>
      </c>
      <c r="B11142">
        <v>174570140.15048912</v>
      </c>
    </row>
    <row r="11143" spans="1:2" x14ac:dyDescent="0.25">
      <c r="A11143">
        <f ca="1">32262.7285465561*((RANDBETWEEN(1620,2416)))</f>
        <v>60073200.553687379</v>
      </c>
      <c r="B11143">
        <v>144458226.47108543</v>
      </c>
    </row>
    <row r="11144" spans="1:2" x14ac:dyDescent="0.25">
      <c r="A11144">
        <f ca="1">35899.8755816566*((RANDBETWEEN(1620,2416)))</f>
        <v>62178584.507429264</v>
      </c>
      <c r="B11144">
        <v>155141549.8293449</v>
      </c>
    </row>
    <row r="11145" spans="1:2" x14ac:dyDescent="0.25">
      <c r="A11145">
        <f ca="1">29849.703511984*((RANDBETWEEN(1620,2416)))</f>
        <v>49013213.166677684</v>
      </c>
      <c r="B11145">
        <v>163113425.27215859</v>
      </c>
    </row>
    <row r="11146" spans="1:2" x14ac:dyDescent="0.25">
      <c r="A11146">
        <f ca="1">38783.1801756739*((RANDBETWEEN(1620,2416)))</f>
        <v>77062179.009063959</v>
      </c>
      <c r="B11146">
        <v>199472715.7828694</v>
      </c>
    </row>
    <row r="11147" spans="1:2" x14ac:dyDescent="0.25">
      <c r="A11147">
        <f ca="1">37220.0693154473*((RANDBETWEEN(1620,2416)))</f>
        <v>80879210.622466952</v>
      </c>
      <c r="B11147">
        <v>151820951.43436152</v>
      </c>
    </row>
    <row r="11148" spans="1:2" x14ac:dyDescent="0.25">
      <c r="A11148">
        <f ca="1">35922.837526771*((RANDBETWEEN(1620,2416)))</f>
        <v>62433891.621527985</v>
      </c>
      <c r="B11148">
        <v>165798162.55656821</v>
      </c>
    </row>
    <row r="11149" spans="1:2" x14ac:dyDescent="0.25">
      <c r="A11149">
        <f ca="1">33851.5617436524*((RANDBETWEEN(1620,2416)))</f>
        <v>79043396.671428263</v>
      </c>
      <c r="B11149">
        <v>155029404.67236066</v>
      </c>
    </row>
    <row r="11150" spans="1:2" x14ac:dyDescent="0.25">
      <c r="A11150">
        <f ca="1">37787.0120603821*((RANDBETWEEN(1620,2416)))</f>
        <v>86003239.449429631</v>
      </c>
      <c r="B11150">
        <v>177692918.33434576</v>
      </c>
    </row>
    <row r="11151" spans="1:2" x14ac:dyDescent="0.25">
      <c r="A11151">
        <f ca="1">30564.8501255545*((RANDBETWEEN(1620,2416)))</f>
        <v>61863256.654122353</v>
      </c>
      <c r="B11151">
        <v>149924605.481282</v>
      </c>
    </row>
    <row r="11152" spans="1:2" x14ac:dyDescent="0.25">
      <c r="A11152">
        <f ca="1">32104.1330739223*((RANDBETWEEN(1620,2416)))</f>
        <v>76889398.712043971</v>
      </c>
      <c r="B11152">
        <v>147548203.2277154</v>
      </c>
    </row>
    <row r="11153" spans="1:2" x14ac:dyDescent="0.25">
      <c r="A11153">
        <f ca="1">32816.5695154515*((RANDBETWEEN(1620,2416)))</f>
        <v>74395163.091528445</v>
      </c>
      <c r="B11153">
        <v>146756892.16466409</v>
      </c>
    </row>
    <row r="11154" spans="1:2" x14ac:dyDescent="0.25">
      <c r="A11154">
        <f ca="1">36090.8942357427*((RANDBETWEEN(1620,2416)))</f>
        <v>65829791.08599475</v>
      </c>
      <c r="B11154">
        <v>150358817.51486132</v>
      </c>
    </row>
    <row r="11155" spans="1:2" x14ac:dyDescent="0.25">
      <c r="A11155">
        <f ca="1">29594.0773017657*((RANDBETWEEN(1620,2416)))</f>
        <v>59306530.912738532</v>
      </c>
      <c r="B11155">
        <v>169290361.20783502</v>
      </c>
    </row>
    <row r="11156" spans="1:2" x14ac:dyDescent="0.25">
      <c r="A11156">
        <f ca="1">33918.1151445697*((RANDBETWEEN(1620,2416)))</f>
        <v>56066644.333973795</v>
      </c>
      <c r="B11156">
        <v>143659803.49972647</v>
      </c>
    </row>
    <row r="11157" spans="1:2" x14ac:dyDescent="0.25">
      <c r="A11157">
        <f ca="1">30310.7548869158*((RANDBETWEEN(1620,2416)))</f>
        <v>54195629.737805478</v>
      </c>
      <c r="B11157">
        <v>158850882.46597961</v>
      </c>
    </row>
    <row r="11158" spans="1:2" x14ac:dyDescent="0.25">
      <c r="A11158">
        <f ca="1">38683.0333649069*((RANDBETWEEN(1620,2416)))</f>
        <v>85218722.502889931</v>
      </c>
      <c r="B11158">
        <v>177578501.36146611</v>
      </c>
    </row>
    <row r="11159" spans="1:2" x14ac:dyDescent="0.25">
      <c r="A11159">
        <f ca="1">30648.6491944083*((RANDBETWEEN(1620,2416)))</f>
        <v>56148325.324155957</v>
      </c>
      <c r="B11159">
        <v>161894969.43258682</v>
      </c>
    </row>
    <row r="11160" spans="1:2" x14ac:dyDescent="0.25">
      <c r="A11160">
        <f ca="1">32417.9796472226*((RANDBETWEEN(1620,2416)))</f>
        <v>66683784.134336926</v>
      </c>
      <c r="B11160">
        <v>149237788.24703526</v>
      </c>
    </row>
    <row r="11161" spans="1:2" x14ac:dyDescent="0.25">
      <c r="A11161">
        <f ca="1">35873.5793754268*((RANDBETWEEN(1620,2416)))</f>
        <v>78240276.617805764</v>
      </c>
      <c r="B11161">
        <v>193152695.60551918</v>
      </c>
    </row>
    <row r="11162" spans="1:2" x14ac:dyDescent="0.25">
      <c r="A11162">
        <f ca="1">42217.6997967061*((RANDBETWEEN(1620,2416)))</f>
        <v>72994402.94850488</v>
      </c>
      <c r="B11162">
        <v>199392645.84321067</v>
      </c>
    </row>
    <row r="11163" spans="1:2" x14ac:dyDescent="0.25">
      <c r="A11163">
        <f ca="1">37187.6461993561*((RANDBETWEEN(1620,2416)))</f>
        <v>87130655.045091435</v>
      </c>
      <c r="B11163">
        <v>181004620.31266582</v>
      </c>
    </row>
    <row r="11164" spans="1:2" x14ac:dyDescent="0.25">
      <c r="A11164">
        <f ca="1">39057.5784415596*((RANDBETWEEN(1620,2416)))</f>
        <v>65421443.889612339</v>
      </c>
      <c r="B11164">
        <v>159917270.47899875</v>
      </c>
    </row>
    <row r="11165" spans="1:2" x14ac:dyDescent="0.25">
      <c r="A11165">
        <f ca="1">31484.2116238177*((RANDBETWEEN(1620,2416)))</f>
        <v>75215781.569300562</v>
      </c>
      <c r="B11165">
        <v>183309476.6315355</v>
      </c>
    </row>
    <row r="11166" spans="1:2" x14ac:dyDescent="0.25">
      <c r="A11166">
        <f ca="1">31974.2862845833*((RANDBETWEEN(1620,2416)))</f>
        <v>67209949.770194024</v>
      </c>
      <c r="B11166">
        <v>147333298.75587296</v>
      </c>
    </row>
    <row r="11167" spans="1:2" x14ac:dyDescent="0.25">
      <c r="A11167">
        <f ca="1">30091.7765524334*((RANDBETWEEN(1620,2416)))</f>
        <v>49831981.970829658</v>
      </c>
      <c r="B11167">
        <v>175271226.49799478</v>
      </c>
    </row>
    <row r="11168" spans="1:2" x14ac:dyDescent="0.25">
      <c r="A11168">
        <f ca="1">37074.3808859277*((RANDBETWEEN(1620,2416)))</f>
        <v>60097571.416088797</v>
      </c>
      <c r="B11168">
        <v>172001186.94422272</v>
      </c>
    </row>
    <row r="11169" spans="1:2" x14ac:dyDescent="0.25">
      <c r="A11169">
        <f ca="1">34197.7236149586*((RANDBETWEEN(1620,2416)))</f>
        <v>76466110.003047407</v>
      </c>
      <c r="B11169">
        <v>165197206.78027451</v>
      </c>
    </row>
    <row r="11170" spans="1:2" x14ac:dyDescent="0.25">
      <c r="A11170">
        <f ca="1">39092.3835828111*((RANDBETWEEN(1620,2416)))</f>
        <v>72555463.929697379</v>
      </c>
      <c r="B11170">
        <v>155387631.94476944</v>
      </c>
    </row>
    <row r="11171" spans="1:2" x14ac:dyDescent="0.25">
      <c r="A11171">
        <f ca="1">29577.4408570495*((RANDBETWEEN(1620,2416)))</f>
        <v>57114038.294962674</v>
      </c>
      <c r="B11171">
        <v>160760358.37184814</v>
      </c>
    </row>
    <row r="11172" spans="1:2" x14ac:dyDescent="0.25">
      <c r="A11172">
        <f ca="1">29755.5786819286*((RANDBETWEEN(1620,2416)))</f>
        <v>68408075.389753893</v>
      </c>
      <c r="B11172">
        <v>165561643.15282935</v>
      </c>
    </row>
    <row r="11173" spans="1:2" x14ac:dyDescent="0.25">
      <c r="A11173">
        <f ca="1">30324.4098751878*((RANDBETWEEN(1620,2416)))</f>
        <v>69200303.335178614</v>
      </c>
      <c r="B11173">
        <v>163567497.9346275</v>
      </c>
    </row>
    <row r="11174" spans="1:2" x14ac:dyDescent="0.25">
      <c r="A11174">
        <f ca="1">41540.9479844278*((RANDBETWEEN(1620,2416)))</f>
        <v>70287283.989651889</v>
      </c>
      <c r="B11174">
        <v>151991300.59075454</v>
      </c>
    </row>
    <row r="11175" spans="1:2" x14ac:dyDescent="0.25">
      <c r="A11175">
        <f ca="1">40487.5485513801*((RANDBETWEEN(1620,2416)))</f>
        <v>79355595.16070506</v>
      </c>
      <c r="B11175">
        <v>156550032.87296957</v>
      </c>
    </row>
    <row r="11176" spans="1:2" x14ac:dyDescent="0.25">
      <c r="A11176">
        <f ca="1">39877.8961263996*((RANDBETWEEN(1620,2416)))</f>
        <v>67393644.453615353</v>
      </c>
      <c r="B11176">
        <v>157092713.5306766</v>
      </c>
    </row>
    <row r="11177" spans="1:2" x14ac:dyDescent="0.25">
      <c r="A11177">
        <f ca="1">33803.2673949717*((RANDBETWEEN(1620,2416)))</f>
        <v>67944567.46389316</v>
      </c>
      <c r="B11177">
        <v>191239300.43719548</v>
      </c>
    </row>
    <row r="11178" spans="1:2" x14ac:dyDescent="0.25">
      <c r="A11178">
        <f ca="1">37537.0013971516*((RANDBETWEEN(1620,2416)))</f>
        <v>87986731.274923384</v>
      </c>
      <c r="B11178">
        <v>171928974.91749218</v>
      </c>
    </row>
    <row r="11179" spans="1:2" x14ac:dyDescent="0.25">
      <c r="A11179">
        <f ca="1">32397.8308483421*((RANDBETWEEN(1620,2416)))</f>
        <v>52970453.437039383</v>
      </c>
      <c r="B11179">
        <v>200590305.25599983</v>
      </c>
    </row>
    <row r="11180" spans="1:2" x14ac:dyDescent="0.25">
      <c r="A11180">
        <f ca="1">32088.3195279263*((RANDBETWEEN(1620,2416)))</f>
        <v>53619581.931164794</v>
      </c>
      <c r="B11180">
        <v>152863338.18928289</v>
      </c>
    </row>
    <row r="11181" spans="1:2" x14ac:dyDescent="0.25">
      <c r="A11181">
        <f ca="1">34797.3430774622*((RANDBETWEEN(1620,2416)))</f>
        <v>62182852.079425007</v>
      </c>
      <c r="B11181">
        <v>172078893.50527504</v>
      </c>
    </row>
    <row r="11182" spans="1:2" x14ac:dyDescent="0.25">
      <c r="A11182">
        <f ca="1">30738.8891003976*((RANDBETWEEN(1620,2416)))</f>
        <v>68578461.582987025</v>
      </c>
      <c r="B11182">
        <v>163765895.76778626</v>
      </c>
    </row>
    <row r="11183" spans="1:2" x14ac:dyDescent="0.25">
      <c r="A11183">
        <f ca="1">34346.280561477*((RANDBETWEEN(1620,2416)))</f>
        <v>70512913.9927122</v>
      </c>
      <c r="B11183">
        <v>201647495.32486069</v>
      </c>
    </row>
    <row r="11184" spans="1:2" x14ac:dyDescent="0.25">
      <c r="A11184">
        <f ca="1">40608.0950890694*((RANDBETWEEN(1620,2416)))</f>
        <v>90840308.7142483</v>
      </c>
      <c r="B11184">
        <v>193839655.64345506</v>
      </c>
    </row>
    <row r="11185" spans="1:2" x14ac:dyDescent="0.25">
      <c r="A11185">
        <f ca="1">36815.4009119242*((RANDBETWEEN(1620,2416)))</f>
        <v>83902298.678275228</v>
      </c>
      <c r="B11185">
        <v>179998193.5043878</v>
      </c>
    </row>
    <row r="11186" spans="1:2" x14ac:dyDescent="0.25">
      <c r="A11186">
        <f ca="1">29175.0811807386*((RANDBETWEEN(1620,2416)))</f>
        <v>49510112.763713427</v>
      </c>
      <c r="B11186">
        <v>148865819.59419453</v>
      </c>
    </row>
    <row r="11187" spans="1:2" x14ac:dyDescent="0.25">
      <c r="A11187">
        <f ca="1">31803.2318937897*((RANDBETWEEN(1620,2416)))</f>
        <v>69490061.687930405</v>
      </c>
      <c r="B11187">
        <v>152615780.7734811</v>
      </c>
    </row>
    <row r="11188" spans="1:2" x14ac:dyDescent="0.25">
      <c r="A11188">
        <f ca="1">35830.41321679*((RANDBETWEEN(1620,2416)))</f>
        <v>79400195.688406736</v>
      </c>
      <c r="B11188">
        <v>186611042.08639413</v>
      </c>
    </row>
    <row r="11189" spans="1:2" x14ac:dyDescent="0.25">
      <c r="A11189">
        <f ca="1">35696.6686080404*((RANDBETWEEN(1620,2416)))</f>
        <v>80781561.059995472</v>
      </c>
      <c r="B11189">
        <v>173471102.5176158</v>
      </c>
    </row>
    <row r="11190" spans="1:2" x14ac:dyDescent="0.25">
      <c r="A11190">
        <f ca="1">29146.5504138958*((RANDBETWEEN(1620,2416)))</f>
        <v>56690040.55502741</v>
      </c>
      <c r="B11190">
        <v>143541336.50823987</v>
      </c>
    </row>
    <row r="11191" spans="1:2" x14ac:dyDescent="0.25">
      <c r="A11191">
        <f ca="1">34455.1936320088*((RANDBETWEEN(1620,2416)))</f>
        <v>67635545.099633306</v>
      </c>
      <c r="B11191">
        <v>149616153.35186464</v>
      </c>
    </row>
    <row r="11192" spans="1:2" x14ac:dyDescent="0.25">
      <c r="A11192">
        <f ca="1">33145.6507302229*((RANDBETWEEN(1620,2416)))</f>
        <v>77958570.517484158</v>
      </c>
      <c r="B11192">
        <v>167109264.5080131</v>
      </c>
    </row>
    <row r="11193" spans="1:2" x14ac:dyDescent="0.25">
      <c r="A11193">
        <f ca="1">38864.8695538081*((RANDBETWEEN(1620,2416)))</f>
        <v>63077683.285830587</v>
      </c>
      <c r="B11193">
        <v>145474172.6190905</v>
      </c>
    </row>
    <row r="11194" spans="1:2" x14ac:dyDescent="0.25">
      <c r="A11194">
        <f ca="1">35048.9316744896*((RANDBETWEEN(1620,2416)))</f>
        <v>70308156.939026192</v>
      </c>
      <c r="B11194">
        <v>148313677.87630191</v>
      </c>
    </row>
    <row r="11195" spans="1:2" x14ac:dyDescent="0.25">
      <c r="A11195">
        <f ca="1">30924.5758478154*((RANDBETWEEN(1620,2416)))</f>
        <v>65281779.614738353</v>
      </c>
      <c r="B11195">
        <v>152660627.79824045</v>
      </c>
    </row>
    <row r="11196" spans="1:2" x14ac:dyDescent="0.25">
      <c r="A11196">
        <f ca="1">31923.6348521384*((RANDBETWEEN(1620,2416)))</f>
        <v>67486564.077420518</v>
      </c>
      <c r="B11196">
        <v>165791828.41324344</v>
      </c>
    </row>
    <row r="11197" spans="1:2" x14ac:dyDescent="0.25">
      <c r="A11197">
        <f ca="1">32454.3788105812*((RANDBETWEEN(1620,2416)))</f>
        <v>53257635.62816371</v>
      </c>
      <c r="B11197">
        <v>199141288.66563106</v>
      </c>
    </row>
    <row r="11198" spans="1:2" x14ac:dyDescent="0.25">
      <c r="A11198">
        <f ca="1">41288.6195391385*((RANDBETWEEN(1620,2416)))</f>
        <v>67548181.566030547</v>
      </c>
      <c r="B11198">
        <v>156057423.12711754</v>
      </c>
    </row>
    <row r="11199" spans="1:2" x14ac:dyDescent="0.25">
      <c r="A11199">
        <f ca="1">31680.588866916*((RANDBETWEEN(1620,2416)))</f>
        <v>55631114.05030454</v>
      </c>
      <c r="B11199">
        <v>165969238.14542657</v>
      </c>
    </row>
    <row r="11200" spans="1:2" x14ac:dyDescent="0.25">
      <c r="A11200">
        <f ca="1">31132.029315184*((RANDBETWEEN(1620,2416)))</f>
        <v>62544246.894204587</v>
      </c>
      <c r="B11200">
        <v>145064596.58100447</v>
      </c>
    </row>
    <row r="11201" spans="1:2" x14ac:dyDescent="0.25">
      <c r="A11201">
        <f ca="1">30124.1718999478*((RANDBETWEEN(1620,2416)))</f>
        <v>54886241.20170489</v>
      </c>
      <c r="B11201">
        <v>145530936.13877675</v>
      </c>
    </row>
    <row r="11202" spans="1:2" x14ac:dyDescent="0.25">
      <c r="A11202">
        <f ca="1">29696.2719533673*((RANDBETWEEN(1620,2416)))</f>
        <v>57759248.949299492</v>
      </c>
      <c r="B11202">
        <v>154589871.47056615</v>
      </c>
    </row>
    <row r="11203" spans="1:2" x14ac:dyDescent="0.25">
      <c r="A11203">
        <f ca="1">34627.4367109145*((RANDBETWEEN(1620,2416)))</f>
        <v>71921186.048569411</v>
      </c>
      <c r="B11203">
        <v>194257015.26592505</v>
      </c>
    </row>
    <row r="11204" spans="1:2" x14ac:dyDescent="0.25">
      <c r="A11204">
        <f ca="1">33338.5215627988*((RANDBETWEEN(1620,2416)))</f>
        <v>74111533.434101909</v>
      </c>
      <c r="B11204">
        <v>165851842.34097642</v>
      </c>
    </row>
    <row r="11205" spans="1:2" x14ac:dyDescent="0.25">
      <c r="A11205">
        <f ca="1">30088.5258029312*((RANDBETWEEN(1620,2416)))</f>
        <v>54219523.496881984</v>
      </c>
      <c r="B11205">
        <v>165978104.56454933</v>
      </c>
    </row>
    <row r="11206" spans="1:2" x14ac:dyDescent="0.25">
      <c r="A11206">
        <f ca="1">31040.7523719024*((RANDBETWEEN(1620,2416)))</f>
        <v>64347479.666953735</v>
      </c>
      <c r="B11206">
        <v>180302935.53001016</v>
      </c>
    </row>
    <row r="11207" spans="1:2" x14ac:dyDescent="0.25">
      <c r="A11207">
        <f ca="1">32254.4814463587*((RANDBETWEEN(1620,2416)))</f>
        <v>59670790.6757636</v>
      </c>
      <c r="B11207">
        <v>156890004.45140606</v>
      </c>
    </row>
    <row r="11208" spans="1:2" x14ac:dyDescent="0.25">
      <c r="A11208">
        <f ca="1">28374.7196933141*((RANDBETWEEN(1620,2416)))</f>
        <v>54224089.333923183</v>
      </c>
      <c r="B11208">
        <v>166438884.28006291</v>
      </c>
    </row>
    <row r="11209" spans="1:2" x14ac:dyDescent="0.25">
      <c r="A11209">
        <f ca="1">31661.0272490806*((RANDBETWEEN(1620,2416)))</f>
        <v>73073650.890878081</v>
      </c>
      <c r="B11209">
        <v>144540581.77291557</v>
      </c>
    </row>
    <row r="11210" spans="1:2" x14ac:dyDescent="0.25">
      <c r="A11210">
        <f ca="1">28846.6489584515*((RANDBETWEEN(1620,2416)))</f>
        <v>59424096.854410253</v>
      </c>
      <c r="B11210">
        <v>147048545.88092908</v>
      </c>
    </row>
    <row r="11211" spans="1:2" x14ac:dyDescent="0.25">
      <c r="A11211">
        <f ca="1">33853.5090613815*((RANDBETWEEN(1620,2416)))</f>
        <v>60631634.728934199</v>
      </c>
      <c r="B11211">
        <v>199290309.32107151</v>
      </c>
    </row>
    <row r="11212" spans="1:2" x14ac:dyDescent="0.25">
      <c r="A11212">
        <f ca="1">37280.4033723935*((RANDBETWEEN(1620,2416)))</f>
        <v>80264708.460763127</v>
      </c>
      <c r="B11212">
        <v>178585976.85328513</v>
      </c>
    </row>
    <row r="11213" spans="1:2" x14ac:dyDescent="0.25">
      <c r="A11213">
        <f ca="1">29363.8591190525*((RANDBETWEEN(1620,2416)))</f>
        <v>63044205.528605618</v>
      </c>
      <c r="B11213">
        <v>197075807.13110065</v>
      </c>
    </row>
    <row r="11214" spans="1:2" x14ac:dyDescent="0.25">
      <c r="A11214">
        <f ca="1">38864.9359245244*((RANDBETWEEN(1620,2416)))</f>
        <v>77069167.938331917</v>
      </c>
      <c r="B11214">
        <v>143804700.85856128</v>
      </c>
    </row>
    <row r="11215" spans="1:2" x14ac:dyDescent="0.25">
      <c r="A11215">
        <f ca="1">40999.7424911752*((RANDBETWEEN(1620,2416)))</f>
        <v>79703499.402844667</v>
      </c>
      <c r="B11215">
        <v>178836905.10833353</v>
      </c>
    </row>
    <row r="11216" spans="1:2" x14ac:dyDescent="0.25">
      <c r="A11216">
        <f ca="1">38504.1615292599*((RANDBETWEEN(1620,2416)))</f>
        <v>75275635.78970328</v>
      </c>
      <c r="B11216">
        <v>154147489.44328508</v>
      </c>
    </row>
    <row r="11217" spans="1:2" x14ac:dyDescent="0.25">
      <c r="A11217">
        <f ca="1">32350.5519490223*((RANDBETWEEN(1620,2416)))</f>
        <v>68324365.716335028</v>
      </c>
      <c r="B11217">
        <v>157188941.66974518</v>
      </c>
    </row>
    <row r="11218" spans="1:2" x14ac:dyDescent="0.25">
      <c r="A11218">
        <f ca="1">32832.2393305478*((RANDBETWEEN(1620,2416)))</f>
        <v>60050165.73557201</v>
      </c>
      <c r="B11218">
        <v>177127834.05916911</v>
      </c>
    </row>
    <row r="11219" spans="1:2" x14ac:dyDescent="0.25">
      <c r="A11219">
        <f ca="1">31697.1296139103*((RANDBETWEEN(1620,2416)))</f>
        <v>67863554.503381878</v>
      </c>
      <c r="B11219">
        <v>165323714.71453327</v>
      </c>
    </row>
    <row r="11220" spans="1:2" x14ac:dyDescent="0.25">
      <c r="A11220">
        <f ca="1">30339.1967941743*((RANDBETWEEN(1620,2416)))</f>
        <v>56612941.217929319</v>
      </c>
      <c r="B11220">
        <v>154723446.24902821</v>
      </c>
    </row>
    <row r="11221" spans="1:2" x14ac:dyDescent="0.25">
      <c r="A11221">
        <f ca="1">36470.0005829683*((RANDBETWEEN(1620,2416)))</f>
        <v>70423571.125711709</v>
      </c>
      <c r="B11221">
        <v>188135204.06436554</v>
      </c>
    </row>
    <row r="11222" spans="1:2" x14ac:dyDescent="0.25">
      <c r="A11222">
        <f ca="1">36996.3317788078*((RANDBETWEEN(1620,2416)))</f>
        <v>69997059.725504443</v>
      </c>
      <c r="B11222">
        <v>200994984.48199433</v>
      </c>
    </row>
    <row r="11223" spans="1:2" x14ac:dyDescent="0.25">
      <c r="A11223">
        <f ca="1">40845.9044491263*((RANDBETWEEN(1620,2416)))</f>
        <v>83815795.929607138</v>
      </c>
      <c r="B11223">
        <v>193726609.00737792</v>
      </c>
    </row>
    <row r="11224" spans="1:2" x14ac:dyDescent="0.25">
      <c r="A11224">
        <f ca="1">30348.4724437697*((RANDBETWEEN(1620,2416)))</f>
        <v>52442160.382834092</v>
      </c>
      <c r="B11224">
        <v>173024039.62239462</v>
      </c>
    </row>
    <row r="11225" spans="1:2" x14ac:dyDescent="0.25">
      <c r="A11225">
        <f ca="1">32380.6808584279*((RANDBETWEEN(1620,2416)))</f>
        <v>71852730.824851498</v>
      </c>
      <c r="B11225">
        <v>164343130.70967233</v>
      </c>
    </row>
    <row r="11226" spans="1:2" x14ac:dyDescent="0.25">
      <c r="A11226">
        <f ca="1">36780.1247108434*((RANDBETWEEN(1620,2416)))</f>
        <v>76318758.775000066</v>
      </c>
      <c r="B11226">
        <v>160297705.06048617</v>
      </c>
    </row>
    <row r="11227" spans="1:2" x14ac:dyDescent="0.25">
      <c r="A11227">
        <f ca="1">31918.8339673091*((RANDBETWEEN(1620,2416)))</f>
        <v>71817376.426445469</v>
      </c>
      <c r="B11227">
        <v>179209380.48795351</v>
      </c>
    </row>
    <row r="11228" spans="1:2" x14ac:dyDescent="0.25">
      <c r="A11228">
        <f ca="1">31292.9567241733*((RANDBETWEEN(1620,2416)))</f>
        <v>52666046.166783646</v>
      </c>
      <c r="B11228">
        <v>192442647.27142969</v>
      </c>
    </row>
    <row r="11229" spans="1:2" x14ac:dyDescent="0.25">
      <c r="A11229">
        <f ca="1">40196.6016744544*((RANDBETWEEN(1620,2416)))</f>
        <v>78664749.476907313</v>
      </c>
      <c r="B11229">
        <v>178842709.13639885</v>
      </c>
    </row>
    <row r="11230" spans="1:2" x14ac:dyDescent="0.25">
      <c r="A11230">
        <f ca="1">28526.6094868812*((RANDBETWEEN(1620,2416)))</f>
        <v>61674529.71063713</v>
      </c>
      <c r="B11230">
        <v>152967582.78847069</v>
      </c>
    </row>
    <row r="11231" spans="1:2" x14ac:dyDescent="0.25">
      <c r="A11231">
        <f ca="1">30205.1266239573*((RANDBETWEEN(1620,2416)))</f>
        <v>52768356.212053381</v>
      </c>
      <c r="B11231">
        <v>145738488.68274829</v>
      </c>
    </row>
    <row r="11232" spans="1:2" x14ac:dyDescent="0.25">
      <c r="A11232">
        <f ca="1">33638.012418048*((RANDBETWEEN(1620,2416)))</f>
        <v>73599971.170689031</v>
      </c>
      <c r="B11232">
        <v>144032968.11500466</v>
      </c>
    </row>
    <row r="11233" spans="1:2" x14ac:dyDescent="0.25">
      <c r="A11233">
        <f ca="1">32921.2591757338*((RANDBETWEEN(1620,2416)))</f>
        <v>77233274.026271403</v>
      </c>
      <c r="B11233">
        <v>182746181.69572365</v>
      </c>
    </row>
    <row r="11234" spans="1:2" x14ac:dyDescent="0.25">
      <c r="A11234">
        <f ca="1">30342.7720832878*((RANDBETWEEN(1620,2416)))</f>
        <v>54040477.08033558</v>
      </c>
      <c r="B11234">
        <v>176961738.5899027</v>
      </c>
    </row>
    <row r="11235" spans="1:2" x14ac:dyDescent="0.25">
      <c r="A11235">
        <f ca="1">39913.3409491921*((RANDBETWEEN(1620,2416)))</f>
        <v>74318640.847395837</v>
      </c>
      <c r="B11235">
        <v>150651066.9651432</v>
      </c>
    </row>
    <row r="11236" spans="1:2" x14ac:dyDescent="0.25">
      <c r="A11236">
        <f ca="1">30887.6736506001*((RANDBETWEEN(1620,2416)))</f>
        <v>66810038.106248073</v>
      </c>
      <c r="B11236">
        <v>190085233.47361034</v>
      </c>
    </row>
    <row r="11237" spans="1:2" x14ac:dyDescent="0.25">
      <c r="A11237">
        <f ca="1">32366.3013041871*((RANDBETWEEN(1620,2416)))</f>
        <v>70526170.54182376</v>
      </c>
      <c r="B11237">
        <v>194960431.7273846</v>
      </c>
    </row>
    <row r="11238" spans="1:2" x14ac:dyDescent="0.25">
      <c r="A11238">
        <f ca="1">31819.2632514649*((RANDBETWEEN(1620,2416)))</f>
        <v>54156386.053993322</v>
      </c>
      <c r="B11238">
        <v>177897009.21539092</v>
      </c>
    </row>
    <row r="11239" spans="1:2" x14ac:dyDescent="0.25">
      <c r="A11239">
        <f ca="1">37153.8863532444*((RANDBETWEEN(1620,2416)))</f>
        <v>81887165.522550702</v>
      </c>
      <c r="B11239">
        <v>178749799.83942735</v>
      </c>
    </row>
    <row r="11240" spans="1:2" x14ac:dyDescent="0.25">
      <c r="A11240">
        <f ca="1">33273.475422577*((RANDBETWEEN(1620,2416)))</f>
        <v>67412061.206141084</v>
      </c>
      <c r="B11240">
        <v>148820541.15282583</v>
      </c>
    </row>
    <row r="11241" spans="1:2" x14ac:dyDescent="0.25">
      <c r="A11241">
        <f ca="1">31035.208074762*((RANDBETWEEN(1620,2416)))</f>
        <v>55180599.956926823</v>
      </c>
      <c r="B11241">
        <v>147092065.66882309</v>
      </c>
    </row>
    <row r="11242" spans="1:2" x14ac:dyDescent="0.25">
      <c r="A11242">
        <f ca="1">31916.5744131179*((RANDBETWEEN(1620,2416)))</f>
        <v>52630431.20723135</v>
      </c>
      <c r="B11242">
        <v>175383994.33910894</v>
      </c>
    </row>
    <row r="11243" spans="1:2" x14ac:dyDescent="0.25">
      <c r="A11243">
        <f ca="1">30525.4159846096*((RANDBETWEEN(1620,2416)))</f>
        <v>58547747.858481213</v>
      </c>
      <c r="B11243">
        <v>197060699.04632491</v>
      </c>
    </row>
    <row r="11244" spans="1:2" x14ac:dyDescent="0.25">
      <c r="A11244">
        <f ca="1">31183.3100847063*((RANDBETWEEN(1620,2416)))</f>
        <v>61088104.455939554</v>
      </c>
      <c r="B11244">
        <v>164904818.60207468</v>
      </c>
    </row>
    <row r="11245" spans="1:2" x14ac:dyDescent="0.25">
      <c r="A11245">
        <f ca="1">34231.9758940336*((RANDBETWEEN(1620,2416)))</f>
        <v>68840503.522901505</v>
      </c>
      <c r="B11245">
        <v>148819719.67135578</v>
      </c>
    </row>
    <row r="11246" spans="1:2" x14ac:dyDescent="0.25">
      <c r="A11246">
        <f ca="1">38005.6514351798*((RANDBETWEEN(1620,2416)))</f>
        <v>71944698.166795388</v>
      </c>
      <c r="B11246">
        <v>147258975.46493846</v>
      </c>
    </row>
    <row r="11247" spans="1:2" x14ac:dyDescent="0.25">
      <c r="A11247">
        <f ca="1">32695.8346486081*((RANDBETWEEN(1620,2416)))</f>
        <v>77914173.967633054</v>
      </c>
      <c r="B11247">
        <v>144115305.31700248</v>
      </c>
    </row>
    <row r="11248" spans="1:2" x14ac:dyDescent="0.25">
      <c r="A11248">
        <f ca="1">30237.7073090809*((RANDBETWEEN(1620,2416)))</f>
        <v>69425775.981649682</v>
      </c>
      <c r="B11248">
        <v>166365925.01536307</v>
      </c>
    </row>
    <row r="11249" spans="1:2" x14ac:dyDescent="0.25">
      <c r="A11249">
        <f ca="1">32686.2486331131*((RANDBETWEEN(1620,2416)))</f>
        <v>55403191.433126628</v>
      </c>
      <c r="B11249">
        <v>158161411.90897727</v>
      </c>
    </row>
    <row r="11250" spans="1:2" x14ac:dyDescent="0.25">
      <c r="A11250">
        <f ca="1">32763.2610347026*((RANDBETWEEN(1620,2416)))</f>
        <v>71325619.272547603</v>
      </c>
      <c r="B11250">
        <v>153677120.53388926</v>
      </c>
    </row>
    <row r="11251" spans="1:2" x14ac:dyDescent="0.25">
      <c r="A11251">
        <f ca="1">31246.8308318224*((RANDBETWEEN(1620,2416)))</f>
        <v>61962465.539503843</v>
      </c>
      <c r="B11251">
        <v>159224865.08328724</v>
      </c>
    </row>
    <row r="11252" spans="1:2" x14ac:dyDescent="0.25">
      <c r="A11252">
        <f ca="1">37082.4903924923*((RANDBETWEEN(1620,2416)))</f>
        <v>73386248.486742184</v>
      </c>
      <c r="B11252">
        <v>202488146.35224614</v>
      </c>
    </row>
    <row r="11253" spans="1:2" x14ac:dyDescent="0.25">
      <c r="A11253">
        <f ca="1">37072.194575915*((RANDBETWEEN(1620,2416)))</f>
        <v>85636769.470363766</v>
      </c>
      <c r="B11253">
        <v>199329570.43963972</v>
      </c>
    </row>
    <row r="11254" spans="1:2" x14ac:dyDescent="0.25">
      <c r="A11254">
        <f ca="1">40084.6359776673*((RANDBETWEEN(1620,2416)))</f>
        <v>79086986.783937603</v>
      </c>
      <c r="B11254">
        <v>172225410.72628087</v>
      </c>
    </row>
    <row r="11255" spans="1:2" x14ac:dyDescent="0.25">
      <c r="A11255">
        <f ca="1">33853.8022374348*((RANDBETWEEN(1620,2416)))</f>
        <v>57619171.408113956</v>
      </c>
      <c r="B11255">
        <v>190110919.58189136</v>
      </c>
    </row>
    <row r="11256" spans="1:2" x14ac:dyDescent="0.25">
      <c r="A11256">
        <f ca="1">29634.6605266958*((RANDBETWEEN(1620,2416)))</f>
        <v>62143883.124481142</v>
      </c>
      <c r="B11256">
        <v>155974337.12852255</v>
      </c>
    </row>
    <row r="11257" spans="1:2" x14ac:dyDescent="0.25">
      <c r="A11257">
        <f ca="1">34411.4015297947*((RANDBETWEEN(1620,2416)))</f>
        <v>76840659.616031483</v>
      </c>
      <c r="B11257">
        <v>159200500.85520467</v>
      </c>
    </row>
    <row r="11258" spans="1:2" x14ac:dyDescent="0.25">
      <c r="A11258">
        <f ca="1">38629.5366859383*((RANDBETWEEN(1620,2416)))</f>
        <v>64434067.192145154</v>
      </c>
      <c r="B11258">
        <v>179442493.27709985</v>
      </c>
    </row>
    <row r="11259" spans="1:2" x14ac:dyDescent="0.25">
      <c r="A11259">
        <f ca="1">31812.7442409094*((RANDBETWEEN(1620,2416)))</f>
        <v>68301961.885232449</v>
      </c>
      <c r="B11259">
        <v>176065557.6420368</v>
      </c>
    </row>
    <row r="11260" spans="1:2" x14ac:dyDescent="0.25">
      <c r="A11260">
        <f ca="1">35402.0241321155*((RANDBETWEEN(1620,2416)))</f>
        <v>75512517.473802298</v>
      </c>
      <c r="B11260">
        <v>180051337.68983856</v>
      </c>
    </row>
    <row r="11261" spans="1:2" x14ac:dyDescent="0.25">
      <c r="A11261">
        <f ca="1">29851.6584500684*((RANDBETWEEN(1620,2416)))</f>
        <v>68808072.727407649</v>
      </c>
      <c r="B11261">
        <v>146262940.38722152</v>
      </c>
    </row>
    <row r="11262" spans="1:2" x14ac:dyDescent="0.25">
      <c r="A11262">
        <f ca="1">31087.3501041868*((RANDBETWEEN(1620,2416)))</f>
        <v>73148534.795151606</v>
      </c>
      <c r="B11262">
        <v>182286485.5539726</v>
      </c>
    </row>
    <row r="11263" spans="1:2" x14ac:dyDescent="0.25">
      <c r="A11263">
        <f ca="1">35253.8914754352*((RANDBETWEEN(1620,2416)))</f>
        <v>70225751.819066942</v>
      </c>
      <c r="B11263">
        <v>190683551.88688511</v>
      </c>
    </row>
    <row r="11264" spans="1:2" x14ac:dyDescent="0.25">
      <c r="A11264">
        <f ca="1">36833.9618373259*((RANDBETWEEN(1620,2416)))</f>
        <v>83244753.75235647</v>
      </c>
      <c r="B11264">
        <v>182236569.46278962</v>
      </c>
    </row>
    <row r="11265" spans="1:2" x14ac:dyDescent="0.25">
      <c r="A11265">
        <f ca="1">32740.6272736254*((RANDBETWEEN(1620,2416)))</f>
        <v>53269000.574188471</v>
      </c>
      <c r="B11265">
        <v>203451476.39576015</v>
      </c>
    </row>
    <row r="11266" spans="1:2" x14ac:dyDescent="0.25">
      <c r="A11266">
        <f ca="1">31618.150122058*((RANDBETWEEN(1620,2416)))</f>
        <v>54256745.609451607</v>
      </c>
      <c r="B11266">
        <v>196883025.38257325</v>
      </c>
    </row>
    <row r="11267" spans="1:2" x14ac:dyDescent="0.25">
      <c r="A11267">
        <f ca="1">33245.6393318735*((RANDBETWEEN(1620,2416)))</f>
        <v>78858656.495203927</v>
      </c>
      <c r="B11267">
        <v>202573172.53536829</v>
      </c>
    </row>
    <row r="11268" spans="1:2" x14ac:dyDescent="0.25">
      <c r="A11268">
        <f ca="1">35503.7731082752*((RANDBETWEEN(1620,2416)))</f>
        <v>75658540.493734449</v>
      </c>
      <c r="B11268">
        <v>163419337.05756894</v>
      </c>
    </row>
    <row r="11269" spans="1:2" x14ac:dyDescent="0.25">
      <c r="A11269">
        <f ca="1">31408.4812836854*((RANDBETWEEN(1620,2416)))</f>
        <v>67119924.503235772</v>
      </c>
      <c r="B11269">
        <v>156786784.19623268</v>
      </c>
    </row>
    <row r="11270" spans="1:2" x14ac:dyDescent="0.25">
      <c r="A11270">
        <f ca="1">31176.8934545797*((RANDBETWEEN(1620,2416)))</f>
        <v>58861974.842246436</v>
      </c>
      <c r="B11270">
        <v>174403428.96144715</v>
      </c>
    </row>
    <row r="11271" spans="1:2" x14ac:dyDescent="0.25">
      <c r="A11271">
        <f ca="1">31367.5319038049*((RANDBETWEEN(1620,2416)))</f>
        <v>55175488.618792892</v>
      </c>
      <c r="B11271">
        <v>156392460.60907346</v>
      </c>
    </row>
    <row r="11272" spans="1:2" x14ac:dyDescent="0.25">
      <c r="A11272">
        <f ca="1">33489.0961690049*((RANDBETWEEN(1620,2416)))</f>
        <v>72704827.782909542</v>
      </c>
      <c r="B11272">
        <v>156743486.43159661</v>
      </c>
    </row>
    <row r="11273" spans="1:2" x14ac:dyDescent="0.25">
      <c r="A11273">
        <f ca="1">37002.2435097983*((RANDBETWEEN(1620,2416)))</f>
        <v>74263502.724165246</v>
      </c>
      <c r="B11273">
        <v>151624407.02250877</v>
      </c>
    </row>
    <row r="11274" spans="1:2" x14ac:dyDescent="0.25">
      <c r="A11274">
        <f ca="1">29534.382027424*((RANDBETWEEN(1620,2416)))</f>
        <v>55554172.593584463</v>
      </c>
      <c r="B11274">
        <v>203072156.68305638</v>
      </c>
    </row>
    <row r="11275" spans="1:2" x14ac:dyDescent="0.25">
      <c r="A11275">
        <f ca="1">30892.3920640196*((RANDBETWEEN(1620,2416)))</f>
        <v>65182947.255081363</v>
      </c>
      <c r="B11275">
        <v>147385356.81265199</v>
      </c>
    </row>
    <row r="11276" spans="1:2" x14ac:dyDescent="0.25">
      <c r="A11276">
        <f ca="1">33668.2757339606*((RANDBETWEEN(1620,2416)))</f>
        <v>57976770.813880123</v>
      </c>
      <c r="B11276">
        <v>157229509.70960474</v>
      </c>
    </row>
    <row r="11277" spans="1:2" x14ac:dyDescent="0.25">
      <c r="A11277">
        <f ca="1">27708.0517009373*((RANDBETWEEN(1620,2416)))</f>
        <v>52285093.559668668</v>
      </c>
      <c r="B11277">
        <v>175979334.98323023</v>
      </c>
    </row>
    <row r="11278" spans="1:2" x14ac:dyDescent="0.25">
      <c r="A11278">
        <f ca="1">29833.7354325437*((RANDBETWEEN(1620,2416)))</f>
        <v>62233172.112286076</v>
      </c>
      <c r="B11278">
        <v>174103599.60998642</v>
      </c>
    </row>
    <row r="11279" spans="1:2" x14ac:dyDescent="0.25">
      <c r="A11279">
        <f ca="1">30112.6273702919*((RANDBETWEEN(1620,2416)))</f>
        <v>57876469.805701077</v>
      </c>
      <c r="B11279">
        <v>167946691.57572657</v>
      </c>
    </row>
    <row r="11280" spans="1:2" x14ac:dyDescent="0.25">
      <c r="A11280">
        <f ca="1">32902.4833799619*((RANDBETWEEN(1620,2416)))</f>
        <v>63435987.956566632</v>
      </c>
      <c r="B11280">
        <v>153347329.82272783</v>
      </c>
    </row>
    <row r="11281" spans="1:2" x14ac:dyDescent="0.25">
      <c r="A11281">
        <f ca="1">31060.2402439895*((RANDBETWEEN(1620,2416)))</f>
        <v>56622817.9647929</v>
      </c>
      <c r="B11281">
        <v>178931828.99332422</v>
      </c>
    </row>
    <row r="11282" spans="1:2" x14ac:dyDescent="0.25">
      <c r="A11282">
        <f ca="1">32936.9498840336*((RANDBETWEEN(1620,2416)))</f>
        <v>73152965.692438722</v>
      </c>
      <c r="B11282">
        <v>156520258.86163679</v>
      </c>
    </row>
    <row r="11283" spans="1:2" x14ac:dyDescent="0.25">
      <c r="A11283">
        <f ca="1">29310.1785341463*((RANDBETWEEN(1620,2416)))</f>
        <v>61346203.671968199</v>
      </c>
      <c r="B11283">
        <v>145859919.84699744</v>
      </c>
    </row>
    <row r="11284" spans="1:2" x14ac:dyDescent="0.25">
      <c r="A11284">
        <f ca="1">30353.915398338*((RANDBETWEEN(1620,2416)))</f>
        <v>69844359.331575722</v>
      </c>
      <c r="B11284">
        <v>171346171.0515129</v>
      </c>
    </row>
    <row r="11285" spans="1:2" x14ac:dyDescent="0.25">
      <c r="A11285">
        <f ca="1">33458.1614456343*((RANDBETWEEN(1620,2416)))</f>
        <v>69526059.484028041</v>
      </c>
      <c r="B11285">
        <v>155095072.95393905</v>
      </c>
    </row>
    <row r="11286" spans="1:2" x14ac:dyDescent="0.25">
      <c r="A11286">
        <f ca="1">39450.119200665*((RANDBETWEEN(1620,2416)))</f>
        <v>76769931.964494035</v>
      </c>
      <c r="B11286">
        <v>151052517.93385869</v>
      </c>
    </row>
    <row r="11287" spans="1:2" x14ac:dyDescent="0.25">
      <c r="A11287">
        <f ca="1">30208.9664914523*((RANDBETWEEN(1620,2416)))</f>
        <v>64314889.660301998</v>
      </c>
      <c r="B11287">
        <v>189638352.03532717</v>
      </c>
    </row>
    <row r="11288" spans="1:2" x14ac:dyDescent="0.25">
      <c r="A11288">
        <f ca="1">30643.8660090264*((RANDBETWEEN(1620,2416)))</f>
        <v>59847470.315628551</v>
      </c>
      <c r="B11288">
        <v>172899285.83766633</v>
      </c>
    </row>
    <row r="11289" spans="1:2" x14ac:dyDescent="0.25">
      <c r="A11289">
        <f ca="1">38150.3336914916*((RANDBETWEEN(1620,2416)))</f>
        <v>75957314.379759803</v>
      </c>
      <c r="B11289">
        <v>161743310.81337231</v>
      </c>
    </row>
    <row r="11290" spans="1:2" x14ac:dyDescent="0.25">
      <c r="A11290">
        <f ca="1">32744.6787269578*((RANDBETWEEN(1620,2416)))</f>
        <v>53046379.537671641</v>
      </c>
      <c r="B11290">
        <v>166016251.8248353</v>
      </c>
    </row>
    <row r="11291" spans="1:2" x14ac:dyDescent="0.25">
      <c r="A11291">
        <f ca="1">34279.3403545983*((RANDBETWEEN(1620,2416)))</f>
        <v>79528069.622667938</v>
      </c>
      <c r="B11291">
        <v>154200213.77497357</v>
      </c>
    </row>
    <row r="11292" spans="1:2" x14ac:dyDescent="0.25">
      <c r="A11292">
        <f ca="1">34589.0992349361*((RANDBETWEEN(1620,2416)))</f>
        <v>58420988.607807077</v>
      </c>
      <c r="B11292">
        <v>194855046.87679183</v>
      </c>
    </row>
    <row r="11293" spans="1:2" x14ac:dyDescent="0.25">
      <c r="A11293">
        <f ca="1">31423.137697682*((RANDBETWEEN(1620,2416)))</f>
        <v>62249235.779108003</v>
      </c>
      <c r="B11293">
        <v>147473651.08009464</v>
      </c>
    </row>
    <row r="11294" spans="1:2" x14ac:dyDescent="0.25">
      <c r="A11294">
        <f ca="1">30184.2657611921*((RANDBETWEEN(1620,2416)))</f>
        <v>70057680.831726953</v>
      </c>
      <c r="B11294">
        <v>191000855.74765962</v>
      </c>
    </row>
    <row r="11295" spans="1:2" x14ac:dyDescent="0.25">
      <c r="A11295">
        <f ca="1">30538.6087760652*((RANDBETWEEN(1620,2416)))</f>
        <v>71857346.450081483</v>
      </c>
      <c r="B11295">
        <v>189637768.32946917</v>
      </c>
    </row>
    <row r="11296" spans="1:2" x14ac:dyDescent="0.25">
      <c r="A11296">
        <f ca="1">38087.3018289378*((RANDBETWEEN(1620,2416)))</f>
        <v>87486532.301070213</v>
      </c>
      <c r="B11296">
        <v>146427958.91366458</v>
      </c>
    </row>
    <row r="11297" spans="1:2" x14ac:dyDescent="0.25">
      <c r="A11297">
        <f ca="1">34236.2847251264*((RANDBETWEEN(1620,2416)))</f>
        <v>71553835.075514257</v>
      </c>
      <c r="B11297">
        <v>172435701.01076877</v>
      </c>
    </row>
    <row r="11298" spans="1:2" x14ac:dyDescent="0.25">
      <c r="A11298">
        <f ca="1">38751.0571537119*((RANDBETWEEN(1620,2416)))</f>
        <v>85019819.395243898</v>
      </c>
      <c r="B11298">
        <v>159464138.16703373</v>
      </c>
    </row>
    <row r="11299" spans="1:2" x14ac:dyDescent="0.25">
      <c r="A11299">
        <f ca="1">34397.756400526*((RANDBETWEEN(1620,2416)))</f>
        <v>65906101.263407744</v>
      </c>
      <c r="B11299">
        <v>153747118.74743301</v>
      </c>
    </row>
    <row r="11300" spans="1:2" x14ac:dyDescent="0.25">
      <c r="A11300">
        <f ca="1">34911.511809834*((RANDBETWEEN(1620,2416)))</f>
        <v>74012405.036848173</v>
      </c>
      <c r="B11300">
        <v>152162773.84917325</v>
      </c>
    </row>
    <row r="11301" spans="1:2" x14ac:dyDescent="0.25">
      <c r="A11301">
        <f ca="1">40182.1016108872*((RANDBETWEEN(1620,2416)))</f>
        <v>89364993.982613117</v>
      </c>
      <c r="B11301">
        <v>152637867.93193012</v>
      </c>
    </row>
    <row r="11302" spans="1:2" x14ac:dyDescent="0.25">
      <c r="A11302">
        <f ca="1">40006.9726858208*((RANDBETWEEN(1620,2416)))</f>
        <v>94696504.347337857</v>
      </c>
      <c r="B11302">
        <v>194796440.84994435</v>
      </c>
    </row>
    <row r="11303" spans="1:2" x14ac:dyDescent="0.25">
      <c r="A11303">
        <f ca="1">36371.0097434766*((RANDBETWEEN(1620,2416)))</f>
        <v>70959840.009522766</v>
      </c>
      <c r="B11303">
        <v>149630994.06524226</v>
      </c>
    </row>
    <row r="11304" spans="1:2" x14ac:dyDescent="0.25">
      <c r="A11304">
        <f ca="1">31287.7342449072*((RANDBETWEEN(1620,2416)))</f>
        <v>56662086.717526875</v>
      </c>
      <c r="B11304">
        <v>195993164.33959854</v>
      </c>
    </row>
    <row r="11305" spans="1:2" x14ac:dyDescent="0.25">
      <c r="A11305">
        <f ca="1">31213.0062053877*((RANDBETWEEN(1620,2416)))</f>
        <v>68325270.583593622</v>
      </c>
      <c r="B11305">
        <v>165014047.50319886</v>
      </c>
    </row>
    <row r="11306" spans="1:2" x14ac:dyDescent="0.25">
      <c r="A11306">
        <f ca="1">39731.2164573215*((RANDBETWEEN(1620,2416)))</f>
        <v>71754576.921922639</v>
      </c>
      <c r="B11306">
        <v>146310867.36598575</v>
      </c>
    </row>
    <row r="11307" spans="1:2" x14ac:dyDescent="0.25">
      <c r="A11307">
        <f ca="1">31112.4601915993*((RANDBETWEEN(1620,2416)))</f>
        <v>52828957.405335605</v>
      </c>
      <c r="B11307">
        <v>184702113.03461719</v>
      </c>
    </row>
    <row r="11308" spans="1:2" x14ac:dyDescent="0.25">
      <c r="A11308">
        <f ca="1">31052.5919651037*((RANDBETWEEN(1620,2416)))</f>
        <v>64775706.839206234</v>
      </c>
      <c r="B11308">
        <v>190956752.82619137</v>
      </c>
    </row>
    <row r="11309" spans="1:2" x14ac:dyDescent="0.25">
      <c r="A11309">
        <f ca="1">36615.2627807324*((RANDBETWEEN(1620,2416)))</f>
        <v>82311110.731086418</v>
      </c>
      <c r="B11309">
        <v>149412479.27296424</v>
      </c>
    </row>
    <row r="11310" spans="1:2" x14ac:dyDescent="0.25">
      <c r="A11310">
        <f ca="1">31539.1256082805*((RANDBETWEEN(1620,2416)))</f>
        <v>65443685.637182027</v>
      </c>
      <c r="B11310">
        <v>153033117.25587305</v>
      </c>
    </row>
    <row r="11311" spans="1:2" x14ac:dyDescent="0.25">
      <c r="A11311">
        <f ca="1">28993.8226299036*((RANDBETWEEN(1620,2416)))</f>
        <v>70020081.651217267</v>
      </c>
      <c r="B11311">
        <v>170352313.28599954</v>
      </c>
    </row>
    <row r="11312" spans="1:2" x14ac:dyDescent="0.25">
      <c r="A11312">
        <f ca="1">40847.701762205*((RANDBETWEEN(1620,2416)))</f>
        <v>96400576.158803731</v>
      </c>
      <c r="B11312">
        <v>166491564.04954043</v>
      </c>
    </row>
    <row r="11313" spans="1:2" x14ac:dyDescent="0.25">
      <c r="A11313">
        <f ca="1">34772.325240088*((RANDBETWEEN(1620,2416)))</f>
        <v>71109405.11597994</v>
      </c>
      <c r="B11313">
        <v>156657149.00017405</v>
      </c>
    </row>
    <row r="11314" spans="1:2" x14ac:dyDescent="0.25">
      <c r="A11314">
        <f ca="1">32740.2616849292*((RANDBETWEEN(1620,2416)))</f>
        <v>58801509.986132763</v>
      </c>
      <c r="B11314">
        <v>163335915.88139576</v>
      </c>
    </row>
    <row r="11315" spans="1:2" x14ac:dyDescent="0.25">
      <c r="A11315">
        <f ca="1">29650.2687888288*((RANDBETWEEN(1620,2416)))</f>
        <v>58055226.288526841</v>
      </c>
      <c r="B11315">
        <v>144878714.99980298</v>
      </c>
    </row>
    <row r="11316" spans="1:2" x14ac:dyDescent="0.25">
      <c r="A11316">
        <f ca="1">31941.8793898073*((RANDBETWEEN(1620,2416)))</f>
        <v>57527324.781042941</v>
      </c>
      <c r="B11316">
        <v>163581348.38253146</v>
      </c>
    </row>
    <row r="11317" spans="1:2" x14ac:dyDescent="0.25">
      <c r="A11317">
        <f ca="1">31549.0863565721*((RANDBETWEEN(1620,2416)))</f>
        <v>53538799.547102772</v>
      </c>
      <c r="B11317">
        <v>188057192.59450141</v>
      </c>
    </row>
    <row r="11318" spans="1:2" x14ac:dyDescent="0.25">
      <c r="A11318">
        <f ca="1">29110.2221421732*((RANDBETWEEN(1620,2416)))</f>
        <v>55775185.624403834</v>
      </c>
      <c r="B11318">
        <v>158942426.89133912</v>
      </c>
    </row>
    <row r="11319" spans="1:2" x14ac:dyDescent="0.25">
      <c r="A11319">
        <f ca="1">39180.5385166772*((RANDBETWEEN(1620,2416)))</f>
        <v>84316518.887889326</v>
      </c>
      <c r="B11319">
        <v>146498688.30699843</v>
      </c>
    </row>
    <row r="11320" spans="1:2" x14ac:dyDescent="0.25">
      <c r="A11320">
        <f ca="1">29918.5295723071*((RANDBETWEEN(1620,2416)))</f>
        <v>56725532.069094241</v>
      </c>
      <c r="B11320">
        <v>160766230.57497901</v>
      </c>
    </row>
    <row r="11321" spans="1:2" x14ac:dyDescent="0.25">
      <c r="A11321">
        <f ca="1">30662.0597814584*((RANDBETWEEN(1620,2416)))</f>
        <v>61508091.921605468</v>
      </c>
      <c r="B11321">
        <v>168468813.73389912</v>
      </c>
    </row>
    <row r="11322" spans="1:2" x14ac:dyDescent="0.25">
      <c r="A11322">
        <f ca="1">34719.6935255483*((RANDBETWEEN(1620,2416)))</f>
        <v>70237940.002184242</v>
      </c>
      <c r="B11322">
        <v>145266614.03417152</v>
      </c>
    </row>
    <row r="11323" spans="1:2" x14ac:dyDescent="0.25">
      <c r="A11323">
        <f ca="1">39792.56036927*((RANDBETWEEN(1620,2416)))</f>
        <v>71984741.708009377</v>
      </c>
      <c r="B11323">
        <v>150580456.61598587</v>
      </c>
    </row>
    <row r="11324" spans="1:2" x14ac:dyDescent="0.25">
      <c r="A11324">
        <f ca="1">32793.8714125338*((RANDBETWEEN(1620,2416)))</f>
        <v>58733823.699847944</v>
      </c>
      <c r="B11324">
        <v>192468829.74494588</v>
      </c>
    </row>
    <row r="11325" spans="1:2" x14ac:dyDescent="0.25">
      <c r="A11325">
        <f ca="1">32245.4593981225*((RANDBETWEEN(1620,2416)))</f>
        <v>58847963.401573531</v>
      </c>
      <c r="B11325">
        <v>183077626.34344068</v>
      </c>
    </row>
    <row r="11326" spans="1:2" x14ac:dyDescent="0.25">
      <c r="A11326">
        <f ca="1">35163.3942225798*((RANDBETWEEN(1620,2416)))</f>
        <v>68779599.099366114</v>
      </c>
      <c r="B11326">
        <v>166373313.17581967</v>
      </c>
    </row>
    <row r="11327" spans="1:2" x14ac:dyDescent="0.25">
      <c r="A11327">
        <f ca="1">31347.7433977126*((RANDBETWEEN(1620,2416)))</f>
        <v>58588932.410324909</v>
      </c>
      <c r="B11327">
        <v>172704649.37712562</v>
      </c>
    </row>
    <row r="11328" spans="1:2" x14ac:dyDescent="0.25">
      <c r="A11328">
        <f ca="1">28102.5528633782*((RANDBETWEEN(1620,2416)))</f>
        <v>56598541.466843732</v>
      </c>
      <c r="B11328">
        <v>150465402.02674735</v>
      </c>
    </row>
    <row r="11329" spans="1:2" x14ac:dyDescent="0.25">
      <c r="A11329">
        <f ca="1">29693.5618249524*((RANDBETWEEN(1620,2416)))</f>
        <v>67671627.399066538</v>
      </c>
      <c r="B11329">
        <v>151994937.91269428</v>
      </c>
    </row>
    <row r="11330" spans="1:2" x14ac:dyDescent="0.25">
      <c r="A11330">
        <f ca="1">29765.8778067451*((RANDBETWEEN(1620,2416)))</f>
        <v>64770550.107477285</v>
      </c>
      <c r="B11330">
        <v>168701438.04952615</v>
      </c>
    </row>
    <row r="11331" spans="1:2" x14ac:dyDescent="0.25">
      <c r="A11331">
        <f ca="1">33578.8742913045*((RANDBETWEEN(1620,2416)))</f>
        <v>69844058.525913313</v>
      </c>
      <c r="B11331">
        <v>180068696.48603499</v>
      </c>
    </row>
    <row r="11332" spans="1:2" x14ac:dyDescent="0.25">
      <c r="A11332">
        <f ca="1">34269.4246062248*((RANDBETWEEN(1620,2416)))</f>
        <v>56990053.120151803</v>
      </c>
      <c r="B11332">
        <v>186769789.88493195</v>
      </c>
    </row>
    <row r="11333" spans="1:2" x14ac:dyDescent="0.25">
      <c r="A11333">
        <f ca="1">31822.2493135186*((RANDBETWEEN(1620,2416)))</f>
        <v>51965733.128975943</v>
      </c>
      <c r="B11333">
        <v>166911429.37939996</v>
      </c>
    </row>
    <row r="11334" spans="1:2" x14ac:dyDescent="0.25">
      <c r="A11334">
        <f ca="1">33933.182973458*((RANDBETWEEN(1620,2416)))</f>
        <v>79098249.511130631</v>
      </c>
      <c r="B11334">
        <v>170051941.33983001</v>
      </c>
    </row>
    <row r="11335" spans="1:2" x14ac:dyDescent="0.25">
      <c r="A11335">
        <f ca="1">27026.1113044651*((RANDBETWEEN(1620,2416)))</f>
        <v>58403426.528949022</v>
      </c>
      <c r="B11335">
        <v>199739281.43605995</v>
      </c>
    </row>
    <row r="11336" spans="1:2" x14ac:dyDescent="0.25">
      <c r="A11336">
        <f ca="1">34135.6351768998*((RANDBETWEEN(1620,2416)))</f>
        <v>78648503.447577074</v>
      </c>
      <c r="B11336">
        <v>184222919.08194762</v>
      </c>
    </row>
    <row r="11337" spans="1:2" x14ac:dyDescent="0.25">
      <c r="A11337">
        <f ca="1">31823.2587051518*((RANDBETWEEN(1620,2416)))</f>
        <v>56295344.649413556</v>
      </c>
      <c r="B11337">
        <v>203239639.39375508</v>
      </c>
    </row>
    <row r="11338" spans="1:2" x14ac:dyDescent="0.25">
      <c r="A11338">
        <f ca="1">30927.4598006452*((RANDBETWEEN(1620,2416)))</f>
        <v>59040520.75943166</v>
      </c>
      <c r="B11338">
        <v>148107608.1658476</v>
      </c>
    </row>
    <row r="11339" spans="1:2" x14ac:dyDescent="0.25">
      <c r="A11339">
        <f ca="1">34469.6928681848*((RANDBETWEEN(1620,2416)))</f>
        <v>78901126.975275114</v>
      </c>
      <c r="B11339">
        <v>161727118.70806456</v>
      </c>
    </row>
    <row r="11340" spans="1:2" x14ac:dyDescent="0.25">
      <c r="A11340">
        <f ca="1">31888.9462045525*((RANDBETWEEN(1620,2416)))</f>
        <v>58707549.962581091</v>
      </c>
      <c r="B11340">
        <v>182756599.59629184</v>
      </c>
    </row>
    <row r="11341" spans="1:2" x14ac:dyDescent="0.25">
      <c r="A11341">
        <f ca="1">32579.4706805409*((RANDBETWEEN(1620,2416)))</f>
        <v>56623120.042780064</v>
      </c>
      <c r="B11341">
        <v>164903342.39481378</v>
      </c>
    </row>
    <row r="11342" spans="1:2" x14ac:dyDescent="0.25">
      <c r="A11342">
        <f ca="1">36013.7902742987*((RANDBETWEEN(1620,2416)))</f>
        <v>79914600.618668884</v>
      </c>
      <c r="B11342">
        <v>183917557.51718411</v>
      </c>
    </row>
    <row r="11343" spans="1:2" x14ac:dyDescent="0.25">
      <c r="A11343">
        <f ca="1">37775.195155469*((RANDBETWEEN(1620,2416)))</f>
        <v>86958499.247889563</v>
      </c>
      <c r="B11343">
        <v>183073960.3842366</v>
      </c>
    </row>
    <row r="11344" spans="1:2" x14ac:dyDescent="0.25">
      <c r="A11344">
        <f ca="1">36050.3891153624*((RANDBETWEEN(1620,2416)))</f>
        <v>82158836.793911025</v>
      </c>
      <c r="B11344">
        <v>177793960.53484654</v>
      </c>
    </row>
    <row r="11345" spans="1:2" x14ac:dyDescent="0.25">
      <c r="A11345">
        <f ca="1">30054.5707763477*((RANDBETWEEN(1620,2416)))</f>
        <v>70958841.602957025</v>
      </c>
      <c r="B11345">
        <v>169908188.80437961</v>
      </c>
    </row>
    <row r="11346" spans="1:2" x14ac:dyDescent="0.25">
      <c r="A11346">
        <f ca="1">33073.7890571857*((RANDBETWEEN(1620,2416)))</f>
        <v>57912204.639132105</v>
      </c>
      <c r="B11346">
        <v>201860442.58124104</v>
      </c>
    </row>
    <row r="11347" spans="1:2" x14ac:dyDescent="0.25">
      <c r="A11347">
        <f ca="1">39230.1854445741*((RANDBETWEEN(1620,2416)))</f>
        <v>66416703.957663946</v>
      </c>
      <c r="B11347">
        <v>174046904.41929793</v>
      </c>
    </row>
    <row r="11348" spans="1:2" x14ac:dyDescent="0.25">
      <c r="A11348">
        <f ca="1">31823.3018301899*((RANDBETWEEN(1620,2416)))</f>
        <v>73225417.511266932</v>
      </c>
      <c r="B11348">
        <v>196223850.79130736</v>
      </c>
    </row>
    <row r="11349" spans="1:2" x14ac:dyDescent="0.25">
      <c r="A11349">
        <f ca="1">32457.7490995872*((RANDBETWEEN(1620,2416)))</f>
        <v>67284913.88344419</v>
      </c>
      <c r="B11349">
        <v>176536456.82023436</v>
      </c>
    </row>
    <row r="11350" spans="1:2" x14ac:dyDescent="0.25">
      <c r="A11350">
        <f ca="1">33443.2423835034*((RANDBETWEEN(1620,2416)))</f>
        <v>59930290.351238087</v>
      </c>
      <c r="B11350">
        <v>168342141.15272126</v>
      </c>
    </row>
    <row r="11351" spans="1:2" x14ac:dyDescent="0.25">
      <c r="A11351">
        <f ca="1">33311.804595123*((RANDBETWEEN(1620,2416)))</f>
        <v>78815729.672060907</v>
      </c>
      <c r="B11351">
        <v>198677174.20546502</v>
      </c>
    </row>
    <row r="11352" spans="1:2" x14ac:dyDescent="0.25">
      <c r="A11352">
        <f ca="1">39799.130382516*((RANDBETWEEN(1620,2416)))</f>
        <v>69728076.430167973</v>
      </c>
      <c r="B11352">
        <v>163439523.09079146</v>
      </c>
    </row>
    <row r="11353" spans="1:2" x14ac:dyDescent="0.25">
      <c r="A11353">
        <f ca="1">34889.290373432*((RANDBETWEEN(1620,2416)))</f>
        <v>80803596.504868492</v>
      </c>
      <c r="B11353">
        <v>162867183.86152896</v>
      </c>
    </row>
    <row r="11354" spans="1:2" x14ac:dyDescent="0.25">
      <c r="A11354">
        <f ca="1">34690.3991577649*((RANDBETWEEN(1620,2416)))</f>
        <v>73682407.811092705</v>
      </c>
      <c r="B11354">
        <v>173403628.65242925</v>
      </c>
    </row>
    <row r="11355" spans="1:2" x14ac:dyDescent="0.25">
      <c r="A11355">
        <f ca="1">38956.8789167059*((RANDBETWEEN(1620,2416)))</f>
        <v>77796887.196661606</v>
      </c>
      <c r="B11355">
        <v>194297545.02375215</v>
      </c>
    </row>
    <row r="11356" spans="1:2" x14ac:dyDescent="0.25">
      <c r="A11356">
        <f ca="1">30654.1815494879*((RANDBETWEEN(1620,2416)))</f>
        <v>64312472.89082557</v>
      </c>
      <c r="B11356">
        <v>146205414.07416981</v>
      </c>
    </row>
    <row r="11357" spans="1:2" x14ac:dyDescent="0.25">
      <c r="A11357">
        <f ca="1">32071.6801496214*((RANDBETWEEN(1620,2416)))</f>
        <v>54393569.533757918</v>
      </c>
      <c r="B11357">
        <v>153564575.56501037</v>
      </c>
    </row>
    <row r="11358" spans="1:2" x14ac:dyDescent="0.25">
      <c r="A11358">
        <f ca="1">37891.4343847724*((RANDBETWEEN(1620,2416)))</f>
        <v>61573580.875255071</v>
      </c>
      <c r="B11358">
        <v>165762218.00269878</v>
      </c>
    </row>
    <row r="11359" spans="1:2" x14ac:dyDescent="0.25">
      <c r="A11359">
        <f ca="1">30446.1964757251*((RANDBETWEEN(1620,2416)))</f>
        <v>71122314.967293844</v>
      </c>
      <c r="B11359">
        <v>171158517.8505314</v>
      </c>
    </row>
    <row r="11360" spans="1:2" x14ac:dyDescent="0.25">
      <c r="A11360">
        <f ca="1">38577.5378891086*((RANDBETWEEN(1620,2416)))</f>
        <v>69169525.435171798</v>
      </c>
      <c r="B11360">
        <v>169050554.36523163</v>
      </c>
    </row>
    <row r="11361" spans="1:2" x14ac:dyDescent="0.25">
      <c r="A11361">
        <f ca="1">31704.375834895*((RANDBETWEEN(1620,2416)))</f>
        <v>64042839.186487906</v>
      </c>
      <c r="B11361">
        <v>164534366.04447633</v>
      </c>
    </row>
    <row r="11362" spans="1:2" x14ac:dyDescent="0.25">
      <c r="A11362">
        <f ca="1">35857.2848561187*((RANDBETWEEN(1620,2416)))</f>
        <v>81862181.326519027</v>
      </c>
      <c r="B11362">
        <v>199556017.77983791</v>
      </c>
    </row>
    <row r="11363" spans="1:2" x14ac:dyDescent="0.25">
      <c r="A11363">
        <f ca="1">33939.1206856991*((RANDBETWEEN(1620,2416)))</f>
        <v>72086692.336424947</v>
      </c>
      <c r="B11363">
        <v>187284664.31245744</v>
      </c>
    </row>
    <row r="11364" spans="1:2" x14ac:dyDescent="0.25">
      <c r="A11364">
        <f ca="1">34620.830050911*((RANDBETWEEN(1620,2416)))</f>
        <v>68653105.99095653</v>
      </c>
      <c r="B11364">
        <v>152079174.35294849</v>
      </c>
    </row>
    <row r="11365" spans="1:2" x14ac:dyDescent="0.25">
      <c r="A11365">
        <f ca="1">32362.6377552321*((RANDBETWEEN(1620,2416)))</f>
        <v>63042418.347192109</v>
      </c>
      <c r="B11365">
        <v>158319339.21776044</v>
      </c>
    </row>
    <row r="11366" spans="1:2" x14ac:dyDescent="0.25">
      <c r="A11366">
        <f ca="1">38844.3472322413*((RANDBETWEEN(1620,2416)))</f>
        <v>93614876.829701617</v>
      </c>
      <c r="B11366">
        <v>198040449.92849067</v>
      </c>
    </row>
    <row r="11367" spans="1:2" x14ac:dyDescent="0.25">
      <c r="A11367">
        <f ca="1">30903.7540808265*((RANDBETWEEN(1620,2416)))</f>
        <v>50743964.200717047</v>
      </c>
      <c r="B11367">
        <v>188680455.54103407</v>
      </c>
    </row>
    <row r="11368" spans="1:2" x14ac:dyDescent="0.25">
      <c r="A11368">
        <f ca="1">35116.0890088111*((RANDBETWEEN(1620,2416)))</f>
        <v>69881017.127534136</v>
      </c>
      <c r="B11368">
        <v>153630941.73534715</v>
      </c>
    </row>
    <row r="11369" spans="1:2" x14ac:dyDescent="0.25">
      <c r="A11369">
        <f ca="1">33370.2409565059*((RANDBETWEEN(1620,2416)))</f>
        <v>79321062.753614545</v>
      </c>
      <c r="B11369">
        <v>154498045.90383515</v>
      </c>
    </row>
    <row r="11370" spans="1:2" x14ac:dyDescent="0.25">
      <c r="A11370">
        <f ca="1">29403.7427158443*((RANDBETWEEN(1620,2416)))</f>
        <v>50868474.898410574</v>
      </c>
      <c r="B11370">
        <v>146290839.38941455</v>
      </c>
    </row>
    <row r="11371" spans="1:2" x14ac:dyDescent="0.25">
      <c r="A11371">
        <f ca="1">30032.0594529232*((RANDBETWEEN(1620,2416)))</f>
        <v>68503127.612117931</v>
      </c>
      <c r="B11371">
        <v>173820519.93106657</v>
      </c>
    </row>
    <row r="11372" spans="1:2" x14ac:dyDescent="0.25">
      <c r="A11372">
        <f ca="1">30506.2382165067*((RANDBETWEEN(1620,2416)))</f>
        <v>67479798.93491286</v>
      </c>
      <c r="B11372">
        <v>186437451.65424898</v>
      </c>
    </row>
    <row r="11373" spans="1:2" x14ac:dyDescent="0.25">
      <c r="A11373">
        <f ca="1">32994.5672425644*((RANDBETWEEN(1620,2416)))</f>
        <v>55232905.564052828</v>
      </c>
      <c r="B11373">
        <v>146176185.43308198</v>
      </c>
    </row>
    <row r="11374" spans="1:2" x14ac:dyDescent="0.25">
      <c r="A11374">
        <f ca="1">30936.8691542143*((RANDBETWEEN(1620,2416)))</f>
        <v>52468930.085547611</v>
      </c>
      <c r="B11374">
        <v>155324864.90087995</v>
      </c>
    </row>
    <row r="11375" spans="1:2" x14ac:dyDescent="0.25">
      <c r="A11375">
        <f ca="1">31307.802288693*((RANDBETWEEN(1620,2416)))</f>
        <v>55602656.864718691</v>
      </c>
      <c r="B11375">
        <v>165495393.72924381</v>
      </c>
    </row>
    <row r="11376" spans="1:2" x14ac:dyDescent="0.25">
      <c r="A11376">
        <f ca="1">35216.8508793754*((RANDBETWEEN(1620,2416)))</f>
        <v>58917791.521195069</v>
      </c>
      <c r="B11376">
        <v>169376787.8092868</v>
      </c>
    </row>
    <row r="11377" spans="1:2" x14ac:dyDescent="0.25">
      <c r="A11377">
        <f ca="1">37327.7448846735*((RANDBETWEEN(1620,2416)))</f>
        <v>80291979.246932685</v>
      </c>
      <c r="B11377">
        <v>151684220.23654193</v>
      </c>
    </row>
    <row r="11378" spans="1:2" x14ac:dyDescent="0.25">
      <c r="A11378">
        <f ca="1">31280.3069700018*((RANDBETWEEN(1620,2416)))</f>
        <v>52488355.095663078</v>
      </c>
      <c r="B11378">
        <v>167664136.12443319</v>
      </c>
    </row>
    <row r="11379" spans="1:2" x14ac:dyDescent="0.25">
      <c r="A11379">
        <f ca="1">38080.5192279858*((RANDBETWEEN(1620,2416)))</f>
        <v>75209025.475272045</v>
      </c>
      <c r="B11379">
        <v>164464479.53725049</v>
      </c>
    </row>
    <row r="11380" spans="1:2" x14ac:dyDescent="0.25">
      <c r="A11380">
        <f ca="1">33348.183026704*((RANDBETWEEN(1620,2416)))</f>
        <v>76133901.849965215</v>
      </c>
      <c r="B11380">
        <v>182170318.54894647</v>
      </c>
    </row>
    <row r="11381" spans="1:2" x14ac:dyDescent="0.25">
      <c r="A11381">
        <f ca="1">32196.6259724976*((RANDBETWEEN(1620,2416)))</f>
        <v>57470977.360908136</v>
      </c>
      <c r="B11381">
        <v>187888638.73980814</v>
      </c>
    </row>
    <row r="11382" spans="1:2" x14ac:dyDescent="0.25">
      <c r="A11382">
        <f ca="1">38655.3335547711*((RANDBETWEEN(1620,2416)))</f>
        <v>80287127.793259546</v>
      </c>
      <c r="B11382">
        <v>151286683.77951324</v>
      </c>
    </row>
    <row r="11383" spans="1:2" x14ac:dyDescent="0.25">
      <c r="A11383">
        <f ca="1">29654.8970111372*((RANDBETWEEN(1620,2416)))</f>
        <v>48070588.055053346</v>
      </c>
      <c r="B11383">
        <v>172023226.81886515</v>
      </c>
    </row>
    <row r="11384" spans="1:2" x14ac:dyDescent="0.25">
      <c r="A11384">
        <f ca="1">35771.0597550044*((RANDBETWEEN(1620,2416)))</f>
        <v>78910957.819539741</v>
      </c>
      <c r="B11384">
        <v>172132479.16971123</v>
      </c>
    </row>
    <row r="11385" spans="1:2" x14ac:dyDescent="0.25">
      <c r="A11385">
        <f ca="1">36945.38654496*((RANDBETWEEN(1620,2416)))</f>
        <v>83422682.818519577</v>
      </c>
      <c r="B11385">
        <v>181063800.63383502</v>
      </c>
    </row>
    <row r="11386" spans="1:2" x14ac:dyDescent="0.25">
      <c r="A11386">
        <f ca="1">37786.7760165709*((RANDBETWEEN(1620,2416)))</f>
        <v>70510124.046921313</v>
      </c>
      <c r="B11386">
        <v>157111778.41679275</v>
      </c>
    </row>
    <row r="11387" spans="1:2" x14ac:dyDescent="0.25">
      <c r="A11387">
        <f ca="1">34929.258204564*((RANDBETWEEN(1620,2416)))</f>
        <v>67099105.010967404</v>
      </c>
      <c r="B11387">
        <v>180709124.57706296</v>
      </c>
    </row>
    <row r="11388" spans="1:2" x14ac:dyDescent="0.25">
      <c r="A11388">
        <f ca="1">33451.0789145186*((RANDBETWEEN(1620,2416)))</f>
        <v>61984849.228603058</v>
      </c>
      <c r="B11388">
        <v>165707377.22041416</v>
      </c>
    </row>
    <row r="11389" spans="1:2" x14ac:dyDescent="0.25">
      <c r="A11389">
        <f ca="1">41865.0030110122*((RANDBETWEEN(1620,2416)))</f>
        <v>94782366.816931531</v>
      </c>
      <c r="B11389">
        <v>156831625.8325223</v>
      </c>
    </row>
    <row r="11390" spans="1:2" x14ac:dyDescent="0.25">
      <c r="A11390">
        <f ca="1">35749.1931040174*((RANDBETWEEN(1620,2416)))</f>
        <v>85440571.518601522</v>
      </c>
      <c r="B11390">
        <v>195706002.60080606</v>
      </c>
    </row>
    <row r="11391" spans="1:2" x14ac:dyDescent="0.25">
      <c r="A11391">
        <f ca="1">28365.4594181105*((RANDBETWEEN(1620,2416)))</f>
        <v>54263123.866845369</v>
      </c>
      <c r="B11391">
        <v>181852984.66089141</v>
      </c>
    </row>
    <row r="11392" spans="1:2" x14ac:dyDescent="0.25">
      <c r="A11392">
        <f ca="1">38433.7023994343*((RANDBETWEEN(1620,2416)))</f>
        <v>80710775.038812101</v>
      </c>
      <c r="B11392">
        <v>178084219.35425913</v>
      </c>
    </row>
    <row r="11393" spans="1:2" x14ac:dyDescent="0.25">
      <c r="A11393">
        <f ca="1">37490.3469386746*((RANDBETWEEN(1620,2416)))</f>
        <v>62946292.510034703</v>
      </c>
      <c r="B11393">
        <v>155860385.67743975</v>
      </c>
    </row>
    <row r="11394" spans="1:2" x14ac:dyDescent="0.25">
      <c r="A11394">
        <f ca="1">29983.3482569448*((RANDBETWEEN(1620,2416)))</f>
        <v>50402008.419924185</v>
      </c>
      <c r="B11394">
        <v>148743570.44840926</v>
      </c>
    </row>
    <row r="11395" spans="1:2" x14ac:dyDescent="0.25">
      <c r="A11395">
        <f ca="1">38397.473696161*((RANDBETWEEN(1620,2416)))</f>
        <v>74183919.180982992</v>
      </c>
      <c r="B11395">
        <v>157069902.77634606</v>
      </c>
    </row>
    <row r="11396" spans="1:2" x14ac:dyDescent="0.25">
      <c r="A11396">
        <f ca="1">35360.4868951444*((RANDBETWEEN(1620,2416)))</f>
        <v>73691254.68948096</v>
      </c>
      <c r="B11396">
        <v>148995970.24274006</v>
      </c>
    </row>
    <row r="11397" spans="1:2" x14ac:dyDescent="0.25">
      <c r="A11397">
        <f ca="1">29910.8330498127*((RANDBETWEEN(1620,2416)))</f>
        <v>49741715.361838542</v>
      </c>
      <c r="B11397">
        <v>168850498.49740738</v>
      </c>
    </row>
    <row r="11398" spans="1:2" x14ac:dyDescent="0.25">
      <c r="A11398">
        <f ca="1">31975.8039944873*((RANDBETWEEN(1620,2416)))</f>
        <v>66957333.564456485</v>
      </c>
      <c r="B11398">
        <v>174282370.16127181</v>
      </c>
    </row>
    <row r="11399" spans="1:2" x14ac:dyDescent="0.25">
      <c r="A11399">
        <f ca="1">31397.3903180182*((RANDBETWEEN(1620,2416)))</f>
        <v>57582813.843245424</v>
      </c>
      <c r="B11399">
        <v>184061372.71800783</v>
      </c>
    </row>
    <row r="11400" spans="1:2" x14ac:dyDescent="0.25">
      <c r="A11400">
        <f ca="1">32315.3683673246*((RANDBETWEEN(1620,2416)))</f>
        <v>67991535.04485105</v>
      </c>
      <c r="B11400">
        <v>145360624.95627034</v>
      </c>
    </row>
    <row r="11401" spans="1:2" x14ac:dyDescent="0.25">
      <c r="A11401">
        <f ca="1">38484.0494634179*((RANDBETWEEN(1620,2416)))</f>
        <v>77891716.113957822</v>
      </c>
      <c r="B11401">
        <v>165256164.51079065</v>
      </c>
    </row>
    <row r="11402" spans="1:2" x14ac:dyDescent="0.25">
      <c r="A11402">
        <f ca="1">39921.6053000211*((RANDBETWEEN(1620,2416)))</f>
        <v>92897575.533149078</v>
      </c>
      <c r="B11402">
        <v>198517079.19735757</v>
      </c>
    </row>
    <row r="11403" spans="1:2" x14ac:dyDescent="0.25">
      <c r="A11403">
        <f ca="1">32062.1525971082*((RANDBETWEEN(1620,2416)))</f>
        <v>62713570.479943573</v>
      </c>
      <c r="B11403">
        <v>188692556.9836669</v>
      </c>
    </row>
    <row r="11404" spans="1:2" x14ac:dyDescent="0.25">
      <c r="A11404">
        <f ca="1">33867.6747683005*((RANDBETWEEN(1620,2416)))</f>
        <v>71765602.834028706</v>
      </c>
      <c r="B11404">
        <v>155685904.03347725</v>
      </c>
    </row>
    <row r="11405" spans="1:2" x14ac:dyDescent="0.25">
      <c r="A11405">
        <f ca="1">35264.4137860869*((RANDBETWEEN(1620,2416)))</f>
        <v>73667360.399135634</v>
      </c>
      <c r="B11405">
        <v>162740228.16964841</v>
      </c>
    </row>
    <row r="11406" spans="1:2" x14ac:dyDescent="0.25">
      <c r="A11406">
        <f ca="1">29764.2194656812*((RANDBETWEEN(1620,2416)))</f>
        <v>53456538.160363406</v>
      </c>
      <c r="B11406">
        <v>187899343.03265512</v>
      </c>
    </row>
    <row r="11407" spans="1:2" x14ac:dyDescent="0.25">
      <c r="A11407">
        <f ca="1">31934.3541301503*((RANDBETWEEN(1620,2416)))</f>
        <v>54607745.562556982</v>
      </c>
      <c r="B11407">
        <v>179112086.99534896</v>
      </c>
    </row>
    <row r="11408" spans="1:2" x14ac:dyDescent="0.25">
      <c r="A11408">
        <f ca="1">29588.6673590301*((RANDBETWEEN(1620,2416)))</f>
        <v>60627179.418652624</v>
      </c>
      <c r="B11408">
        <v>190303598.28522515</v>
      </c>
    </row>
    <row r="11409" spans="1:2" x14ac:dyDescent="0.25">
      <c r="A11409">
        <f ca="1">39396.9004158209*((RANDBETWEEN(1620,2416)))</f>
        <v>86712577.815221831</v>
      </c>
      <c r="B11409">
        <v>169564544.09246123</v>
      </c>
    </row>
    <row r="11410" spans="1:2" x14ac:dyDescent="0.25">
      <c r="A11410">
        <f ca="1">36762.4004585267*((RANDBETWEEN(1620,2416)))</f>
        <v>67238430.438645303</v>
      </c>
      <c r="B11410">
        <v>161125375.1780979</v>
      </c>
    </row>
    <row r="11411" spans="1:2" x14ac:dyDescent="0.25">
      <c r="A11411">
        <f ca="1">31071.7031610856*((RANDBETWEEN(1620,2416)))</f>
        <v>72956359.022228882</v>
      </c>
      <c r="B11411">
        <v>189137531.08158514</v>
      </c>
    </row>
    <row r="11412" spans="1:2" x14ac:dyDescent="0.25">
      <c r="A11412">
        <f ca="1">31976.3360770097*((RANDBETWEEN(1620,2416)))</f>
        <v>69036909.590263918</v>
      </c>
      <c r="B11412">
        <v>151909039.8610357</v>
      </c>
    </row>
    <row r="11413" spans="1:2" x14ac:dyDescent="0.25">
      <c r="A11413">
        <f ca="1">36039.6659076919*((RANDBETWEEN(1620,2416)))</f>
        <v>83936381.899014369</v>
      </c>
      <c r="B11413">
        <v>175837181.45003864</v>
      </c>
    </row>
    <row r="11414" spans="1:2" x14ac:dyDescent="0.25">
      <c r="A11414">
        <f ca="1">32669.5638825113*((RANDBETWEEN(1620,2416)))</f>
        <v>70860284.061167046</v>
      </c>
      <c r="B11414">
        <v>163904698.87147695</v>
      </c>
    </row>
    <row r="11415" spans="1:2" x14ac:dyDescent="0.25">
      <c r="A11415">
        <f ca="1">33553.9943987296*((RANDBETWEEN(1620,2416)))</f>
        <v>78784778.848217204</v>
      </c>
      <c r="B11415">
        <v>155979450.32695824</v>
      </c>
    </row>
    <row r="11416" spans="1:2" x14ac:dyDescent="0.25">
      <c r="A11416">
        <f ca="1">33634.7284708249*((RANDBETWEEN(1620,2416)))</f>
        <v>73828228.993460655</v>
      </c>
      <c r="B11416">
        <v>161048533.15441236</v>
      </c>
    </row>
    <row r="11417" spans="1:2" x14ac:dyDescent="0.25">
      <c r="A11417">
        <f ca="1">31823.0647878492*((RANDBETWEEN(1620,2416)))</f>
        <v>60336530.83776208</v>
      </c>
      <c r="B11417">
        <v>199460036.63576844</v>
      </c>
    </row>
    <row r="11418" spans="1:2" x14ac:dyDescent="0.25">
      <c r="A11418">
        <f ca="1">33730.1857266048*((RANDBETWEEN(1620,2416)))</f>
        <v>66246084.767051831</v>
      </c>
      <c r="B11418">
        <v>159614527.0334928</v>
      </c>
    </row>
    <row r="11419" spans="1:2" x14ac:dyDescent="0.25">
      <c r="A11419">
        <f ca="1">29914.4544453644*((RANDBETWEEN(1620,2416)))</f>
        <v>64286162.603088081</v>
      </c>
      <c r="B11419">
        <v>155697655.11623478</v>
      </c>
    </row>
    <row r="11420" spans="1:2" x14ac:dyDescent="0.25">
      <c r="A11420">
        <f ca="1">41600.9757604153*((RANDBETWEEN(1620,2416)))</f>
        <v>98594312.552184358</v>
      </c>
      <c r="B11420">
        <v>151553993.57783264</v>
      </c>
    </row>
    <row r="11421" spans="1:2" x14ac:dyDescent="0.25">
      <c r="A11421">
        <f ca="1">38176.5529823267*((RANDBETWEEN(1620,2416)))</f>
        <v>66312672.5303014</v>
      </c>
      <c r="B11421">
        <v>180129313.3492406</v>
      </c>
    </row>
    <row r="11422" spans="1:2" x14ac:dyDescent="0.25">
      <c r="A11422">
        <f ca="1">29463.9269091348*((RANDBETWEEN(1620,2416)))</f>
        <v>56158244.688810878</v>
      </c>
      <c r="B11422">
        <v>182676497.97166198</v>
      </c>
    </row>
    <row r="11423" spans="1:2" x14ac:dyDescent="0.25">
      <c r="A11423">
        <f ca="1">36858.3217052858*((RANDBETWEEN(1620,2416)))</f>
        <v>77771058.798152968</v>
      </c>
      <c r="B11423">
        <v>187948349.40255052</v>
      </c>
    </row>
    <row r="11424" spans="1:2" x14ac:dyDescent="0.25">
      <c r="A11424">
        <f ca="1">38795.9561044982*((RANDBETWEEN(1620,2416)))</f>
        <v>79880873.619161725</v>
      </c>
      <c r="B11424">
        <v>191935414.09944299</v>
      </c>
    </row>
    <row r="11425" spans="1:2" x14ac:dyDescent="0.25">
      <c r="A11425">
        <f ca="1">35864.5910157739*((RANDBETWEEN(1620,2416)))</f>
        <v>72805119.762021035</v>
      </c>
      <c r="B11425">
        <v>184847561.80244973</v>
      </c>
    </row>
    <row r="11426" spans="1:2" x14ac:dyDescent="0.25">
      <c r="A11426">
        <f ca="1">33106.9391673716*((RANDBETWEEN(1620,2416)))</f>
        <v>61049195.824633218</v>
      </c>
      <c r="B11426">
        <v>156781779.93357706</v>
      </c>
    </row>
    <row r="11427" spans="1:2" x14ac:dyDescent="0.25">
      <c r="A11427">
        <f ca="1">35416.0232527796*((RANDBETWEEN(1620,2416)))</f>
        <v>59180174.855394788</v>
      </c>
      <c r="B11427">
        <v>169208484.3570646</v>
      </c>
    </row>
    <row r="11428" spans="1:2" x14ac:dyDescent="0.25">
      <c r="A11428">
        <f ca="1">31710.3805214934*((RANDBETWEEN(1620,2416)))</f>
        <v>70619017.421365753</v>
      </c>
      <c r="B11428">
        <v>190503340.12724584</v>
      </c>
    </row>
    <row r="11429" spans="1:2" x14ac:dyDescent="0.25">
      <c r="A11429">
        <f ca="1">39584.253815374*((RANDBETWEEN(1620,2416)))</f>
        <v>78020564.270102248</v>
      </c>
      <c r="B11429">
        <v>151393093.91752815</v>
      </c>
    </row>
    <row r="11430" spans="1:2" x14ac:dyDescent="0.25">
      <c r="A11430">
        <f ca="1">36293.7046617659*((RANDBETWEEN(1620,2416)))</f>
        <v>61300067.173722595</v>
      </c>
      <c r="B11430">
        <v>146897470.24163094</v>
      </c>
    </row>
    <row r="11431" spans="1:2" x14ac:dyDescent="0.25">
      <c r="A11431">
        <f ca="1">34031.6621476911*((RANDBETWEEN(1620,2416)))</f>
        <v>76094796.562237233</v>
      </c>
      <c r="B11431">
        <v>151502183.01928768</v>
      </c>
    </row>
    <row r="11432" spans="1:2" x14ac:dyDescent="0.25">
      <c r="A11432">
        <f ca="1">41640.5308617665*((RANDBETWEEN(1620,2416)))</f>
        <v>79741616.600282803</v>
      </c>
      <c r="B11432">
        <v>168932916.10337016</v>
      </c>
    </row>
    <row r="11433" spans="1:2" x14ac:dyDescent="0.25">
      <c r="A11433">
        <f ca="1">29603.8216125164*((RANDBETWEEN(1620,2416)))</f>
        <v>66608598.628161848</v>
      </c>
      <c r="B11433">
        <v>156197790.2865392</v>
      </c>
    </row>
    <row r="11434" spans="1:2" x14ac:dyDescent="0.25">
      <c r="A11434">
        <f ca="1">40078.0924634621*((RANDBETWEEN(1620,2416)))</f>
        <v>90937191.79959546</v>
      </c>
      <c r="B11434">
        <v>156736114.88010478</v>
      </c>
    </row>
    <row r="11435" spans="1:2" x14ac:dyDescent="0.25">
      <c r="A11435">
        <f ca="1">32784.4711136615*((RANDBETWEEN(1620,2416)))</f>
        <v>61143038.626978613</v>
      </c>
      <c r="B11435">
        <v>158279090.34128872</v>
      </c>
    </row>
    <row r="11436" spans="1:2" x14ac:dyDescent="0.25">
      <c r="A11436">
        <f ca="1">36433.847737863*((RANDBETWEEN(1620,2416)))</f>
        <v>74106446.298813418</v>
      </c>
      <c r="B11436">
        <v>172150688.83937502</v>
      </c>
    </row>
    <row r="11437" spans="1:2" x14ac:dyDescent="0.25">
      <c r="A11437">
        <f ca="1">39379.9344942568*((RANDBETWEEN(1620,2416)))</f>
        <v>68993645.23393783</v>
      </c>
      <c r="B11437">
        <v>167369829.64750445</v>
      </c>
    </row>
    <row r="11438" spans="1:2" x14ac:dyDescent="0.25">
      <c r="A11438">
        <f ca="1">31102.3709317432*((RANDBETWEEN(1620,2416)))</f>
        <v>63977577.006595835</v>
      </c>
      <c r="B11438">
        <v>155119451.18312994</v>
      </c>
    </row>
    <row r="11439" spans="1:2" x14ac:dyDescent="0.25">
      <c r="A11439">
        <f ca="1">32640.5494351922*((RANDBETWEEN(1620,2416)))</f>
        <v>72102973.70233953</v>
      </c>
      <c r="B11439">
        <v>187020502.35522768</v>
      </c>
    </row>
    <row r="11440" spans="1:2" x14ac:dyDescent="0.25">
      <c r="A11440">
        <f ca="1">39157.6108485775*((RANDBETWEEN(1620,2416)))</f>
        <v>71384324.576956779</v>
      </c>
      <c r="B11440">
        <v>167008889.12519324</v>
      </c>
    </row>
    <row r="11441" spans="1:2" x14ac:dyDescent="0.25">
      <c r="A11441">
        <f ca="1">33095.0062204601*((RANDBETWEEN(1620,2416)))</f>
        <v>67910952.764384031</v>
      </c>
      <c r="B11441">
        <v>165543708.44943735</v>
      </c>
    </row>
    <row r="11442" spans="1:2" x14ac:dyDescent="0.25">
      <c r="A11442">
        <f ca="1">35974.3878704437*((RANDBETWEEN(1620,2416)))</f>
        <v>63494794.591333143</v>
      </c>
      <c r="B11442">
        <v>174298472.02007833</v>
      </c>
    </row>
    <row r="11443" spans="1:2" x14ac:dyDescent="0.25">
      <c r="A11443">
        <f ca="1">36394.138009161*((RANDBETWEEN(1620,2416)))</f>
        <v>81595657.416538894</v>
      </c>
      <c r="B11443">
        <v>166480593.08809659</v>
      </c>
    </row>
    <row r="11444" spans="1:2" x14ac:dyDescent="0.25">
      <c r="A11444">
        <f ca="1">41465.9888938756*((RANDBETWEEN(1620,2416)))</f>
        <v>98232927.689591274</v>
      </c>
      <c r="B11444">
        <v>201303896.74278206</v>
      </c>
    </row>
    <row r="11445" spans="1:2" x14ac:dyDescent="0.25">
      <c r="A11445">
        <f ca="1">40449.3333802864*((RANDBETWEEN(1620,2416)))</f>
        <v>65730166.742965341</v>
      </c>
      <c r="B11445">
        <v>147441090.16001111</v>
      </c>
    </row>
    <row r="11446" spans="1:2" x14ac:dyDescent="0.25">
      <c r="A11446">
        <f ca="1">34419.0795737216*((RANDBETWEEN(1620,2416)))</f>
        <v>64501355.121154338</v>
      </c>
      <c r="B11446">
        <v>191869340.18412951</v>
      </c>
    </row>
    <row r="11447" spans="1:2" x14ac:dyDescent="0.25">
      <c r="A11447">
        <f ca="1">29163.8664537642*((RANDBETWEEN(1620,2416)))</f>
        <v>55673821.060235783</v>
      </c>
      <c r="B11447">
        <v>177775092.04898307</v>
      </c>
    </row>
    <row r="11448" spans="1:2" x14ac:dyDescent="0.25">
      <c r="A11448">
        <f ca="1">31399.4108194283*((RANDBETWEEN(1620,2416)))</f>
        <v>71433659.614199355</v>
      </c>
      <c r="B11448">
        <v>196804676.25060067</v>
      </c>
    </row>
    <row r="11449" spans="1:2" x14ac:dyDescent="0.25">
      <c r="A11449">
        <f ca="1">37628.6559682581*((RANDBETWEEN(1620,2416)))</f>
        <v>67505808.807055026</v>
      </c>
      <c r="B11449">
        <v>144069036.62534302</v>
      </c>
    </row>
    <row r="11450" spans="1:2" x14ac:dyDescent="0.25">
      <c r="A11450">
        <f ca="1">29250.0489788447*((RANDBETWEEN(1620,2416)))</f>
        <v>60255100.896420158</v>
      </c>
      <c r="B11450">
        <v>161957374.26969624</v>
      </c>
    </row>
    <row r="11451" spans="1:2" x14ac:dyDescent="0.25">
      <c r="A11451">
        <f ca="1">33381.2909832111*((RANDBETWEEN(1620,2416)))</f>
        <v>77144163.46220088</v>
      </c>
      <c r="B11451">
        <v>143441409.1535719</v>
      </c>
    </row>
    <row r="11452" spans="1:2" x14ac:dyDescent="0.25">
      <c r="A11452">
        <f ca="1">38831.0090144333*((RANDBETWEEN(1620,2416)))</f>
        <v>63216882.675497346</v>
      </c>
      <c r="B11452">
        <v>196274724.95091134</v>
      </c>
    </row>
    <row r="11453" spans="1:2" x14ac:dyDescent="0.25">
      <c r="A11453">
        <f ca="1">31157.1294853922*((RANDBETWEEN(1620,2416)))</f>
        <v>66894357.005137034</v>
      </c>
      <c r="B11453">
        <v>176967865.61788386</v>
      </c>
    </row>
    <row r="11454" spans="1:2" x14ac:dyDescent="0.25">
      <c r="A11454">
        <f ca="1">35845.4036544832*((RANDBETWEEN(1620,2416)))</f>
        <v>72264333.767438099</v>
      </c>
      <c r="B11454">
        <v>198647436.77061388</v>
      </c>
    </row>
    <row r="11455" spans="1:2" x14ac:dyDescent="0.25">
      <c r="A11455">
        <f ca="1">40144.5363826181*((RANDBETWEEN(1620,2416)))</f>
        <v>92452867.28916949</v>
      </c>
      <c r="B11455">
        <v>157016489.22573197</v>
      </c>
    </row>
    <row r="11456" spans="1:2" x14ac:dyDescent="0.25">
      <c r="A11456">
        <f ca="1">37530.5350956098*((RANDBETWEEN(1620,2416)))</f>
        <v>65490783.741839148</v>
      </c>
      <c r="B11456">
        <v>187152957.99445516</v>
      </c>
    </row>
    <row r="11457" spans="1:2" x14ac:dyDescent="0.25">
      <c r="A11457">
        <f ca="1">33354.5966754522*((RANDBETWEEN(1620,2416)))</f>
        <v>62573223.363148287</v>
      </c>
      <c r="B11457">
        <v>180492137.33894786</v>
      </c>
    </row>
    <row r="11458" spans="1:2" x14ac:dyDescent="0.25">
      <c r="A11458">
        <f ca="1">32175.4944745925*((RANDBETWEEN(1620,2416)))</f>
        <v>69724296.526442021</v>
      </c>
      <c r="B11458">
        <v>163018737.29483753</v>
      </c>
    </row>
    <row r="11459" spans="1:2" x14ac:dyDescent="0.25">
      <c r="A11459">
        <f ca="1">39344.8160657596*((RANDBETWEEN(1620,2416)))</f>
        <v>80774907.383004412</v>
      </c>
      <c r="B11459">
        <v>179086150.35633543</v>
      </c>
    </row>
    <row r="11460" spans="1:2" x14ac:dyDescent="0.25">
      <c r="A11460">
        <f ca="1">29541.6907023315*((RANDBETWEEN(1620,2416)))</f>
        <v>70693265.850679308</v>
      </c>
      <c r="B11460">
        <v>161648299.2145721</v>
      </c>
    </row>
    <row r="11461" spans="1:2" x14ac:dyDescent="0.25">
      <c r="A11461">
        <f ca="1">38046.3204815443*((RANDBETWEEN(1620,2416)))</f>
        <v>84082368.264212996</v>
      </c>
      <c r="B11461">
        <v>190788629.5207262</v>
      </c>
    </row>
    <row r="11462" spans="1:2" x14ac:dyDescent="0.25">
      <c r="A11462">
        <f ca="1">36673.2316280209*((RANDBETWEEN(1620,2416)))</f>
        <v>62161127.609495424</v>
      </c>
      <c r="B11462">
        <v>169045270.29376304</v>
      </c>
    </row>
    <row r="11463" spans="1:2" x14ac:dyDescent="0.25">
      <c r="A11463">
        <f ca="1">40712.2755288133*((RANDBETWEEN(1620,2416)))</f>
        <v>96243819.350114584</v>
      </c>
      <c r="B11463">
        <v>149894092.73675993</v>
      </c>
    </row>
    <row r="11464" spans="1:2" x14ac:dyDescent="0.25">
      <c r="A11464">
        <f ca="1">31891.8136417487*((RANDBETWEEN(1620,2416)))</f>
        <v>55013378.532016441</v>
      </c>
      <c r="B11464">
        <v>150040247.77047083</v>
      </c>
    </row>
    <row r="11465" spans="1:2" x14ac:dyDescent="0.25">
      <c r="A11465">
        <f ca="1">40108.2139558963*((RANDBETWEEN(1620,2416)))</f>
        <v>92930731.73581177</v>
      </c>
      <c r="B11465">
        <v>147501217.02398431</v>
      </c>
    </row>
    <row r="11466" spans="1:2" x14ac:dyDescent="0.25">
      <c r="A11466">
        <f ca="1">37142.1104236729*((RANDBETWEEN(1620,2416)))</f>
        <v>82306916.698859245</v>
      </c>
      <c r="B11466">
        <v>191967344.46190083</v>
      </c>
    </row>
    <row r="11467" spans="1:2" x14ac:dyDescent="0.25">
      <c r="A11467">
        <f ca="1">30230.8646598834*((RANDBETWEEN(1620,2416)))</f>
        <v>56078253.944083735</v>
      </c>
      <c r="B11467">
        <v>148054772.62249202</v>
      </c>
    </row>
    <row r="11468" spans="1:2" x14ac:dyDescent="0.25">
      <c r="A11468">
        <f ca="1">30625.0607618454*((RANDBETWEEN(1620,2416)))</f>
        <v>51817602.809042417</v>
      </c>
      <c r="B11468">
        <v>155659363.59012252</v>
      </c>
    </row>
    <row r="11469" spans="1:2" x14ac:dyDescent="0.25">
      <c r="A11469">
        <f ca="1">29933.1811839019*((RANDBETWEEN(1620,2416)))</f>
        <v>68696650.817054942</v>
      </c>
      <c r="B11469">
        <v>167891711.29660326</v>
      </c>
    </row>
    <row r="11470" spans="1:2" x14ac:dyDescent="0.25">
      <c r="A11470">
        <f ca="1">33005.4121276484*((RANDBETWEEN(1620,2416)))</f>
        <v>56538270.974661663</v>
      </c>
      <c r="B11470">
        <v>185789457.35202625</v>
      </c>
    </row>
    <row r="11471" spans="1:2" x14ac:dyDescent="0.25">
      <c r="A11471">
        <f ca="1">38696.1639155132*((RANDBETWEEN(1620,2416)))</f>
        <v>86679407.170749605</v>
      </c>
      <c r="B11471">
        <v>154997776.36265278</v>
      </c>
    </row>
    <row r="11472" spans="1:2" x14ac:dyDescent="0.25">
      <c r="A11472">
        <f ca="1">30654.4068175059*((RANDBETWEEN(1620,2416)))</f>
        <v>67776893.473505571</v>
      </c>
      <c r="B11472">
        <v>151185674.65334457</v>
      </c>
    </row>
    <row r="11473" spans="1:2" x14ac:dyDescent="0.25">
      <c r="A11473">
        <f ca="1">32175.6065175268*((RANDBETWEEN(1620,2416)))</f>
        <v>55052462.751488432</v>
      </c>
      <c r="B11473">
        <v>176378093.82496029</v>
      </c>
    </row>
    <row r="11474" spans="1:2" x14ac:dyDescent="0.25">
      <c r="A11474">
        <f ca="1">30485.3443718659*((RANDBETWEEN(1620,2416)))</f>
        <v>73622106.658056051</v>
      </c>
      <c r="B11474">
        <v>183404022.43215713</v>
      </c>
    </row>
    <row r="11475" spans="1:2" x14ac:dyDescent="0.25">
      <c r="A11475">
        <f ca="1">39647.7773308559*((RANDBETWEEN(1620,2416)))</f>
        <v>78938724.665734053</v>
      </c>
      <c r="B11475">
        <v>158907290.41678289</v>
      </c>
    </row>
    <row r="11476" spans="1:2" x14ac:dyDescent="0.25">
      <c r="A11476">
        <f ca="1">30986.9798513836*((RANDBETWEEN(1620,2416)))</f>
        <v>64174035.272215404</v>
      </c>
      <c r="B11476">
        <v>194605693.03171912</v>
      </c>
    </row>
    <row r="11477" spans="1:2" x14ac:dyDescent="0.25">
      <c r="A11477">
        <f ca="1">28111.9534788705*((RANDBETWEEN(1620,2416)))</f>
        <v>53384599.65637508</v>
      </c>
      <c r="B11477">
        <v>151738990.78446501</v>
      </c>
    </row>
    <row r="11478" spans="1:2" x14ac:dyDescent="0.25">
      <c r="A11478">
        <f ca="1">29033.2762040639*((RANDBETWEEN(1620,2416)))</f>
        <v>49559802.480337046</v>
      </c>
      <c r="B11478">
        <v>155275089.24188679</v>
      </c>
    </row>
    <row r="11479" spans="1:2" x14ac:dyDescent="0.25">
      <c r="A11479">
        <f ca="1">31836.9578337183*((RANDBETWEEN(1620,2416)))</f>
        <v>56351415.365681387</v>
      </c>
      <c r="B11479">
        <v>164683602.26173237</v>
      </c>
    </row>
    <row r="11480" spans="1:2" x14ac:dyDescent="0.25">
      <c r="A11480">
        <f ca="1">31167.2400292106*((RANDBETWEEN(1620,2416)))</f>
        <v>65887545.421751253</v>
      </c>
      <c r="B11480">
        <v>173014847.00971264</v>
      </c>
    </row>
    <row r="11481" spans="1:2" x14ac:dyDescent="0.25">
      <c r="A11481">
        <f ca="1">29138.9722939854*((RANDBETWEEN(1620,2416)))</f>
        <v>63756071.379240111</v>
      </c>
      <c r="B11481">
        <v>152873990.19256243</v>
      </c>
    </row>
    <row r="11482" spans="1:2" x14ac:dyDescent="0.25">
      <c r="A11482">
        <f ca="1">34156.1665796404*((RANDBETWEEN(1620,2416)))</f>
        <v>77056311.803668752</v>
      </c>
      <c r="B11482">
        <v>156305787.90768465</v>
      </c>
    </row>
    <row r="11483" spans="1:2" x14ac:dyDescent="0.25">
      <c r="A11483">
        <f ca="1">37232.4458197439*((RANDBETWEEN(1620,2416)))</f>
        <v>70778879.503333211</v>
      </c>
      <c r="B11483">
        <v>195123234.23418194</v>
      </c>
    </row>
    <row r="11484" spans="1:2" x14ac:dyDescent="0.25">
      <c r="A11484">
        <f ca="1">27618.1597256953*((RANDBETWEEN(1620,2416)))</f>
        <v>64405548.480321385</v>
      </c>
      <c r="B11484">
        <v>162497312.30418169</v>
      </c>
    </row>
    <row r="11485" spans="1:2" x14ac:dyDescent="0.25">
      <c r="A11485">
        <f ca="1">37354.629428508*((RANDBETWEEN(1620,2416)))</f>
        <v>79117105.129579902</v>
      </c>
      <c r="B11485">
        <v>184085478.89426947</v>
      </c>
    </row>
    <row r="11486" spans="1:2" x14ac:dyDescent="0.25">
      <c r="A11486">
        <f ca="1">28773.595912753*((RANDBETWEEN(1620,2416)))</f>
        <v>56856625.52359993</v>
      </c>
      <c r="B11486">
        <v>143950619.77834934</v>
      </c>
    </row>
    <row r="11487" spans="1:2" x14ac:dyDescent="0.25">
      <c r="A11487">
        <f ca="1">34946.4283879874*((RANDBETWEEN(1620,2416)))</f>
        <v>78699356.729747653</v>
      </c>
      <c r="B11487">
        <v>145280213.76220563</v>
      </c>
    </row>
    <row r="11488" spans="1:2" x14ac:dyDescent="0.25">
      <c r="A11488">
        <f ca="1">35681.6704477601*((RANDBETWEEN(1620,2416)))</f>
        <v>80355121.848355681</v>
      </c>
      <c r="B11488">
        <v>188980996.8892532</v>
      </c>
    </row>
    <row r="11489" spans="1:2" x14ac:dyDescent="0.25">
      <c r="A11489">
        <f ca="1">29276.1201995434*((RANDBETWEEN(1620,2416)))</f>
        <v>65841994.328773119</v>
      </c>
      <c r="B11489">
        <v>174222264.74274364</v>
      </c>
    </row>
    <row r="11490" spans="1:2" x14ac:dyDescent="0.25">
      <c r="A11490">
        <f ca="1">31044.3111921695*((RANDBETWEEN(1620,2416)))</f>
        <v>74816789.973128602</v>
      </c>
      <c r="B11490">
        <v>183864001.98506144</v>
      </c>
    </row>
    <row r="11491" spans="1:2" x14ac:dyDescent="0.25">
      <c r="A11491">
        <f ca="1">40853.5010590678*((RANDBETWEEN(1620,2416)))</f>
        <v>73863129.914794609</v>
      </c>
      <c r="B11491">
        <v>163021209.2271497</v>
      </c>
    </row>
    <row r="11492" spans="1:2" x14ac:dyDescent="0.25">
      <c r="A11492">
        <f ca="1">30103.0089744564*((RANDBETWEEN(1620,2416)))</f>
        <v>67581255.147654697</v>
      </c>
      <c r="B11492">
        <v>154632151.06531736</v>
      </c>
    </row>
    <row r="11493" spans="1:2" x14ac:dyDescent="0.25">
      <c r="A11493">
        <f ca="1">29183.5016065134*((RANDBETWEEN(1620,2416)))</f>
        <v>63590850.000592627</v>
      </c>
      <c r="B11493">
        <v>188582680.84107995</v>
      </c>
    </row>
    <row r="11494" spans="1:2" x14ac:dyDescent="0.25">
      <c r="A11494">
        <f ca="1">31399.0450719968*((RANDBETWEEN(1620,2416)))</f>
        <v>52059616.729370765</v>
      </c>
      <c r="B11494">
        <v>171582818.92040133</v>
      </c>
    </row>
    <row r="11495" spans="1:2" x14ac:dyDescent="0.25">
      <c r="A11495">
        <f ca="1">37617.426260586*((RANDBETWEEN(1620,2416)))</f>
        <v>66469992.202455431</v>
      </c>
      <c r="B11495">
        <v>182260274.09176201</v>
      </c>
    </row>
    <row r="11496" spans="1:2" x14ac:dyDescent="0.25">
      <c r="A11496">
        <f ca="1">30077.1768297935*((RANDBETWEEN(1620,2416)))</f>
        <v>65748708.549928635</v>
      </c>
      <c r="B11496">
        <v>150023484.87785348</v>
      </c>
    </row>
    <row r="11497" spans="1:2" x14ac:dyDescent="0.25">
      <c r="A11497">
        <f ca="1">29643.1702638704*((RANDBETWEEN(1620,2416)))</f>
        <v>62398873.405447111</v>
      </c>
      <c r="B11497">
        <v>166424683.6666576</v>
      </c>
    </row>
    <row r="11498" spans="1:2" x14ac:dyDescent="0.25">
      <c r="A11498">
        <f ca="1">29571.9158747606*((RANDBETWEEN(1620,2416)))</f>
        <v>69139139.31519039</v>
      </c>
      <c r="B11498">
        <v>167958831.24877042</v>
      </c>
    </row>
    <row r="11499" spans="1:2" x14ac:dyDescent="0.25">
      <c r="A11499">
        <f ca="1">33261.6769310576*((RANDBETWEEN(1620,2416)))</f>
        <v>58573813.07559251</v>
      </c>
      <c r="B11499">
        <v>177101756.83372977</v>
      </c>
    </row>
    <row r="11500" spans="1:2" x14ac:dyDescent="0.25">
      <c r="A11500">
        <f ca="1">37668.5500803854*((RANDBETWEEN(1620,2416)))</f>
        <v>75789122.76173532</v>
      </c>
      <c r="B11500">
        <v>144874176.98102641</v>
      </c>
    </row>
    <row r="11501" spans="1:2" x14ac:dyDescent="0.25">
      <c r="A11501">
        <f ca="1">36403.4411282755*((RANDBETWEEN(1620,2416)))</f>
        <v>77029681.427431017</v>
      </c>
      <c r="B11501">
        <v>202241998.45280084</v>
      </c>
    </row>
    <row r="11502" spans="1:2" x14ac:dyDescent="0.25">
      <c r="A11502">
        <f ca="1">32888.079280764*((RANDBETWEEN(1620,2416)))</f>
        <v>70808034.691484854</v>
      </c>
      <c r="B11502">
        <v>182327114.82191706</v>
      </c>
    </row>
    <row r="11503" spans="1:2" x14ac:dyDescent="0.25">
      <c r="A11503">
        <f ca="1">32707.5320406742*((RANDBETWEEN(1620,2416)))</f>
        <v>62700338.921972468</v>
      </c>
      <c r="B11503">
        <v>186508329.10914508</v>
      </c>
    </row>
    <row r="11504" spans="1:2" x14ac:dyDescent="0.25">
      <c r="A11504">
        <f ca="1">34175.5889265566*((RANDBETWEEN(1620,2416)))</f>
        <v>81167023.700571954</v>
      </c>
      <c r="B11504">
        <v>151463170.4911527</v>
      </c>
    </row>
    <row r="11505" spans="1:2" x14ac:dyDescent="0.25">
      <c r="A11505">
        <f ca="1">31472.4171859044*((RANDBETWEEN(1620,2416)))</f>
        <v>65368210.495123513</v>
      </c>
      <c r="B11505">
        <v>161255985.86969432</v>
      </c>
    </row>
    <row r="11506" spans="1:2" x14ac:dyDescent="0.25">
      <c r="A11506">
        <f ca="1">33186.798616374*((RANDBETWEEN(1620,2416)))</f>
        <v>57214040.814628802</v>
      </c>
      <c r="B11506">
        <v>194588602.03189135</v>
      </c>
    </row>
    <row r="11507" spans="1:2" x14ac:dyDescent="0.25">
      <c r="A11507">
        <f ca="1">34792.1504255644*((RANDBETWEEN(1620,2416)))</f>
        <v>79082557.917307839</v>
      </c>
      <c r="B11507">
        <v>154499162.81428081</v>
      </c>
    </row>
    <row r="11508" spans="1:2" x14ac:dyDescent="0.25">
      <c r="A11508">
        <f ca="1">39231.2847212679*((RANDBETWEEN(1620,2416)))</f>
        <v>88662703.470065415</v>
      </c>
      <c r="B11508">
        <v>179782973.24892598</v>
      </c>
    </row>
    <row r="11509" spans="1:2" x14ac:dyDescent="0.25">
      <c r="A11509">
        <f ca="1">31391.4628379084*((RANDBETWEEN(1620,2416)))</f>
        <v>51230867.351466559</v>
      </c>
      <c r="B11509">
        <v>180047998.30007401</v>
      </c>
    </row>
    <row r="11510" spans="1:2" x14ac:dyDescent="0.25">
      <c r="A11510">
        <f ca="1">34201.1990976113*((RANDBETWEEN(1620,2416)))</f>
        <v>67342161.023196682</v>
      </c>
      <c r="B11510">
        <v>150366974.44468671</v>
      </c>
    </row>
    <row r="11511" spans="1:2" x14ac:dyDescent="0.25">
      <c r="A11511">
        <f ca="1">29756.679646981*((RANDBETWEEN(1620,2416)))</f>
        <v>49753168.369752169</v>
      </c>
      <c r="B11511">
        <v>168893546.9900606</v>
      </c>
    </row>
    <row r="11512" spans="1:2" x14ac:dyDescent="0.25">
      <c r="A11512">
        <f ca="1">31156.2277299697*((RANDBETWEEN(1620,2416)))</f>
        <v>58916426.637372755</v>
      </c>
      <c r="B11512">
        <v>174684939.80899847</v>
      </c>
    </row>
    <row r="11513" spans="1:2" x14ac:dyDescent="0.25">
      <c r="A11513">
        <f ca="1">31687.706730378*((RANDBETWEEN(1620,2416)))</f>
        <v>55168297.417588159</v>
      </c>
      <c r="B11513">
        <v>158771492.43422437</v>
      </c>
    </row>
    <row r="11514" spans="1:2" x14ac:dyDescent="0.25">
      <c r="A11514">
        <f ca="1">31387.9081346137*((RANDBETWEEN(1620,2416)))</f>
        <v>69273113.253092408</v>
      </c>
      <c r="B11514">
        <v>148778568.55401397</v>
      </c>
    </row>
    <row r="11515" spans="1:2" x14ac:dyDescent="0.25">
      <c r="A11515">
        <f ca="1">33251.0393421164*((RANDBETWEEN(1620,2416)))</f>
        <v>63708991.379495047</v>
      </c>
      <c r="B11515">
        <v>168294631.25202584</v>
      </c>
    </row>
    <row r="11516" spans="1:2" x14ac:dyDescent="0.25">
      <c r="A11516">
        <f ca="1">31262.5597302458*((RANDBETWEEN(1620,2416)))</f>
        <v>65964001.030818671</v>
      </c>
      <c r="B11516">
        <v>146922244.64044359</v>
      </c>
    </row>
    <row r="11517" spans="1:2" x14ac:dyDescent="0.25">
      <c r="A11517">
        <f ca="1">30253.2069449517*((RANDBETWEEN(1620,2416)))</f>
        <v>54607038.535637803</v>
      </c>
      <c r="B11517">
        <v>150569247.67380956</v>
      </c>
    </row>
    <row r="11518" spans="1:2" x14ac:dyDescent="0.25">
      <c r="A11518">
        <f ca="1">41052.7719731953*((RANDBETWEEN(1620,2416)))</f>
        <v>78616058.328669056</v>
      </c>
      <c r="B11518">
        <v>166228932.35291588</v>
      </c>
    </row>
    <row r="11519" spans="1:2" x14ac:dyDescent="0.25">
      <c r="A11519">
        <f ca="1">33910.6222292855*((RANDBETWEEN(1620,2416)))</f>
        <v>80029068.461113676</v>
      </c>
      <c r="B11519">
        <v>192552355.77598214</v>
      </c>
    </row>
    <row r="11520" spans="1:2" x14ac:dyDescent="0.25">
      <c r="A11520">
        <f ca="1">32921.768760837*((RANDBETWEEN(1620,2416)))</f>
        <v>67061642.965825021</v>
      </c>
      <c r="B11520">
        <v>168934420.52288395</v>
      </c>
    </row>
    <row r="11521" spans="1:2" x14ac:dyDescent="0.25">
      <c r="A11521">
        <f ca="1">31140.9171272874*((RANDBETWEEN(1620,2416)))</f>
        <v>61441029.492137998</v>
      </c>
      <c r="B11521">
        <v>159029795.89173281</v>
      </c>
    </row>
    <row r="11522" spans="1:2" x14ac:dyDescent="0.25">
      <c r="A11522">
        <f ca="1">30714.8170598957*((RANDBETWEEN(1620,2416)))</f>
        <v>69323342.104184508</v>
      </c>
      <c r="B11522">
        <v>175880717.90910858</v>
      </c>
    </row>
    <row r="11523" spans="1:2" x14ac:dyDescent="0.25">
      <c r="A11523">
        <f ca="1">30232.0847820044*((RANDBETWEEN(1620,2416)))</f>
        <v>49006209.431629188</v>
      </c>
      <c r="B11523">
        <v>180437874.37745664</v>
      </c>
    </row>
    <row r="11524" spans="1:2" x14ac:dyDescent="0.25">
      <c r="A11524">
        <f ca="1">37232.1176923983*((RANDBETWEEN(1620,2416)))</f>
        <v>81761730.452506676</v>
      </c>
      <c r="B11524">
        <v>164902175.94822499</v>
      </c>
    </row>
    <row r="11525" spans="1:2" x14ac:dyDescent="0.25">
      <c r="A11525">
        <f ca="1">30994.0792461677*((RANDBETWEEN(1620,2416)))</f>
        <v>51915082.737330906</v>
      </c>
      <c r="B11525">
        <v>162271317.65963796</v>
      </c>
    </row>
    <row r="11526" spans="1:2" x14ac:dyDescent="0.25">
      <c r="A11526">
        <f ca="1">30974.0909915663*((RANDBETWEEN(1620,2416)))</f>
        <v>58664928.338026479</v>
      </c>
      <c r="B11526">
        <v>157835058.12558377</v>
      </c>
    </row>
    <row r="11527" spans="1:2" x14ac:dyDescent="0.25">
      <c r="A11527">
        <f ca="1">31809.1794527226*((RANDBETWEEN(1620,2416)))</f>
        <v>65717764.749324843</v>
      </c>
      <c r="B11527">
        <v>201563312.79639572</v>
      </c>
    </row>
    <row r="11528" spans="1:2" x14ac:dyDescent="0.25">
      <c r="A11528">
        <f ca="1">38258.2374489692*((RANDBETWEEN(1620,2416)))</f>
        <v>88453044.982016727</v>
      </c>
      <c r="B11528">
        <v>201204788.48349392</v>
      </c>
    </row>
    <row r="11529" spans="1:2" x14ac:dyDescent="0.25">
      <c r="A11529">
        <f ca="1">33873.1559062621*((RANDBETWEEN(1620,2416)))</f>
        <v>64020264.662835389</v>
      </c>
      <c r="B11529">
        <v>167789396.6421282</v>
      </c>
    </row>
    <row r="11530" spans="1:2" x14ac:dyDescent="0.25">
      <c r="A11530">
        <f ca="1">34855.5313283359*((RANDBETWEEN(1620,2416)))</f>
        <v>74242281.729355395</v>
      </c>
      <c r="B11530">
        <v>157491238.69317505</v>
      </c>
    </row>
    <row r="11531" spans="1:2" x14ac:dyDescent="0.25">
      <c r="A11531">
        <f ca="1">32813.2774700044*((RANDBETWEEN(1620,2416)))</f>
        <v>76487749.782580212</v>
      </c>
      <c r="B11531">
        <v>174101717.36425394</v>
      </c>
    </row>
    <row r="11532" spans="1:2" x14ac:dyDescent="0.25">
      <c r="A11532">
        <f ca="1">30399.969108169*((RANDBETWEEN(1620,2416)))</f>
        <v>58611140.440549806</v>
      </c>
      <c r="B11532">
        <v>154143330.32525641</v>
      </c>
    </row>
    <row r="11533" spans="1:2" x14ac:dyDescent="0.25">
      <c r="A11533">
        <f ca="1">38963.4813954535*((RANDBETWEEN(1620,2416)))</f>
        <v>65069013.93040733</v>
      </c>
      <c r="B11533">
        <v>150144204.02946532</v>
      </c>
    </row>
    <row r="11534" spans="1:2" x14ac:dyDescent="0.25">
      <c r="A11534">
        <f ca="1">35323.9901842148*((RANDBETWEEN(1620,2416)))</f>
        <v>76370466.778272435</v>
      </c>
      <c r="B11534">
        <v>153115471.86278635</v>
      </c>
    </row>
    <row r="11535" spans="1:2" x14ac:dyDescent="0.25">
      <c r="A11535">
        <f ca="1">30299.633260787*((RANDBETWEEN(1620,2416)))</f>
        <v>59326681.924620874</v>
      </c>
      <c r="B11535">
        <v>168550288.63756388</v>
      </c>
    </row>
    <row r="11536" spans="1:2" x14ac:dyDescent="0.25">
      <c r="A11536">
        <f ca="1">30352.3551641802*((RANDBETWEEN(1620,2416)))</f>
        <v>62161623.376241073</v>
      </c>
      <c r="B11536">
        <v>151548794.51164114</v>
      </c>
    </row>
    <row r="11537" spans="1:2" x14ac:dyDescent="0.25">
      <c r="A11537">
        <f ca="1">40560.751551684*((RANDBETWEEN(1620,2416)))</f>
        <v>74145053.836478397</v>
      </c>
      <c r="B11537">
        <v>149947201.09843025</v>
      </c>
    </row>
    <row r="11538" spans="1:2" x14ac:dyDescent="0.25">
      <c r="A11538">
        <f ca="1">32579.1892400874*((RANDBETWEEN(1620,2416)))</f>
        <v>69784623.352267176</v>
      </c>
      <c r="B11538">
        <v>162307866.52478358</v>
      </c>
    </row>
    <row r="11539" spans="1:2" x14ac:dyDescent="0.25">
      <c r="A11539">
        <f ca="1">32148.5489298081*((RANDBETWEEN(1620,2416)))</f>
        <v>75227604.495751038</v>
      </c>
      <c r="B11539">
        <v>152336355.70799658</v>
      </c>
    </row>
    <row r="11540" spans="1:2" x14ac:dyDescent="0.25">
      <c r="A11540">
        <f ca="1">29140.2461034279*((RANDBETWEEN(1620,2416)))</f>
        <v>61893882.723680854</v>
      </c>
      <c r="B11540">
        <v>154705031.77253574</v>
      </c>
    </row>
    <row r="11541" spans="1:2" x14ac:dyDescent="0.25">
      <c r="A11541">
        <f ca="1">29183.1881266676*((RANDBETWEEN(1620,2416)))</f>
        <v>69164155.860202298</v>
      </c>
      <c r="B11541">
        <v>167416980.41204694</v>
      </c>
    </row>
    <row r="11542" spans="1:2" x14ac:dyDescent="0.25">
      <c r="A11542">
        <f ca="1">29616.717442176*((RANDBETWEEN(1620,2416)))</f>
        <v>57722982.294800989</v>
      </c>
      <c r="B11542">
        <v>151067851.52753136</v>
      </c>
    </row>
    <row r="11543" spans="1:2" x14ac:dyDescent="0.25">
      <c r="A11543">
        <f ca="1">31083.0052503773*((RANDBETWEEN(1620,2416)))</f>
        <v>57876555.776202597</v>
      </c>
      <c r="B11543">
        <v>143778113.47595909</v>
      </c>
    </row>
    <row r="11544" spans="1:2" x14ac:dyDescent="0.25">
      <c r="A11544">
        <f ca="1">39748.5930881023*((RANDBETWEEN(1620,2416)))</f>
        <v>75721069.832834914</v>
      </c>
      <c r="B11544">
        <v>176805258.81373137</v>
      </c>
    </row>
    <row r="11545" spans="1:2" x14ac:dyDescent="0.25">
      <c r="A11545">
        <f ca="1">41533.4270703042*((RANDBETWEEN(1620,2416)))</f>
        <v>79536512.839632511</v>
      </c>
      <c r="B11545">
        <v>170761798.14458793</v>
      </c>
    </row>
    <row r="11546" spans="1:2" x14ac:dyDescent="0.25">
      <c r="A11546">
        <f ca="1">41265.0647005851*((RANDBETWEEN(1620,2416)))</f>
        <v>72626513.873029858</v>
      </c>
      <c r="B11546">
        <v>179168387.49700603</v>
      </c>
    </row>
    <row r="11547" spans="1:2" x14ac:dyDescent="0.25">
      <c r="A11547">
        <f ca="1">33577.6271688368*((RANDBETWEEN(1620,2416)))</f>
        <v>69438532.985154524</v>
      </c>
      <c r="B11547">
        <v>178002208.35564488</v>
      </c>
    </row>
    <row r="11548" spans="1:2" x14ac:dyDescent="0.25">
      <c r="A11548">
        <f ca="1">34891.3012413849*((RANDBETWEEN(1620,2416)))</f>
        <v>82797057.84580639</v>
      </c>
      <c r="B11548">
        <v>178823040.48131341</v>
      </c>
    </row>
    <row r="11549" spans="1:2" x14ac:dyDescent="0.25">
      <c r="A11549">
        <f ca="1">36680.111657624*((RANDBETWEEN(1620,2416)))</f>
        <v>88289028.759900898</v>
      </c>
      <c r="B11549">
        <v>143695607.18479145</v>
      </c>
    </row>
    <row r="11550" spans="1:2" x14ac:dyDescent="0.25">
      <c r="A11550">
        <f ca="1">37902.1027191441*((RANDBETWEEN(1620,2416)))</f>
        <v>73947002.405050159</v>
      </c>
      <c r="B11550">
        <v>199568851.25642464</v>
      </c>
    </row>
    <row r="11551" spans="1:2" x14ac:dyDescent="0.25">
      <c r="A11551">
        <f ca="1">29067.8922942937*((RANDBETWEEN(1620,2416)))</f>
        <v>57438155.173524283</v>
      </c>
      <c r="B11551">
        <v>144631678.62374997</v>
      </c>
    </row>
    <row r="11552" spans="1:2" x14ac:dyDescent="0.25">
      <c r="A11552">
        <f ca="1">35985.094807745*((RANDBETWEEN(1620,2416)))</f>
        <v>67364097.48009859</v>
      </c>
      <c r="B11552">
        <v>150154942.22793838</v>
      </c>
    </row>
    <row r="11553" spans="1:2" x14ac:dyDescent="0.25">
      <c r="A11553">
        <f ca="1">30782.0436181324*((RANDBETWEEN(1620,2416)))</f>
        <v>58024152.220179558</v>
      </c>
      <c r="B11553">
        <v>178582879.34942549</v>
      </c>
    </row>
    <row r="11554" spans="1:2" x14ac:dyDescent="0.25">
      <c r="A11554">
        <f ca="1">30059.3952938238*((RANDBETWEEN(1620,2416)))</f>
        <v>55489643.712398745</v>
      </c>
      <c r="B11554">
        <v>170980343.69226208</v>
      </c>
    </row>
    <row r="11555" spans="1:2" x14ac:dyDescent="0.25">
      <c r="A11555">
        <f ca="1">29709.240224869*((RANDBETWEEN(1620,2416)))</f>
        <v>50416580.661602683</v>
      </c>
      <c r="B11555">
        <v>173885735.89045337</v>
      </c>
    </row>
    <row r="11556" spans="1:2" x14ac:dyDescent="0.25">
      <c r="A11556">
        <f ca="1">32624.3640058353*((RANDBETWEEN(1620,2416)))</f>
        <v>53177713.329511523</v>
      </c>
      <c r="B11556">
        <v>184555791.41417736</v>
      </c>
    </row>
    <row r="11557" spans="1:2" x14ac:dyDescent="0.25">
      <c r="A11557">
        <f ca="1">32429.7574963433*((RANDBETWEEN(1620,2416)))</f>
        <v>61065233.365614407</v>
      </c>
      <c r="B11557">
        <v>147524234.72284728</v>
      </c>
    </row>
    <row r="11558" spans="1:2" x14ac:dyDescent="0.25">
      <c r="A11558">
        <f ca="1">30698.8482427551*((RANDBETWEEN(1620,2416)))</f>
        <v>63761507.800202295</v>
      </c>
      <c r="B11558">
        <v>155153537.83027762</v>
      </c>
    </row>
    <row r="11559" spans="1:2" x14ac:dyDescent="0.25">
      <c r="A11559">
        <f ca="1">30261.6842883614*((RANDBETWEEN(1620,2416)))</f>
        <v>71841238.50056988</v>
      </c>
      <c r="B11559">
        <v>146704959.61963421</v>
      </c>
    </row>
    <row r="11560" spans="1:2" x14ac:dyDescent="0.25">
      <c r="A11560">
        <f ca="1">31804.175199988*((RANDBETWEEN(1620,2416)))</f>
        <v>52317868.203980274</v>
      </c>
      <c r="B11560">
        <v>172747767.67511207</v>
      </c>
    </row>
    <row r="11561" spans="1:2" x14ac:dyDescent="0.25">
      <c r="A11561">
        <f ca="1">32104.1376454717*((RANDBETWEEN(1620,2416)))</f>
        <v>55058596.061983928</v>
      </c>
      <c r="B11561">
        <v>163326441.50313163</v>
      </c>
    </row>
    <row r="11562" spans="1:2" x14ac:dyDescent="0.25">
      <c r="A11562">
        <f ca="1">28995.4752408912*((RANDBETWEEN(1620,2416)))</f>
        <v>59991638.273403838</v>
      </c>
      <c r="B11562">
        <v>145935659.44990426</v>
      </c>
    </row>
    <row r="11563" spans="1:2" x14ac:dyDescent="0.25">
      <c r="A11563">
        <f ca="1">32305.1306300063*((RANDBETWEEN(1620,2416)))</f>
        <v>65030227.958202735</v>
      </c>
      <c r="B11563">
        <v>203235663.24792689</v>
      </c>
    </row>
    <row r="11564" spans="1:2" x14ac:dyDescent="0.25">
      <c r="A11564">
        <f ca="1">31945.8147679852*((RANDBETWEEN(1620,2416)))</f>
        <v>72069758.116574541</v>
      </c>
      <c r="B11564">
        <v>159961455.26365098</v>
      </c>
    </row>
    <row r="11565" spans="1:2" x14ac:dyDescent="0.25">
      <c r="A11565">
        <f ca="1">35162.843534049*((RANDBETWEEN(1620,2416)))</f>
        <v>72998063.17668575</v>
      </c>
      <c r="B11565">
        <v>177145275.03371596</v>
      </c>
    </row>
    <row r="11566" spans="1:2" x14ac:dyDescent="0.25">
      <c r="A11566">
        <f ca="1">29943.1323180908*((RANDBETWEEN(1620,2416)))</f>
        <v>61383421.25208623</v>
      </c>
      <c r="B11566">
        <v>193202499.56914985</v>
      </c>
    </row>
    <row r="11567" spans="1:2" x14ac:dyDescent="0.25">
      <c r="A11567">
        <f ca="1">36551.9576094046*((RANDBETWEEN(1620,2416)))</f>
        <v>80231546.952643082</v>
      </c>
      <c r="B11567">
        <v>173802939.52410465</v>
      </c>
    </row>
    <row r="11568" spans="1:2" x14ac:dyDescent="0.25">
      <c r="A11568">
        <f ca="1">29227.6099837635*((RANDBETWEEN(1620,2416)))</f>
        <v>69006387.171665624</v>
      </c>
      <c r="B11568">
        <v>186330416.6738885</v>
      </c>
    </row>
    <row r="11569" spans="1:2" x14ac:dyDescent="0.25">
      <c r="A11569">
        <f ca="1">36895.0951830975*((RANDBETWEEN(1620,2416)))</f>
        <v>77110748.932673782</v>
      </c>
      <c r="B11569">
        <v>145104375.67625147</v>
      </c>
    </row>
    <row r="11570" spans="1:2" x14ac:dyDescent="0.25">
      <c r="A11570">
        <f ca="1">29244.9621636648*((RANDBETWEEN(1620,2416)))</f>
        <v>50476804.69448553</v>
      </c>
      <c r="B11570">
        <v>157454630.31680447</v>
      </c>
    </row>
    <row r="11571" spans="1:2" x14ac:dyDescent="0.25">
      <c r="A11571">
        <f ca="1">30272.7882739045*((RANDBETWEEN(1620,2416)))</f>
        <v>58244844.638992183</v>
      </c>
      <c r="B11571">
        <v>194722707.95969191</v>
      </c>
    </row>
    <row r="11572" spans="1:2" x14ac:dyDescent="0.25">
      <c r="A11572">
        <f ca="1">30899.6263395293*((RANDBETWEEN(1620,2416)))</f>
        <v>71996129.371103168</v>
      </c>
      <c r="B11572">
        <v>145724540.54675114</v>
      </c>
    </row>
    <row r="11573" spans="1:2" x14ac:dyDescent="0.25">
      <c r="A11573">
        <f ca="1">30876.4656712524*((RANDBETWEEN(1620,2416)))</f>
        <v>56627438.041076913</v>
      </c>
      <c r="B11573">
        <v>203290281.77520198</v>
      </c>
    </row>
    <row r="11574" spans="1:2" x14ac:dyDescent="0.25">
      <c r="A11574">
        <f ca="1">31550.2947664889*((RANDBETWEEN(1620,2416)))</f>
        <v>74490245.943680272</v>
      </c>
      <c r="B11574">
        <v>165030872.6897552</v>
      </c>
    </row>
    <row r="11575" spans="1:2" x14ac:dyDescent="0.25">
      <c r="A11575">
        <f ca="1">34677.651779791*((RANDBETWEEN(1620,2416)))</f>
        <v>66997223.238556154</v>
      </c>
      <c r="B11575">
        <v>160100628.37079</v>
      </c>
    </row>
    <row r="11576" spans="1:2" x14ac:dyDescent="0.25">
      <c r="A11576">
        <f ca="1">34668.0085256613*((RANDBETWEEN(1620,2416)))</f>
        <v>79459075.540815741</v>
      </c>
      <c r="B11576">
        <v>178024955.14644814</v>
      </c>
    </row>
    <row r="11577" spans="1:2" x14ac:dyDescent="0.25">
      <c r="A11577">
        <f ca="1">30927.9638064597*((RANDBETWEEN(1620,2416)))</f>
        <v>54556928.154594839</v>
      </c>
      <c r="B11577">
        <v>190568269.25226605</v>
      </c>
    </row>
    <row r="11578" spans="1:2" x14ac:dyDescent="0.25">
      <c r="A11578">
        <f ca="1">31476.3384163441*((RANDBETWEEN(1620,2416)))</f>
        <v>56972172.533582911</v>
      </c>
      <c r="B11578">
        <v>160775965.40790588</v>
      </c>
    </row>
    <row r="11579" spans="1:2" x14ac:dyDescent="0.25">
      <c r="A11579">
        <f ca="1">35904.9145344278*((RANDBETWEEN(1620,2416)))</f>
        <v>63982557.700350329</v>
      </c>
      <c r="B11579">
        <v>161530832.39035022</v>
      </c>
    </row>
    <row r="11580" spans="1:2" x14ac:dyDescent="0.25">
      <c r="A11580">
        <f ca="1">31154.20918404*((RANDBETWEEN(1620,2416)))</f>
        <v>60688399.490509853</v>
      </c>
      <c r="B11580">
        <v>190923651.82395461</v>
      </c>
    </row>
    <row r="11581" spans="1:2" x14ac:dyDescent="0.25">
      <c r="A11581">
        <f ca="1">28932.7795302844*((RANDBETWEEN(1620,2416)))</f>
        <v>49069994.083362415</v>
      </c>
      <c r="B11581">
        <v>159092567.8319281</v>
      </c>
    </row>
    <row r="11582" spans="1:2" x14ac:dyDescent="0.25">
      <c r="A11582">
        <f ca="1">33547.4375389761*((RANDBETWEEN(1620,2416)))</f>
        <v>77125558.902106032</v>
      </c>
      <c r="B11582">
        <v>164485989.82868549</v>
      </c>
    </row>
    <row r="11583" spans="1:2" x14ac:dyDescent="0.25">
      <c r="A11583">
        <f ca="1">32399.4480063755*((RANDBETWEEN(1620,2416)))</f>
        <v>53556287.554538719</v>
      </c>
      <c r="B11583">
        <v>192610175.86175719</v>
      </c>
    </row>
    <row r="11584" spans="1:2" x14ac:dyDescent="0.25">
      <c r="A11584">
        <f ca="1">36168.2179772016*((RANDBETWEEN(1620,2416)))</f>
        <v>78846715.190299511</v>
      </c>
      <c r="B11584">
        <v>156516666.01894885</v>
      </c>
    </row>
    <row r="11585" spans="1:2" x14ac:dyDescent="0.25">
      <c r="A11585">
        <f ca="1">31717.8936621748*((RANDBETWEEN(1620,2416)))</f>
        <v>76186380.576543897</v>
      </c>
      <c r="B11585">
        <v>187787674.95249909</v>
      </c>
    </row>
    <row r="11586" spans="1:2" x14ac:dyDescent="0.25">
      <c r="A11586">
        <f ca="1">29336.0054857129*((RANDBETWEEN(1620,2416)))</f>
        <v>60226819.262168504</v>
      </c>
      <c r="B11586">
        <v>155468658.10086057</v>
      </c>
    </row>
    <row r="11587" spans="1:2" x14ac:dyDescent="0.25">
      <c r="A11587">
        <f ca="1">39372.1187980093*((RANDBETWEEN(1620,2416)))</f>
        <v>73507745.795883387</v>
      </c>
      <c r="B11587">
        <v>157274148.40838918</v>
      </c>
    </row>
    <row r="11588" spans="1:2" x14ac:dyDescent="0.25">
      <c r="A11588">
        <f ca="1">39520.3663529267*((RANDBETWEEN(1620,2416)))</f>
        <v>87656172.570791408</v>
      </c>
      <c r="B11588">
        <v>184768195.73250479</v>
      </c>
    </row>
    <row r="11589" spans="1:2" x14ac:dyDescent="0.25">
      <c r="A11589">
        <f ca="1">32706.5224480505*((RANDBETWEEN(1620,2416)))</f>
        <v>72183295.042847469</v>
      </c>
      <c r="B11589">
        <v>147819576.64615405</v>
      </c>
    </row>
    <row r="11590" spans="1:2" x14ac:dyDescent="0.25">
      <c r="A11590">
        <f ca="1">31167.2783399841*((RANDBETWEEN(1620,2416)))</f>
        <v>64142258.823687322</v>
      </c>
      <c r="B11590">
        <v>164375761.0943898</v>
      </c>
    </row>
    <row r="11591" spans="1:2" x14ac:dyDescent="0.25">
      <c r="A11591">
        <f ca="1">40235.8377392021*((RANDBETWEEN(1620,2416)))</f>
        <v>96284359.709910661</v>
      </c>
      <c r="B11591">
        <v>144794234.38287273</v>
      </c>
    </row>
    <row r="11592" spans="1:2" x14ac:dyDescent="0.25">
      <c r="A11592">
        <f ca="1">32355.5607874481*((RANDBETWEEN(1620,2416)))</f>
        <v>76650323.50546445</v>
      </c>
      <c r="B11592">
        <v>172679075.84295845</v>
      </c>
    </row>
    <row r="11593" spans="1:2" x14ac:dyDescent="0.25">
      <c r="A11593">
        <f ca="1">35489.9097171623*((RANDBETWEEN(1620,2416)))</f>
        <v>81165423.523150116</v>
      </c>
      <c r="B11593">
        <v>201218632.13607019</v>
      </c>
    </row>
    <row r="11594" spans="1:2" x14ac:dyDescent="0.25">
      <c r="A11594">
        <f ca="1">31156.9896705618*((RANDBETWEEN(1620,2416)))</f>
        <v>59665635.219125941</v>
      </c>
      <c r="B11594">
        <v>143588862.80302432</v>
      </c>
    </row>
    <row r="11595" spans="1:2" x14ac:dyDescent="0.25">
      <c r="A11595">
        <f ca="1">33587.7342448715*((RANDBETWEEN(1620,2416)))</f>
        <v>73288436.122309595</v>
      </c>
      <c r="B11595">
        <v>146892079.86994693</v>
      </c>
    </row>
    <row r="11596" spans="1:2" x14ac:dyDescent="0.25">
      <c r="A11596">
        <f ca="1">31407.4755241854*((RANDBETWEEN(1620,2416)))</f>
        <v>56030936.335146807</v>
      </c>
      <c r="B11596">
        <v>152645275.89364153</v>
      </c>
    </row>
    <row r="11597" spans="1:2" x14ac:dyDescent="0.25">
      <c r="A11597">
        <f ca="1">34010.5679313264*((RANDBETWEEN(1620,2416)))</f>
        <v>73496837.29959625</v>
      </c>
      <c r="B11597">
        <v>146460559.14047313</v>
      </c>
    </row>
    <row r="11598" spans="1:2" x14ac:dyDescent="0.25">
      <c r="A11598">
        <f ca="1">30978.0064099605*((RANDBETWEEN(1620,2416)))</f>
        <v>70753766.640349671</v>
      </c>
      <c r="B11598">
        <v>164747858.7689718</v>
      </c>
    </row>
    <row r="11599" spans="1:2" x14ac:dyDescent="0.25">
      <c r="A11599">
        <f ca="1">29450.0486331496*((RANDBETWEEN(1620,2416)))</f>
        <v>63494304.853070445</v>
      </c>
      <c r="B11599">
        <v>196331085.59993768</v>
      </c>
    </row>
    <row r="11600" spans="1:2" x14ac:dyDescent="0.25">
      <c r="A11600">
        <f ca="1">33537.894966861*((RANDBETWEEN(1620,2416)))</f>
        <v>68517919.417297035</v>
      </c>
      <c r="B11600">
        <v>158009128.63194552</v>
      </c>
    </row>
    <row r="11601" spans="1:2" x14ac:dyDescent="0.25">
      <c r="A11601">
        <f ca="1">32118.7561823892*((RANDBETWEEN(1620,2416)))</f>
        <v>71592707.530545458</v>
      </c>
      <c r="B11601">
        <v>147570703.62062103</v>
      </c>
    </row>
    <row r="11602" spans="1:2" x14ac:dyDescent="0.25">
      <c r="A11602">
        <f ca="1">31481.7073641493*((RANDBETWEEN(1620,2416)))</f>
        <v>54841134.228348136</v>
      </c>
      <c r="B11602">
        <v>156553204.42915004</v>
      </c>
    </row>
    <row r="11603" spans="1:2" x14ac:dyDescent="0.25">
      <c r="A11603">
        <f ca="1">35728.8937056727*((RANDBETWEEN(1620,2416)))</f>
        <v>66920217.910725035</v>
      </c>
      <c r="B11603">
        <v>178474427.2564449</v>
      </c>
    </row>
    <row r="11604" spans="1:2" x14ac:dyDescent="0.25">
      <c r="A11604">
        <f ca="1">30480.379794761*((RANDBETWEEN(1620,2416)))</f>
        <v>56205820.341539308</v>
      </c>
      <c r="B11604">
        <v>175510996.47293347</v>
      </c>
    </row>
    <row r="11605" spans="1:2" x14ac:dyDescent="0.25">
      <c r="A11605">
        <f ca="1">38533.5413902437*((RANDBETWEEN(1620,2416)))</f>
        <v>75718408.831828818</v>
      </c>
      <c r="B11605">
        <v>170142869.90115657</v>
      </c>
    </row>
    <row r="11606" spans="1:2" x14ac:dyDescent="0.25">
      <c r="A11606">
        <f ca="1">31462.7674531285*((RANDBETWEEN(1620,2416)))</f>
        <v>67582024.489319995</v>
      </c>
      <c r="B11606">
        <v>148505077.71859145</v>
      </c>
    </row>
    <row r="11607" spans="1:2" x14ac:dyDescent="0.25">
      <c r="A11607">
        <f ca="1">40971.1265021047*((RANDBETWEEN(1620,2416)))</f>
        <v>73051518.553252667</v>
      </c>
      <c r="B11607">
        <v>182604682.35502386</v>
      </c>
    </row>
    <row r="11608" spans="1:2" x14ac:dyDescent="0.25">
      <c r="A11608">
        <f ca="1">31186.3414613641*((RANDBETWEEN(1620,2416)))</f>
        <v>71416721.946523726</v>
      </c>
      <c r="B11608">
        <v>152191534.56777596</v>
      </c>
    </row>
    <row r="11609" spans="1:2" x14ac:dyDescent="0.25">
      <c r="A11609">
        <f ca="1">31113.9827014815*((RANDBETWEEN(1620,2416)))</f>
        <v>66521695.015767537</v>
      </c>
      <c r="B11609">
        <v>201244381.04555485</v>
      </c>
    </row>
    <row r="11610" spans="1:2" x14ac:dyDescent="0.25">
      <c r="A11610">
        <f ca="1">27899.5952671455*((RANDBETWEEN(1620,2416)))</f>
        <v>53539323.317652181</v>
      </c>
      <c r="B11610">
        <v>171050336.54082009</v>
      </c>
    </row>
    <row r="11611" spans="1:2" x14ac:dyDescent="0.25">
      <c r="A11611">
        <f ca="1">36790.6826347777*((RANDBETWEEN(1620,2416)))</f>
        <v>61366858.634809174</v>
      </c>
      <c r="B11611">
        <v>203440019.68961537</v>
      </c>
    </row>
    <row r="11612" spans="1:2" x14ac:dyDescent="0.25">
      <c r="A11612">
        <f ca="1">31528.9580986407*((RANDBETWEEN(1620,2416)))</f>
        <v>51770549.197968066</v>
      </c>
      <c r="B11612">
        <v>177480876.15887582</v>
      </c>
    </row>
    <row r="11613" spans="1:2" x14ac:dyDescent="0.25">
      <c r="A11613">
        <f ca="1">31258.3119558481*((RANDBETWEEN(1620,2416)))</f>
        <v>54545754.362954885</v>
      </c>
      <c r="B11613">
        <v>158806437.21051377</v>
      </c>
    </row>
    <row r="11614" spans="1:2" x14ac:dyDescent="0.25">
      <c r="A11614">
        <f ca="1">39106.3077389284*((RANDBETWEEN(1620,2416)))</f>
        <v>73207008.087273911</v>
      </c>
      <c r="B11614">
        <v>170340160.34764132</v>
      </c>
    </row>
    <row r="11615" spans="1:2" x14ac:dyDescent="0.25">
      <c r="A11615">
        <f ca="1">28742.5294575296*((RANDBETWEEN(1620,2416)))</f>
        <v>58088652.033667348</v>
      </c>
      <c r="B11615">
        <v>174478061.75958368</v>
      </c>
    </row>
    <row r="11616" spans="1:2" x14ac:dyDescent="0.25">
      <c r="A11616">
        <f ca="1">29315.8274328988*((RANDBETWEEN(1620,2416)))</f>
        <v>57810811.697676465</v>
      </c>
      <c r="B11616">
        <v>175078581.84154665</v>
      </c>
    </row>
    <row r="11617" spans="1:2" x14ac:dyDescent="0.25">
      <c r="A11617">
        <f ca="1">32011.4632775551*((RANDBETWEEN(1620,2416)))</f>
        <v>67352118.735975951</v>
      </c>
      <c r="B11617">
        <v>197155991.46012571</v>
      </c>
    </row>
    <row r="11618" spans="1:2" x14ac:dyDescent="0.25">
      <c r="A11618">
        <f ca="1">38527.2196193279*((RANDBETWEEN(1620,2416)))</f>
        <v>80791579.541730583</v>
      </c>
      <c r="B11618">
        <v>163879341.49680173</v>
      </c>
    </row>
    <row r="11619" spans="1:2" x14ac:dyDescent="0.25">
      <c r="A11619">
        <f ca="1">32736.2788351093*((RANDBETWEEN(1620,2416)))</f>
        <v>59580027.479898885</v>
      </c>
      <c r="B11619">
        <v>152283792.49978235</v>
      </c>
    </row>
    <row r="11620" spans="1:2" x14ac:dyDescent="0.25">
      <c r="A11620">
        <f ca="1">36335.0783597199*((RANDBETWEEN(1620,2416)))</f>
        <v>84006701.167672485</v>
      </c>
      <c r="B11620">
        <v>187148250.7489053</v>
      </c>
    </row>
    <row r="11621" spans="1:2" x14ac:dyDescent="0.25">
      <c r="A11621">
        <f ca="1">31470.0056155546*((RANDBETWEEN(1620,2416)))</f>
        <v>65709371.725278094</v>
      </c>
      <c r="B11621">
        <v>155154654.66019428</v>
      </c>
    </row>
    <row r="11622" spans="1:2" x14ac:dyDescent="0.25">
      <c r="A11622">
        <f ca="1">34354.704573596*((RANDBETWEEN(1620,2416)))</f>
        <v>77847760.563768625</v>
      </c>
      <c r="B11622">
        <v>151963467.13293907</v>
      </c>
    </row>
    <row r="11623" spans="1:2" x14ac:dyDescent="0.25">
      <c r="A11623">
        <f ca="1">39140.6158093339*((RANDBETWEEN(1620,2416)))</f>
        <v>63720922.53759557</v>
      </c>
      <c r="B11623">
        <v>153254168.68458891</v>
      </c>
    </row>
    <row r="11624" spans="1:2" x14ac:dyDescent="0.25">
      <c r="A11624">
        <f ca="1">31239.66358479*((RANDBETWEEN(1620,2416)))</f>
        <v>68383623.5871052</v>
      </c>
      <c r="B11624">
        <v>143507203.95503628</v>
      </c>
    </row>
    <row r="11625" spans="1:2" x14ac:dyDescent="0.25">
      <c r="A11625">
        <f ca="1">32395.8498341738*((RANDBETWEEN(1620,2416)))</f>
        <v>74963996.516278088</v>
      </c>
      <c r="B11625">
        <v>187397995.98584369</v>
      </c>
    </row>
    <row r="11626" spans="1:2" x14ac:dyDescent="0.25">
      <c r="A11626">
        <f ca="1">30712.605434149*((RANDBETWEEN(1620,2416)))</f>
        <v>52211429.238053381</v>
      </c>
      <c r="B11626">
        <v>162740122.9776997</v>
      </c>
    </row>
    <row r="11627" spans="1:2" x14ac:dyDescent="0.25">
      <c r="A11627">
        <f ca="1">35119.8409425483*((RANDBETWEEN(1620,2416)))</f>
        <v>80705394.485975921</v>
      </c>
      <c r="B11627">
        <v>150996568.42983407</v>
      </c>
    </row>
    <row r="11628" spans="1:2" x14ac:dyDescent="0.25">
      <c r="A11628">
        <f ca="1">38434.7806156393*((RANDBETWEEN(1620,2416)))</f>
        <v>82404169.639930665</v>
      </c>
      <c r="B11628">
        <v>146410883.31804976</v>
      </c>
    </row>
    <row r="11629" spans="1:2" x14ac:dyDescent="0.25">
      <c r="A11629">
        <f ca="1">31328.4146838151*((RANDBETWEEN(1620,2416)))</f>
        <v>70144320.477061898</v>
      </c>
      <c r="B11629">
        <v>147838246.49798387</v>
      </c>
    </row>
    <row r="11630" spans="1:2" x14ac:dyDescent="0.25">
      <c r="A11630">
        <f ca="1">29791.3491314402*((RANDBETWEEN(1620,2416)))</f>
        <v>51300703.204340093</v>
      </c>
      <c r="B11630">
        <v>148539520.251908</v>
      </c>
    </row>
    <row r="11631" spans="1:2" x14ac:dyDescent="0.25">
      <c r="A11631">
        <f ca="1">32486.5878295663*((RANDBETWEEN(1620,2416)))</f>
        <v>74264339.77838853</v>
      </c>
      <c r="B11631">
        <v>202913490.40889364</v>
      </c>
    </row>
    <row r="11632" spans="1:2" x14ac:dyDescent="0.25">
      <c r="A11632">
        <f ca="1">31533.2330249016*((RANDBETWEEN(1620,2416)))</f>
        <v>56381420.648524009</v>
      </c>
      <c r="B11632">
        <v>199917148.43565425</v>
      </c>
    </row>
    <row r="11633" spans="1:2" x14ac:dyDescent="0.25">
      <c r="A11633">
        <f ca="1">40951.3362642752*((RANDBETWEEN(1620,2416)))</f>
        <v>92672873.966054723</v>
      </c>
      <c r="B11633">
        <v>147157573.70910192</v>
      </c>
    </row>
    <row r="11634" spans="1:2" x14ac:dyDescent="0.25">
      <c r="A11634">
        <f ca="1">39160.3125713004*((RANDBETWEEN(1620,2416)))</f>
        <v>72172456.068906575</v>
      </c>
      <c r="B11634">
        <v>193017877.05823612</v>
      </c>
    </row>
    <row r="11635" spans="1:2" x14ac:dyDescent="0.25">
      <c r="A11635">
        <f ca="1">43010.6288019935*((RANDBETWEEN(1620,2416)))</f>
        <v>84214811.194303215</v>
      </c>
      <c r="B11635">
        <v>177853357.68611979</v>
      </c>
    </row>
    <row r="11636" spans="1:2" x14ac:dyDescent="0.25">
      <c r="A11636">
        <f ca="1">32241.8439634185*((RANDBETWEEN(1620,2416)))</f>
        <v>66547165.940495715</v>
      </c>
      <c r="B11636">
        <v>196386324.15707654</v>
      </c>
    </row>
    <row r="11637" spans="1:2" x14ac:dyDescent="0.25">
      <c r="A11637">
        <f ca="1">32332.570988013*((RANDBETWEEN(1620,2416)))</f>
        <v>65214795.682822257</v>
      </c>
      <c r="B11637">
        <v>184806878.09671691</v>
      </c>
    </row>
    <row r="11638" spans="1:2" x14ac:dyDescent="0.25">
      <c r="A11638">
        <f ca="1">34981.5613596092*((RANDBETWEEN(1620,2416)))</f>
        <v>62861865.763217762</v>
      </c>
      <c r="B11638">
        <v>171439192.72265086</v>
      </c>
    </row>
    <row r="11639" spans="1:2" x14ac:dyDescent="0.25">
      <c r="A11639">
        <f ca="1">31738.3733466353*((RANDBETWEEN(1620,2416)))</f>
        <v>74489962.24455297</v>
      </c>
      <c r="B11639">
        <v>171755467.39534166</v>
      </c>
    </row>
    <row r="11640" spans="1:2" x14ac:dyDescent="0.25">
      <c r="A11640">
        <f ca="1">32008.7401203465*((RANDBETWEEN(1620,2416)))</f>
        <v>61808877.172389075</v>
      </c>
      <c r="B11640">
        <v>152989421.41344905</v>
      </c>
    </row>
    <row r="11641" spans="1:2" x14ac:dyDescent="0.25">
      <c r="A11641">
        <f ca="1">30895.2499322181*((RANDBETWEEN(1620,2416)))</f>
        <v>61666918.864707328</v>
      </c>
      <c r="B11641">
        <v>144323033.88389257</v>
      </c>
    </row>
    <row r="11642" spans="1:2" x14ac:dyDescent="0.25">
      <c r="A11642">
        <f ca="1">31963.7192976328*((RANDBETWEEN(1620,2416)))</f>
        <v>52100862.45514147</v>
      </c>
      <c r="B11642">
        <v>179887172.35642391</v>
      </c>
    </row>
    <row r="11643" spans="1:2" x14ac:dyDescent="0.25">
      <c r="A11643">
        <f ca="1">39183.9949903276*((RANDBETWEEN(1620,2416)))</f>
        <v>71628342.842318878</v>
      </c>
      <c r="B11643">
        <v>183253132.5705204</v>
      </c>
    </row>
    <row r="11644" spans="1:2" x14ac:dyDescent="0.25">
      <c r="A11644">
        <f ca="1">40524.0018580787*((RANDBETWEEN(1620,2416)))</f>
        <v>93407824.282871425</v>
      </c>
      <c r="B11644">
        <v>190608754.0712643</v>
      </c>
    </row>
    <row r="11645" spans="1:2" x14ac:dyDescent="0.25">
      <c r="A11645">
        <f ca="1">36642.3342389185*((RANDBETWEEN(1620,2416)))</f>
        <v>67678391.339282528</v>
      </c>
      <c r="B11645">
        <v>145967267.14763102</v>
      </c>
    </row>
    <row r="11646" spans="1:2" x14ac:dyDescent="0.25">
      <c r="A11646">
        <f ca="1">29312.6305156342*((RANDBETWEEN(1620,2416)))</f>
        <v>57775194.74631498</v>
      </c>
      <c r="B11646">
        <v>151993133.56571633</v>
      </c>
    </row>
    <row r="11647" spans="1:2" x14ac:dyDescent="0.25">
      <c r="A11647">
        <f ca="1">32556.0327840673*((RANDBETWEEN(1620,2416)))</f>
        <v>76083448.616365239</v>
      </c>
      <c r="B11647">
        <v>155856140.78753313</v>
      </c>
    </row>
    <row r="11648" spans="1:2" x14ac:dyDescent="0.25">
      <c r="A11648">
        <f ca="1">32591.622602381*((RANDBETWEEN(1620,2416)))</f>
        <v>62999606.490402468</v>
      </c>
      <c r="B11648">
        <v>162855093.62246895</v>
      </c>
    </row>
    <row r="11649" spans="1:2" x14ac:dyDescent="0.25">
      <c r="A11649">
        <f ca="1">30040.9832022795*((RANDBETWEEN(1620,2416)))</f>
        <v>55726023.840228423</v>
      </c>
      <c r="B11649">
        <v>151861057.11125037</v>
      </c>
    </row>
    <row r="11650" spans="1:2" x14ac:dyDescent="0.25">
      <c r="A11650">
        <f ca="1">39634.9657682706*((RANDBETWEEN(1620,2416)))</f>
        <v>70193524.375607342</v>
      </c>
      <c r="B11650">
        <v>170255916.93613338</v>
      </c>
    </row>
    <row r="11651" spans="1:2" x14ac:dyDescent="0.25">
      <c r="A11651">
        <f ca="1">35060.3854817244*((RANDBETWEEN(1620,2416)))</f>
        <v>57463971.804546267</v>
      </c>
      <c r="B11651">
        <v>155933191.60584986</v>
      </c>
    </row>
    <row r="11652" spans="1:2" x14ac:dyDescent="0.25">
      <c r="A11652">
        <f ca="1">35429.6054539027*((RANDBETWEEN(1620,2416)))</f>
        <v>72453543.153231055</v>
      </c>
      <c r="B11652">
        <v>159980632.07092607</v>
      </c>
    </row>
    <row r="11653" spans="1:2" x14ac:dyDescent="0.25">
      <c r="A11653">
        <f ca="1">32003.7426730898*((RANDBETWEEN(1620,2416)))</f>
        <v>71336342.418317199</v>
      </c>
      <c r="B11653">
        <v>144069264.7674363</v>
      </c>
    </row>
    <row r="11654" spans="1:2" x14ac:dyDescent="0.25">
      <c r="A11654">
        <f ca="1">30883.5624391957*((RANDBETWEEN(1620,2416)))</f>
        <v>68654159.302331984</v>
      </c>
      <c r="B11654">
        <v>172669995.50139761</v>
      </c>
    </row>
    <row r="11655" spans="1:2" x14ac:dyDescent="0.25">
      <c r="A11655">
        <f ca="1">36553.1635695248*((RANDBETWEEN(1620,2416)))</f>
        <v>63236972.975277834</v>
      </c>
      <c r="B11655">
        <v>157161193.68854681</v>
      </c>
    </row>
    <row r="11656" spans="1:2" x14ac:dyDescent="0.25">
      <c r="A11656">
        <f ca="1">38132.3245772204*((RANDBETWEEN(1620,2416)))</f>
        <v>66922229.633021869</v>
      </c>
      <c r="B11656">
        <v>185937792.66816437</v>
      </c>
    </row>
    <row r="11657" spans="1:2" x14ac:dyDescent="0.25">
      <c r="A11657">
        <f ca="1">31929.9552544088*((RANDBETWEEN(1620,2416)))</f>
        <v>66893256.257986471</v>
      </c>
      <c r="B11657">
        <v>194730687.17898983</v>
      </c>
    </row>
    <row r="11658" spans="1:2" x14ac:dyDescent="0.25">
      <c r="A11658">
        <f ca="1">31683.8442439523*((RANDBETWEEN(1620,2416)))</f>
        <v>74013460.153872684</v>
      </c>
      <c r="B11658">
        <v>163538188.28491041</v>
      </c>
    </row>
    <row r="11659" spans="1:2" x14ac:dyDescent="0.25">
      <c r="A11659">
        <f ca="1">31188.2938918837*((RANDBETWEEN(1620,2416)))</f>
        <v>68707811.443819791</v>
      </c>
      <c r="B11659">
        <v>199977033.78719014</v>
      </c>
    </row>
    <row r="11660" spans="1:2" x14ac:dyDescent="0.25">
      <c r="A11660">
        <f ca="1">37893.3422506353*((RANDBETWEEN(1620,2416)))</f>
        <v>69420603.0031638</v>
      </c>
      <c r="B11660">
        <v>176470253.17659605</v>
      </c>
    </row>
    <row r="11661" spans="1:2" x14ac:dyDescent="0.25">
      <c r="A11661">
        <f ca="1">36640.2225184894*((RANDBETWEEN(1620,2416)))</f>
        <v>79655843.75519602</v>
      </c>
      <c r="B11661">
        <v>166832802.77737981</v>
      </c>
    </row>
    <row r="11662" spans="1:2" x14ac:dyDescent="0.25">
      <c r="A11662">
        <f ca="1">36165.4699412223*((RANDBETWEEN(1620,2416)))</f>
        <v>76960120.03492102</v>
      </c>
      <c r="B11662">
        <v>186502158.82316881</v>
      </c>
    </row>
    <row r="11663" spans="1:2" x14ac:dyDescent="0.25">
      <c r="A11663">
        <f ca="1">32955.6031511693*((RANDBETWEEN(1620,2416)))</f>
        <v>70228390.315141931</v>
      </c>
      <c r="B11663">
        <v>149231250.02622384</v>
      </c>
    </row>
    <row r="11664" spans="1:2" x14ac:dyDescent="0.25">
      <c r="A11664">
        <f ca="1">32784.0080487442*((RANDBETWEEN(1620,2416)))</f>
        <v>75567138.552355409</v>
      </c>
      <c r="B11664">
        <v>173424251.37890607</v>
      </c>
    </row>
    <row r="11665" spans="1:2" x14ac:dyDescent="0.25">
      <c r="A11665">
        <f ca="1">33423.7080540672*((RANDBETWEEN(1620,2416)))</f>
        <v>74935953.457218766</v>
      </c>
      <c r="B11665">
        <v>176376031.69961333</v>
      </c>
    </row>
    <row r="11666" spans="1:2" x14ac:dyDescent="0.25">
      <c r="A11666">
        <f ca="1">30429.3169514696*((RANDBETWEEN(1620,2416)))</f>
        <v>65788183.249077372</v>
      </c>
      <c r="B11666">
        <v>199267026.63444391</v>
      </c>
    </row>
    <row r="11667" spans="1:2" x14ac:dyDescent="0.25">
      <c r="A11667">
        <f ca="1">28459.1242708233*((RANDBETWEEN(1620,2416)))</f>
        <v>66679728.166539036</v>
      </c>
      <c r="B11667">
        <v>159432558.20503694</v>
      </c>
    </row>
    <row r="11668" spans="1:2" x14ac:dyDescent="0.25">
      <c r="A11668">
        <f ca="1">37368.690257334*((RANDBETWEEN(1620,2416)))</f>
        <v>85462194.618522823</v>
      </c>
      <c r="B11668">
        <v>190666785.55768147</v>
      </c>
    </row>
    <row r="11669" spans="1:2" x14ac:dyDescent="0.25">
      <c r="A11669">
        <f ca="1">35300.1637341359*((RANDBETWEEN(1620,2416)))</f>
        <v>69929624.35732314</v>
      </c>
      <c r="B11669">
        <v>158660246.58165863</v>
      </c>
    </row>
    <row r="11670" spans="1:2" x14ac:dyDescent="0.25">
      <c r="A11670">
        <f ca="1">37043.2855380931*((RANDBETWEEN(1620,2416)))</f>
        <v>88533452.436042488</v>
      </c>
      <c r="B11670">
        <v>145780732.55227616</v>
      </c>
    </row>
    <row r="11671" spans="1:2" x14ac:dyDescent="0.25">
      <c r="A11671">
        <f ca="1">28464.0329662402*((RANDBETWEEN(1620,2416)))</f>
        <v>59205188.569779605</v>
      </c>
      <c r="B11671">
        <v>145362931.85205677</v>
      </c>
    </row>
    <row r="11672" spans="1:2" x14ac:dyDescent="0.25">
      <c r="A11672">
        <f ca="1">31260.7406664362*((RANDBETWEEN(1620,2416)))</f>
        <v>52080393.950282767</v>
      </c>
      <c r="B11672">
        <v>168783495.82104358</v>
      </c>
    </row>
    <row r="11673" spans="1:2" x14ac:dyDescent="0.25">
      <c r="A11673">
        <f ca="1">41616.1710298876*((RANDBETWEEN(1620,2416)))</f>
        <v>95800425.710801303</v>
      </c>
      <c r="B11673">
        <v>190091834.93240309</v>
      </c>
    </row>
    <row r="11674" spans="1:2" x14ac:dyDescent="0.25">
      <c r="A11674">
        <f ca="1">29125.4814333913*((RANDBETWEEN(1620,2416)))</f>
        <v>53008376.208772168</v>
      </c>
      <c r="B11674">
        <v>159970275.98905528</v>
      </c>
    </row>
    <row r="11675" spans="1:2" x14ac:dyDescent="0.25">
      <c r="A11675">
        <f ca="1">31001.6105677427*((RANDBETWEEN(1620,2416)))</f>
        <v>69629617.335150138</v>
      </c>
      <c r="B11675">
        <v>150000521.41275918</v>
      </c>
    </row>
    <row r="11676" spans="1:2" x14ac:dyDescent="0.25">
      <c r="A11676">
        <f ca="1">33064.2203754362*((RANDBETWEEN(1620,2416)))</f>
        <v>68211486.634524867</v>
      </c>
      <c r="B11676">
        <v>185568054.30254266</v>
      </c>
    </row>
    <row r="11677" spans="1:2" x14ac:dyDescent="0.25">
      <c r="A11677">
        <f ca="1">36705.4131755707*((RANDBETWEEN(1620,2416)))</f>
        <v>70327571.644393504</v>
      </c>
      <c r="B11677">
        <v>147130027.16635334</v>
      </c>
    </row>
    <row r="11678" spans="1:2" x14ac:dyDescent="0.25">
      <c r="A11678">
        <f ca="1">41781.2461191015*((RANDBETWEEN(1620,2416)))</f>
        <v>87197460.65056479</v>
      </c>
      <c r="B11678">
        <v>158079742.37590548</v>
      </c>
    </row>
    <row r="11679" spans="1:2" x14ac:dyDescent="0.25">
      <c r="A11679">
        <f ca="1">38393.6706645372*((RANDBETWEEN(1620,2416)))</f>
        <v>82815147.623406827</v>
      </c>
      <c r="B11679">
        <v>142940480.20148107</v>
      </c>
    </row>
    <row r="11680" spans="1:2" x14ac:dyDescent="0.25">
      <c r="A11680">
        <f ca="1">32730.5621756021*((RANDBETWEEN(1620,2416)))</f>
        <v>57278483.807303607</v>
      </c>
      <c r="B11680">
        <v>153924269.10506433</v>
      </c>
    </row>
    <row r="11681" spans="1:2" x14ac:dyDescent="0.25">
      <c r="A11681">
        <f ca="1">28844.6275378303*((RANDBETWEEN(1620,2416)))</f>
        <v>51862640.313018844</v>
      </c>
      <c r="B11681">
        <v>178556072.48664525</v>
      </c>
    </row>
    <row r="11682" spans="1:2" x14ac:dyDescent="0.25">
      <c r="A11682">
        <f ca="1">32654.1458620879*((RANDBETWEEN(1620,2416)))</f>
        <v>54695694.318997234</v>
      </c>
      <c r="B11682">
        <v>164119429.91860372</v>
      </c>
    </row>
    <row r="11683" spans="1:2" x14ac:dyDescent="0.25">
      <c r="A11683">
        <f ca="1">28381.8304529486*((RANDBETWEEN(1620,2416)))</f>
        <v>50150694.410360157</v>
      </c>
      <c r="B11683">
        <v>176894712.82652065</v>
      </c>
    </row>
    <row r="11684" spans="1:2" x14ac:dyDescent="0.25">
      <c r="A11684">
        <f ca="1">32051.146874927*((RANDBETWEEN(1620,2416)))</f>
        <v>60448463.006112322</v>
      </c>
      <c r="B11684">
        <v>148801887.55348542</v>
      </c>
    </row>
    <row r="11685" spans="1:2" x14ac:dyDescent="0.25">
      <c r="A11685">
        <f ca="1">29121.7685315035*((RANDBETWEEN(1620,2416)))</f>
        <v>49419641.197961457</v>
      </c>
      <c r="B11685">
        <v>172588593.83651951</v>
      </c>
    </row>
    <row r="11686" spans="1:2" x14ac:dyDescent="0.25">
      <c r="A11686">
        <f ca="1">35417.8635626602*((RANDBETWEEN(1620,2416)))</f>
        <v>84648693.914757982</v>
      </c>
      <c r="B11686">
        <v>173369031.22082171</v>
      </c>
    </row>
    <row r="11687" spans="1:2" x14ac:dyDescent="0.25">
      <c r="A11687">
        <f ca="1">28864.283733001*((RANDBETWEEN(1620,2416)))</f>
        <v>63876659.901131153</v>
      </c>
      <c r="B11687">
        <v>165503814.16350549</v>
      </c>
    </row>
    <row r="11688" spans="1:2" x14ac:dyDescent="0.25">
      <c r="A11688">
        <f ca="1">37148.7692360424*((RANDBETWEEN(1620,2416)))</f>
        <v>81170060.780752689</v>
      </c>
      <c r="B11688">
        <v>187903388.8869625</v>
      </c>
    </row>
    <row r="11689" spans="1:2" x14ac:dyDescent="0.25">
      <c r="A11689">
        <f ca="1">33094.6404727858*((RANDBETWEEN(1620,2416)))</f>
        <v>64997873.888551317</v>
      </c>
      <c r="B11689">
        <v>151456934.92711809</v>
      </c>
    </row>
    <row r="11690" spans="1:2" x14ac:dyDescent="0.25">
      <c r="A11690">
        <f ca="1">33556.6180764944*((RANDBETWEEN(1620,2416)))</f>
        <v>79327845.13283287</v>
      </c>
      <c r="B11690">
        <v>148566215.49814749</v>
      </c>
    </row>
    <row r="11691" spans="1:2" x14ac:dyDescent="0.25">
      <c r="A11691">
        <f ca="1">35824.8908441041*((RANDBETWEEN(1620,2416)))</f>
        <v>63768305.702505253</v>
      </c>
      <c r="B11691">
        <v>186057422.28594711</v>
      </c>
    </row>
    <row r="11692" spans="1:2" x14ac:dyDescent="0.25">
      <c r="A11692">
        <f ca="1">30504.1827636408*((RANDBETWEEN(1620,2416)))</f>
        <v>55700637.726408094</v>
      </c>
      <c r="B11692">
        <v>158055552.74298444</v>
      </c>
    </row>
    <row r="11693" spans="1:2" x14ac:dyDescent="0.25">
      <c r="A11693">
        <f ca="1">29754.9647168358*((RANDBETWEEN(1620,2416)))</f>
        <v>50345400.300886221</v>
      </c>
      <c r="B11693">
        <v>143722814.04638258</v>
      </c>
    </row>
    <row r="11694" spans="1:2" x14ac:dyDescent="0.25">
      <c r="A11694">
        <f ca="1">34277.4846584196*((RANDBETWEEN(1620,2416)))</f>
        <v>67115314.961185634</v>
      </c>
      <c r="B11694">
        <v>193687674.38439086</v>
      </c>
    </row>
    <row r="11695" spans="1:2" x14ac:dyDescent="0.25">
      <c r="A11695">
        <f ca="1">37351.8037526535*((RANDBETWEEN(1620,2416)))</f>
        <v>63946288.024542727</v>
      </c>
      <c r="B11695">
        <v>147773626.99388933</v>
      </c>
    </row>
    <row r="11696" spans="1:2" x14ac:dyDescent="0.25">
      <c r="A11696">
        <f ca="1">39475.7241694377*((RANDBETWEEN(1620,2416)))</f>
        <v>71016827.780818477</v>
      </c>
      <c r="B11696">
        <v>147906595.83258933</v>
      </c>
    </row>
    <row r="11697" spans="1:2" x14ac:dyDescent="0.25">
      <c r="A11697">
        <f ca="1">31441.3119221871*((RANDBETWEEN(1620,2416)))</f>
        <v>73352580.714462519</v>
      </c>
      <c r="B11697">
        <v>147598046.77977923</v>
      </c>
    </row>
    <row r="11698" spans="1:2" x14ac:dyDescent="0.25">
      <c r="A11698">
        <f ca="1">30220.3736893707*((RANDBETWEEN(1620,2416)))</f>
        <v>69053553.880212083</v>
      </c>
      <c r="B11698">
        <v>168691975.56871918</v>
      </c>
    </row>
    <row r="11699" spans="1:2" x14ac:dyDescent="0.25">
      <c r="A11699">
        <f ca="1">32634.196496648*((RANDBETWEEN(1620,2416)))</f>
        <v>66639029.246155299</v>
      </c>
      <c r="B11699">
        <v>178696585.24524415</v>
      </c>
    </row>
    <row r="11700" spans="1:2" x14ac:dyDescent="0.25">
      <c r="A11700">
        <f ca="1">37618.4525185049*((RANDBETWEEN(1620,2416)))</f>
        <v>86973862.222783297</v>
      </c>
      <c r="B11700">
        <v>147341447.09840289</v>
      </c>
    </row>
    <row r="11701" spans="1:2" x14ac:dyDescent="0.25">
      <c r="A11701">
        <f ca="1">29703.6313159565*((RANDBETWEEN(1620,2416)))</f>
        <v>71407529.683559358</v>
      </c>
      <c r="B11701">
        <v>146539158.89291114</v>
      </c>
    </row>
    <row r="11702" spans="1:2" x14ac:dyDescent="0.25">
      <c r="A11702">
        <f ca="1">38084.1454000219*((RANDBETWEEN(1620,2416)))</f>
        <v>62724587.473836049</v>
      </c>
      <c r="B11702">
        <v>152821450.87563452</v>
      </c>
    </row>
    <row r="11703" spans="1:2" x14ac:dyDescent="0.25">
      <c r="A11703">
        <f ca="1">28187.6647369812*((RANDBETWEEN(1620,2416)))</f>
        <v>48736472.330240451</v>
      </c>
      <c r="B11703">
        <v>184586109.14071751</v>
      </c>
    </row>
    <row r="11704" spans="1:2" x14ac:dyDescent="0.25">
      <c r="A11704">
        <f ca="1">31969.416889024*((RANDBETWEEN(1620,2416)))</f>
        <v>73881322.430534467</v>
      </c>
      <c r="B11704">
        <v>153433424.0290381</v>
      </c>
    </row>
    <row r="11705" spans="1:2" x14ac:dyDescent="0.25">
      <c r="A11705">
        <f ca="1">31323.9773735482*((RANDBETWEEN(1620,2416)))</f>
        <v>65623732.59758354</v>
      </c>
      <c r="B11705">
        <v>185033947.33925685</v>
      </c>
    </row>
    <row r="11706" spans="1:2" x14ac:dyDescent="0.25">
      <c r="A11706">
        <f ca="1">42758.3824271865*((RANDBETWEEN(1620,2416)))</f>
        <v>76238195.867673576</v>
      </c>
      <c r="B11706">
        <v>167683400.58725667</v>
      </c>
    </row>
    <row r="11707" spans="1:2" x14ac:dyDescent="0.25">
      <c r="A11707">
        <f ca="1">31761.4129542951*((RANDBETWEEN(1620,2416)))</f>
        <v>52374569.961632662</v>
      </c>
      <c r="B11707">
        <v>180972543.71725863</v>
      </c>
    </row>
    <row r="11708" spans="1:2" x14ac:dyDescent="0.25">
      <c r="A11708">
        <f ca="1">30815.3590477803*((RANDBETWEEN(1620,2416)))</f>
        <v>59905057.988884814</v>
      </c>
      <c r="B11708">
        <v>190071482.53123176</v>
      </c>
    </row>
    <row r="11709" spans="1:2" x14ac:dyDescent="0.25">
      <c r="A11709">
        <f ca="1">42201.1117745338*((RANDBETWEEN(1620,2416)))</f>
        <v>76679420.094327867</v>
      </c>
      <c r="B11709">
        <v>169722918.6976862</v>
      </c>
    </row>
    <row r="11710" spans="1:2" x14ac:dyDescent="0.25">
      <c r="A11710">
        <f ca="1">31475.9001854833*((RANDBETWEEN(1620,2416)))</f>
        <v>73307371.531990588</v>
      </c>
      <c r="B11710">
        <v>165677869.07473081</v>
      </c>
    </row>
    <row r="11711" spans="1:2" x14ac:dyDescent="0.25">
      <c r="A11711">
        <f ca="1">32751.1637789367*((RANDBETWEEN(1620,2416)))</f>
        <v>74345141.778186262</v>
      </c>
      <c r="B11711">
        <v>159993321.21827912</v>
      </c>
    </row>
    <row r="11712" spans="1:2" x14ac:dyDescent="0.25">
      <c r="A11712">
        <f ca="1">33429.5657414418*((RANDBETWEEN(1620,2416)))</f>
        <v>66491406.259727642</v>
      </c>
      <c r="B11712">
        <v>150327811.686961</v>
      </c>
    </row>
    <row r="11713" spans="1:2" x14ac:dyDescent="0.25">
      <c r="A11713">
        <f ca="1">36778.7567033788*((RANDBETWEEN(1620,2416)))</f>
        <v>82016627.448534697</v>
      </c>
      <c r="B11713">
        <v>172324707.5265657</v>
      </c>
    </row>
    <row r="11714" spans="1:2" x14ac:dyDescent="0.25">
      <c r="A11714">
        <f ca="1">31832.7111555974*((RANDBETWEEN(1620,2416)))</f>
        <v>72164756.189739212</v>
      </c>
      <c r="B11714">
        <v>148837537.03258976</v>
      </c>
    </row>
    <row r="11715" spans="1:2" x14ac:dyDescent="0.25">
      <c r="A11715">
        <f ca="1">33332.0218002759*((RANDBETWEEN(1620,2416)))</f>
        <v>62430876.831916824</v>
      </c>
      <c r="B11715">
        <v>171083257.68782672</v>
      </c>
    </row>
    <row r="11716" spans="1:2" x14ac:dyDescent="0.25">
      <c r="A11716">
        <f ca="1">27027.5128605512*((RANDBETWEEN(1620,2416)))</f>
        <v>60730821.397658475</v>
      </c>
      <c r="B11716">
        <v>169508987.35132509</v>
      </c>
    </row>
    <row r="11717" spans="1:2" x14ac:dyDescent="0.25">
      <c r="A11717">
        <f ca="1">30078.359540298*((RANDBETWEEN(1620,2416)))</f>
        <v>57870763.755533345</v>
      </c>
      <c r="B11717">
        <v>199970055.03249934</v>
      </c>
    </row>
    <row r="11718" spans="1:2" x14ac:dyDescent="0.25">
      <c r="A11718">
        <f ca="1">32447.9599955023*((RANDBETWEEN(1620,2416)))</f>
        <v>65090607.750977762</v>
      </c>
      <c r="B11718">
        <v>170446308.81437421</v>
      </c>
    </row>
    <row r="11719" spans="1:2" x14ac:dyDescent="0.25">
      <c r="A11719">
        <f ca="1">29757.2344476729*((RANDBETWEEN(1620,2416)))</f>
        <v>67906009.009589627</v>
      </c>
      <c r="B11719">
        <v>154678183.92691952</v>
      </c>
    </row>
    <row r="11720" spans="1:2" x14ac:dyDescent="0.25">
      <c r="A11720">
        <f ca="1">38156.8096354219*((RANDBETWEEN(1620,2416)))</f>
        <v>85738351.250793099</v>
      </c>
      <c r="B11720">
        <v>157201706.42918885</v>
      </c>
    </row>
    <row r="11721" spans="1:2" x14ac:dyDescent="0.25">
      <c r="A11721">
        <f ca="1">32677.1137055907*((RANDBETWEEN(1620,2416)))</f>
        <v>78653812.689356863</v>
      </c>
      <c r="B11721">
        <v>172156465.21797112</v>
      </c>
    </row>
    <row r="11722" spans="1:2" x14ac:dyDescent="0.25">
      <c r="A11722">
        <f ca="1">34743.5614831285*((RANDBETWEEN(1620,2416)))</f>
        <v>70112507.072953284</v>
      </c>
      <c r="B11722">
        <v>187831060.05809233</v>
      </c>
    </row>
    <row r="11723" spans="1:2" x14ac:dyDescent="0.25">
      <c r="A11723">
        <f ca="1">35722.4810316578*((RANDBETWEEN(1620,2416)))</f>
        <v>74802875.280291498</v>
      </c>
      <c r="B11723">
        <v>181261393.76891214</v>
      </c>
    </row>
    <row r="11724" spans="1:2" x14ac:dyDescent="0.25">
      <c r="A11724">
        <f ca="1">33578.8925603475*((RANDBETWEEN(1620,2416)))</f>
        <v>73504195.814600706</v>
      </c>
      <c r="B11724">
        <v>171546879.10492668</v>
      </c>
    </row>
    <row r="11725" spans="1:2" x14ac:dyDescent="0.25">
      <c r="A11725">
        <f ca="1">37381.7328734932*((RANDBETWEEN(1620,2416)))</f>
        <v>70913147.261016622</v>
      </c>
      <c r="B11725">
        <v>160418737.89838263</v>
      </c>
    </row>
    <row r="11726" spans="1:2" x14ac:dyDescent="0.25">
      <c r="A11726">
        <f ca="1">30166.5240826812*((RANDBETWEEN(1620,2416)))</f>
        <v>57195729.660763644</v>
      </c>
      <c r="B11726">
        <v>145567252.40089574</v>
      </c>
    </row>
    <row r="11727" spans="1:2" x14ac:dyDescent="0.25">
      <c r="A11727">
        <f ca="1">30612.7574715923*((RANDBETWEEN(1620,2416)))</f>
        <v>67623581.25474745</v>
      </c>
      <c r="B11727">
        <v>178811113.32799816</v>
      </c>
    </row>
    <row r="11728" spans="1:2" x14ac:dyDescent="0.25">
      <c r="A11728">
        <f ca="1">31456.5706809499*((RANDBETWEEN(1620,2416)))</f>
        <v>73451092.540018052</v>
      </c>
      <c r="B11728">
        <v>144895834.37017888</v>
      </c>
    </row>
    <row r="11729" spans="1:2" x14ac:dyDescent="0.25">
      <c r="A11729">
        <f ca="1">31784.1718836386*((RANDBETWEEN(1620,2416)))</f>
        <v>59754243.141240574</v>
      </c>
      <c r="B11729">
        <v>193222371.62670386</v>
      </c>
    </row>
    <row r="11730" spans="1:2" x14ac:dyDescent="0.25">
      <c r="A11730">
        <f ca="1">29640.626040664*((RANDBETWEEN(1620,2416)))</f>
        <v>51100439.294104777</v>
      </c>
      <c r="B11730">
        <v>152820804.80422404</v>
      </c>
    </row>
    <row r="11731" spans="1:2" x14ac:dyDescent="0.25">
      <c r="A11731">
        <f ca="1">35404.7054805234*((RANDBETWEEN(1620,2416)))</f>
        <v>82280535.536736473</v>
      </c>
      <c r="B11731">
        <v>147011913.29021677</v>
      </c>
    </row>
    <row r="11732" spans="1:2" x14ac:dyDescent="0.25">
      <c r="A11732">
        <f ca="1">27889.7490807686*((RANDBETWEEN(1620,2416)))</f>
        <v>58205906.331564046</v>
      </c>
      <c r="B11732">
        <v>162720156.95889515</v>
      </c>
    </row>
    <row r="11733" spans="1:2" x14ac:dyDescent="0.25">
      <c r="A11733">
        <f ca="1">27469.9788126904*((RANDBETWEEN(1620,2416)))</f>
        <v>49858011.545033038</v>
      </c>
      <c r="B11733">
        <v>170464323.98756438</v>
      </c>
    </row>
    <row r="11734" spans="1:2" x14ac:dyDescent="0.25">
      <c r="A11734">
        <f ca="1">31120.5857172973*((RANDBETWEEN(1620,2416)))</f>
        <v>57044033.619805872</v>
      </c>
      <c r="B11734">
        <v>170354124.46669009</v>
      </c>
    </row>
    <row r="11735" spans="1:2" x14ac:dyDescent="0.25">
      <c r="A11735">
        <f ca="1">30550.0513160769*((RANDBETWEEN(1620,2416)))</f>
        <v>52943238.930761233</v>
      </c>
      <c r="B11735">
        <v>143830369.52530733</v>
      </c>
    </row>
    <row r="11736" spans="1:2" x14ac:dyDescent="0.25">
      <c r="A11736">
        <f ca="1">28972.0854031582*((RANDBETWEEN(1620,2416)))</f>
        <v>59103054.222442709</v>
      </c>
      <c r="B11736">
        <v>202842303.64142895</v>
      </c>
    </row>
    <row r="11737" spans="1:2" x14ac:dyDescent="0.25">
      <c r="A11737">
        <f ca="1">30662.7924478857*((RANDBETWEEN(1620,2416)))</f>
        <v>62521433.801238887</v>
      </c>
      <c r="B11737">
        <v>194105354.84854028</v>
      </c>
    </row>
    <row r="11738" spans="1:2" x14ac:dyDescent="0.25">
      <c r="A11738">
        <f ca="1">30233.3273321637*((RANDBETWEEN(1620,2416)))</f>
        <v>57503788.585775286</v>
      </c>
      <c r="B11738">
        <v>202094118.89475262</v>
      </c>
    </row>
    <row r="11739" spans="1:2" x14ac:dyDescent="0.25">
      <c r="A11739">
        <f ca="1">30264.6967414497*((RANDBETWEEN(1620,2416)))</f>
        <v>50935484.615859762</v>
      </c>
      <c r="B11739">
        <v>196517690.31642985</v>
      </c>
    </row>
    <row r="11740" spans="1:2" x14ac:dyDescent="0.25">
      <c r="A11740">
        <f ca="1">30634.5228687501*((RANDBETWEEN(1620,2416)))</f>
        <v>53365338.837362617</v>
      </c>
      <c r="B11740">
        <v>184729958.64531571</v>
      </c>
    </row>
    <row r="11741" spans="1:2" x14ac:dyDescent="0.25">
      <c r="A11741">
        <f ca="1">30637.2213705212*((RANDBETWEEN(1620,2416)))</f>
        <v>67248700.908294007</v>
      </c>
      <c r="B11741">
        <v>163098647.19942853</v>
      </c>
    </row>
    <row r="11742" spans="1:2" x14ac:dyDescent="0.25">
      <c r="A11742">
        <f ca="1">32491.7677455506*((RANDBETWEEN(1620,2416)))</f>
        <v>62871570.587640442</v>
      </c>
      <c r="B11742">
        <v>160687463.52443343</v>
      </c>
    </row>
    <row r="11743" spans="1:2" x14ac:dyDescent="0.25">
      <c r="A11743">
        <f ca="1">39854.0821290432*((RANDBETWEEN(1620,2416)))</f>
        <v>77197357.083956599</v>
      </c>
      <c r="B11743">
        <v>162579062.81813288</v>
      </c>
    </row>
    <row r="11744" spans="1:2" x14ac:dyDescent="0.25">
      <c r="A11744">
        <f ca="1">32005.198749018*((RANDBETWEEN(1620,2416)))</f>
        <v>61449981.598114483</v>
      </c>
      <c r="B11744">
        <v>171956420.51685745</v>
      </c>
    </row>
    <row r="11745" spans="1:2" x14ac:dyDescent="0.25">
      <c r="A11745">
        <f ca="1">35796.0379061252*((RANDBETWEEN(1620,2416)))</f>
        <v>79574592.265316397</v>
      </c>
      <c r="B11745">
        <v>151785230.05148613</v>
      </c>
    </row>
    <row r="11746" spans="1:2" x14ac:dyDescent="0.25">
      <c r="A11746">
        <f ca="1">35623.4766334025*((RANDBETWEEN(1620,2416)))</f>
        <v>70000131.584635928</v>
      </c>
      <c r="B11746">
        <v>174753842.18202847</v>
      </c>
    </row>
    <row r="11747" spans="1:2" x14ac:dyDescent="0.25">
      <c r="A11747">
        <f ca="1">32628.1519542185*((RANDBETWEEN(1620,2416)))</f>
        <v>67148736.721781746</v>
      </c>
      <c r="B11747">
        <v>152927770.68890351</v>
      </c>
    </row>
    <row r="11748" spans="1:2" x14ac:dyDescent="0.25">
      <c r="A11748">
        <f ca="1">32156.8949402905*((RANDBETWEEN(1620,2416)))</f>
        <v>57174959.203836545</v>
      </c>
      <c r="B11748">
        <v>158763349.90200809</v>
      </c>
    </row>
    <row r="11749" spans="1:2" x14ac:dyDescent="0.25">
      <c r="A11749">
        <f ca="1">34161.5392990402*((RANDBETWEEN(1620,2416)))</f>
        <v>60431763.020002097</v>
      </c>
      <c r="B11749">
        <v>154835103.58693397</v>
      </c>
    </row>
    <row r="11750" spans="1:2" x14ac:dyDescent="0.25">
      <c r="A11750">
        <f ca="1">33346.1816579215*((RANDBETWEEN(1620,2416)))</f>
        <v>64024668.783209257</v>
      </c>
      <c r="B11750">
        <v>154413747.37535554</v>
      </c>
    </row>
    <row r="11751" spans="1:2" x14ac:dyDescent="0.25">
      <c r="A11751">
        <f ca="1">37032.9578001387*((RANDBETWEEN(1620,2416)))</f>
        <v>66326027.420048386</v>
      </c>
      <c r="B11751">
        <v>156698279.39608604</v>
      </c>
    </row>
    <row r="11752" spans="1:2" x14ac:dyDescent="0.25">
      <c r="A11752">
        <f ca="1">35682.3037979188*((RANDBETWEEN(1620,2416)))</f>
        <v>83282497.06434238</v>
      </c>
      <c r="B11752">
        <v>166341017.04742926</v>
      </c>
    </row>
    <row r="11753" spans="1:2" x14ac:dyDescent="0.25">
      <c r="A11753">
        <f ca="1">35377.3330283595*((RANDBETWEEN(1620,2416)))</f>
        <v>68419762.0768473</v>
      </c>
      <c r="B11753">
        <v>164215252.90418929</v>
      </c>
    </row>
    <row r="11754" spans="1:2" x14ac:dyDescent="0.25">
      <c r="A11754">
        <f ca="1">31261.4303715945*((RANDBETWEEN(1620,2416)))</f>
        <v>60459606.338663779</v>
      </c>
      <c r="B11754">
        <v>157634728.3528192</v>
      </c>
    </row>
    <row r="11755" spans="1:2" x14ac:dyDescent="0.25">
      <c r="A11755">
        <f ca="1">33710.8002481962*((RANDBETWEEN(1620,2416)))</f>
        <v>75916722.158937901</v>
      </c>
      <c r="B11755">
        <v>190510902.52290517</v>
      </c>
    </row>
    <row r="11756" spans="1:2" x14ac:dyDescent="0.25">
      <c r="A11756">
        <f ca="1">34628.1731948233*((RANDBETWEEN(1620,2416)))</f>
        <v>64235261.276397251</v>
      </c>
      <c r="B11756">
        <v>152079323.81562558</v>
      </c>
    </row>
    <row r="11757" spans="1:2" x14ac:dyDescent="0.25">
      <c r="A11757">
        <f ca="1">28011.7531172532*((RANDBETWEEN(1620,2416)))</f>
        <v>51065425.932752527</v>
      </c>
      <c r="B11757">
        <v>143281420.63267612</v>
      </c>
    </row>
    <row r="11758" spans="1:2" x14ac:dyDescent="0.25">
      <c r="A11758">
        <f ca="1">31880.1162779643*((RANDBETWEEN(1620,2416)))</f>
        <v>68924811.392958865</v>
      </c>
      <c r="B11758">
        <v>149492434.1770519</v>
      </c>
    </row>
    <row r="11759" spans="1:2" x14ac:dyDescent="0.25">
      <c r="A11759">
        <f ca="1">30680.3218111469*((RANDBETWEEN(1620,2416)))</f>
        <v>64735479.021520011</v>
      </c>
      <c r="B11759">
        <v>165456580.70113471</v>
      </c>
    </row>
    <row r="11760" spans="1:2" x14ac:dyDescent="0.25">
      <c r="A11760">
        <f ca="1">34573.3271620161*((RANDBETWEEN(1620,2416)))</f>
        <v>78792612.602234885</v>
      </c>
      <c r="B11760">
        <v>165058061.0398117</v>
      </c>
    </row>
    <row r="11761" spans="1:2" x14ac:dyDescent="0.25">
      <c r="A11761">
        <f ca="1">34303.1894699961*((RANDBETWEEN(1620,2416)))</f>
        <v>65347575.940342605</v>
      </c>
      <c r="B11761">
        <v>149647482.51621675</v>
      </c>
    </row>
    <row r="11762" spans="1:2" x14ac:dyDescent="0.25">
      <c r="A11762">
        <f ca="1">32489.0421150289*((RANDBETWEEN(1620,2416)))</f>
        <v>62768829.366235889</v>
      </c>
      <c r="B11762">
        <v>161444419.77813068</v>
      </c>
    </row>
    <row r="11763" spans="1:2" x14ac:dyDescent="0.25">
      <c r="A11763">
        <f ca="1">39044.878939394*((RANDBETWEEN(1620,2416)))</f>
        <v>92770632.360000104</v>
      </c>
      <c r="B11763">
        <v>202528275.14176607</v>
      </c>
    </row>
    <row r="11764" spans="1:2" x14ac:dyDescent="0.25">
      <c r="A11764">
        <f ca="1">32954.8734282493*((RANDBETWEEN(1620,2416)))</f>
        <v>66502934.57820718</v>
      </c>
      <c r="B11764">
        <v>148301582.08993012</v>
      </c>
    </row>
    <row r="11765" spans="1:2" x14ac:dyDescent="0.25">
      <c r="A11765">
        <f ca="1">38725.5711137829*((RANDBETWEEN(1620,2416)))</f>
        <v>73617310.687301368</v>
      </c>
      <c r="B11765">
        <v>174665879.95636663</v>
      </c>
    </row>
    <row r="11766" spans="1:2" x14ac:dyDescent="0.25">
      <c r="A11766">
        <f ca="1">40073.7731120028*((RANDBETWEEN(1620,2416)))</f>
        <v>83754185.804085866</v>
      </c>
      <c r="B11766">
        <v>165163972.15464208</v>
      </c>
    </row>
    <row r="11767" spans="1:2" x14ac:dyDescent="0.25">
      <c r="A11767">
        <f ca="1">30500.3571709166*((RANDBETWEEN(1620,2416)))</f>
        <v>70547326.136330128</v>
      </c>
      <c r="B11767">
        <v>144840851.85791489</v>
      </c>
    </row>
    <row r="11768" spans="1:2" x14ac:dyDescent="0.25">
      <c r="A11768">
        <f ca="1">33770.7889562649*((RANDBETWEEN(1620,2416)))</f>
        <v>76896086.453415126</v>
      </c>
      <c r="B11768">
        <v>143702677.45432165</v>
      </c>
    </row>
    <row r="11769" spans="1:2" x14ac:dyDescent="0.25">
      <c r="A11769">
        <f ca="1">33726.2793671966*((RANDBETWEEN(1620,2416)))</f>
        <v>66744306.867682055</v>
      </c>
      <c r="B11769">
        <v>151985129.41358447</v>
      </c>
    </row>
    <row r="11770" spans="1:2" x14ac:dyDescent="0.25">
      <c r="A11770">
        <f ca="1">36547.0527087282*((RANDBETWEEN(1620,2416)))</f>
        <v>82486697.963599503</v>
      </c>
      <c r="B11770">
        <v>152142879.5092026</v>
      </c>
    </row>
    <row r="11771" spans="1:2" x14ac:dyDescent="0.25">
      <c r="A11771">
        <f ca="1">32844.7848383592*((RANDBETWEEN(1620,2416)))</f>
        <v>78926017.966577172</v>
      </c>
      <c r="B11771">
        <v>183134429.39687252</v>
      </c>
    </row>
    <row r="11772" spans="1:2" x14ac:dyDescent="0.25">
      <c r="A11772">
        <f ca="1">37666.7208337078*((RANDBETWEEN(1620,2416)))</f>
        <v>86369790.871692076</v>
      </c>
      <c r="B11772">
        <v>191964538.00646472</v>
      </c>
    </row>
    <row r="11773" spans="1:2" x14ac:dyDescent="0.25">
      <c r="A11773">
        <f ca="1">33979.2358767491*((RANDBETWEEN(1620,2416)))</f>
        <v>59157849.661420159</v>
      </c>
      <c r="B11773">
        <v>149376943.75877252</v>
      </c>
    </row>
    <row r="11774" spans="1:2" x14ac:dyDescent="0.25">
      <c r="A11774">
        <f ca="1">33271.9792936032*((RANDBETWEEN(1620,2416)))</f>
        <v>64880359.622526146</v>
      </c>
      <c r="B11774">
        <v>153487875.1592046</v>
      </c>
    </row>
    <row r="11775" spans="1:2" x14ac:dyDescent="0.25">
      <c r="A11775">
        <f ca="1">31001.3612571092*((RANDBETWEEN(1620,2416)))</f>
        <v>74651277.907119051</v>
      </c>
      <c r="B11775">
        <v>150316163.58445895</v>
      </c>
    </row>
    <row r="11776" spans="1:2" x14ac:dyDescent="0.25">
      <c r="A11776">
        <f ca="1">38878.1610735717*((RANDBETWEEN(1620,2416)))</f>
        <v>75423632.482729122</v>
      </c>
      <c r="B11776">
        <v>159969266.89987409</v>
      </c>
    </row>
    <row r="11777" spans="1:2" x14ac:dyDescent="0.25">
      <c r="A11777">
        <f ca="1">37358.1490315735*((RANDBETWEEN(1620,2416)))</f>
        <v>68514845.323905811</v>
      </c>
      <c r="B11777">
        <v>186541633.27783629</v>
      </c>
    </row>
    <row r="11778" spans="1:2" x14ac:dyDescent="0.25">
      <c r="A11778">
        <f ca="1">42626.4868858777*((RANDBETWEEN(1620,2416)))</f>
        <v>82738011.045488685</v>
      </c>
      <c r="B11778">
        <v>149320272.30118603</v>
      </c>
    </row>
    <row r="11779" spans="1:2" x14ac:dyDescent="0.25">
      <c r="A11779">
        <f ca="1">30754.2663478966*((RANDBETWEEN(1620,2416)))</f>
        <v>50621522.408637866</v>
      </c>
      <c r="B11779">
        <v>196617368.08603451</v>
      </c>
    </row>
    <row r="11780" spans="1:2" x14ac:dyDescent="0.25">
      <c r="A11780">
        <f ca="1">33246.2076262202*((RANDBETWEEN(1620,2416)))</f>
        <v>79358697.603787675</v>
      </c>
      <c r="B11780">
        <v>167276409.53022066</v>
      </c>
    </row>
    <row r="11781" spans="1:2" x14ac:dyDescent="0.25">
      <c r="A11781">
        <f ca="1">31612.5931586172*((RANDBETWEEN(1620,2416)))</f>
        <v>57408469.176048845</v>
      </c>
      <c r="B11781">
        <v>159912908.67410004</v>
      </c>
    </row>
    <row r="11782" spans="1:2" x14ac:dyDescent="0.25">
      <c r="A11782">
        <f ca="1">32566.1269113764*((RANDBETWEEN(1620,2416)))</f>
        <v>72231669.489432856</v>
      </c>
      <c r="B11782">
        <v>144655205.75173128</v>
      </c>
    </row>
    <row r="11783" spans="1:2" x14ac:dyDescent="0.25">
      <c r="A11783">
        <f ca="1">33017.1145255455*((RANDBETWEEN(1620,2416)))</f>
        <v>77491167.791455179</v>
      </c>
      <c r="B11783">
        <v>162570428.52345121</v>
      </c>
    </row>
    <row r="11784" spans="1:2" x14ac:dyDescent="0.25">
      <c r="A11784">
        <f ca="1">39414.2436750149*((RANDBETWEEN(1620,2416)))</f>
        <v>71536852.270152122</v>
      </c>
      <c r="B11784">
        <v>177755381.73800024</v>
      </c>
    </row>
    <row r="11785" spans="1:2" x14ac:dyDescent="0.25">
      <c r="A11785">
        <f ca="1">39913.0394615858*((RANDBETWEEN(1620,2416)))</f>
        <v>92159208.116801605</v>
      </c>
      <c r="B11785">
        <v>150522183.82519829</v>
      </c>
    </row>
    <row r="11786" spans="1:2" x14ac:dyDescent="0.25">
      <c r="A11786">
        <f ca="1">28161.7619373522*((RANDBETWEEN(1620,2416)))</f>
        <v>61026538.118242234</v>
      </c>
      <c r="B11786">
        <v>176993842.26692224</v>
      </c>
    </row>
    <row r="11787" spans="1:2" x14ac:dyDescent="0.25">
      <c r="A11787">
        <f ca="1">31700.5290580048*((RANDBETWEEN(1620,2416)))</f>
        <v>72879516.304353103</v>
      </c>
      <c r="B11787">
        <v>188993466.49545571</v>
      </c>
    </row>
    <row r="11788" spans="1:2" x14ac:dyDescent="0.25">
      <c r="A11788">
        <f ca="1">29316.0591339762*((RANDBETWEEN(1620,2416)))</f>
        <v>56961102.897315815</v>
      </c>
      <c r="B11788">
        <v>169859265.36207747</v>
      </c>
    </row>
    <row r="11789" spans="1:2" x14ac:dyDescent="0.25">
      <c r="A11789">
        <f ca="1">29090.5991692719*((RANDBETWEEN(1620,2416)))</f>
        <v>58181198.338543788</v>
      </c>
      <c r="B11789">
        <v>152648116.10595059</v>
      </c>
    </row>
    <row r="11790" spans="1:2" x14ac:dyDescent="0.25">
      <c r="A11790">
        <f ca="1">32138.4952797528*((RANDBETWEEN(1620,2416)))</f>
        <v>63794913.130309276</v>
      </c>
      <c r="B11790">
        <v>188139528.07107225</v>
      </c>
    </row>
    <row r="11791" spans="1:2" x14ac:dyDescent="0.25">
      <c r="A11791">
        <f ca="1">30652.0201743713*((RANDBETWEEN(1620,2416)))</f>
        <v>51342133.792071991</v>
      </c>
      <c r="B11791">
        <v>155607596.43606913</v>
      </c>
    </row>
    <row r="11792" spans="1:2" x14ac:dyDescent="0.25">
      <c r="A11792">
        <f ca="1">29296.4136091637*((RANDBETWEEN(1620,2416)))</f>
        <v>65184520.280389257</v>
      </c>
      <c r="B11792">
        <v>185879459.09839261</v>
      </c>
    </row>
    <row r="11793" spans="1:2" x14ac:dyDescent="0.25">
      <c r="A11793">
        <f ca="1">36907.8505152932*((RANDBETWEEN(1620,2416)))</f>
        <v>62115912.417238504</v>
      </c>
      <c r="B11793">
        <v>188832254.39406082</v>
      </c>
    </row>
    <row r="11794" spans="1:2" x14ac:dyDescent="0.25">
      <c r="A11794">
        <f ca="1">30726.5507947438*((RANDBETWEEN(1620,2416)))</f>
        <v>72084488.164468914</v>
      </c>
      <c r="B11794">
        <v>149416688.26488334</v>
      </c>
    </row>
    <row r="11795" spans="1:2" x14ac:dyDescent="0.25">
      <c r="A11795">
        <f ca="1">38352.8208784857*((RANDBETWEEN(1620,2416)))</f>
        <v>81231274.620632768</v>
      </c>
      <c r="B11795">
        <v>151534430.25059831</v>
      </c>
    </row>
    <row r="11796" spans="1:2" x14ac:dyDescent="0.25">
      <c r="A11796">
        <f ca="1">39846.5362374026*((RANDBETWEEN(1620,2416)))</f>
        <v>86227904.417739168</v>
      </c>
      <c r="B11796">
        <v>159730642.77998412</v>
      </c>
    </row>
    <row r="11797" spans="1:2" x14ac:dyDescent="0.25">
      <c r="A11797">
        <f ca="1">32174.7958033218*((RANDBETWEEN(1620,2416)))</f>
        <v>68596664.652681977</v>
      </c>
      <c r="B11797">
        <v>186569950.49438041</v>
      </c>
    </row>
    <row r="11798" spans="1:2" x14ac:dyDescent="0.25">
      <c r="A11798">
        <f ca="1">29986.3833483079*((RANDBETWEEN(1620,2416)))</f>
        <v>60542507.980233572</v>
      </c>
      <c r="B11798">
        <v>155153789.07871351</v>
      </c>
    </row>
    <row r="11799" spans="1:2" x14ac:dyDescent="0.25">
      <c r="A11799">
        <f ca="1">28615.6826115014*((RANDBETWEEN(1620,2416)))</f>
        <v>61151713.740778536</v>
      </c>
      <c r="B11799">
        <v>153399185.32984957</v>
      </c>
    </row>
    <row r="11800" spans="1:2" x14ac:dyDescent="0.25">
      <c r="A11800">
        <f ca="1">40208.0122032609*((RANDBETWEEN(1620,2416)))</f>
        <v>79330408.077033743</v>
      </c>
      <c r="B11800">
        <v>150936664.94173574</v>
      </c>
    </row>
    <row r="11801" spans="1:2" x14ac:dyDescent="0.25">
      <c r="A11801">
        <f ca="1">33440.2160135617*((RANDBETWEEN(1620,2416)))</f>
        <v>77848822.879571646</v>
      </c>
      <c r="B11801">
        <v>189934991.89335221</v>
      </c>
    </row>
    <row r="11802" spans="1:2" x14ac:dyDescent="0.25">
      <c r="A11802">
        <f ca="1">33902.1256190961*((RANDBETWEEN(1620,2416)))</f>
        <v>71499582.930673733</v>
      </c>
      <c r="B11802">
        <v>177969455.95542431</v>
      </c>
    </row>
    <row r="11803" spans="1:2" x14ac:dyDescent="0.25">
      <c r="A11803">
        <f ca="1">34192.2183322285*((RANDBETWEEN(1620,2416)))</f>
        <v>58024194.509791777</v>
      </c>
      <c r="B11803">
        <v>146807658.7580322</v>
      </c>
    </row>
    <row r="11804" spans="1:2" x14ac:dyDescent="0.25">
      <c r="A11804">
        <f ca="1">32818.949526042*((RANDBETWEEN(1620,2416)))</f>
        <v>75844592.354682997</v>
      </c>
      <c r="B11804">
        <v>183400353.36763206</v>
      </c>
    </row>
    <row r="11805" spans="1:2" x14ac:dyDescent="0.25">
      <c r="A11805">
        <f ca="1">30168.2082533216*((RANDBETWEEN(1620,2416)))</f>
        <v>59371033.842536949</v>
      </c>
      <c r="B11805">
        <v>163035834.24426782</v>
      </c>
    </row>
    <row r="11806" spans="1:2" x14ac:dyDescent="0.25">
      <c r="A11806">
        <f ca="1">31459.5847028112*((RANDBETWEEN(1620,2416)))</f>
        <v>64586527.394871466</v>
      </c>
      <c r="B11806">
        <v>150366975.60301483</v>
      </c>
    </row>
    <row r="11807" spans="1:2" x14ac:dyDescent="0.25">
      <c r="A11807">
        <f ca="1">29432.6715329734*((RANDBETWEEN(1620,2416)))</f>
        <v>60395841.985661425</v>
      </c>
      <c r="B11807">
        <v>162968171.57418197</v>
      </c>
    </row>
    <row r="11808" spans="1:2" x14ac:dyDescent="0.25">
      <c r="A11808">
        <f ca="1">28659.7900841682*((RANDBETWEEN(1620,2416)))</f>
        <v>52705353.9647853</v>
      </c>
      <c r="B11808">
        <v>176794955.66107208</v>
      </c>
    </row>
    <row r="11809" spans="1:2" x14ac:dyDescent="0.25">
      <c r="A11809">
        <f ca="1">35570.0109472504*((RANDBETWEEN(1620,2416)))</f>
        <v>66124650.350938447</v>
      </c>
      <c r="B11809">
        <v>168960155.69286686</v>
      </c>
    </row>
    <row r="11810" spans="1:2" x14ac:dyDescent="0.25">
      <c r="A11810">
        <f ca="1">29354.0690587156*((RANDBETWEEN(1620,2416)))</f>
        <v>55097587.623209186</v>
      </c>
      <c r="B11810">
        <v>174841921.07060006</v>
      </c>
    </row>
    <row r="11811" spans="1:2" x14ac:dyDescent="0.25">
      <c r="A11811">
        <f ca="1">40022.0795581602*((RANDBETWEEN(1620,2416)))</f>
        <v>82765660.526275352</v>
      </c>
      <c r="B11811">
        <v>199170678.88159865</v>
      </c>
    </row>
    <row r="11812" spans="1:2" x14ac:dyDescent="0.25">
      <c r="A11812">
        <f ca="1">32957.0517504357*((RANDBETWEEN(1620,2416)))</f>
        <v>59553392.513037317</v>
      </c>
      <c r="B11812">
        <v>148457483.76569223</v>
      </c>
    </row>
    <row r="11813" spans="1:2" x14ac:dyDescent="0.25">
      <c r="A11813">
        <f ca="1">34642.3922508579*((RANDBETWEEN(1620,2416)))</f>
        <v>74411858.554842785</v>
      </c>
      <c r="B11813">
        <v>159137443.08705181</v>
      </c>
    </row>
    <row r="11814" spans="1:2" x14ac:dyDescent="0.25">
      <c r="A11814">
        <f ca="1">30699.3583223311*((RANDBETWEEN(1620,2416)))</f>
        <v>69871739.541625604</v>
      </c>
      <c r="B11814">
        <v>181152760.24340183</v>
      </c>
    </row>
    <row r="11815" spans="1:2" x14ac:dyDescent="0.25">
      <c r="A11815">
        <f ca="1">32448.4370498274*((RANDBETWEEN(1620,2416)))</f>
        <v>70478005.272225156</v>
      </c>
      <c r="B11815">
        <v>151328564.24893302</v>
      </c>
    </row>
    <row r="11816" spans="1:2" x14ac:dyDescent="0.25">
      <c r="A11816">
        <f ca="1">32856.4156575042*((RANDBETWEEN(1620,2416)))</f>
        <v>53851665.262649335</v>
      </c>
      <c r="B11816">
        <v>182796055.06206912</v>
      </c>
    </row>
    <row r="11817" spans="1:2" x14ac:dyDescent="0.25">
      <c r="A11817">
        <f ca="1">31229.4866454454*((RANDBETWEEN(1620,2416)))</f>
        <v>73139457.723633155</v>
      </c>
      <c r="B11817">
        <v>145922509.3476454</v>
      </c>
    </row>
    <row r="11818" spans="1:2" x14ac:dyDescent="0.25">
      <c r="A11818">
        <f ca="1">34990.7821725702*((RANDBETWEEN(1620,2416)))</f>
        <v>74775301.502782598</v>
      </c>
      <c r="B11818">
        <v>197455176.66953963</v>
      </c>
    </row>
    <row r="11819" spans="1:2" x14ac:dyDescent="0.25">
      <c r="A11819">
        <f ca="1">31862.9108531798*((RANDBETWEEN(1620,2416)))</f>
        <v>60316490.245069496</v>
      </c>
      <c r="B11819">
        <v>159891314.32715645</v>
      </c>
    </row>
    <row r="11820" spans="1:2" x14ac:dyDescent="0.25">
      <c r="A11820">
        <f ca="1">29707.5156904533*((RANDBETWEEN(1620,2416)))</f>
        <v>54988611.543029055</v>
      </c>
      <c r="B11820">
        <v>147241439.82035938</v>
      </c>
    </row>
    <row r="11821" spans="1:2" x14ac:dyDescent="0.25">
      <c r="A11821">
        <f ca="1">38539.6832981051*((RANDBETWEEN(1620,2416)))</f>
        <v>76886668.179719657</v>
      </c>
      <c r="B11821">
        <v>152855110.47633457</v>
      </c>
    </row>
    <row r="11822" spans="1:2" x14ac:dyDescent="0.25">
      <c r="A11822">
        <f ca="1">36847.6287862749*((RANDBETWEEN(1620,2416)))</f>
        <v>61609235.330651693</v>
      </c>
      <c r="B11822">
        <v>173982884.11001796</v>
      </c>
    </row>
    <row r="11823" spans="1:2" x14ac:dyDescent="0.25">
      <c r="A11823">
        <f ca="1">30696.1683619545*((RANDBETWEEN(1620,2416)))</f>
        <v>57616708.015388548</v>
      </c>
      <c r="B11823">
        <v>181051640.67038131</v>
      </c>
    </row>
    <row r="11824" spans="1:2" x14ac:dyDescent="0.25">
      <c r="A11824">
        <f ca="1">33993.2010911513*((RANDBETWEEN(1620,2416)))</f>
        <v>75396920.020173699</v>
      </c>
      <c r="B11824">
        <v>152354916.63988692</v>
      </c>
    </row>
    <row r="11825" spans="1:2" x14ac:dyDescent="0.25">
      <c r="A11825">
        <f ca="1">28983.9993859031*((RANDBETWEEN(1620,2416)))</f>
        <v>57939014.77242028</v>
      </c>
      <c r="B11825">
        <v>158928703.09323663</v>
      </c>
    </row>
    <row r="11826" spans="1:2" x14ac:dyDescent="0.25">
      <c r="A11826">
        <f ca="1">31038.6338698197*((RANDBETWEEN(1620,2416)))</f>
        <v>52424252.606125496</v>
      </c>
      <c r="B11826">
        <v>183027770.60983711</v>
      </c>
    </row>
    <row r="11827" spans="1:2" x14ac:dyDescent="0.25">
      <c r="A11827">
        <f ca="1">40891.0024402969*((RANDBETWEEN(1620,2416)))</f>
        <v>75852809.526750743</v>
      </c>
      <c r="B11827">
        <v>144008722.00885072</v>
      </c>
    </row>
    <row r="11828" spans="1:2" x14ac:dyDescent="0.25">
      <c r="A11828">
        <f ca="1">33857.5869962167*((RANDBETWEEN(1620,2416)))</f>
        <v>81732215.00886704</v>
      </c>
      <c r="B11828">
        <v>164413579.28643996</v>
      </c>
    </row>
    <row r="11829" spans="1:2" x14ac:dyDescent="0.25">
      <c r="A11829">
        <f ca="1">32475.9381564143*((RANDBETWEEN(1620,2416)))</f>
        <v>62938368.147130921</v>
      </c>
      <c r="B11829">
        <v>184283586.50875112</v>
      </c>
    </row>
    <row r="11830" spans="1:2" x14ac:dyDescent="0.25">
      <c r="A11830">
        <f ca="1">32556.9423209441*((RANDBETWEEN(1620,2416)))</f>
        <v>77713421.320093617</v>
      </c>
      <c r="B11830">
        <v>169719334.83541703</v>
      </c>
    </row>
    <row r="11831" spans="1:2" x14ac:dyDescent="0.25">
      <c r="A11831">
        <f ca="1">40052.561964684*((RANDBETWEEN(1620,2416)))</f>
        <v>86353323.595858768</v>
      </c>
      <c r="B11831">
        <v>163945767.63503778</v>
      </c>
    </row>
    <row r="11832" spans="1:2" x14ac:dyDescent="0.25">
      <c r="A11832">
        <f ca="1">28984.9603670049*((RANDBETWEEN(1620,2416)))</f>
        <v>50752665.602625608</v>
      </c>
      <c r="B11832">
        <v>180971899.45614213</v>
      </c>
    </row>
    <row r="11833" spans="1:2" x14ac:dyDescent="0.25">
      <c r="A11833">
        <f ca="1">41509.0165290557*((RANDBETWEEN(1620,2416)))</f>
        <v>81565217.479594469</v>
      </c>
      <c r="B11833">
        <v>190447526.27304488</v>
      </c>
    </row>
    <row r="11834" spans="1:2" x14ac:dyDescent="0.25">
      <c r="A11834">
        <f ca="1">37175.8281422881*((RANDBETWEEN(1620,2416)))</f>
        <v>71266062.54876636</v>
      </c>
      <c r="B11834">
        <v>199188795.7500169</v>
      </c>
    </row>
    <row r="11835" spans="1:2" x14ac:dyDescent="0.25">
      <c r="A11835">
        <f ca="1">30008.3006759944*((RANDBETWEEN(1620,2416)))</f>
        <v>70759572.993994892</v>
      </c>
      <c r="B11835">
        <v>192145940.05920237</v>
      </c>
    </row>
    <row r="11836" spans="1:2" x14ac:dyDescent="0.25">
      <c r="A11836">
        <f ca="1">32398.7038436555*((RANDBETWEEN(1620,2416)))</f>
        <v>68361265.110113189</v>
      </c>
      <c r="B11836">
        <v>158064775.38118112</v>
      </c>
    </row>
    <row r="11837" spans="1:2" x14ac:dyDescent="0.25">
      <c r="A11837">
        <f ca="1">39065.1142719085*((RANDBETWEEN(1620,2416)))</f>
        <v>81411698.14265731</v>
      </c>
      <c r="B11837">
        <v>175924209.7533659</v>
      </c>
    </row>
    <row r="11838" spans="1:2" x14ac:dyDescent="0.25">
      <c r="A11838">
        <f ca="1">29030.6292329839*((RANDBETWEEN(1620,2416)))</f>
        <v>55593654.98116415</v>
      </c>
      <c r="B11838">
        <v>167521053.91173404</v>
      </c>
    </row>
    <row r="11839" spans="1:2" x14ac:dyDescent="0.25">
      <c r="A11839">
        <f ca="1">29975.4404283872*((RANDBETWEEN(1620,2416)))</f>
        <v>69243267.389574513</v>
      </c>
      <c r="B11839">
        <v>154697016.29357293</v>
      </c>
    </row>
    <row r="11840" spans="1:2" x14ac:dyDescent="0.25">
      <c r="A11840">
        <f ca="1">35820.8961129456*((RANDBETWEEN(1620,2416)))</f>
        <v>83856717.800405666</v>
      </c>
      <c r="B11840">
        <v>172441737.79323232</v>
      </c>
    </row>
    <row r="11841" spans="1:2" x14ac:dyDescent="0.25">
      <c r="A11841">
        <f ca="1">36575.606288883*((RANDBETWEEN(1620,2416)))</f>
        <v>82258538.543697923</v>
      </c>
      <c r="B11841">
        <v>175490694.40286556</v>
      </c>
    </row>
    <row r="11842" spans="1:2" x14ac:dyDescent="0.25">
      <c r="A11842">
        <f ca="1">31495.3567841319*((RANDBETWEEN(1620,2416)))</f>
        <v>61730899.296898559</v>
      </c>
      <c r="B11842">
        <v>187255601.26218274</v>
      </c>
    </row>
    <row r="11843" spans="1:2" x14ac:dyDescent="0.25">
      <c r="A11843">
        <f ca="1">39809.7668216815*((RANDBETWEEN(1620,2416)))</f>
        <v>67636793.830036923</v>
      </c>
      <c r="B11843">
        <v>175237060.05701149</v>
      </c>
    </row>
    <row r="11844" spans="1:2" x14ac:dyDescent="0.25">
      <c r="A11844">
        <f ca="1">41586.1630555962*((RANDBETWEEN(1620,2416)))</f>
        <v>93153005.244535565</v>
      </c>
      <c r="B11844">
        <v>173275985.1350562</v>
      </c>
    </row>
    <row r="11845" spans="1:2" x14ac:dyDescent="0.25">
      <c r="A11845">
        <f ca="1">38149.3758889194*((RANDBETWEEN(1620,2416)))</f>
        <v>85569050.118846148</v>
      </c>
      <c r="B11845">
        <v>154855258.25211605</v>
      </c>
    </row>
    <row r="11846" spans="1:2" x14ac:dyDescent="0.25">
      <c r="A11846">
        <f ca="1">29866.1903138423*((RANDBETWEEN(1620,2416)))</f>
        <v>60060908.721136838</v>
      </c>
      <c r="B11846">
        <v>155199688.32041022</v>
      </c>
    </row>
    <row r="11847" spans="1:2" x14ac:dyDescent="0.25">
      <c r="A11847">
        <f ca="1">33050.593198721*((RANDBETWEEN(1620,2416)))</f>
        <v>78726512.999353528</v>
      </c>
      <c r="B11847">
        <v>190282899.30791438</v>
      </c>
    </row>
    <row r="11848" spans="1:2" x14ac:dyDescent="0.25">
      <c r="A11848">
        <f ca="1">32234.45255545*((RANDBETWEEN(1620,2416)))</f>
        <v>70400044.381102726</v>
      </c>
      <c r="B11848">
        <v>173243414.85796818</v>
      </c>
    </row>
    <row r="11849" spans="1:2" x14ac:dyDescent="0.25">
      <c r="A11849">
        <f ca="1">34508.9459673262*((RANDBETWEEN(1620,2416)))</f>
        <v>64083112.661324687</v>
      </c>
      <c r="B11849">
        <v>196644624.51109105</v>
      </c>
    </row>
    <row r="11850" spans="1:2" x14ac:dyDescent="0.25">
      <c r="A11850">
        <f ca="1">34786.7548151743*((RANDBETWEEN(1620,2416)))</f>
        <v>57050277.896885917</v>
      </c>
      <c r="B11850">
        <v>150632791.16059101</v>
      </c>
    </row>
    <row r="11851" spans="1:2" x14ac:dyDescent="0.25">
      <c r="A11851">
        <f ca="1">30525.9396171538*((RANDBETWEEN(1620,2416)))</f>
        <v>53237238.69231616</v>
      </c>
      <c r="B11851">
        <v>151162622.13496903</v>
      </c>
    </row>
    <row r="11852" spans="1:2" x14ac:dyDescent="0.25">
      <c r="A11852">
        <f ca="1">38400.3500865097*((RANDBETWEEN(1620,2416)))</f>
        <v>72423060.263157204</v>
      </c>
      <c r="B11852">
        <v>172495904.73431972</v>
      </c>
    </row>
    <row r="11853" spans="1:2" x14ac:dyDescent="0.25">
      <c r="A11853">
        <f ca="1">35556.4935705361*((RANDBETWEEN(1620,2416)))</f>
        <v>58099310.494255975</v>
      </c>
      <c r="B11853">
        <v>197932485.13564026</v>
      </c>
    </row>
    <row r="11854" spans="1:2" x14ac:dyDescent="0.25">
      <c r="A11854">
        <f ca="1">40778.7412059118*((RANDBETWEEN(1620,2416)))</f>
        <v>82821623.389206901</v>
      </c>
      <c r="B11854">
        <v>156164401.94674209</v>
      </c>
    </row>
    <row r="11855" spans="1:2" x14ac:dyDescent="0.25">
      <c r="A11855">
        <f ca="1">33323.3169263965*((RANDBETWEEN(1620,2416)))</f>
        <v>70512138.616254911</v>
      </c>
      <c r="B11855">
        <v>143001543.82074332</v>
      </c>
    </row>
    <row r="11856" spans="1:2" x14ac:dyDescent="0.25">
      <c r="A11856">
        <f ca="1">36896.0574568607*((RANDBETWEEN(1620,2416)))</f>
        <v>64715684.779333711</v>
      </c>
      <c r="B11856">
        <v>154179419.08607277</v>
      </c>
    </row>
    <row r="11857" spans="1:2" x14ac:dyDescent="0.25">
      <c r="A11857">
        <f ca="1">38897.913270411*((RANDBETWEEN(1620,2416)))</f>
        <v>69782856.407117382</v>
      </c>
      <c r="B11857">
        <v>201263393.09023359</v>
      </c>
    </row>
    <row r="11858" spans="1:2" x14ac:dyDescent="0.25">
      <c r="A11858">
        <f ca="1">35360.7911034184*((RANDBETWEEN(1620,2416)))</f>
        <v>64745608.510359153</v>
      </c>
      <c r="B11858">
        <v>169949298.05927053</v>
      </c>
    </row>
    <row r="11859" spans="1:2" x14ac:dyDescent="0.25">
      <c r="A11859">
        <f ca="1">34384.7813487277*((RANDBETWEEN(1620,2416)))</f>
        <v>60929832.549945422</v>
      </c>
      <c r="B11859">
        <v>154402804.74632967</v>
      </c>
    </row>
    <row r="11860" spans="1:2" x14ac:dyDescent="0.25">
      <c r="A11860">
        <f ca="1">31864.8625148983*((RANDBETWEEN(1620,2416)))</f>
        <v>55922833.713646486</v>
      </c>
      <c r="B11860">
        <v>179020174.49678499</v>
      </c>
    </row>
    <row r="11861" spans="1:2" x14ac:dyDescent="0.25">
      <c r="A11861">
        <f ca="1">30271.5385001014*((RANDBETWEEN(1620,2416)))</f>
        <v>54367683.146182179</v>
      </c>
      <c r="B11861">
        <v>156899862.95662546</v>
      </c>
    </row>
    <row r="11862" spans="1:2" x14ac:dyDescent="0.25">
      <c r="A11862">
        <f ca="1">32194.8106257652*((RANDBETWEEN(1620,2416)))</f>
        <v>74305622.92426607</v>
      </c>
      <c r="B11862">
        <v>184134842.78449261</v>
      </c>
    </row>
    <row r="11863" spans="1:2" x14ac:dyDescent="0.25">
      <c r="A11863">
        <f ca="1">33528.5548535517*((RANDBETWEEN(1620,2416)))</f>
        <v>63972482.660576589</v>
      </c>
      <c r="B11863">
        <v>185947144.14074582</v>
      </c>
    </row>
    <row r="11864" spans="1:2" x14ac:dyDescent="0.25">
      <c r="A11864">
        <f ca="1">31477.0593074197*((RANDBETWEEN(1620,2416)))</f>
        <v>64496494.520902917</v>
      </c>
      <c r="B11864">
        <v>151451535.40384075</v>
      </c>
    </row>
    <row r="11865" spans="1:2" x14ac:dyDescent="0.25">
      <c r="A11865">
        <f ca="1">32195.4603946803*((RANDBETWEEN(1620,2416)))</f>
        <v>54152764.383852303</v>
      </c>
      <c r="B11865">
        <v>176797440.5893245</v>
      </c>
    </row>
    <row r="11866" spans="1:2" x14ac:dyDescent="0.25">
      <c r="A11866">
        <f ca="1">29210.2069917054*((RANDBETWEEN(1620,2416)))</f>
        <v>63707461.448909461</v>
      </c>
      <c r="B11866">
        <v>197902734.32653871</v>
      </c>
    </row>
    <row r="11867" spans="1:2" x14ac:dyDescent="0.25">
      <c r="A11867">
        <f ca="1">32095.3874284728*((RANDBETWEEN(1620,2416)))</f>
        <v>59922088.328958631</v>
      </c>
      <c r="B11867">
        <v>153849195.31702754</v>
      </c>
    </row>
    <row r="11868" spans="1:2" x14ac:dyDescent="0.25">
      <c r="A11868">
        <f ca="1">38831.4066312497*((RANDBETWEEN(1620,2416)))</f>
        <v>78633598.428280711</v>
      </c>
      <c r="B11868">
        <v>167053024.48741895</v>
      </c>
    </row>
    <row r="11869" spans="1:2" x14ac:dyDescent="0.25">
      <c r="A11869">
        <f ca="1">30126.9735505848*((RANDBETWEEN(1620,2416)))</f>
        <v>67845944.435916901</v>
      </c>
      <c r="B11869">
        <v>166082514.46285635</v>
      </c>
    </row>
    <row r="11870" spans="1:2" x14ac:dyDescent="0.25">
      <c r="A11870">
        <f ca="1">30322.95533308*((RANDBETWEEN(1620,2416)))</f>
        <v>72350571.424728945</v>
      </c>
      <c r="B11870">
        <v>190277011.64657888</v>
      </c>
    </row>
    <row r="11871" spans="1:2" x14ac:dyDescent="0.25">
      <c r="A11871">
        <f ca="1">31802.2995219779*((RANDBETWEEN(1620,2416)))</f>
        <v>70251279.644049168</v>
      </c>
      <c r="B11871">
        <v>178683038.49246925</v>
      </c>
    </row>
    <row r="11872" spans="1:2" x14ac:dyDescent="0.25">
      <c r="A11872">
        <f ca="1">31164.9361933545*((RANDBETWEEN(1620,2416)))</f>
        <v>74016723.459216848</v>
      </c>
      <c r="B11872">
        <v>183696758.93949533</v>
      </c>
    </row>
    <row r="11873" spans="1:2" x14ac:dyDescent="0.25">
      <c r="A11873">
        <f ca="1">36340.6116055585*((RANDBETWEEN(1620,2416)))</f>
        <v>68683755.934505507</v>
      </c>
      <c r="B11873">
        <v>146081404.97669536</v>
      </c>
    </row>
    <row r="11874" spans="1:2" x14ac:dyDescent="0.25">
      <c r="A11874">
        <f ca="1">33439.337546355*((RANDBETWEEN(1620,2416)))</f>
        <v>62498121.874137424</v>
      </c>
      <c r="B11874">
        <v>159997446.40896583</v>
      </c>
    </row>
    <row r="11875" spans="1:2" x14ac:dyDescent="0.25">
      <c r="A11875">
        <f ca="1">28110.0826022496*((RANDBETWEEN(1620,2416)))</f>
        <v>57513229.004202753</v>
      </c>
      <c r="B11875">
        <v>159357530.79383355</v>
      </c>
    </row>
    <row r="11876" spans="1:2" x14ac:dyDescent="0.25">
      <c r="A11876">
        <f ca="1">31630.9489757076*((RANDBETWEEN(1620,2416)))</f>
        <v>66424992.848985933</v>
      </c>
      <c r="B11876">
        <v>167449619.16605118</v>
      </c>
    </row>
    <row r="11877" spans="1:2" x14ac:dyDescent="0.25">
      <c r="A11877">
        <f ca="1">38479.7057842427*((RANDBETWEEN(1620,2416)))</f>
        <v>76959411.568485439</v>
      </c>
      <c r="B11877">
        <v>175529950.79679853</v>
      </c>
    </row>
    <row r="11878" spans="1:2" x14ac:dyDescent="0.25">
      <c r="A11878">
        <f ca="1">35790.5304203972*((RANDBETWEEN(1620,2416)))</f>
        <v>81638199.88892597</v>
      </c>
      <c r="B11878">
        <v>162087103.37083778</v>
      </c>
    </row>
    <row r="11879" spans="1:2" x14ac:dyDescent="0.25">
      <c r="A11879">
        <f ca="1">32296.9566362038*((RANDBETWEEN(1620,2416)))</f>
        <v>58425194.554892734</v>
      </c>
      <c r="B11879">
        <v>144332511.45118928</v>
      </c>
    </row>
    <row r="11880" spans="1:2" x14ac:dyDescent="0.25">
      <c r="A11880">
        <f ca="1">29721.4828405899*((RANDBETWEEN(1620,2416)))</f>
        <v>53052846.870453</v>
      </c>
      <c r="B11880">
        <v>153050480.22322673</v>
      </c>
    </row>
    <row r="11881" spans="1:2" x14ac:dyDescent="0.25">
      <c r="A11881">
        <f ca="1">42071.6251636393*((RANDBETWEEN(1620,2416)))</f>
        <v>72952198.033750579</v>
      </c>
      <c r="B11881">
        <v>159053936.43758944</v>
      </c>
    </row>
    <row r="11882" spans="1:2" x14ac:dyDescent="0.25">
      <c r="A11882">
        <f ca="1">37677.8937174846*((RANDBETWEEN(1620,2416)))</f>
        <v>86131665.038169697</v>
      </c>
      <c r="B11882">
        <v>151186466.38292256</v>
      </c>
    </row>
    <row r="11883" spans="1:2" x14ac:dyDescent="0.25">
      <c r="A11883">
        <f ca="1">31454.4092761846*((RANDBETWEEN(1620,2416)))</f>
        <v>72219323.698119804</v>
      </c>
      <c r="B11883">
        <v>152364019.44347656</v>
      </c>
    </row>
    <row r="11884" spans="1:2" x14ac:dyDescent="0.25">
      <c r="A11884">
        <f ca="1">34429.4626283341*((RANDBETWEEN(1620,2416)))</f>
        <v>65794703.082746409</v>
      </c>
      <c r="B11884">
        <v>186150117.49828899</v>
      </c>
    </row>
    <row r="11885" spans="1:2" x14ac:dyDescent="0.25">
      <c r="A11885">
        <f ca="1">32448.7731136386*((RANDBETWEEN(1620,2416)))</f>
        <v>62593683.336208902</v>
      </c>
      <c r="B11885">
        <v>144918589.76338536</v>
      </c>
    </row>
    <row r="11886" spans="1:2" x14ac:dyDescent="0.25">
      <c r="A11886">
        <f ca="1">32192.5872348418*((RANDBETWEEN(1620,2416)))</f>
        <v>71531928.83581847</v>
      </c>
      <c r="B11886">
        <v>146322577.23753726</v>
      </c>
    </row>
    <row r="11887" spans="1:2" x14ac:dyDescent="0.25">
      <c r="A11887">
        <f ca="1">29853.5047207679*((RANDBETWEEN(1620,2416)))</f>
        <v>59856276.96513968</v>
      </c>
      <c r="B11887">
        <v>147848804.09743634</v>
      </c>
    </row>
    <row r="11888" spans="1:2" x14ac:dyDescent="0.25">
      <c r="A11888">
        <f ca="1">38144.6151683821*((RANDBETWEEN(1620,2416)))</f>
        <v>90784184.100749418</v>
      </c>
      <c r="B11888">
        <v>169203813.83751351</v>
      </c>
    </row>
    <row r="11889" spans="1:2" x14ac:dyDescent="0.25">
      <c r="A11889">
        <f ca="1">32064.7512199395*((RANDBETWEEN(1620,2416)))</f>
        <v>59319789.756888144</v>
      </c>
      <c r="B11889">
        <v>171151171.12405905</v>
      </c>
    </row>
    <row r="11890" spans="1:2" x14ac:dyDescent="0.25">
      <c r="A11890">
        <f ca="1">31237.3801429928*((RANDBETWEEN(1620,2416)))</f>
        <v>53353445.284231789</v>
      </c>
      <c r="B11890">
        <v>187989586.99694347</v>
      </c>
    </row>
    <row r="11891" spans="1:2" x14ac:dyDescent="0.25">
      <c r="A11891">
        <f ca="1">30042.0363860194*((RANDBETWEEN(1620,2416)))</f>
        <v>70388491.252443373</v>
      </c>
      <c r="B11891">
        <v>178489890.80526745</v>
      </c>
    </row>
    <row r="11892" spans="1:2" x14ac:dyDescent="0.25">
      <c r="A11892">
        <f ca="1">33279.7415858892*((RANDBETWEEN(1620,2416)))</f>
        <v>75811251.332655489</v>
      </c>
      <c r="B11892">
        <v>188934288.93822786</v>
      </c>
    </row>
    <row r="11893" spans="1:2" x14ac:dyDescent="0.25">
      <c r="A11893">
        <f ca="1">30987.9512553897*((RANDBETWEEN(1620,2416)))</f>
        <v>50665300.30256208</v>
      </c>
      <c r="B11893">
        <v>162817235.38967562</v>
      </c>
    </row>
    <row r="11894" spans="1:2" x14ac:dyDescent="0.25">
      <c r="A11894">
        <f ca="1">29979.487834381*((RANDBETWEEN(1620,2416)))</f>
        <v>55821806.347617477</v>
      </c>
      <c r="B11894">
        <v>153704514.86455548</v>
      </c>
    </row>
    <row r="11895" spans="1:2" x14ac:dyDescent="0.25">
      <c r="A11895">
        <f ca="1">37758.5041590665*((RANDBETWEEN(1620,2416)))</f>
        <v>88241624.219738498</v>
      </c>
      <c r="B11895">
        <v>182643330.5736258</v>
      </c>
    </row>
    <row r="11896" spans="1:2" x14ac:dyDescent="0.25">
      <c r="A11896">
        <f ca="1">32956.933094547*((RANDBETWEEN(1620,2416)))</f>
        <v>77910189.835509151</v>
      </c>
      <c r="B11896">
        <v>196569993.3813155</v>
      </c>
    </row>
    <row r="11897" spans="1:2" x14ac:dyDescent="0.25">
      <c r="A11897">
        <f ca="1">30725.5385073286*((RANDBETWEEN(1620,2416)))</f>
        <v>67903440.10119617</v>
      </c>
      <c r="B11897">
        <v>145312510.33315176</v>
      </c>
    </row>
    <row r="11898" spans="1:2" x14ac:dyDescent="0.25">
      <c r="A11898">
        <f ca="1">32157.4306476196*((RANDBETWEEN(1620,2416)))</f>
        <v>58204949.472191393</v>
      </c>
      <c r="B11898">
        <v>176424011.62237757</v>
      </c>
    </row>
    <row r="11899" spans="1:2" x14ac:dyDescent="0.25">
      <c r="A11899">
        <f ca="1">31735.7991989587*((RANDBETWEEN(1620,2416)))</f>
        <v>73151017.153599858</v>
      </c>
      <c r="B11899">
        <v>153665184.73342961</v>
      </c>
    </row>
    <row r="11900" spans="1:2" x14ac:dyDescent="0.25">
      <c r="A11900">
        <f ca="1">31662.1756907332*((RANDBETWEEN(1620,2416)))</f>
        <v>71619841.412438571</v>
      </c>
      <c r="B11900">
        <v>180181998.2111643</v>
      </c>
    </row>
    <row r="11901" spans="1:2" x14ac:dyDescent="0.25">
      <c r="A11901">
        <f ca="1">34443.6796133982*((RANDBETWEEN(1620,2416)))</f>
        <v>61206418.673008636</v>
      </c>
      <c r="B11901">
        <v>192013607.3662613</v>
      </c>
    </row>
    <row r="11902" spans="1:2" x14ac:dyDescent="0.25">
      <c r="A11902">
        <f ca="1">30072.5997717255*((RANDBETWEEN(1620,2416)))</f>
        <v>56265834.172898315</v>
      </c>
      <c r="B11902">
        <v>172749042.21947244</v>
      </c>
    </row>
    <row r="11903" spans="1:2" x14ac:dyDescent="0.25">
      <c r="A11903">
        <f ca="1">36534.6705346219*((RANDBETWEEN(1620,2416)))</f>
        <v>73836569.150470912</v>
      </c>
      <c r="B11903">
        <v>156620599.94467524</v>
      </c>
    </row>
    <row r="11904" spans="1:2" x14ac:dyDescent="0.25">
      <c r="A11904">
        <f ca="1">31323.2885791204*((RANDBETWEEN(1620,2416)))</f>
        <v>75583095.341417477</v>
      </c>
      <c r="B11904">
        <v>186094713.07411185</v>
      </c>
    </row>
    <row r="11905" spans="1:2" x14ac:dyDescent="0.25">
      <c r="A11905">
        <f ca="1">31546.1086289644*((RANDBETWEEN(1620,2416)))</f>
        <v>65868274.817277737</v>
      </c>
      <c r="B11905">
        <v>154850961.69408381</v>
      </c>
    </row>
    <row r="11906" spans="1:2" x14ac:dyDescent="0.25">
      <c r="A11906">
        <f ca="1">32882.5145810306*((RANDBETWEEN(1620,2416)))</f>
        <v>77701381.954975411</v>
      </c>
      <c r="B11906">
        <v>147105904.6297155</v>
      </c>
    </row>
    <row r="11907" spans="1:2" x14ac:dyDescent="0.25">
      <c r="A11907">
        <f ca="1">29548.6484234825*((RANDBETWEEN(1620,2416)))</f>
        <v>65272964.367472805</v>
      </c>
      <c r="B11907">
        <v>182319190.02187961</v>
      </c>
    </row>
    <row r="11908" spans="1:2" x14ac:dyDescent="0.25">
      <c r="A11908">
        <f ca="1">38798.7929053822*((RANDBETWEEN(1620,2416)))</f>
        <v>80507495.278667971</v>
      </c>
      <c r="B11908">
        <v>147927349.9576925</v>
      </c>
    </row>
    <row r="11909" spans="1:2" x14ac:dyDescent="0.25">
      <c r="A11909">
        <f ca="1">31419.7574939639*((RANDBETWEEN(1620,2416)))</f>
        <v>56115686.884219564</v>
      </c>
      <c r="B11909">
        <v>183152707.14726764</v>
      </c>
    </row>
    <row r="11910" spans="1:2" x14ac:dyDescent="0.25">
      <c r="A11910">
        <f ca="1">33112.9743055866*((RANDBETWEEN(1620,2416)))</f>
        <v>69537246.041731894</v>
      </c>
      <c r="B11910">
        <v>143553794.87421086</v>
      </c>
    </row>
    <row r="11911" spans="1:2" x14ac:dyDescent="0.25">
      <c r="A11911">
        <f ca="1">32694.1280595026*((RANDBETWEEN(1620,2416)))</f>
        <v>65747891.527659744</v>
      </c>
      <c r="B11911">
        <v>167422734.8460632</v>
      </c>
    </row>
    <row r="11912" spans="1:2" x14ac:dyDescent="0.25">
      <c r="A11912">
        <f ca="1">40023.8664473244*((RANDBETWEEN(1620,2416)))</f>
        <v>88973055.112402156</v>
      </c>
      <c r="B11912">
        <v>148509628.24390706</v>
      </c>
    </row>
    <row r="11913" spans="1:2" x14ac:dyDescent="0.25">
      <c r="A11913">
        <f ca="1">30574.3879689899*((RANDBETWEEN(1620,2416)))</f>
        <v>50111421.881174497</v>
      </c>
      <c r="B11913">
        <v>151767470.15970668</v>
      </c>
    </row>
    <row r="11914" spans="1:2" x14ac:dyDescent="0.25">
      <c r="A11914">
        <f ca="1">31613.8647751363*((RANDBETWEEN(1620,2416)))</f>
        <v>70404076.854228437</v>
      </c>
      <c r="B11914">
        <v>180532541.1293695</v>
      </c>
    </row>
    <row r="11915" spans="1:2" x14ac:dyDescent="0.25">
      <c r="A11915">
        <f ca="1">27411.7585737067*((RANDBETWEEN(1620,2416)))</f>
        <v>45284225.163763486</v>
      </c>
      <c r="B11915">
        <v>188723794.67705137</v>
      </c>
    </row>
    <row r="11916" spans="1:2" x14ac:dyDescent="0.25">
      <c r="A11916">
        <f ca="1">32916.3826093616*((RANDBETWEEN(1620,2416)))</f>
        <v>69453567.305753022</v>
      </c>
      <c r="B11916">
        <v>153649676.30123693</v>
      </c>
    </row>
    <row r="11917" spans="1:2" x14ac:dyDescent="0.25">
      <c r="A11917">
        <f ca="1">31367.6340095015*((RANDBETWEEN(1620,2416)))</f>
        <v>73525734.11827141</v>
      </c>
      <c r="B11917">
        <v>165995230.64548019</v>
      </c>
    </row>
    <row r="11918" spans="1:2" x14ac:dyDescent="0.25">
      <c r="A11918">
        <f ca="1">32267.2356841749*((RANDBETWEEN(1620,2416)))</f>
        <v>73020754.353287846</v>
      </c>
      <c r="B11918">
        <v>192387975.5702942</v>
      </c>
    </row>
    <row r="11919" spans="1:2" x14ac:dyDescent="0.25">
      <c r="A11919">
        <f ca="1">30530.9816193139*((RANDBETWEEN(1620,2416)))</f>
        <v>55352669.675816163</v>
      </c>
      <c r="B11919">
        <v>198646674.49553794</v>
      </c>
    </row>
    <row r="11920" spans="1:2" x14ac:dyDescent="0.25">
      <c r="A11920">
        <f ca="1">32992.6231245508*((RANDBETWEEN(1620,2416)))</f>
        <v>66975024.942838147</v>
      </c>
      <c r="B11920">
        <v>148907523.56072453</v>
      </c>
    </row>
    <row r="11921" spans="1:2" x14ac:dyDescent="0.25">
      <c r="A11921">
        <f ca="1">29888.0590659897*((RANDBETWEEN(1620,2416)))</f>
        <v>51796006.36136023</v>
      </c>
      <c r="B11921">
        <v>199863925.14837107</v>
      </c>
    </row>
    <row r="11922" spans="1:2" x14ac:dyDescent="0.25">
      <c r="A11922">
        <f ca="1">32440.1018170174*((RANDBETWEEN(1620,2416)))</f>
        <v>52747605.554470308</v>
      </c>
      <c r="B11922">
        <v>154104582.97962219</v>
      </c>
    </row>
    <row r="11923" spans="1:2" x14ac:dyDescent="0.25">
      <c r="A11923">
        <f ca="1">37727.0264466578*((RANDBETWEEN(1620,2416)))</f>
        <v>68059555.709770605</v>
      </c>
      <c r="B11923">
        <v>167073588.12206745</v>
      </c>
    </row>
    <row r="11924" spans="1:2" x14ac:dyDescent="0.25">
      <c r="A11924">
        <f ca="1">32586.2343033821*((RANDBETWEEN(1620,2416)))</f>
        <v>70353679.861001953</v>
      </c>
      <c r="B11924">
        <v>186563514.13103226</v>
      </c>
    </row>
    <row r="11925" spans="1:2" x14ac:dyDescent="0.25">
      <c r="A11925">
        <f ca="1">28090.5494026934*((RANDBETWEEN(1620,2416)))</f>
        <v>50534898.375445448</v>
      </c>
      <c r="B11925">
        <v>148668821.34034887</v>
      </c>
    </row>
    <row r="11926" spans="1:2" x14ac:dyDescent="0.25">
      <c r="A11926">
        <f ca="1">34843.281652953*((RANDBETWEEN(1620,2416)))</f>
        <v>62683063.693662412</v>
      </c>
      <c r="B11926">
        <v>160986813.38528585</v>
      </c>
    </row>
    <row r="11927" spans="1:2" x14ac:dyDescent="0.25">
      <c r="A11927">
        <f ca="1">29954.8259037651*((RANDBETWEEN(1620,2416)))</f>
        <v>70513660.177463025</v>
      </c>
      <c r="B11927">
        <v>147806555.81299579</v>
      </c>
    </row>
    <row r="11928" spans="1:2" x14ac:dyDescent="0.25">
      <c r="A11928">
        <f ca="1">30718.1644191658*((RANDBETWEEN(1620,2416)))</f>
        <v>62112128.455553159</v>
      </c>
      <c r="B11928">
        <v>168917316.75323558</v>
      </c>
    </row>
    <row r="11929" spans="1:2" x14ac:dyDescent="0.25">
      <c r="A11929">
        <f ca="1">42290.4405020344*((RANDBETWEEN(1620,2416)))</f>
        <v>75150112.772115216</v>
      </c>
      <c r="B11929">
        <v>156474256.99022454</v>
      </c>
    </row>
    <row r="11930" spans="1:2" x14ac:dyDescent="0.25">
      <c r="A11930">
        <f ca="1">38640.0212145798*((RANDBETWEEN(1620,2416)))</f>
        <v>71329479.162114367</v>
      </c>
      <c r="B11930">
        <v>161059176.26192766</v>
      </c>
    </row>
    <row r="11931" spans="1:2" x14ac:dyDescent="0.25">
      <c r="A11931">
        <f ca="1">31528.6298966422*((RANDBETWEEN(1620,2416)))</f>
        <v>67219038.939641252</v>
      </c>
      <c r="B11931">
        <v>191269956.70669687</v>
      </c>
    </row>
    <row r="11932" spans="1:2" x14ac:dyDescent="0.25">
      <c r="A11932">
        <f ca="1">31619.9192518702*((RANDBETWEEN(1620,2416)))</f>
        <v>74085470.807131827</v>
      </c>
      <c r="B11932">
        <v>145090636.09818232</v>
      </c>
    </row>
    <row r="11933" spans="1:2" x14ac:dyDescent="0.25">
      <c r="A11933">
        <f ca="1">38720.3270355237*((RANDBETWEEN(1620,2416)))</f>
        <v>64895268.11153774</v>
      </c>
      <c r="B11933">
        <v>203303979.20655027</v>
      </c>
    </row>
    <row r="11934" spans="1:2" x14ac:dyDescent="0.25">
      <c r="A11934">
        <f ca="1">38118.2045507324*((RANDBETWEEN(1620,2416)))</f>
        <v>74101789.646623701</v>
      </c>
      <c r="B11934">
        <v>149232559.31562787</v>
      </c>
    </row>
    <row r="11935" spans="1:2" x14ac:dyDescent="0.25">
      <c r="A11935">
        <f ca="1">29208.0015379855*((RANDBETWEEN(1620,2416)))</f>
        <v>59204619.11749658</v>
      </c>
      <c r="B11935">
        <v>147546718.63830227</v>
      </c>
    </row>
    <row r="11936" spans="1:2" x14ac:dyDescent="0.25">
      <c r="A11936">
        <f ca="1">32231.1294249125*((RANDBETWEEN(1620,2416)))</f>
        <v>73067970.406276539</v>
      </c>
      <c r="B11936">
        <v>169105628.46298501</v>
      </c>
    </row>
    <row r="11937" spans="1:2" x14ac:dyDescent="0.25">
      <c r="A11937">
        <f ca="1">31066.3188422011*((RANDBETWEEN(1620,2416)))</f>
        <v>52564211.481004275</v>
      </c>
      <c r="B11937">
        <v>159287330.78116688</v>
      </c>
    </row>
    <row r="11938" spans="1:2" x14ac:dyDescent="0.25">
      <c r="A11938">
        <f ca="1">29787.5847104413*((RANDBETWEEN(1620,2416)))</f>
        <v>57579401.245282955</v>
      </c>
      <c r="B11938">
        <v>176992408.17705598</v>
      </c>
    </row>
    <row r="11939" spans="1:2" x14ac:dyDescent="0.25">
      <c r="A11939">
        <f ca="1">34125.5252203613*((RANDBETWEEN(1620,2416)))</f>
        <v>78420456.956390172</v>
      </c>
      <c r="B11939">
        <v>189303312.0933699</v>
      </c>
    </row>
    <row r="11940" spans="1:2" x14ac:dyDescent="0.25">
      <c r="A11940">
        <f ca="1">32451.2214106411*((RANDBETWEEN(1620,2416)))</f>
        <v>76876943.521808669</v>
      </c>
      <c r="B11940">
        <v>144196499.05945998</v>
      </c>
    </row>
    <row r="11941" spans="1:2" x14ac:dyDescent="0.25">
      <c r="A11941">
        <f ca="1">27874.3459691321*((RANDBETWEEN(1620,2416)))</f>
        <v>54522220.715622462</v>
      </c>
      <c r="B11941">
        <v>145425311.76300329</v>
      </c>
    </row>
    <row r="11942" spans="1:2" x14ac:dyDescent="0.25">
      <c r="A11942">
        <f ca="1">31209.8565253525*((RANDBETWEEN(1620,2416)))</f>
        <v>56583469.88046404</v>
      </c>
      <c r="B11942">
        <v>151912052.17925566</v>
      </c>
    </row>
    <row r="11943" spans="1:2" x14ac:dyDescent="0.25">
      <c r="A11943">
        <f ca="1">28362.3900402862*((RANDBETWEEN(1620,2416)))</f>
        <v>57859275.682183892</v>
      </c>
      <c r="B11943">
        <v>163096702.56351021</v>
      </c>
    </row>
    <row r="11944" spans="1:2" x14ac:dyDescent="0.25">
      <c r="A11944">
        <f ca="1">39378.0148815905*((RANDBETWEEN(1620,2416)))</f>
        <v>83205745.444800809</v>
      </c>
      <c r="B11944">
        <v>186607979.70048076</v>
      </c>
    </row>
    <row r="11945" spans="1:2" x14ac:dyDescent="0.25">
      <c r="A11945">
        <f ca="1">33686.4714655366*((RANDBETWEEN(1620,2416)))</f>
        <v>68012985.888918415</v>
      </c>
      <c r="B11945">
        <v>156467045.08651191</v>
      </c>
    </row>
    <row r="11946" spans="1:2" x14ac:dyDescent="0.25">
      <c r="A11946">
        <f ca="1">29332.8708271548*((RANDBETWEEN(1620,2416)))</f>
        <v>65353636.202900857</v>
      </c>
      <c r="B11946">
        <v>190384548.42853409</v>
      </c>
    </row>
    <row r="11947" spans="1:2" x14ac:dyDescent="0.25">
      <c r="A11947">
        <f ca="1">29023.6305192691*((RANDBETWEEN(1620,2416)))</f>
        <v>55319039.769726813</v>
      </c>
      <c r="B11947">
        <v>167417318.33798593</v>
      </c>
    </row>
    <row r="11948" spans="1:2" x14ac:dyDescent="0.25">
      <c r="A11948">
        <f ca="1">34173.3333885037*((RANDBETWEEN(1620,2416)))</f>
        <v>64075000.103444517</v>
      </c>
      <c r="B11948">
        <v>156479707.42570233</v>
      </c>
    </row>
    <row r="11949" spans="1:2" x14ac:dyDescent="0.25">
      <c r="A11949">
        <f ca="1">38116.3959224206*((RANDBETWEEN(1620,2416)))</f>
        <v>82445764.380195752</v>
      </c>
      <c r="B11949">
        <v>144265475.23761809</v>
      </c>
    </row>
    <row r="11950" spans="1:2" x14ac:dyDescent="0.25">
      <c r="A11950">
        <f ca="1">30381.4374393881*((RANDBETWEEN(1620,2416)))</f>
        <v>63770637.185275599</v>
      </c>
      <c r="B11950">
        <v>151187629.73639566</v>
      </c>
    </row>
    <row r="11951" spans="1:2" x14ac:dyDescent="0.25">
      <c r="A11951">
        <f ca="1">32407.2617502152*((RANDBETWEEN(1620,2416)))</f>
        <v>70226536.212716386</v>
      </c>
      <c r="B11951">
        <v>160588404.67640415</v>
      </c>
    </row>
    <row r="11952" spans="1:2" x14ac:dyDescent="0.25">
      <c r="A11952">
        <f ca="1">34358.7248763188*((RANDBETWEEN(1620,2416)))</f>
        <v>79162502.115038455</v>
      </c>
      <c r="B11952">
        <v>172921943.0053561</v>
      </c>
    </row>
    <row r="11953" spans="1:2" x14ac:dyDescent="0.25">
      <c r="A11953">
        <f ca="1">36671.8312416538*((RANDBETWEEN(1620,2416)))</f>
        <v>72243507.54605791</v>
      </c>
      <c r="B11953">
        <v>191905065.5436849</v>
      </c>
    </row>
    <row r="11954" spans="1:2" x14ac:dyDescent="0.25">
      <c r="A11954">
        <f ca="1">32177.9061901036*((RANDBETWEEN(1620,2416)))</f>
        <v>58949924.140269779</v>
      </c>
      <c r="B11954">
        <v>182360428.45389792</v>
      </c>
    </row>
    <row r="11955" spans="1:2" x14ac:dyDescent="0.25">
      <c r="A11955">
        <f ca="1">41596.0369395532*((RANDBETWEEN(1620,2416)))</f>
        <v>68092712.470048636</v>
      </c>
      <c r="B11955">
        <v>158728279.96359953</v>
      </c>
    </row>
    <row r="11956" spans="1:2" x14ac:dyDescent="0.25">
      <c r="A11956">
        <f ca="1">31545.0967016976*((RANDBETWEEN(1620,2416)))</f>
        <v>71512734.222748563</v>
      </c>
      <c r="B11956">
        <v>191613059.77390409</v>
      </c>
    </row>
    <row r="11957" spans="1:2" x14ac:dyDescent="0.25">
      <c r="A11957">
        <f ca="1">38471.2225430912*((RANDBETWEEN(1620,2416)))</f>
        <v>66939927.224978827</v>
      </c>
      <c r="B11957">
        <v>145689335.52461851</v>
      </c>
    </row>
    <row r="11958" spans="1:2" x14ac:dyDescent="0.25">
      <c r="A11958">
        <f ca="1">31391.4329433698*((RANDBETWEEN(1620,2416)))</f>
        <v>59047285.366478533</v>
      </c>
      <c r="B11958">
        <v>173375239.55516607</v>
      </c>
    </row>
    <row r="11959" spans="1:2" x14ac:dyDescent="0.25">
      <c r="A11959">
        <f ca="1">30521.9266908372*((RANDBETWEEN(1620,2416)))</f>
        <v>72459053.964047506</v>
      </c>
      <c r="B11959">
        <v>193940923.68258482</v>
      </c>
    </row>
    <row r="11960" spans="1:2" x14ac:dyDescent="0.25">
      <c r="A11960">
        <f ca="1">37310.0100543249*((RANDBETWEEN(1620,2416)))</f>
        <v>69583168.751315936</v>
      </c>
      <c r="B11960">
        <v>190316069.86781791</v>
      </c>
    </row>
    <row r="11961" spans="1:2" x14ac:dyDescent="0.25">
      <c r="A11961">
        <f ca="1">28932.8117683608*((RANDBETWEEN(1620,2416)))</f>
        <v>50053764.359264158</v>
      </c>
      <c r="B11961">
        <v>144742874.00676152</v>
      </c>
    </row>
    <row r="11962" spans="1:2" x14ac:dyDescent="0.25">
      <c r="A11962">
        <f ca="1">30034.3347677366*((RANDBETWEEN(1620,2416)))</f>
        <v>69139038.635329694</v>
      </c>
      <c r="B11962">
        <v>161546803.43605217</v>
      </c>
    </row>
    <row r="11963" spans="1:2" x14ac:dyDescent="0.25">
      <c r="A11963">
        <f ca="1">38377.9289014865*((RANDBETWEEN(1620,2416)))</f>
        <v>77561794.309904188</v>
      </c>
      <c r="B11963">
        <v>147840615.57264367</v>
      </c>
    </row>
    <row r="11964" spans="1:2" x14ac:dyDescent="0.25">
      <c r="A11964">
        <f ca="1">37367.4543110267*((RANDBETWEEN(1620,2416)))</f>
        <v>83329423.113589644</v>
      </c>
      <c r="B11964">
        <v>157212011.56722301</v>
      </c>
    </row>
    <row r="11965" spans="1:2" x14ac:dyDescent="0.25">
      <c r="A11965">
        <f ca="1">37052.7138628159*((RANDBETWEEN(1620,2416)))</f>
        <v>82442288.344765455</v>
      </c>
      <c r="B11965">
        <v>142914973.16308242</v>
      </c>
    </row>
    <row r="11966" spans="1:2" x14ac:dyDescent="0.25">
      <c r="A11966">
        <f ca="1">30485.4418654531*((RANDBETWEEN(1620,2416)))</f>
        <v>70238458.058003977</v>
      </c>
      <c r="B11966">
        <v>170096108.11728406</v>
      </c>
    </row>
    <row r="11967" spans="1:2" x14ac:dyDescent="0.25">
      <c r="A11967">
        <f ca="1">34398.6156748509*((RANDBETWEEN(1620,2416)))</f>
        <v>71377127.525315568</v>
      </c>
      <c r="B11967">
        <v>162429301.45715511</v>
      </c>
    </row>
    <row r="11968" spans="1:2" x14ac:dyDescent="0.25">
      <c r="A11968">
        <f ca="1">30511.7268104461*((RANDBETWEEN(1620,2416)))</f>
        <v>71641534.550927356</v>
      </c>
      <c r="B11968">
        <v>168540278.51705953</v>
      </c>
    </row>
    <row r="11969" spans="1:2" x14ac:dyDescent="0.25">
      <c r="A11969">
        <f ca="1">31036.537166232*((RANDBETWEEN(1620,2416)))</f>
        <v>67132029.890559793</v>
      </c>
      <c r="B11969">
        <v>148703849.54150158</v>
      </c>
    </row>
    <row r="11970" spans="1:2" x14ac:dyDescent="0.25">
      <c r="A11970">
        <f ca="1">32905.7115628789*((RANDBETWEEN(1620,2416)))</f>
        <v>78611744.923717737</v>
      </c>
      <c r="B11970">
        <v>175829542.1702362</v>
      </c>
    </row>
    <row r="11971" spans="1:2" x14ac:dyDescent="0.25">
      <c r="A11971">
        <f ca="1">31589.5746448802*((RANDBETWEEN(1620,2416)))</f>
        <v>69528653.793381259</v>
      </c>
      <c r="B11971">
        <v>162582494.3702465</v>
      </c>
    </row>
    <row r="11972" spans="1:2" x14ac:dyDescent="0.25">
      <c r="A11972">
        <f ca="1">31467.0774288644*((RANDBETWEEN(1620,2416)))</f>
        <v>59881848.347128898</v>
      </c>
      <c r="B11972">
        <v>180561568.48045611</v>
      </c>
    </row>
    <row r="11973" spans="1:2" x14ac:dyDescent="0.25">
      <c r="A11973">
        <f ca="1">32441.663503141*((RANDBETWEEN(1620,2416)))</f>
        <v>53885603.078717247</v>
      </c>
      <c r="B11973">
        <v>203303250.25460359</v>
      </c>
    </row>
    <row r="11974" spans="1:2" x14ac:dyDescent="0.25">
      <c r="A11974">
        <f ca="1">27661.9171217106*((RANDBETWEEN(1620,2416)))</f>
        <v>63345790.208717175</v>
      </c>
      <c r="B11974">
        <v>182474316.37565714</v>
      </c>
    </row>
    <row r="11975" spans="1:2" x14ac:dyDescent="0.25">
      <c r="A11975">
        <f ca="1">32227.0598973245*((RANDBETWEEN(1620,2416)))</f>
        <v>74734551.901895568</v>
      </c>
      <c r="B11975">
        <v>193435136.68364713</v>
      </c>
    </row>
    <row r="11976" spans="1:2" x14ac:dyDescent="0.25">
      <c r="A11976">
        <f ca="1">32145.3382985454*((RANDBETWEEN(1620,2416)))</f>
        <v>58729533.071442477</v>
      </c>
      <c r="B11976">
        <v>151879272.93971923</v>
      </c>
    </row>
    <row r="11977" spans="1:2" x14ac:dyDescent="0.25">
      <c r="A11977">
        <f ca="1">30697.3249139059*((RANDBETWEEN(1620,2416)))</f>
        <v>59644902.307719126</v>
      </c>
      <c r="B11977">
        <v>180499716.05647871</v>
      </c>
    </row>
    <row r="11978" spans="1:2" x14ac:dyDescent="0.25">
      <c r="A11978">
        <f ca="1">31516.3103608944*((RANDBETWEEN(1620,2416)))</f>
        <v>56949972.822136223</v>
      </c>
      <c r="B11978">
        <v>145586598.01418543</v>
      </c>
    </row>
    <row r="11979" spans="1:2" x14ac:dyDescent="0.25">
      <c r="A11979">
        <f ca="1">32060.5296382401*((RANDBETWEEN(1620,2416)))</f>
        <v>55560897.863070019</v>
      </c>
      <c r="B11979">
        <v>178746890.22573596</v>
      </c>
    </row>
    <row r="11980" spans="1:2" x14ac:dyDescent="0.25">
      <c r="A11980">
        <f ca="1">32625.0356184089*((RANDBETWEEN(1620,2416)))</f>
        <v>71187827.719368264</v>
      </c>
      <c r="B11980">
        <v>178260893.50616148</v>
      </c>
    </row>
    <row r="11981" spans="1:2" x14ac:dyDescent="0.25">
      <c r="A11981">
        <f ca="1">37302.5105109738*((RANDBETWEEN(1620,2416)))</f>
        <v>60989604.685442112</v>
      </c>
      <c r="B11981">
        <v>174430876.19864318</v>
      </c>
    </row>
    <row r="11982" spans="1:2" x14ac:dyDescent="0.25">
      <c r="A11982">
        <f ca="1">30356.0948788277*((RANDBETWEEN(1620,2416)))</f>
        <v>55065956.110193454</v>
      </c>
      <c r="B11982">
        <v>193978887.15079054</v>
      </c>
    </row>
    <row r="11983" spans="1:2" x14ac:dyDescent="0.25">
      <c r="A11983">
        <f ca="1">30806.1107000086*((RANDBETWEEN(1620,2416)))</f>
        <v>69282942.964319274</v>
      </c>
      <c r="B11983">
        <v>169950044.365475</v>
      </c>
    </row>
    <row r="11984" spans="1:2" x14ac:dyDescent="0.25">
      <c r="A11984">
        <f ca="1">33515.5253235562*((RANDBETWEEN(1620,2416)))</f>
        <v>77085708.244179368</v>
      </c>
      <c r="B11984">
        <v>196334658.17162728</v>
      </c>
    </row>
    <row r="11985" spans="1:2" x14ac:dyDescent="0.25">
      <c r="A11985">
        <f ca="1">36759.3983475871*((RANDBETWEEN(1620,2416)))</f>
        <v>72563052.338136911</v>
      </c>
      <c r="B11985">
        <v>201627689.11998713</v>
      </c>
    </row>
    <row r="11986" spans="1:2" x14ac:dyDescent="0.25">
      <c r="A11986">
        <f ca="1">32474.9925928845*((RANDBETWEEN(1620,2416)))</f>
        <v>55499762.341239646</v>
      </c>
      <c r="B11986">
        <v>200121059.9032926</v>
      </c>
    </row>
    <row r="11987" spans="1:2" x14ac:dyDescent="0.25">
      <c r="A11987">
        <f ca="1">32752.2894708084*((RANDBETWEEN(1620,2416)))</f>
        <v>68485037.283460453</v>
      </c>
      <c r="B11987">
        <v>149264857.77002233</v>
      </c>
    </row>
    <row r="11988" spans="1:2" x14ac:dyDescent="0.25">
      <c r="A11988">
        <f ca="1">30841.792391546*((RANDBETWEEN(1620,2416)))</f>
        <v>59401292.146117598</v>
      </c>
      <c r="B11988">
        <v>171716108.12398964</v>
      </c>
    </row>
    <row r="11989" spans="1:2" x14ac:dyDescent="0.25">
      <c r="A11989">
        <f ca="1">41931.5202423154*((RANDBETWEEN(1620,2416)))</f>
        <v>70570748.567816764</v>
      </c>
      <c r="B11989">
        <v>179070499.02146214</v>
      </c>
    </row>
    <row r="11990" spans="1:2" x14ac:dyDescent="0.25">
      <c r="A11990">
        <f ca="1">32310.6956147402*((RANDBETWEEN(1620,2416)))</f>
        <v>58611601.845138721</v>
      </c>
      <c r="B11990">
        <v>188019604.58912739</v>
      </c>
    </row>
    <row r="11991" spans="1:2" x14ac:dyDescent="0.25">
      <c r="A11991">
        <f ca="1">31639.8702975445*((RANDBETWEEN(1620,2416)))</f>
        <v>76220447.54678458</v>
      </c>
      <c r="B11991">
        <v>147918005.66026723</v>
      </c>
    </row>
    <row r="11992" spans="1:2" x14ac:dyDescent="0.25">
      <c r="A11992">
        <f ca="1">28489.8295507524*((RANDBETWEEN(1620,2416)))</f>
        <v>53845777.850922056</v>
      </c>
      <c r="B11992">
        <v>143265328.96207649</v>
      </c>
    </row>
    <row r="11993" spans="1:2" x14ac:dyDescent="0.25">
      <c r="A11993">
        <f ca="1">30551.9229835844*((RANDBETWEEN(1620,2416)))</f>
        <v>69750040.171523154</v>
      </c>
      <c r="B11993">
        <v>177791275.57012519</v>
      </c>
    </row>
    <row r="11994" spans="1:2" x14ac:dyDescent="0.25">
      <c r="A11994">
        <f ca="1">29430.2126170148*((RANDBETWEEN(1620,2416)))</f>
        <v>70220487.304197371</v>
      </c>
      <c r="B11994">
        <v>149760452.05368182</v>
      </c>
    </row>
    <row r="11995" spans="1:2" x14ac:dyDescent="0.25">
      <c r="A11995">
        <f ca="1">31649.7680977985*((RANDBETWEEN(1620,2416)))</f>
        <v>72984365.233523443</v>
      </c>
      <c r="B11995">
        <v>165999108.54472139</v>
      </c>
    </row>
    <row r="11996" spans="1:2" x14ac:dyDescent="0.25">
      <c r="A11996">
        <f ca="1">31576.4984170578*((RANDBETWEEN(1620,2416)))</f>
        <v>66121187.685319059</v>
      </c>
      <c r="B11996">
        <v>169968457.91430882</v>
      </c>
    </row>
    <row r="11997" spans="1:2" x14ac:dyDescent="0.25">
      <c r="A11997">
        <f ca="1">32142.5750347287*((RANDBETWEEN(1620,2416)))</f>
        <v>63674441.143797569</v>
      </c>
      <c r="B11997">
        <v>145305920.0206174</v>
      </c>
    </row>
    <row r="11998" spans="1:2" x14ac:dyDescent="0.25">
      <c r="A11998">
        <f ca="1">31804.8418676007*((RANDBETWEEN(1620,2416)))</f>
        <v>65199925.828581519</v>
      </c>
      <c r="B11998">
        <v>148224868.62425694</v>
      </c>
    </row>
    <row r="11999" spans="1:2" x14ac:dyDescent="0.25">
      <c r="A11999">
        <f ca="1">30789.1487743347*((RANDBETWEEN(1620,2416)))</f>
        <v>51787348.238430887</v>
      </c>
      <c r="B11999">
        <v>174873709.27688175</v>
      </c>
    </row>
    <row r="12000" spans="1:2" x14ac:dyDescent="0.25">
      <c r="A12000">
        <f ca="1">32538.5221331345*((RANDBETWEEN(1620,2416)))</f>
        <v>60293881.512698233</v>
      </c>
      <c r="B12000">
        <v>143796511.39575142</v>
      </c>
    </row>
    <row r="12001" spans="1:2" x14ac:dyDescent="0.25">
      <c r="A12001">
        <f ca="1">30856.3410953506*((RANDBETWEEN(1620,2416)))</f>
        <v>59059036.856501028</v>
      </c>
      <c r="B12001">
        <v>154910805.69294709</v>
      </c>
    </row>
    <row r="12002" spans="1:2" x14ac:dyDescent="0.25">
      <c r="A12002">
        <f ca="1">39638.0691842462*((RANDBETWEEN(1620,2416)))</f>
        <v>68336031.273640513</v>
      </c>
      <c r="B12002">
        <v>150560774.0279364</v>
      </c>
    </row>
    <row r="12003" spans="1:2" x14ac:dyDescent="0.25">
      <c r="A12003">
        <f ca="1">33269.4707636628*((RANDBETWEEN(1620,2416)))</f>
        <v>59851777.903829381</v>
      </c>
      <c r="B12003">
        <v>189539170.80993816</v>
      </c>
    </row>
    <row r="12004" spans="1:2" x14ac:dyDescent="0.25">
      <c r="A12004">
        <f ca="1">31810.3976370462*((RANDBETWEEN(1620,2416)))</f>
        <v>70014685.199138597</v>
      </c>
      <c r="B12004">
        <v>158142788.8709166</v>
      </c>
    </row>
    <row r="12005" spans="1:2" x14ac:dyDescent="0.25">
      <c r="A12005">
        <f ca="1">35950.6217860395*((RANDBETWEEN(1620,2416)))</f>
        <v>85202973.632913515</v>
      </c>
      <c r="B12005">
        <v>143074989.99635908</v>
      </c>
    </row>
    <row r="12006" spans="1:2" x14ac:dyDescent="0.25">
      <c r="A12006">
        <f ca="1">30188.1785563934*((RANDBETWEEN(1620,2416)))</f>
        <v>50595387.26051531</v>
      </c>
      <c r="B12006">
        <v>160749101.34715986</v>
      </c>
    </row>
    <row r="12007" spans="1:2" x14ac:dyDescent="0.25">
      <c r="A12007">
        <f ca="1">29510.2257056207*((RANDBETWEEN(1620,2416)))</f>
        <v>66663599.868997052</v>
      </c>
      <c r="B12007">
        <v>149881955.54197645</v>
      </c>
    </row>
    <row r="12008" spans="1:2" x14ac:dyDescent="0.25">
      <c r="A12008">
        <f ca="1">39625.3167221442*((RANDBETWEEN(1620,2416)))</f>
        <v>93238370.247205257</v>
      </c>
      <c r="B12008">
        <v>174465005.39550662</v>
      </c>
    </row>
    <row r="12009" spans="1:2" x14ac:dyDescent="0.25">
      <c r="A12009">
        <f ca="1">35912.1693134075*((RANDBETWEEN(1620,2416)))</f>
        <v>76277447.621677563</v>
      </c>
      <c r="B12009">
        <v>145227761.97655341</v>
      </c>
    </row>
    <row r="12010" spans="1:2" x14ac:dyDescent="0.25">
      <c r="A12010">
        <f ca="1">28827.45630508*((RANDBETWEEN(1620,2416)))</f>
        <v>67139145.734531417</v>
      </c>
      <c r="B12010">
        <v>154791942.8442651</v>
      </c>
    </row>
    <row r="12011" spans="1:2" x14ac:dyDescent="0.25">
      <c r="A12011">
        <f ca="1">31324.4159846787*((RANDBETWEEN(1620,2416)))</f>
        <v>60550096.098383851</v>
      </c>
      <c r="B12011">
        <v>150738872.81045035</v>
      </c>
    </row>
    <row r="12012" spans="1:2" x14ac:dyDescent="0.25">
      <c r="A12012">
        <f ca="1">34683.2393244676*((RANDBETWEEN(1620,2416)))</f>
        <v>63400961.485126853</v>
      </c>
      <c r="B12012">
        <v>153180858.28144836</v>
      </c>
    </row>
    <row r="12013" spans="1:2" x14ac:dyDescent="0.25">
      <c r="A12013">
        <f ca="1">30054.8532832198*((RANDBETWEEN(1620,2416)))</f>
        <v>62994972.48162879</v>
      </c>
      <c r="B12013">
        <v>180744180.93475837</v>
      </c>
    </row>
    <row r="12014" spans="1:2" x14ac:dyDescent="0.25">
      <c r="A12014">
        <f ca="1">35354.3365962115*((RANDBETWEEN(1620,2416)))</f>
        <v>61799380.370177776</v>
      </c>
      <c r="B12014">
        <v>147550744.74890703</v>
      </c>
    </row>
    <row r="12015" spans="1:2" x14ac:dyDescent="0.25">
      <c r="A12015">
        <f ca="1">30054.7372657784*((RANDBETWEEN(1620,2416)))</f>
        <v>70177811.515592515</v>
      </c>
      <c r="B12015">
        <v>189687061.67871282</v>
      </c>
    </row>
    <row r="12016" spans="1:2" x14ac:dyDescent="0.25">
      <c r="A12016">
        <f ca="1">30403.4622085115*((RANDBETWEEN(1620,2416)))</f>
        <v>68194965.733691365</v>
      </c>
      <c r="B12016">
        <v>190901346.26289946</v>
      </c>
    </row>
    <row r="12017" spans="1:2" x14ac:dyDescent="0.25">
      <c r="A12017">
        <f ca="1">35406.4294412254*((RANDBETWEEN(1620,2416)))</f>
        <v>74990817.556515321</v>
      </c>
      <c r="B12017">
        <v>203522170.42299283</v>
      </c>
    </row>
    <row r="12018" spans="1:2" x14ac:dyDescent="0.25">
      <c r="A12018">
        <f ca="1">30628.8082598855*((RANDBETWEEN(1620,2416)))</f>
        <v>53539156.838279851</v>
      </c>
      <c r="B12018">
        <v>149390090.96331769</v>
      </c>
    </row>
    <row r="12019" spans="1:2" x14ac:dyDescent="0.25">
      <c r="A12019">
        <f ca="1">34870.3076453836*((RANDBETWEEN(1620,2416)))</f>
        <v>57361656.076656066</v>
      </c>
      <c r="B12019">
        <v>157577104.21757889</v>
      </c>
    </row>
    <row r="12020" spans="1:2" x14ac:dyDescent="0.25">
      <c r="A12020">
        <f ca="1">38193.7199336621*((RANDBETWEEN(1620,2416)))</f>
        <v>64776549.00749094</v>
      </c>
      <c r="B12020">
        <v>163101980.45921749</v>
      </c>
    </row>
    <row r="12021" spans="1:2" x14ac:dyDescent="0.25">
      <c r="A12021">
        <f ca="1">38261.7421126893*((RANDBETWEEN(1620,2416)))</f>
        <v>90565543.58073546</v>
      </c>
      <c r="B12021">
        <v>176501770.70860526</v>
      </c>
    </row>
    <row r="12022" spans="1:2" x14ac:dyDescent="0.25">
      <c r="A12022">
        <f ca="1">31729.4586477358*((RANDBETWEEN(1620,2416)))</f>
        <v>51623829.219866216</v>
      </c>
      <c r="B12022">
        <v>145575178.06518245</v>
      </c>
    </row>
    <row r="12023" spans="1:2" x14ac:dyDescent="0.25">
      <c r="A12023">
        <f ca="1">38481.5793492901*((RANDBETWEEN(1620,2416)))</f>
        <v>66188316.480778895</v>
      </c>
      <c r="B12023">
        <v>169166536.81520954</v>
      </c>
    </row>
    <row r="12024" spans="1:2" x14ac:dyDescent="0.25">
      <c r="A12024">
        <f ca="1">32927.8935629998*((RANDBETWEEN(1620,2416)))</f>
        <v>55318861.18583969</v>
      </c>
      <c r="B12024">
        <v>143998286.52080381</v>
      </c>
    </row>
    <row r="12025" spans="1:2" x14ac:dyDescent="0.25">
      <c r="A12025">
        <f ca="1">30707.6521767925*((RANDBETWEEN(1620,2416)))</f>
        <v>54014760.178978048</v>
      </c>
      <c r="B12025">
        <v>149402803.73530811</v>
      </c>
    </row>
    <row r="12026" spans="1:2" x14ac:dyDescent="0.25">
      <c r="A12026">
        <f ca="1">29929.5707362178*((RANDBETWEEN(1620,2416)))</f>
        <v>51389072.954085998</v>
      </c>
      <c r="B12026">
        <v>167256658.88371933</v>
      </c>
    </row>
    <row r="12027" spans="1:2" x14ac:dyDescent="0.25">
      <c r="A12027">
        <f ca="1">29778.6803643479*((RANDBETWEEN(1620,2416)))</f>
        <v>60331606.418168873</v>
      </c>
      <c r="B12027">
        <v>163509120.41502184</v>
      </c>
    </row>
    <row r="12028" spans="1:2" x14ac:dyDescent="0.25">
      <c r="A12028">
        <f ca="1">38917.757407868*((RANDBETWEEN(1620,2416)))</f>
        <v>87526036.410295039</v>
      </c>
      <c r="B12028">
        <v>143373236.40152958</v>
      </c>
    </row>
    <row r="12029" spans="1:2" x14ac:dyDescent="0.25">
      <c r="A12029">
        <f ca="1">31766.5166594014*((RANDBETWEEN(1620,2416)))</f>
        <v>53081849.337859794</v>
      </c>
      <c r="B12029">
        <v>192710336.78167629</v>
      </c>
    </row>
    <row r="12030" spans="1:2" x14ac:dyDescent="0.25">
      <c r="A12030">
        <f ca="1">31435.524440522*((RANDBETWEEN(1620,2416)))</f>
        <v>71515818.10218747</v>
      </c>
      <c r="B12030">
        <v>190485437.04058111</v>
      </c>
    </row>
    <row r="12031" spans="1:2" x14ac:dyDescent="0.25">
      <c r="A12031">
        <f ca="1">33596.7724046358*((RANDBETWEEN(1620,2416)))</f>
        <v>60944545.142009392</v>
      </c>
      <c r="B12031">
        <v>146421220.76588365</v>
      </c>
    </row>
    <row r="12032" spans="1:2" x14ac:dyDescent="0.25">
      <c r="A12032">
        <f ca="1">34058.690232974*((RANDBETWEEN(1620,2416)))</f>
        <v>58546888.510482252</v>
      </c>
      <c r="B12032">
        <v>162105868.3306064</v>
      </c>
    </row>
    <row r="12033" spans="1:2" x14ac:dyDescent="0.25">
      <c r="A12033">
        <f ca="1">33254.0262788725*((RANDBETWEEN(1620,2416)))</f>
        <v>71795442.736085668</v>
      </c>
      <c r="B12033">
        <v>194074830.95981941</v>
      </c>
    </row>
    <row r="12034" spans="1:2" x14ac:dyDescent="0.25">
      <c r="A12034">
        <f ca="1">33502.4888170379*((RANDBETWEEN(1620,2416)))</f>
        <v>80037445.78390345</v>
      </c>
      <c r="B12034">
        <v>203092989.60049921</v>
      </c>
    </row>
    <row r="12035" spans="1:2" x14ac:dyDescent="0.25">
      <c r="A12035">
        <f ca="1">33701.7354010565*((RANDBETWEEN(1620,2416)))</f>
        <v>54933828.703722127</v>
      </c>
      <c r="B12035">
        <v>184140821.41105077</v>
      </c>
    </row>
    <row r="12036" spans="1:2" x14ac:dyDescent="0.25">
      <c r="A12036">
        <f ca="1">31483.8954798154*((RANDBETWEEN(1620,2416)))</f>
        <v>63125210.43702995</v>
      </c>
      <c r="B12036">
        <v>172863957.61960244</v>
      </c>
    </row>
    <row r="12037" spans="1:2" x14ac:dyDescent="0.25">
      <c r="A12037">
        <f ca="1">31223.687791727*((RANDBETWEEN(1620,2416)))</f>
        <v>70409415.970344469</v>
      </c>
      <c r="B12037">
        <v>190161208.39948294</v>
      </c>
    </row>
    <row r="12038" spans="1:2" x14ac:dyDescent="0.25">
      <c r="A12038">
        <f ca="1">33603.2228598867*((RANDBETWEEN(1620,2416)))</f>
        <v>71440451.800119087</v>
      </c>
      <c r="B12038">
        <v>174453407.34643909</v>
      </c>
    </row>
    <row r="12039" spans="1:2" x14ac:dyDescent="0.25">
      <c r="A12039">
        <f ca="1">31429.5630907399*((RANDBETWEEN(1620,2416)))</f>
        <v>54656010.214796744</v>
      </c>
      <c r="B12039">
        <v>150498168.84294701</v>
      </c>
    </row>
    <row r="12040" spans="1:2" x14ac:dyDescent="0.25">
      <c r="A12040">
        <f ca="1">40427.2771545676*((RANDBETWEEN(1620,2416)))</f>
        <v>70949871.406266093</v>
      </c>
      <c r="B12040">
        <v>159579318.78022075</v>
      </c>
    </row>
    <row r="12041" spans="1:2" x14ac:dyDescent="0.25">
      <c r="A12041">
        <f ca="1">32639.3251030865*((RANDBETWEEN(1620,2416)))</f>
        <v>61329291.868699506</v>
      </c>
      <c r="B12041">
        <v>184350979.09245968</v>
      </c>
    </row>
    <row r="12042" spans="1:2" x14ac:dyDescent="0.25">
      <c r="A12042">
        <f ca="1">30991.5404772123*((RANDBETWEEN(1620,2416)))</f>
        <v>65949998.13550768</v>
      </c>
      <c r="B12042">
        <v>149192319.97729939</v>
      </c>
    </row>
    <row r="12043" spans="1:2" x14ac:dyDescent="0.25">
      <c r="A12043">
        <f ca="1">36298.2891597186*((RANDBETWEEN(1620,2416)))</f>
        <v>61344108.679924399</v>
      </c>
      <c r="B12043">
        <v>143906395.68929079</v>
      </c>
    </row>
    <row r="12044" spans="1:2" x14ac:dyDescent="0.25">
      <c r="A12044">
        <f ca="1">32227.0877505406*((RANDBETWEEN(1620,2416)))</f>
        <v>73671122.597735837</v>
      </c>
      <c r="B12044">
        <v>146281616.93243283</v>
      </c>
    </row>
    <row r="12045" spans="1:2" x14ac:dyDescent="0.25">
      <c r="A12045">
        <f ca="1">34637.702590847*((RANDBETWEEN(1620,2416)))</f>
        <v>71526855.850098968</v>
      </c>
      <c r="B12045">
        <v>173970657.37797248</v>
      </c>
    </row>
    <row r="12046" spans="1:2" x14ac:dyDescent="0.25">
      <c r="A12046">
        <f ca="1">35669.6154585765*((RANDBETWEEN(1620,2416)))</f>
        <v>68414322.449549735</v>
      </c>
      <c r="B12046">
        <v>187280119.97383374</v>
      </c>
    </row>
    <row r="12047" spans="1:2" x14ac:dyDescent="0.25">
      <c r="A12047">
        <f ca="1">32308.2031878699*((RANDBETWEEN(1620,2416)))</f>
        <v>68299541.539156869</v>
      </c>
      <c r="B12047">
        <v>196151861.65695634</v>
      </c>
    </row>
    <row r="12048" spans="1:2" x14ac:dyDescent="0.25">
      <c r="A12048">
        <f ca="1">32931.8561986178*((RANDBETWEEN(1620,2416)))</f>
        <v>63130368.332750283</v>
      </c>
      <c r="B12048">
        <v>180524123.03120399</v>
      </c>
    </row>
    <row r="12049" spans="1:2" x14ac:dyDescent="0.25">
      <c r="A12049">
        <f ca="1">38646.8854669819*((RANDBETWEEN(1620,2416)))</f>
        <v>76868655.193827033</v>
      </c>
      <c r="B12049">
        <v>174535959.14196655</v>
      </c>
    </row>
    <row r="12050" spans="1:2" x14ac:dyDescent="0.25">
      <c r="A12050">
        <f ca="1">29768.8620157745*((RANDBETWEEN(1620,2416)))</f>
        <v>54447248.626851559</v>
      </c>
      <c r="B12050">
        <v>177221295.66712585</v>
      </c>
    </row>
    <row r="12051" spans="1:2" x14ac:dyDescent="0.25">
      <c r="A12051">
        <f ca="1">31815.38130594*((RANDBETWEEN(1620,2416)))</f>
        <v>57426763.257221729</v>
      </c>
      <c r="B12051">
        <v>151856639.38526738</v>
      </c>
    </row>
    <row r="12052" spans="1:2" x14ac:dyDescent="0.25">
      <c r="A12052">
        <f ca="1">36908.7922304545*((RANDBETWEEN(1620,2416)))</f>
        <v>80571893.439082205</v>
      </c>
      <c r="B12052">
        <v>144550379.06437868</v>
      </c>
    </row>
    <row r="12053" spans="1:2" x14ac:dyDescent="0.25">
      <c r="A12053">
        <f ca="1">35148.2519452647*((RANDBETWEEN(1620,2416)))</f>
        <v>62915370.982023723</v>
      </c>
      <c r="B12053">
        <v>143195436.54438537</v>
      </c>
    </row>
    <row r="12054" spans="1:2" x14ac:dyDescent="0.25">
      <c r="A12054">
        <f ca="1">31442.7419345086*((RANDBETWEEN(1620,2416)))</f>
        <v>75336809.675082639</v>
      </c>
      <c r="B12054">
        <v>145616518.5322549</v>
      </c>
    </row>
    <row r="12055" spans="1:2" x14ac:dyDescent="0.25">
      <c r="A12055">
        <f ca="1">29071.5453143388*((RANDBETWEEN(1620,2416)))</f>
        <v>67445985.129266098</v>
      </c>
      <c r="B12055">
        <v>175759425.8586413</v>
      </c>
    </row>
    <row r="12056" spans="1:2" x14ac:dyDescent="0.25">
      <c r="A12056">
        <f ca="1">34602.2960616406*((RANDBETWEEN(1620,2416)))</f>
        <v>78581814.35598585</v>
      </c>
      <c r="B12056">
        <v>177700194.48908728</v>
      </c>
    </row>
    <row r="12057" spans="1:2" x14ac:dyDescent="0.25">
      <c r="A12057">
        <f ca="1">34567.8225800729*((RANDBETWEEN(1620,2416)))</f>
        <v>61461588.547369704</v>
      </c>
      <c r="B12057">
        <v>157624888.50782585</v>
      </c>
    </row>
    <row r="12058" spans="1:2" x14ac:dyDescent="0.25">
      <c r="A12058">
        <f ca="1">32878.2173579093*((RANDBETWEEN(1620,2416)))</f>
        <v>66611268.3671242</v>
      </c>
      <c r="B12058">
        <v>147796123.75059703</v>
      </c>
    </row>
    <row r="12059" spans="1:2" x14ac:dyDescent="0.25">
      <c r="A12059">
        <f ca="1">30918.6632948613*((RANDBETWEEN(1620,2416)))</f>
        <v>64496331.633080676</v>
      </c>
      <c r="B12059">
        <v>147561097.86641246</v>
      </c>
    </row>
    <row r="12060" spans="1:2" x14ac:dyDescent="0.25">
      <c r="A12060">
        <f ca="1">33237.2058344599*((RANDBETWEEN(1620,2416)))</f>
        <v>64181044.466342039</v>
      </c>
      <c r="B12060">
        <v>202123328.02430469</v>
      </c>
    </row>
    <row r="12061" spans="1:2" x14ac:dyDescent="0.25">
      <c r="A12061">
        <f ca="1">31580.323059703*((RANDBETWEEN(1620,2416)))</f>
        <v>51570667.55649507</v>
      </c>
      <c r="B12061">
        <v>202482757.1436573</v>
      </c>
    </row>
    <row r="12062" spans="1:2" x14ac:dyDescent="0.25">
      <c r="A12062">
        <f ca="1">28474.1073648872*((RANDBETWEEN(1620,2416)))</f>
        <v>47523285.191996746</v>
      </c>
      <c r="B12062">
        <v>169738359.95452997</v>
      </c>
    </row>
    <row r="12063" spans="1:2" x14ac:dyDescent="0.25">
      <c r="A12063">
        <f ca="1">37111.1795762253*((RANDBETWEEN(1620,2416)))</f>
        <v>80642593.219137684</v>
      </c>
      <c r="B12063">
        <v>175008155.34756321</v>
      </c>
    </row>
    <row r="12064" spans="1:2" x14ac:dyDescent="0.25">
      <c r="A12064">
        <f ca="1">33824.6344578463*((RANDBETWEEN(1620,2416)))</f>
        <v>78676099.748950541</v>
      </c>
      <c r="B12064">
        <v>180655114.65524483</v>
      </c>
    </row>
    <row r="12065" spans="1:2" x14ac:dyDescent="0.25">
      <c r="A12065">
        <f ca="1">38799.6658234235*((RANDBETWEEN(1620,2416)))</f>
        <v>73331368.40627034</v>
      </c>
      <c r="B12065">
        <v>146622687.75749362</v>
      </c>
    </row>
    <row r="12066" spans="1:2" x14ac:dyDescent="0.25">
      <c r="A12066">
        <f ca="1">31096.4913508223*((RANDBETWEEN(1620,2416)))</f>
        <v>71708509.054996163</v>
      </c>
      <c r="B12066">
        <v>181416836.32244903</v>
      </c>
    </row>
    <row r="12067" spans="1:2" x14ac:dyDescent="0.25">
      <c r="A12067">
        <f ca="1">30433.0448872926*((RANDBETWEEN(1620,2416)))</f>
        <v>55114244.290886924</v>
      </c>
      <c r="B12067">
        <v>147213478.9012697</v>
      </c>
    </row>
    <row r="12068" spans="1:2" x14ac:dyDescent="0.25">
      <c r="A12068">
        <f ca="1">30945.0271079801*((RANDBETWEEN(1620,2416)))</f>
        <v>51647250.243218772</v>
      </c>
      <c r="B12068">
        <v>203338740.2583178</v>
      </c>
    </row>
    <row r="12069" spans="1:2" x14ac:dyDescent="0.25">
      <c r="A12069">
        <f ca="1">31923.029272689*((RANDBETWEEN(1620,2416)))</f>
        <v>71762969.80500482</v>
      </c>
      <c r="B12069">
        <v>171189430.84896305</v>
      </c>
    </row>
    <row r="12070" spans="1:2" x14ac:dyDescent="0.25">
      <c r="A12070">
        <f ca="1">30837.6843263731*((RANDBETWEEN(1620,2416)))</f>
        <v>51653121.246674992</v>
      </c>
      <c r="B12070">
        <v>162277948.19939056</v>
      </c>
    </row>
    <row r="12071" spans="1:2" x14ac:dyDescent="0.25">
      <c r="A12071">
        <f ca="1">30212.1245212059*((RANDBETWEEN(1620,2416)))</f>
        <v>61239976.404484339</v>
      </c>
      <c r="B12071">
        <v>152702851.40357471</v>
      </c>
    </row>
    <row r="12072" spans="1:2" x14ac:dyDescent="0.25">
      <c r="A12072">
        <f ca="1">29052.6822034607*((RANDBETWEEN(1620,2416)))</f>
        <v>58483049.275566325</v>
      </c>
      <c r="B12072">
        <v>179365626.77843964</v>
      </c>
    </row>
    <row r="12073" spans="1:2" x14ac:dyDescent="0.25">
      <c r="A12073">
        <f ca="1">34721.6506348941*((RANDBETWEEN(1620,2416)))</f>
        <v>76352909.74613215</v>
      </c>
      <c r="B12073">
        <v>156545622.75046325</v>
      </c>
    </row>
    <row r="12074" spans="1:2" x14ac:dyDescent="0.25">
      <c r="A12074">
        <f ca="1">30585.6942727024*((RANDBETWEEN(1620,2416)))</f>
        <v>56032991.907590851</v>
      </c>
      <c r="B12074">
        <v>149980386.44789076</v>
      </c>
    </row>
    <row r="12075" spans="1:2" x14ac:dyDescent="0.25">
      <c r="A12075">
        <f ca="1">31497.0329277906*((RANDBETWEEN(1620,2416)))</f>
        <v>55214298.72241684</v>
      </c>
      <c r="B12075">
        <v>174585952.00196168</v>
      </c>
    </row>
    <row r="12076" spans="1:2" x14ac:dyDescent="0.25">
      <c r="A12076">
        <f ca="1">31788.9378739222*((RANDBETWEEN(1620,2416)))</f>
        <v>54041194.385667793</v>
      </c>
      <c r="B12076">
        <v>164249222.51322758</v>
      </c>
    </row>
    <row r="12077" spans="1:2" x14ac:dyDescent="0.25">
      <c r="A12077">
        <f ca="1">29882.8660220644*((RANDBETWEEN(1620,2416)))</f>
        <v>66369845.435005024</v>
      </c>
      <c r="B12077">
        <v>147226562.18628764</v>
      </c>
    </row>
    <row r="12078" spans="1:2" x14ac:dyDescent="0.25">
      <c r="A12078">
        <f ca="1">31948.9512901278*((RANDBETWEEN(1620,2416)))</f>
        <v>55846766.855143391</v>
      </c>
      <c r="B12078">
        <v>159218322.02869645</v>
      </c>
    </row>
    <row r="12079" spans="1:2" x14ac:dyDescent="0.25">
      <c r="A12079">
        <f ca="1">30387.4294305602*((RANDBETWEEN(1620,2416)))</f>
        <v>61747256.602898329</v>
      </c>
      <c r="B12079">
        <v>158500642.21954042</v>
      </c>
    </row>
    <row r="12080" spans="1:2" x14ac:dyDescent="0.25">
      <c r="A12080">
        <f ca="1">32762.9991432929*((RANDBETWEEN(1620,2416)))</f>
        <v>61397860.394530915</v>
      </c>
      <c r="B12080">
        <v>170015066.10523269</v>
      </c>
    </row>
    <row r="12081" spans="1:2" x14ac:dyDescent="0.25">
      <c r="A12081">
        <f ca="1">30830.5218796048*((RANDBETWEEN(1620,2416)))</f>
        <v>64836587.512808926</v>
      </c>
      <c r="B12081">
        <v>166267316.83273125</v>
      </c>
    </row>
    <row r="12082" spans="1:2" x14ac:dyDescent="0.25">
      <c r="A12082">
        <f ca="1">30792.5227237902*((RANDBETWEEN(1620,2416)))</f>
        <v>72023710.650945276</v>
      </c>
      <c r="B12082">
        <v>159431096.15482116</v>
      </c>
    </row>
    <row r="12083" spans="1:2" x14ac:dyDescent="0.25">
      <c r="A12083">
        <f ca="1">37659.3823798662*((RANDBETWEEN(1620,2416)))</f>
        <v>90118902.035019904</v>
      </c>
      <c r="B12083">
        <v>174973885.20183757</v>
      </c>
    </row>
    <row r="12084" spans="1:2" x14ac:dyDescent="0.25">
      <c r="A12084">
        <f ca="1">30441.3646888696*((RANDBETWEEN(1620,2416)))</f>
        <v>50228251.736634858</v>
      </c>
      <c r="B12084">
        <v>187750918.95600918</v>
      </c>
    </row>
    <row r="12085" spans="1:2" x14ac:dyDescent="0.25">
      <c r="A12085">
        <f ca="1">32636.2249109168*((RANDBETWEEN(1620,2416)))</f>
        <v>74867499.945643142</v>
      </c>
      <c r="B12085">
        <v>148258176.33232087</v>
      </c>
    </row>
    <row r="12086" spans="1:2" x14ac:dyDescent="0.25">
      <c r="A12086">
        <f ca="1">31827.162932653*((RANDBETWEEN(1620,2416)))</f>
        <v>66391461.877514094</v>
      </c>
      <c r="B12086">
        <v>148733710.23151836</v>
      </c>
    </row>
    <row r="12087" spans="1:2" x14ac:dyDescent="0.25">
      <c r="A12087">
        <f ca="1">30587.0678735044*((RANDBETWEEN(1620,2416)))</f>
        <v>67352723.457456723</v>
      </c>
      <c r="B12087">
        <v>148951584.65030444</v>
      </c>
    </row>
    <row r="12088" spans="1:2" x14ac:dyDescent="0.25">
      <c r="A12088">
        <f ca="1">30032.3078546134*((RANDBETWEEN(1620,2416)))</f>
        <v>69074308.06561093</v>
      </c>
      <c r="B12088">
        <v>150436520.89424175</v>
      </c>
    </row>
    <row r="12089" spans="1:2" x14ac:dyDescent="0.25">
      <c r="A12089">
        <f ca="1">39034.5653507095*((RANDBETWEEN(1620,2416)))</f>
        <v>94229440.756612778</v>
      </c>
      <c r="B12089">
        <v>184484308.65714449</v>
      </c>
    </row>
    <row r="12090" spans="1:2" x14ac:dyDescent="0.25">
      <c r="A12090">
        <f ca="1">39902.0612778458*((RANDBETWEEN(1620,2416)))</f>
        <v>66197519.659946151</v>
      </c>
      <c r="B12090">
        <v>158700263.26183474</v>
      </c>
    </row>
    <row r="12091" spans="1:2" x14ac:dyDescent="0.25">
      <c r="A12091">
        <f ca="1">33655.4313591973*((RANDBETWEEN(1620,2416)))</f>
        <v>76902660.655765876</v>
      </c>
      <c r="B12091">
        <v>203208045.23470721</v>
      </c>
    </row>
    <row r="12092" spans="1:2" x14ac:dyDescent="0.25">
      <c r="A12092">
        <f ca="1">31978.0503071021*((RANDBETWEEN(1620,2416)))</f>
        <v>77131057.340730146</v>
      </c>
      <c r="B12092">
        <v>154637006.09754258</v>
      </c>
    </row>
    <row r="12093" spans="1:2" x14ac:dyDescent="0.25">
      <c r="A12093">
        <f ca="1">37670.9573439644*((RANDBETWEEN(1620,2416)))</f>
        <v>65283769.077090234</v>
      </c>
      <c r="B12093">
        <v>144930695.39624292</v>
      </c>
    </row>
    <row r="12094" spans="1:2" x14ac:dyDescent="0.25">
      <c r="A12094">
        <f ca="1">32544.2304294016*((RANDBETWEEN(1620,2416)))</f>
        <v>64860651.245797336</v>
      </c>
      <c r="B12094">
        <v>143283973.93463963</v>
      </c>
    </row>
    <row r="12095" spans="1:2" x14ac:dyDescent="0.25">
      <c r="A12095">
        <f ca="1">36070.401462176*((RANDBETWEEN(1620,2416)))</f>
        <v>81951952.12206389</v>
      </c>
      <c r="B12095">
        <v>146804029.83274567</v>
      </c>
    </row>
    <row r="12096" spans="1:2" x14ac:dyDescent="0.25">
      <c r="A12096">
        <f ca="1">40980.9776182327*((RANDBETWEEN(1620,2416)))</f>
        <v>76962275.967040971</v>
      </c>
      <c r="B12096">
        <v>144171956.20848358</v>
      </c>
    </row>
    <row r="12097" spans="1:2" x14ac:dyDescent="0.25">
      <c r="A12097">
        <f ca="1">39008.6528967837*((RANDBETWEEN(1620,2416)))</f>
        <v>64481303.238383494</v>
      </c>
      <c r="B12097">
        <v>199469968.52863434</v>
      </c>
    </row>
    <row r="12098" spans="1:2" x14ac:dyDescent="0.25">
      <c r="A12098">
        <f ca="1">34641.486718563*((RANDBETWEEN(1620,2416)))</f>
        <v>56673472.271569125</v>
      </c>
      <c r="B12098">
        <v>182194293.27859965</v>
      </c>
    </row>
    <row r="12099" spans="1:2" x14ac:dyDescent="0.25">
      <c r="A12099">
        <f ca="1">33315.6393470774*((RANDBETWEEN(1620,2416)))</f>
        <v>70795733.612539485</v>
      </c>
      <c r="B12099">
        <v>154231910.33089456</v>
      </c>
    </row>
    <row r="12100" spans="1:2" x14ac:dyDescent="0.25">
      <c r="A12100">
        <f ca="1">31906.3608685709*((RANDBETWEEN(1620,2416)))</f>
        <v>61802621.002421781</v>
      </c>
      <c r="B12100">
        <v>161725771.11582971</v>
      </c>
    </row>
    <row r="12101" spans="1:2" x14ac:dyDescent="0.25">
      <c r="A12101">
        <f ca="1">34723.2942209207*((RANDBETWEEN(1620,2416)))</f>
        <v>76113460.932258233</v>
      </c>
      <c r="B12101">
        <v>167385150.61267453</v>
      </c>
    </row>
    <row r="12102" spans="1:2" x14ac:dyDescent="0.25">
      <c r="A12102">
        <f ca="1">33873.4101382273*((RANDBETWEEN(1620,2416)))</f>
        <v>56297607.649733812</v>
      </c>
      <c r="B12102">
        <v>170348324.1297732</v>
      </c>
    </row>
    <row r="12103" spans="1:2" x14ac:dyDescent="0.25">
      <c r="A12103">
        <f ca="1">29395.9960023955*((RANDBETWEEN(1620,2416)))</f>
        <v>53059772.784323879</v>
      </c>
      <c r="B12103">
        <v>154610033.98760951</v>
      </c>
    </row>
    <row r="12104" spans="1:2" x14ac:dyDescent="0.25">
      <c r="A12104">
        <f ca="1">38047.2304345253*((RANDBETWEEN(1620,2416)))</f>
        <v>73202871.356026679</v>
      </c>
      <c r="B12104">
        <v>179748388.08623815</v>
      </c>
    </row>
    <row r="12105" spans="1:2" x14ac:dyDescent="0.25">
      <c r="A12105">
        <f ca="1">30238.5991302436*((RANDBETWEEN(1620,2416)))</f>
        <v>67038974.271750078</v>
      </c>
      <c r="B12105">
        <v>193978224.9191699</v>
      </c>
    </row>
    <row r="12106" spans="1:2" x14ac:dyDescent="0.25">
      <c r="A12106">
        <f ca="1">28846.0508214988*((RANDBETWEEN(1620,2416)))</f>
        <v>49874821.870371506</v>
      </c>
      <c r="B12106">
        <v>195309392.77565259</v>
      </c>
    </row>
    <row r="12107" spans="1:2" x14ac:dyDescent="0.25">
      <c r="A12107">
        <f ca="1">29659.6961455888*((RANDBETWEEN(1620,2416)))</f>
        <v>49857949.220734797</v>
      </c>
      <c r="B12107">
        <v>147422294.87456718</v>
      </c>
    </row>
    <row r="12108" spans="1:2" x14ac:dyDescent="0.25">
      <c r="A12108">
        <f ca="1">31968.3527769283*((RANDBETWEEN(1620,2416)))</f>
        <v>63521116.967756569</v>
      </c>
      <c r="B12108">
        <v>168989711.75877902</v>
      </c>
    </row>
    <row r="12109" spans="1:2" x14ac:dyDescent="0.25">
      <c r="A12109">
        <f ca="1">37487.0323712901*((RANDBETWEEN(1620,2416)))</f>
        <v>73662018.609585062</v>
      </c>
      <c r="B12109">
        <v>172737489.88537502</v>
      </c>
    </row>
    <row r="12110" spans="1:2" x14ac:dyDescent="0.25">
      <c r="A12110">
        <f ca="1">34521.7264544813*((RANDBETWEEN(1620,2416)))</f>
        <v>75119276.764951304</v>
      </c>
      <c r="B12110">
        <v>168141647.32624397</v>
      </c>
    </row>
    <row r="12111" spans="1:2" x14ac:dyDescent="0.25">
      <c r="A12111">
        <f ca="1">34655.1038437615*((RANDBETWEEN(1620,2416)))</f>
        <v>73572785.460305572</v>
      </c>
      <c r="B12111">
        <v>151020041.92289865</v>
      </c>
    </row>
    <row r="12112" spans="1:2" x14ac:dyDescent="0.25">
      <c r="A12112">
        <f ca="1">32936.6290724086*((RANDBETWEEN(1620,2416)))</f>
        <v>78323303.934187666</v>
      </c>
      <c r="B12112">
        <v>150965067.16080794</v>
      </c>
    </row>
    <row r="12113" spans="1:2" x14ac:dyDescent="0.25">
      <c r="A12113">
        <f ca="1">41330.0210407423*((RANDBETWEEN(1620,2416)))</f>
        <v>77080489.240984306</v>
      </c>
      <c r="B12113">
        <v>182831747.76878163</v>
      </c>
    </row>
    <row r="12114" spans="1:2" x14ac:dyDescent="0.25">
      <c r="A12114">
        <f ca="1">32558.6004872669*((RANDBETWEEN(1620,2416)))</f>
        <v>58475246.475131378</v>
      </c>
      <c r="B12114">
        <v>161006153.34759873</v>
      </c>
    </row>
    <row r="12115" spans="1:2" x14ac:dyDescent="0.25">
      <c r="A12115">
        <f ca="1">30272.3137566925*((RANDBETWEEN(1620,2416)))</f>
        <v>56760588.293798499</v>
      </c>
      <c r="B12115">
        <v>145429164.89597881</v>
      </c>
    </row>
    <row r="12116" spans="1:2" x14ac:dyDescent="0.25">
      <c r="A12116">
        <f ca="1">33838.6928217433*((RANDBETWEEN(1620,2416)))</f>
        <v>57999519.496468008</v>
      </c>
      <c r="B12116">
        <v>145567824.37195989</v>
      </c>
    </row>
    <row r="12117" spans="1:2" x14ac:dyDescent="0.25">
      <c r="A12117">
        <f ca="1">31389.5208948737*((RANDBETWEEN(1620,2416)))</f>
        <v>74110658.832796767</v>
      </c>
      <c r="B12117">
        <v>185435292.65167511</v>
      </c>
    </row>
    <row r="12118" spans="1:2" x14ac:dyDescent="0.25">
      <c r="A12118">
        <f ca="1">34020.8769285403*((RANDBETWEEN(1620,2416)))</f>
        <v>81684125.505425319</v>
      </c>
      <c r="B12118">
        <v>195091963.21766526</v>
      </c>
    </row>
    <row r="12119" spans="1:2" x14ac:dyDescent="0.25">
      <c r="A12119">
        <f ca="1">30094.6414820352*((RANDBETWEEN(1620,2416)))</f>
        <v>50137672.709070675</v>
      </c>
      <c r="B12119">
        <v>169019019.71181458</v>
      </c>
    </row>
    <row r="12120" spans="1:2" x14ac:dyDescent="0.25">
      <c r="A12120">
        <f ca="1">32095.5288878914*((RANDBETWEEN(1620,2416)))</f>
        <v>64672490.7091012</v>
      </c>
      <c r="B12120">
        <v>148579215.35046205</v>
      </c>
    </row>
    <row r="12121" spans="1:2" x14ac:dyDescent="0.25">
      <c r="A12121">
        <f ca="1">38004.7499637987*((RANDBETWEEN(1620,2416)))</f>
        <v>89805224.164456293</v>
      </c>
      <c r="B12121">
        <v>144567283.61036259</v>
      </c>
    </row>
    <row r="12122" spans="1:2" x14ac:dyDescent="0.25">
      <c r="A12122">
        <f ca="1">36152.879671057*((RANDBETWEEN(1620,2416)))</f>
        <v>81705508.056588829</v>
      </c>
      <c r="B12122">
        <v>187929129.11040413</v>
      </c>
    </row>
    <row r="12123" spans="1:2" x14ac:dyDescent="0.25">
      <c r="A12123">
        <f ca="1">30878.6572996929*((RANDBETWEEN(1620,2416)))</f>
        <v>56847608.088734604</v>
      </c>
      <c r="B12123">
        <v>144675278.79893425</v>
      </c>
    </row>
    <row r="12124" spans="1:2" x14ac:dyDescent="0.25">
      <c r="A12124">
        <f ca="1">31781.3457697109*((RANDBETWEEN(1620,2416)))</f>
        <v>72556812.392249942</v>
      </c>
      <c r="B12124">
        <v>182594030.14158079</v>
      </c>
    </row>
    <row r="12125" spans="1:2" x14ac:dyDescent="0.25">
      <c r="A12125">
        <f ca="1">31017.9065617062*((RANDBETWEEN(1620,2416)))</f>
        <v>55491034.83889243</v>
      </c>
      <c r="B12125">
        <v>185902661.55807129</v>
      </c>
    </row>
    <row r="12126" spans="1:2" x14ac:dyDescent="0.25">
      <c r="A12126">
        <f ca="1">32762.9813192638*((RANDBETWEEN(1620,2416)))</f>
        <v>59235470.225228973</v>
      </c>
      <c r="B12126">
        <v>200298589.84132624</v>
      </c>
    </row>
    <row r="12127" spans="1:2" x14ac:dyDescent="0.25">
      <c r="A12127">
        <f ca="1">39640.594875885*((RANDBETWEEN(1620,2416)))</f>
        <v>92679710.819819227</v>
      </c>
      <c r="B12127">
        <v>188782653.52029476</v>
      </c>
    </row>
    <row r="12128" spans="1:2" x14ac:dyDescent="0.25">
      <c r="A12128">
        <f ca="1">41107.1229753428*((RANDBETWEEN(1620,2416)))</f>
        <v>90723420.406581655</v>
      </c>
      <c r="B12128">
        <v>149468522.16478133</v>
      </c>
    </row>
    <row r="12129" spans="1:2" x14ac:dyDescent="0.25">
      <c r="A12129">
        <f ca="1">31819.3683445947*((RANDBETWEEN(1620,2416)))</f>
        <v>56733933.758412294</v>
      </c>
      <c r="B12129">
        <v>172790505.70599908</v>
      </c>
    </row>
    <row r="12130" spans="1:2" x14ac:dyDescent="0.25">
      <c r="A12130">
        <f ca="1">38900.9010884812*((RANDBETWEEN(1620,2416)))</f>
        <v>75117640.001857162</v>
      </c>
      <c r="B12130">
        <v>192016511.36514291</v>
      </c>
    </row>
    <row r="12131" spans="1:2" x14ac:dyDescent="0.25">
      <c r="A12131">
        <f ca="1">31462.1317511618*((RANDBETWEEN(1620,2416)))</f>
        <v>71450501.206888512</v>
      </c>
      <c r="B12131">
        <v>162637712.80681133</v>
      </c>
    </row>
    <row r="12132" spans="1:2" x14ac:dyDescent="0.25">
      <c r="A12132">
        <f ca="1">31010.1732266315*((RANDBETWEEN(1620,2416)))</f>
        <v>55539220.248897076</v>
      </c>
      <c r="B12132">
        <v>155397711.41201437</v>
      </c>
    </row>
    <row r="12133" spans="1:2" x14ac:dyDescent="0.25">
      <c r="A12133">
        <f ca="1">37930.3671386666*((RANDBETWEEN(1620,2416)))</f>
        <v>75064196.567421257</v>
      </c>
      <c r="B12133">
        <v>169401684.00822133</v>
      </c>
    </row>
    <row r="12134" spans="1:2" x14ac:dyDescent="0.25">
      <c r="A12134">
        <f ca="1">26590.8441333621*((RANDBETWEEN(1620,2416)))</f>
        <v>60228261.96206525</v>
      </c>
      <c r="B12134">
        <v>147340943.43318409</v>
      </c>
    </row>
    <row r="12135" spans="1:2" x14ac:dyDescent="0.25">
      <c r="A12135">
        <f ca="1">33443.639881812*((RANDBETWEEN(1620,2416)))</f>
        <v>57924384.27529832</v>
      </c>
      <c r="B12135">
        <v>145502158.41392058</v>
      </c>
    </row>
    <row r="12136" spans="1:2" x14ac:dyDescent="0.25">
      <c r="A12136">
        <f ca="1">40229.1894891301*((RANDBETWEEN(1620,2416)))</f>
        <v>73297583.249195099</v>
      </c>
      <c r="B12136">
        <v>183033549.88481444</v>
      </c>
    </row>
    <row r="12137" spans="1:2" x14ac:dyDescent="0.25">
      <c r="A12137">
        <f ca="1">31390.8917158239*((RANDBETWEEN(1620,2416)))</f>
        <v>68746052.857654259</v>
      </c>
      <c r="B12137">
        <v>143788115.23503754</v>
      </c>
    </row>
    <row r="12138" spans="1:2" x14ac:dyDescent="0.25">
      <c r="A12138">
        <f ca="1">29901.0041240223*((RANDBETWEEN(1620,2416)))</f>
        <v>61775474.520230092</v>
      </c>
      <c r="B12138">
        <v>177380790.77629882</v>
      </c>
    </row>
    <row r="12139" spans="1:2" x14ac:dyDescent="0.25">
      <c r="A12139">
        <f ca="1">30057.0262706169*((RANDBETWEEN(1620,2416)))</f>
        <v>71084867.130009085</v>
      </c>
      <c r="B12139">
        <v>181876949.4184714</v>
      </c>
    </row>
    <row r="12140" spans="1:2" x14ac:dyDescent="0.25">
      <c r="A12140">
        <f ca="1">31373.6520788765*((RANDBETWEEN(1620,2416)))</f>
        <v>64755217.89080108</v>
      </c>
      <c r="B12140">
        <v>186522472.14626846</v>
      </c>
    </row>
    <row r="12141" spans="1:2" x14ac:dyDescent="0.25">
      <c r="A12141">
        <f ca="1">40295.3981105815*((RANDBETWEEN(1620,2416)))</f>
        <v>84700926.828442246</v>
      </c>
      <c r="B12141">
        <v>184980393.93279967</v>
      </c>
    </row>
    <row r="12142" spans="1:2" x14ac:dyDescent="0.25">
      <c r="A12142">
        <f ca="1">32968.3255633541*((RANDBETWEEN(1620,2416)))</f>
        <v>63727773.313963488</v>
      </c>
      <c r="B12142">
        <v>166505819.97117552</v>
      </c>
    </row>
    <row r="12143" spans="1:2" x14ac:dyDescent="0.25">
      <c r="A12143">
        <f ca="1">30472.1081992282*((RANDBETWEEN(1620,2416)))</f>
        <v>68897436.638455033</v>
      </c>
      <c r="B12143">
        <v>159283399.46704549</v>
      </c>
    </row>
    <row r="12144" spans="1:2" x14ac:dyDescent="0.25">
      <c r="A12144">
        <f ca="1">31101.4531243876*((RANDBETWEEN(1620,2416)))</f>
        <v>63073746.936258033</v>
      </c>
      <c r="B12144">
        <v>177452897.67129827</v>
      </c>
    </row>
    <row r="12145" spans="1:2" x14ac:dyDescent="0.25">
      <c r="A12145">
        <f ca="1">29355.7925311342*((RANDBETWEEN(1620,2416)))</f>
        <v>60649067.36932335</v>
      </c>
      <c r="B12145">
        <v>144242001.52483067</v>
      </c>
    </row>
    <row r="12146" spans="1:2" x14ac:dyDescent="0.25">
      <c r="A12146">
        <f ca="1">33649.8720143376*((RANDBETWEEN(1620,2416)))</f>
        <v>56060686.775886364</v>
      </c>
      <c r="B12146">
        <v>149309172.93265021</v>
      </c>
    </row>
    <row r="12147" spans="1:2" x14ac:dyDescent="0.25">
      <c r="A12147">
        <f ca="1">32326.278288266*((RANDBETWEEN(1620,2416)))</f>
        <v>57831711.857707866</v>
      </c>
      <c r="B12147">
        <v>143942765.38296315</v>
      </c>
    </row>
    <row r="12148" spans="1:2" x14ac:dyDescent="0.25">
      <c r="A12148">
        <f ca="1">31191.2871343165*((RANDBETWEEN(1620,2416)))</f>
        <v>57080055.45579917</v>
      </c>
      <c r="B12148">
        <v>156213155.71313655</v>
      </c>
    </row>
    <row r="12149" spans="1:2" x14ac:dyDescent="0.25">
      <c r="A12149">
        <f ca="1">34238.342060389*((RANDBETWEEN(1620,2416)))</f>
        <v>65224041.625041015</v>
      </c>
      <c r="B12149">
        <v>155716129.17103362</v>
      </c>
    </row>
    <row r="12150" spans="1:2" x14ac:dyDescent="0.25">
      <c r="A12150">
        <f ca="1">36437.6468686274*((RANDBETWEEN(1620,2416)))</f>
        <v>71818601.978064522</v>
      </c>
      <c r="B12150">
        <v>154991666.08553666</v>
      </c>
    </row>
    <row r="12151" spans="1:2" x14ac:dyDescent="0.25">
      <c r="A12151">
        <f ca="1">30783.7126812058*((RANDBETWEEN(1620,2416)))</f>
        <v>68401409.577639386</v>
      </c>
      <c r="B12151">
        <v>154852435.49241704</v>
      </c>
    </row>
    <row r="12152" spans="1:2" x14ac:dyDescent="0.25">
      <c r="A12152">
        <f ca="1">35644.2162670833*((RANDBETWEEN(1620,2416)))</f>
        <v>58278293.596681274</v>
      </c>
      <c r="B12152">
        <v>203190035.76240331</v>
      </c>
    </row>
    <row r="12153" spans="1:2" x14ac:dyDescent="0.25">
      <c r="A12153">
        <f ca="1">30078.9803324962*((RANDBETWEEN(1620,2416)))</f>
        <v>60819698.232307225</v>
      </c>
      <c r="B12153">
        <v>181281502.17876559</v>
      </c>
    </row>
    <row r="12154" spans="1:2" x14ac:dyDescent="0.25">
      <c r="A12154">
        <f ca="1">38671.0654358827*((RANDBETWEEN(1620,2416)))</f>
        <v>79933092.255969629</v>
      </c>
      <c r="B12154">
        <v>160612483.78624165</v>
      </c>
    </row>
    <row r="12155" spans="1:2" x14ac:dyDescent="0.25">
      <c r="A12155">
        <f ca="1">31569.5440093241*((RANDBETWEEN(1620,2416)))</f>
        <v>53384098.919767082</v>
      </c>
      <c r="B12155">
        <v>161442123.96067673</v>
      </c>
    </row>
    <row r="12156" spans="1:2" x14ac:dyDescent="0.25">
      <c r="A12156">
        <f ca="1">31128.7257668826*((RANDBETWEEN(1620,2416)))</f>
        <v>56903310.701861426</v>
      </c>
      <c r="B12156">
        <v>186898975.32341111</v>
      </c>
    </row>
    <row r="12157" spans="1:2" x14ac:dyDescent="0.25">
      <c r="A12157">
        <f ca="1">39111.1372187159*((RANDBETWEEN(1620,2416)))</f>
        <v>90424949.249671206</v>
      </c>
      <c r="B12157">
        <v>192653082.31116503</v>
      </c>
    </row>
    <row r="12158" spans="1:2" x14ac:dyDescent="0.25">
      <c r="A12158">
        <f ca="1">30581.1394195343*((RANDBETWEEN(1620,2416)))</f>
        <v>60856467.444873191</v>
      </c>
      <c r="B12158">
        <v>171138817.60198963</v>
      </c>
    </row>
    <row r="12159" spans="1:2" x14ac:dyDescent="0.25">
      <c r="A12159">
        <f ca="1">27496.2505055945*((RANDBETWEEN(1620,2416)))</f>
        <v>51802935.952540122</v>
      </c>
      <c r="B12159">
        <v>149556372.17014548</v>
      </c>
    </row>
    <row r="12160" spans="1:2" x14ac:dyDescent="0.25">
      <c r="A12160">
        <f ca="1">32914.2413865899*((RANDBETWEEN(1620,2416)))</f>
        <v>57632836.667918839</v>
      </c>
      <c r="B12160">
        <v>175262686.46266133</v>
      </c>
    </row>
    <row r="12161" spans="1:2" x14ac:dyDescent="0.25">
      <c r="A12161">
        <f ca="1">30907.1225478633*((RANDBETWEEN(1620,2416)))</f>
        <v>61752430.85063085</v>
      </c>
      <c r="B12161">
        <v>169384258.79661411</v>
      </c>
    </row>
    <row r="12162" spans="1:2" x14ac:dyDescent="0.25">
      <c r="A12162">
        <f ca="1">38514.7689315327*((RANDBETWEEN(1620,2416)))</f>
        <v>79070820.616436556</v>
      </c>
      <c r="B12162">
        <v>175434584.28238299</v>
      </c>
    </row>
    <row r="12163" spans="1:2" x14ac:dyDescent="0.25">
      <c r="A12163">
        <f ca="1">35781.6169929117*((RANDBETWEEN(1620,2416)))</f>
        <v>78325959.597483605</v>
      </c>
      <c r="B12163">
        <v>150324721.42076707</v>
      </c>
    </row>
    <row r="12164" spans="1:2" x14ac:dyDescent="0.25">
      <c r="A12164">
        <f ca="1">32340.2535428556*((RANDBETWEEN(1620,2416)))</f>
        <v>63969021.507768393</v>
      </c>
      <c r="B12164">
        <v>179807525.74757493</v>
      </c>
    </row>
    <row r="12165" spans="1:2" x14ac:dyDescent="0.25">
      <c r="A12165">
        <f ca="1">30854.9730992273*((RANDBETWEEN(1620,2416)))</f>
        <v>74298775.222939387</v>
      </c>
      <c r="B12165">
        <v>152872512.42938352</v>
      </c>
    </row>
    <row r="12166" spans="1:2" x14ac:dyDescent="0.25">
      <c r="A12166">
        <f ca="1">33056.1299313404*((RANDBETWEEN(1620,2416)))</f>
        <v>62839702.99947805</v>
      </c>
      <c r="B12166">
        <v>145894639.02844286</v>
      </c>
    </row>
    <row r="12167" spans="1:2" x14ac:dyDescent="0.25">
      <c r="A12167">
        <f ca="1">32016.1872920639*((RANDBETWEEN(1620,2416)))</f>
        <v>70275531.106080338</v>
      </c>
      <c r="B12167">
        <v>166489645.82928994</v>
      </c>
    </row>
    <row r="12168" spans="1:2" x14ac:dyDescent="0.25">
      <c r="A12168">
        <f ca="1">33096.394061285*((RANDBETWEEN(1620,2416)))</f>
        <v>74930236.1547492</v>
      </c>
      <c r="B12168">
        <v>173899603.11011344</v>
      </c>
    </row>
    <row r="12169" spans="1:2" x14ac:dyDescent="0.25">
      <c r="A12169">
        <f ca="1">32308.3826737639*((RANDBETWEEN(1620,2416)))</f>
        <v>66942968.900038846</v>
      </c>
      <c r="B12169">
        <v>188459778.32730708</v>
      </c>
    </row>
    <row r="12170" spans="1:2" x14ac:dyDescent="0.25">
      <c r="A12170">
        <f ca="1">31140.4242671784*((RANDBETWEEN(1620,2416)))</f>
        <v>54526882.891829386</v>
      </c>
      <c r="B12170">
        <v>143223200.65691125</v>
      </c>
    </row>
    <row r="12171" spans="1:2" x14ac:dyDescent="0.25">
      <c r="A12171">
        <f ca="1">37012.1494404758*((RANDBETWEEN(1620,2416)))</f>
        <v>64623212.923070766</v>
      </c>
      <c r="B12171">
        <v>144419218.60532722</v>
      </c>
    </row>
    <row r="12172" spans="1:2" x14ac:dyDescent="0.25">
      <c r="A12172">
        <f ca="1">39058.6335180331*((RANDBETWEEN(1620,2416)))</f>
        <v>85616524.671528518</v>
      </c>
      <c r="B12172">
        <v>153897017.89134356</v>
      </c>
    </row>
    <row r="12173" spans="1:2" x14ac:dyDescent="0.25">
      <c r="A12173">
        <f ca="1">33784.0838377989*((RANDBETWEEN(1620,2416)))</f>
        <v>70541167.053324208</v>
      </c>
      <c r="B12173">
        <v>144291034.94963807</v>
      </c>
    </row>
    <row r="12174" spans="1:2" x14ac:dyDescent="0.25">
      <c r="A12174">
        <f ca="1">32411.5072213277*((RANDBETWEEN(1620,2416)))</f>
        <v>71499784.930248886</v>
      </c>
      <c r="B12174">
        <v>148170320.89578113</v>
      </c>
    </row>
    <row r="12175" spans="1:2" x14ac:dyDescent="0.25">
      <c r="A12175">
        <f ca="1">36518.0425032261*((RANDBETWEEN(1620,2416)))</f>
        <v>86219098.350116864</v>
      </c>
      <c r="B12175">
        <v>151540873.86234313</v>
      </c>
    </row>
    <row r="12176" spans="1:2" x14ac:dyDescent="0.25">
      <c r="A12176">
        <f ca="1">29825.7815071273*((RANDBETWEEN(1620,2416)))</f>
        <v>49421319.957309902</v>
      </c>
      <c r="B12176">
        <v>144248563.7686688</v>
      </c>
    </row>
    <row r="12177" spans="1:2" x14ac:dyDescent="0.25">
      <c r="A12177">
        <f ca="1">38450.7443526112*((RANDBETWEEN(1620,2416)))</f>
        <v>89513332.852878943</v>
      </c>
      <c r="B12177">
        <v>162825121.68909734</v>
      </c>
    </row>
    <row r="12178" spans="1:2" x14ac:dyDescent="0.25">
      <c r="A12178">
        <f ca="1">33327.1171777253*((RANDBETWEEN(1620,2416)))</f>
        <v>57489277.131576099</v>
      </c>
      <c r="B12178">
        <v>183493661.16176552</v>
      </c>
    </row>
    <row r="12179" spans="1:2" x14ac:dyDescent="0.25">
      <c r="A12179">
        <f ca="1">31474.4875497557*((RANDBETWEEN(1620,2416)))</f>
        <v>52940088.058689117</v>
      </c>
      <c r="B12179">
        <v>191311431.26765364</v>
      </c>
    </row>
    <row r="12180" spans="1:2" x14ac:dyDescent="0.25">
      <c r="A12180">
        <f ca="1">31852.7746270115*((RANDBETWEEN(1620,2416)))</f>
        <v>73739173.261531591</v>
      </c>
      <c r="B12180">
        <v>151644838.99346668</v>
      </c>
    </row>
    <row r="12181" spans="1:2" x14ac:dyDescent="0.25">
      <c r="A12181">
        <f ca="1">38444.4901513547*((RANDBETWEEN(1620,2416)))</f>
        <v>86384769.370093986</v>
      </c>
      <c r="B12181">
        <v>148709219.71388981</v>
      </c>
    </row>
    <row r="12182" spans="1:2" x14ac:dyDescent="0.25">
      <c r="A12182">
        <f ca="1">31537.9049239507*((RANDBETWEEN(1620,2416)))</f>
        <v>51753701.980203144</v>
      </c>
      <c r="B12182">
        <v>174257788.09665978</v>
      </c>
    </row>
    <row r="12183" spans="1:2" x14ac:dyDescent="0.25">
      <c r="A12183">
        <f ca="1">37714.152431608*((RANDBETWEEN(1620,2416)))</f>
        <v>61624925.073247455</v>
      </c>
      <c r="B12183">
        <v>148152077.79919446</v>
      </c>
    </row>
    <row r="12184" spans="1:2" x14ac:dyDescent="0.25">
      <c r="A12184">
        <f ca="1">32892.4685968196*((RANDBETWEEN(1620,2416)))</f>
        <v>74435656.434602812</v>
      </c>
      <c r="B12184">
        <v>168750631.58344212</v>
      </c>
    </row>
    <row r="12185" spans="1:2" x14ac:dyDescent="0.25">
      <c r="A12185">
        <f ca="1">33660.9946289929*((RANDBETWEEN(1620,2416)))</f>
        <v>76141169.850782022</v>
      </c>
      <c r="B12185">
        <v>180648205.44707084</v>
      </c>
    </row>
    <row r="12186" spans="1:2" x14ac:dyDescent="0.25">
      <c r="A12186">
        <f ca="1">31452.6665972317*((RANDBETWEEN(1620,2416)))</f>
        <v>59571350.535156779</v>
      </c>
      <c r="B12186">
        <v>156445525.15057632</v>
      </c>
    </row>
    <row r="12187" spans="1:2" x14ac:dyDescent="0.25">
      <c r="A12187">
        <f ca="1">27243.5125271704*((RANDBETWEEN(1620,2416)))</f>
        <v>52007865.414368339</v>
      </c>
      <c r="B12187">
        <v>151082251.73827592</v>
      </c>
    </row>
    <row r="12188" spans="1:2" x14ac:dyDescent="0.25">
      <c r="A12188">
        <f ca="1">35753.777733034*((RANDBETWEEN(1620,2416)))</f>
        <v>73903058.574181348</v>
      </c>
      <c r="B12188">
        <v>145621847.58898097</v>
      </c>
    </row>
    <row r="12189" spans="1:2" x14ac:dyDescent="0.25">
      <c r="A12189">
        <f ca="1">32076.4186874624*((RANDBETWEEN(1620,2416)))</f>
        <v>74834284.797849804</v>
      </c>
      <c r="B12189">
        <v>150857985.26335448</v>
      </c>
    </row>
    <row r="12190" spans="1:2" x14ac:dyDescent="0.25">
      <c r="A12190">
        <f ca="1">33750.5244537192*((RANDBETWEEN(1620,2416)))</f>
        <v>72934883.344487101</v>
      </c>
      <c r="B12190">
        <v>144662435.50162202</v>
      </c>
    </row>
    <row r="12191" spans="1:2" x14ac:dyDescent="0.25">
      <c r="A12191">
        <f ca="1">29990.2823032262*((RANDBETWEEN(1620,2416)))</f>
        <v>68707736.756691203</v>
      </c>
      <c r="B12191">
        <v>158348598.69259021</v>
      </c>
    </row>
    <row r="12192" spans="1:2" x14ac:dyDescent="0.25">
      <c r="A12192">
        <f ca="1">29354.1659405136*((RANDBETWEEN(1620,2416)))</f>
        <v>54921644.474700876</v>
      </c>
      <c r="B12192">
        <v>183788304.64513361</v>
      </c>
    </row>
    <row r="12193" spans="1:2" x14ac:dyDescent="0.25">
      <c r="A12193">
        <f ca="1">30954.3193428437*((RANDBETWEEN(1620,2416)))</f>
        <v>58967978.348117247</v>
      </c>
      <c r="B12193">
        <v>162296012.81668675</v>
      </c>
    </row>
    <row r="12194" spans="1:2" x14ac:dyDescent="0.25">
      <c r="A12194">
        <f ca="1">32477.8423311093*((RANDBETWEEN(1620,2416)))</f>
        <v>68820547.899620667</v>
      </c>
      <c r="B12194">
        <v>143792067.60756031</v>
      </c>
    </row>
    <row r="12195" spans="1:2" x14ac:dyDescent="0.25">
      <c r="A12195">
        <f ca="1">27338.4167328846*((RANDBETWEEN(1620,2416)))</f>
        <v>53118543.711994685</v>
      </c>
      <c r="B12195">
        <v>162488734.24571007</v>
      </c>
    </row>
    <row r="12196" spans="1:2" x14ac:dyDescent="0.25">
      <c r="A12196">
        <f ca="1">35679.3102634154*((RANDBETWEEN(1620,2416)))</f>
        <v>59762844.691220745</v>
      </c>
      <c r="B12196">
        <v>151463321.40372673</v>
      </c>
    </row>
    <row r="12197" spans="1:2" x14ac:dyDescent="0.25">
      <c r="A12197">
        <f ca="1">31284.4397000268*((RANDBETWEEN(1620,2416)))</f>
        <v>56311991.460048191</v>
      </c>
      <c r="B12197">
        <v>188949520.43782559</v>
      </c>
    </row>
    <row r="12198" spans="1:2" x14ac:dyDescent="0.25">
      <c r="A12198">
        <f ca="1">38158.1585074723*((RANDBETWEEN(1620,2416)))</f>
        <v>82268989.742110342</v>
      </c>
      <c r="B12198">
        <v>156751749.35425147</v>
      </c>
    </row>
    <row r="12199" spans="1:2" x14ac:dyDescent="0.25">
      <c r="A12199">
        <f ca="1">29046.5976954719*((RANDBETWEEN(1620,2416)))</f>
        <v>58064148.79324837</v>
      </c>
      <c r="B12199">
        <v>170725395.44125286</v>
      </c>
    </row>
    <row r="12200" spans="1:2" x14ac:dyDescent="0.25">
      <c r="A12200">
        <f ca="1">35858.1957023789*((RANDBETWEEN(1620,2416)))</f>
        <v>84159185.313483283</v>
      </c>
      <c r="B12200">
        <v>144014738.32260233</v>
      </c>
    </row>
    <row r="12201" spans="1:2" x14ac:dyDescent="0.25">
      <c r="A12201">
        <f ca="1">29829.377012038*((RANDBETWEEN(1620,2416)))</f>
        <v>65982581.950628147</v>
      </c>
      <c r="B12201">
        <v>143107671.89215165</v>
      </c>
    </row>
    <row r="12202" spans="1:2" x14ac:dyDescent="0.25">
      <c r="A12202">
        <f ca="1">32617.9489148372*((RANDBETWEEN(1620,2416)))</f>
        <v>62528608.069742829</v>
      </c>
      <c r="B12202">
        <v>152848755.35657799</v>
      </c>
    </row>
    <row r="12203" spans="1:2" x14ac:dyDescent="0.25">
      <c r="A12203">
        <f ca="1">39840.9356228517*((RANDBETWEEN(1620,2416)))</f>
        <v>80916940.250011787</v>
      </c>
      <c r="B12203">
        <v>146193036.52654245</v>
      </c>
    </row>
    <row r="12204" spans="1:2" x14ac:dyDescent="0.25">
      <c r="A12204">
        <f ca="1">30824.8201952823*((RANDBETWEEN(1620,2416)))</f>
        <v>70280590.045243546</v>
      </c>
      <c r="B12204">
        <v>182994535.5106889</v>
      </c>
    </row>
    <row r="12205" spans="1:2" x14ac:dyDescent="0.25">
      <c r="A12205">
        <f ca="1">31730.0209973211*((RANDBETWEEN(1620,2416)))</f>
        <v>69837776.21510385</v>
      </c>
      <c r="B12205">
        <v>181372993.61006355</v>
      </c>
    </row>
    <row r="12206" spans="1:2" x14ac:dyDescent="0.25">
      <c r="A12206">
        <f ca="1">35540.4280606618*((RANDBETWEEN(1620,2416)))</f>
        <v>66176277.048952296</v>
      </c>
      <c r="B12206">
        <v>181317529.4451791</v>
      </c>
    </row>
    <row r="12207" spans="1:2" x14ac:dyDescent="0.25">
      <c r="A12207">
        <f ca="1">40940.5442249452*((RANDBETWEEN(1620,2416)))</f>
        <v>80038763.959767923</v>
      </c>
      <c r="B12207">
        <v>187785847.64694971</v>
      </c>
    </row>
    <row r="12208" spans="1:2" x14ac:dyDescent="0.25">
      <c r="A12208">
        <f ca="1">41524.8873936406*((RANDBETWEEN(1620,2416)))</f>
        <v>85292118.706537783</v>
      </c>
      <c r="B12208">
        <v>159578377.57440531</v>
      </c>
    </row>
    <row r="12209" spans="1:2" x14ac:dyDescent="0.25">
      <c r="A12209">
        <f ca="1">27919.6922778273*((RANDBETWEEN(1620,2416)))</f>
        <v>47351798.103195079</v>
      </c>
      <c r="B12209">
        <v>164667623.79531318</v>
      </c>
    </row>
    <row r="12210" spans="1:2" x14ac:dyDescent="0.25">
      <c r="A12210">
        <f ca="1">29995.3510561912*((RANDBETWEEN(1620,2416)))</f>
        <v>61820418.52681008</v>
      </c>
      <c r="B12210">
        <v>176948922.9256072</v>
      </c>
    </row>
    <row r="12211" spans="1:2" x14ac:dyDescent="0.25">
      <c r="A12211">
        <f ca="1">32125.0726268515*((RANDBETWEEN(1620,2416)))</f>
        <v>52652994.035409547</v>
      </c>
      <c r="B12211">
        <v>199390588.44663817</v>
      </c>
    </row>
    <row r="12212" spans="1:2" x14ac:dyDescent="0.25">
      <c r="A12212">
        <f ca="1">35937.9930142987*((RANDBETWEEN(1620,2416)))</f>
        <v>70366590.321996808</v>
      </c>
      <c r="B12212">
        <v>197240725.06666973</v>
      </c>
    </row>
    <row r="12213" spans="1:2" x14ac:dyDescent="0.25">
      <c r="A12213">
        <f ca="1">32729.881446424*((RANDBETWEEN(1620,2416)))</f>
        <v>65885251.351651527</v>
      </c>
      <c r="B12213">
        <v>188883957.86216632</v>
      </c>
    </row>
    <row r="12214" spans="1:2" x14ac:dyDescent="0.25">
      <c r="A12214">
        <f ca="1">34235.5747979933*((RANDBETWEEN(1620,2416)))</f>
        <v>72442476.272553906</v>
      </c>
      <c r="B12214">
        <v>168129671.26601738</v>
      </c>
    </row>
    <row r="12215" spans="1:2" x14ac:dyDescent="0.25">
      <c r="A12215">
        <f ca="1">38093.6361715389*((RANDBETWEEN(1620,2416)))</f>
        <v>64340151.493729137</v>
      </c>
      <c r="B12215">
        <v>174050677.8915714</v>
      </c>
    </row>
    <row r="12216" spans="1:2" x14ac:dyDescent="0.25">
      <c r="A12216">
        <f ca="1">32945.6512630889*((RANDBETWEEN(1620,2416)))</f>
        <v>67703313.345647782</v>
      </c>
      <c r="B12216">
        <v>187979398.59775826</v>
      </c>
    </row>
    <row r="12217" spans="1:2" x14ac:dyDescent="0.25">
      <c r="A12217">
        <f ca="1">34103.5294471428*((RANDBETWEEN(1620,2416)))</f>
        <v>68650404.777098536</v>
      </c>
      <c r="B12217">
        <v>168137238.075014</v>
      </c>
    </row>
    <row r="12218" spans="1:2" x14ac:dyDescent="0.25">
      <c r="A12218">
        <f ca="1">31128.7465772882*((RANDBETWEEN(1620,2416)))</f>
        <v>68234212.497415766</v>
      </c>
      <c r="B12218">
        <v>151468518.97841394</v>
      </c>
    </row>
    <row r="12219" spans="1:2" x14ac:dyDescent="0.25">
      <c r="A12219">
        <f ca="1">32757.9022833531*((RANDBETWEEN(1620,2416)))</f>
        <v>71608774.391409919</v>
      </c>
      <c r="B12219">
        <v>159014277.68878669</v>
      </c>
    </row>
    <row r="12220" spans="1:2" x14ac:dyDescent="0.25">
      <c r="A12220">
        <f ca="1">39996.9733367735*((RANDBETWEEN(1620,2416)))</f>
        <v>96072729.954929933</v>
      </c>
      <c r="B12220">
        <v>150714493.9549067</v>
      </c>
    </row>
    <row r="12221" spans="1:2" x14ac:dyDescent="0.25">
      <c r="A12221">
        <f ca="1">34577.5596842252*((RANDBETWEEN(1620,2416)))</f>
        <v>72785763.135294005</v>
      </c>
      <c r="B12221">
        <v>173562858.90048528</v>
      </c>
    </row>
    <row r="12222" spans="1:2" x14ac:dyDescent="0.25">
      <c r="A12222">
        <f ca="1">31440.2279849167*((RANDBETWEEN(1620,2416)))</f>
        <v>54643116.237785175</v>
      </c>
      <c r="B12222">
        <v>149309167.16072893</v>
      </c>
    </row>
    <row r="12223" spans="1:2" x14ac:dyDescent="0.25">
      <c r="A12223">
        <f ca="1">36274.2376152711*((RANDBETWEEN(1620,2416)))</f>
        <v>82632713.287587643</v>
      </c>
      <c r="B12223">
        <v>147202444.89148167</v>
      </c>
    </row>
    <row r="12224" spans="1:2" x14ac:dyDescent="0.25">
      <c r="A12224">
        <f ca="1">30521.8943488186*((RANDBETWEEN(1620,2416)))</f>
        <v>66537729.680424564</v>
      </c>
      <c r="B12224">
        <v>186450641.82571307</v>
      </c>
    </row>
    <row r="12225" spans="1:2" x14ac:dyDescent="0.25">
      <c r="A12225">
        <f ca="1">32339.4178123*((RANDBETWEEN(1620,2416)))</f>
        <v>64517138.535538435</v>
      </c>
      <c r="B12225">
        <v>183747058.28818557</v>
      </c>
    </row>
    <row r="12226" spans="1:2" x14ac:dyDescent="0.25">
      <c r="A12226">
        <f ca="1">37803.6808801424*((RANDBETWEEN(1620,2416)))</f>
        <v>63018736.027197413</v>
      </c>
      <c r="B12226">
        <v>190768418.47338206</v>
      </c>
    </row>
    <row r="12227" spans="1:2" x14ac:dyDescent="0.25">
      <c r="A12227">
        <f ca="1">31088.9730939022*((RANDBETWEEN(1620,2416)))</f>
        <v>70913947.627190992</v>
      </c>
      <c r="B12227">
        <v>149697183.32477593</v>
      </c>
    </row>
    <row r="12228" spans="1:2" x14ac:dyDescent="0.25">
      <c r="A12228">
        <f ca="1">29112.9315358411*((RANDBETWEEN(1620,2416)))</f>
        <v>60030864.826904334</v>
      </c>
      <c r="B12228">
        <v>177208418.30883393</v>
      </c>
    </row>
    <row r="12229" spans="1:2" x14ac:dyDescent="0.25">
      <c r="A12229">
        <f ca="1">30822.7654049361*((RANDBETWEEN(1620,2416)))</f>
        <v>64265465.869291835</v>
      </c>
      <c r="B12229">
        <v>162432084.07135409</v>
      </c>
    </row>
    <row r="12230" spans="1:2" x14ac:dyDescent="0.25">
      <c r="A12230">
        <f ca="1">40205.8374977223*((RANDBETWEEN(1620,2416)))</f>
        <v>66299426.033744104</v>
      </c>
      <c r="B12230">
        <v>170676319.23187149</v>
      </c>
    </row>
    <row r="12231" spans="1:2" x14ac:dyDescent="0.25">
      <c r="A12231">
        <f ca="1">38361.1446468164*((RANDBETWEEN(1620,2416)))</f>
        <v>71466812.477018878</v>
      </c>
      <c r="B12231">
        <v>202242891.049564</v>
      </c>
    </row>
    <row r="12232" spans="1:2" x14ac:dyDescent="0.25">
      <c r="A12232">
        <f ca="1">30354.9237958052*((RANDBETWEEN(1620,2416)))</f>
        <v>56581577.955380946</v>
      </c>
      <c r="B12232">
        <v>164495262.84885052</v>
      </c>
    </row>
    <row r="12233" spans="1:2" x14ac:dyDescent="0.25">
      <c r="A12233">
        <f ca="1">27457.8932766528*((RANDBETWEEN(1620,2416)))</f>
        <v>59803291.556549884</v>
      </c>
      <c r="B12233">
        <v>162519535.56255352</v>
      </c>
    </row>
    <row r="12234" spans="1:2" x14ac:dyDescent="0.25">
      <c r="A12234">
        <f ca="1">29638.0391765167*((RANDBETWEEN(1620,2416)))</f>
        <v>64729477.561512381</v>
      </c>
      <c r="B12234">
        <v>168045918.71640831</v>
      </c>
    </row>
    <row r="12235" spans="1:2" x14ac:dyDescent="0.25">
      <c r="A12235">
        <f ca="1">32761.9547929248*((RANDBETWEEN(1620,2416)))</f>
        <v>71158965.810232699</v>
      </c>
      <c r="B12235">
        <v>197220125.32187307</v>
      </c>
    </row>
    <row r="12236" spans="1:2" x14ac:dyDescent="0.25">
      <c r="A12236">
        <f ca="1">32615.1963101973*((RANDBETWEEN(1620,2416)))</f>
        <v>61544875.437342361</v>
      </c>
      <c r="B12236">
        <v>143389688.76162463</v>
      </c>
    </row>
    <row r="12237" spans="1:2" x14ac:dyDescent="0.25">
      <c r="A12237">
        <f ca="1">32701.8272660912*((RANDBETWEEN(1620,2416)))</f>
        <v>70930263.340151861</v>
      </c>
      <c r="B12237">
        <v>164333146.31528693</v>
      </c>
    </row>
    <row r="12238" spans="1:2" x14ac:dyDescent="0.25">
      <c r="A12238">
        <f ca="1">31963.3524275563*((RANDBETWEEN(1620,2416)))</f>
        <v>63511181.273554288</v>
      </c>
      <c r="B12238">
        <v>190547923.87329012</v>
      </c>
    </row>
    <row r="12239" spans="1:2" x14ac:dyDescent="0.25">
      <c r="A12239">
        <f ca="1">29160.6815371375*((RANDBETWEEN(1620,2416)))</f>
        <v>66253068.452376455</v>
      </c>
      <c r="B12239">
        <v>160920401.27992398</v>
      </c>
    </row>
    <row r="12240" spans="1:2" x14ac:dyDescent="0.25">
      <c r="A12240">
        <f ca="1">30780.1699351067*((RANDBETWEEN(1620,2416)))</f>
        <v>68393537.595807105</v>
      </c>
      <c r="B12240">
        <v>142981713.55809394</v>
      </c>
    </row>
    <row r="12241" spans="1:2" x14ac:dyDescent="0.25">
      <c r="A12241">
        <f ca="1">32052.0603949182*((RANDBETWEEN(1620,2416)))</f>
        <v>68046524.218411416</v>
      </c>
      <c r="B12241">
        <v>198517588.97440833</v>
      </c>
    </row>
    <row r="12242" spans="1:2" x14ac:dyDescent="0.25">
      <c r="A12242">
        <f ca="1">36841.6686810917*((RANDBETWEEN(1620,2416)))</f>
        <v>60751911.655120194</v>
      </c>
      <c r="B12242">
        <v>183566620.28072232</v>
      </c>
    </row>
    <row r="12243" spans="1:2" x14ac:dyDescent="0.25">
      <c r="A12243">
        <f ca="1">31948.7976546583*((RANDBETWEEN(1620,2416)))</f>
        <v>73130797.831512734</v>
      </c>
      <c r="B12243">
        <v>167601738.35764968</v>
      </c>
    </row>
    <row r="12244" spans="1:2" x14ac:dyDescent="0.25">
      <c r="A12244">
        <f ca="1">29177.8070115441*((RANDBETWEEN(1620,2416)))</f>
        <v>64599664.723558582</v>
      </c>
      <c r="B12244">
        <v>176187769.58990961</v>
      </c>
    </row>
    <row r="12245" spans="1:2" x14ac:dyDescent="0.25">
      <c r="A12245">
        <f ca="1">31318.9120550744*((RANDBETWEEN(1620,2416)))</f>
        <v>54338312.415554062</v>
      </c>
      <c r="B12245">
        <v>161995869.55880764</v>
      </c>
    </row>
    <row r="12246" spans="1:2" x14ac:dyDescent="0.25">
      <c r="A12246">
        <f ca="1">30036.8367676953*((RANDBETWEEN(1620,2416)))</f>
        <v>59052421.085288867</v>
      </c>
      <c r="B12246">
        <v>164238620.36505836</v>
      </c>
    </row>
    <row r="12247" spans="1:2" x14ac:dyDescent="0.25">
      <c r="A12247">
        <f ca="1">30945.0202025161*((RANDBETWEEN(1620,2416)))</f>
        <v>60806964.69794406</v>
      </c>
      <c r="B12247">
        <v>159238077.98065373</v>
      </c>
    </row>
    <row r="12248" spans="1:2" x14ac:dyDescent="0.25">
      <c r="A12248">
        <f ca="1">41663.6379086841*((RANDBETWEEN(1620,2416)))</f>
        <v>69369957.117959052</v>
      </c>
      <c r="B12248">
        <v>148117493.46432713</v>
      </c>
    </row>
    <row r="12249" spans="1:2" x14ac:dyDescent="0.25">
      <c r="A12249">
        <f ca="1">30866.8487859032*((RANDBETWEEN(1620,2416)))</f>
        <v>65746387.913973801</v>
      </c>
      <c r="B12249">
        <v>161007072.4738096</v>
      </c>
    </row>
    <row r="12250" spans="1:2" x14ac:dyDescent="0.25">
      <c r="A12250">
        <f ca="1">30836.7637720256*((RANDBETWEEN(1620,2416)))</f>
        <v>53100907.215428144</v>
      </c>
      <c r="B12250">
        <v>172993669.48324805</v>
      </c>
    </row>
    <row r="12251" spans="1:2" x14ac:dyDescent="0.25">
      <c r="A12251">
        <f ca="1">31457.1316463984*((RANDBETWEEN(1620,2416)))</f>
        <v>59674178.733217783</v>
      </c>
      <c r="B12251">
        <v>171833761.38986668</v>
      </c>
    </row>
    <row r="12252" spans="1:2" x14ac:dyDescent="0.25">
      <c r="A12252">
        <f ca="1">32227.8493013297*((RANDBETWEEN(1620,2416)))</f>
        <v>54722888.11365778</v>
      </c>
      <c r="B12252">
        <v>198545493.3643555</v>
      </c>
    </row>
    <row r="12253" spans="1:2" x14ac:dyDescent="0.25">
      <c r="A12253">
        <f ca="1">32039.1464925347*((RANDBETWEEN(1620,2416)))</f>
        <v>66160837.507084236</v>
      </c>
      <c r="B12253">
        <v>168924993.13190189</v>
      </c>
    </row>
    <row r="12254" spans="1:2" x14ac:dyDescent="0.25">
      <c r="A12254">
        <f ca="1">39465.2876569146*((RANDBETWEEN(1620,2416)))</f>
        <v>93572197.034544587</v>
      </c>
      <c r="B12254">
        <v>165008888.90110832</v>
      </c>
    </row>
    <row r="12255" spans="1:2" x14ac:dyDescent="0.25">
      <c r="A12255">
        <f ca="1">42976.5712852045*((RANDBETWEEN(1620,2416)))</f>
        <v>82643946.581448197</v>
      </c>
      <c r="B12255">
        <v>183786691.465406</v>
      </c>
    </row>
    <row r="12256" spans="1:2" x14ac:dyDescent="0.25">
      <c r="A12256">
        <f ca="1">29311.5893991413*((RANDBETWEEN(1620,2416)))</f>
        <v>49302093.369355664</v>
      </c>
      <c r="B12256">
        <v>148821202.84354836</v>
      </c>
    </row>
    <row r="12257" spans="1:2" x14ac:dyDescent="0.25">
      <c r="A12257">
        <f ca="1">37264.0737045271*((RANDBETWEEN(1620,2416)))</f>
        <v>79931438.096210688</v>
      </c>
      <c r="B12257">
        <v>156173311.16964161</v>
      </c>
    </row>
    <row r="12258" spans="1:2" x14ac:dyDescent="0.25">
      <c r="A12258">
        <f ca="1">37069.3921194086*((RANDBETWEEN(1620,2416)))</f>
        <v>73582743.357025981</v>
      </c>
      <c r="B12258">
        <v>161746582.53605279</v>
      </c>
    </row>
    <row r="12259" spans="1:2" x14ac:dyDescent="0.25">
      <c r="A12259">
        <f ca="1">39974.915619797*((RANDBETWEEN(1620,2416)))</f>
        <v>96459471.390570104</v>
      </c>
      <c r="B12259">
        <v>147881991.52867872</v>
      </c>
    </row>
    <row r="12260" spans="1:2" x14ac:dyDescent="0.25">
      <c r="A12260">
        <f ca="1">38437.0886665596*((RANDBETWEEN(1620,2416)))</f>
        <v>87367502.539090082</v>
      </c>
      <c r="B12260">
        <v>154946163.2460081</v>
      </c>
    </row>
    <row r="12261" spans="1:2" x14ac:dyDescent="0.25">
      <c r="A12261">
        <f ca="1">29575.7197511623*((RANDBETWEEN(1620,2416)))</f>
        <v>65451067.809322193</v>
      </c>
      <c r="B12261">
        <v>158424162.10201213</v>
      </c>
    </row>
    <row r="12262" spans="1:2" x14ac:dyDescent="0.25">
      <c r="A12262">
        <f ca="1">34069.4848409061*((RANDBETWEEN(1620,2416)))</f>
        <v>64697951.712880604</v>
      </c>
      <c r="B12262">
        <v>178975219.39860833</v>
      </c>
    </row>
    <row r="12263" spans="1:2" x14ac:dyDescent="0.25">
      <c r="A12263">
        <f ca="1">30614.4595291908*((RANDBETWEEN(1620,2416)))</f>
        <v>67811027.857157528</v>
      </c>
      <c r="B12263">
        <v>172195215.52447987</v>
      </c>
    </row>
    <row r="12264" spans="1:2" x14ac:dyDescent="0.25">
      <c r="A12264">
        <f ca="1">39909.033721039*((RANDBETWEEN(1620,2416)))</f>
        <v>81773610.094408989</v>
      </c>
      <c r="B12264">
        <v>143017913.39514744</v>
      </c>
    </row>
    <row r="12265" spans="1:2" x14ac:dyDescent="0.25">
      <c r="A12265">
        <f ca="1">30286.8219975049*((RANDBETWEEN(1620,2416)))</f>
        <v>52577922.987668462</v>
      </c>
      <c r="B12265">
        <v>162429068.82892817</v>
      </c>
    </row>
    <row r="12266" spans="1:2" x14ac:dyDescent="0.25">
      <c r="A12266">
        <f ca="1">31369.5163834987*((RANDBETWEEN(1620,2416)))</f>
        <v>66848439.413235724</v>
      </c>
      <c r="B12266">
        <v>192090784.8389827</v>
      </c>
    </row>
    <row r="12267" spans="1:2" x14ac:dyDescent="0.25">
      <c r="A12267">
        <f ca="1">29314.7003253152*((RANDBETWEEN(1620,2416)))</f>
        <v>49922934.654011831</v>
      </c>
      <c r="B12267">
        <v>158713653.46143153</v>
      </c>
    </row>
    <row r="12268" spans="1:2" x14ac:dyDescent="0.25">
      <c r="A12268">
        <f ca="1">32356.055350553*((RANDBETWEEN(1620,2416)))</f>
        <v>75292540.800736904</v>
      </c>
      <c r="B12268">
        <v>175418052.15169618</v>
      </c>
    </row>
    <row r="12269" spans="1:2" x14ac:dyDescent="0.25">
      <c r="A12269">
        <f ca="1">32474.0021728613*((RANDBETWEEN(1620,2416)))</f>
        <v>68065508.55431731</v>
      </c>
      <c r="B12269">
        <v>157084821.98005754</v>
      </c>
    </row>
    <row r="12270" spans="1:2" x14ac:dyDescent="0.25">
      <c r="A12270">
        <f ca="1">36086.588134971*((RANDBETWEEN(1620,2416)))</f>
        <v>82674373.417218551</v>
      </c>
      <c r="B12270">
        <v>192927518.14222306</v>
      </c>
    </row>
    <row r="12271" spans="1:2" x14ac:dyDescent="0.25">
      <c r="A12271">
        <f ca="1">30685.8779197495*((RANDBETWEEN(1620,2416)))</f>
        <v>62384389.81085068</v>
      </c>
      <c r="B12271">
        <v>182681493.8155883</v>
      </c>
    </row>
    <row r="12272" spans="1:2" x14ac:dyDescent="0.25">
      <c r="A12272">
        <f ca="1">33636.9327835524*((RANDBETWEEN(1620,2416)))</f>
        <v>59571007.959671326</v>
      </c>
      <c r="B12272">
        <v>187813726.096466</v>
      </c>
    </row>
    <row r="12273" spans="1:2" x14ac:dyDescent="0.25">
      <c r="A12273">
        <f ca="1">30700.7369967344*((RANDBETWEEN(1620,2416)))</f>
        <v>69752074.456580654</v>
      </c>
      <c r="B12273">
        <v>165315960.22866255</v>
      </c>
    </row>
    <row r="12274" spans="1:2" x14ac:dyDescent="0.25">
      <c r="A12274">
        <f ca="1">30286.652103577*((RANDBETWEEN(1620,2416)))</f>
        <v>63329389.548579574</v>
      </c>
      <c r="B12274">
        <v>184189136.48520523</v>
      </c>
    </row>
    <row r="12275" spans="1:2" x14ac:dyDescent="0.25">
      <c r="A12275">
        <f ca="1">32578.351275199*((RANDBETWEEN(1620,2416)))</f>
        <v>67013668.573084272</v>
      </c>
      <c r="B12275">
        <v>167126079.62399346</v>
      </c>
    </row>
    <row r="12276" spans="1:2" x14ac:dyDescent="0.25">
      <c r="A12276">
        <f ca="1">32212.4015671723*((RANDBETWEEN(1620,2416)))</f>
        <v>65616661.992329895</v>
      </c>
      <c r="B12276">
        <v>196359754.23455101</v>
      </c>
    </row>
    <row r="12277" spans="1:2" x14ac:dyDescent="0.25">
      <c r="A12277">
        <f ca="1">38699.4570405087*((RANDBETWEEN(1620,2416)))</f>
        <v>64589393.800608948</v>
      </c>
      <c r="B12277">
        <v>158735653.18055579</v>
      </c>
    </row>
    <row r="12278" spans="1:2" x14ac:dyDescent="0.25">
      <c r="A12278">
        <f ca="1">31436.5629978307*((RANDBETWEEN(1620,2416)))</f>
        <v>60515383.770824172</v>
      </c>
      <c r="B12278">
        <v>147203114.39572048</v>
      </c>
    </row>
    <row r="12279" spans="1:2" x14ac:dyDescent="0.25">
      <c r="A12279">
        <f ca="1">30022.9110937905*((RANDBETWEEN(1620,2416)))</f>
        <v>68812512.226967901</v>
      </c>
      <c r="B12279">
        <v>182317798.02046713</v>
      </c>
    </row>
    <row r="12280" spans="1:2" x14ac:dyDescent="0.25">
      <c r="A12280">
        <f ca="1">30445.1699582198*((RANDBETWEEN(1620,2416)))</f>
        <v>53065931.237177096</v>
      </c>
      <c r="B12280">
        <v>186174488.44434664</v>
      </c>
    </row>
    <row r="12281" spans="1:2" x14ac:dyDescent="0.25">
      <c r="A12281">
        <f ca="1">29875.532667878*((RANDBETWEEN(1620,2416)))</f>
        <v>53148572.616154939</v>
      </c>
      <c r="B12281">
        <v>162060539.69110966</v>
      </c>
    </row>
    <row r="12282" spans="1:2" x14ac:dyDescent="0.25">
      <c r="A12282">
        <f ca="1">32979.4545723484*((RANDBETWEEN(1620,2416)))</f>
        <v>72521820.604594201</v>
      </c>
      <c r="B12282">
        <v>143262812.90936333</v>
      </c>
    </row>
    <row r="12283" spans="1:2" x14ac:dyDescent="0.25">
      <c r="A12283">
        <f ca="1">32387.7346895615*((RANDBETWEEN(1620,2416)))</f>
        <v>55804066.870114483</v>
      </c>
      <c r="B12283">
        <v>159443124.37328881</v>
      </c>
    </row>
    <row r="12284" spans="1:2" x14ac:dyDescent="0.25">
      <c r="A12284">
        <f ca="1">32812.5856274624*((RANDBETWEEN(1620,2416)))</f>
        <v>53943890.771548226</v>
      </c>
      <c r="B12284">
        <v>143354543.46132088</v>
      </c>
    </row>
    <row r="12285" spans="1:2" x14ac:dyDescent="0.25">
      <c r="A12285">
        <f ca="1">38423.5370777869*((RANDBETWEEN(1620,2416)))</f>
        <v>90410582.744032517</v>
      </c>
      <c r="B12285">
        <v>179306568.76151979</v>
      </c>
    </row>
    <row r="12286" spans="1:2" x14ac:dyDescent="0.25">
      <c r="A12286">
        <f ca="1">32075.9630408051*((RANDBETWEEN(1620,2416)))</f>
        <v>55427264.134511255</v>
      </c>
      <c r="B12286">
        <v>195701670.68004322</v>
      </c>
    </row>
    <row r="12287" spans="1:2" x14ac:dyDescent="0.25">
      <c r="A12287">
        <f ca="1">33404.4149494784*((RANDBETWEEN(1620,2416)))</f>
        <v>76963772.04359813</v>
      </c>
      <c r="B12287">
        <v>179782221.26207095</v>
      </c>
    </row>
    <row r="12288" spans="1:2" x14ac:dyDescent="0.25">
      <c r="A12288">
        <f ca="1">30277.6070960245*((RANDBETWEEN(1620,2416)))</f>
        <v>62069094.546850227</v>
      </c>
      <c r="B12288">
        <v>157916673.66085145</v>
      </c>
    </row>
    <row r="12289" spans="1:2" x14ac:dyDescent="0.25">
      <c r="A12289">
        <f ca="1">37294.5901493038*((RANDBETWEEN(1620,2416)))</f>
        <v>61834430.467545696</v>
      </c>
      <c r="B12289">
        <v>154038935.50293052</v>
      </c>
    </row>
    <row r="12290" spans="1:2" x14ac:dyDescent="0.25">
      <c r="A12290">
        <f ca="1">32612.4976494957*((RANDBETWEEN(1620,2416)))</f>
        <v>66431657.712022729</v>
      </c>
      <c r="B12290">
        <v>189279772.44004571</v>
      </c>
    </row>
    <row r="12291" spans="1:2" x14ac:dyDescent="0.25">
      <c r="A12291">
        <f ca="1">30100.1191262282*((RANDBETWEEN(1620,2416)))</f>
        <v>50929401.561578035</v>
      </c>
      <c r="B12291">
        <v>192733859.70205459</v>
      </c>
    </row>
    <row r="12292" spans="1:2" x14ac:dyDescent="0.25">
      <c r="A12292">
        <f ca="1">29631.2480572114*((RANDBETWEEN(1620,2416)))</f>
        <v>68596339.252444446</v>
      </c>
      <c r="B12292">
        <v>150753101.57202691</v>
      </c>
    </row>
    <row r="12293" spans="1:2" x14ac:dyDescent="0.25">
      <c r="A12293">
        <f ca="1">33825.0957378121*((RANDBETWEEN(1620,2416)))</f>
        <v>71370952.006783515</v>
      </c>
      <c r="B12293">
        <v>183983677.77710348</v>
      </c>
    </row>
    <row r="12294" spans="1:2" x14ac:dyDescent="0.25">
      <c r="A12294">
        <f ca="1">37202.9867419515*((RANDBETWEEN(1620,2416)))</f>
        <v>84599591.851197675</v>
      </c>
      <c r="B12294">
        <v>149385292.82340607</v>
      </c>
    </row>
    <row r="12295" spans="1:2" x14ac:dyDescent="0.25">
      <c r="A12295">
        <f ca="1">35563.3544529105*((RANDBETWEEN(1620,2416)))</f>
        <v>85814374.294873118</v>
      </c>
      <c r="B12295">
        <v>169273670.82470888</v>
      </c>
    </row>
    <row r="12296" spans="1:2" x14ac:dyDescent="0.25">
      <c r="A12296">
        <f ca="1">34298.351661503*((RANDBETWEEN(1620,2416)))</f>
        <v>57243948.923048571</v>
      </c>
      <c r="B12296">
        <v>164940113.59727502</v>
      </c>
    </row>
    <row r="12297" spans="1:2" x14ac:dyDescent="0.25">
      <c r="A12297">
        <f ca="1">39506.584973621*((RANDBETWEEN(1620,2416)))</f>
        <v>72099517.576858401</v>
      </c>
      <c r="B12297">
        <v>161019588.29174721</v>
      </c>
    </row>
    <row r="12298" spans="1:2" x14ac:dyDescent="0.25">
      <c r="A12298">
        <f ca="1">31088.6640381897*((RANDBETWEEN(1620,2416)))</f>
        <v>50550167.726096474</v>
      </c>
      <c r="B12298">
        <v>177112407.90948835</v>
      </c>
    </row>
    <row r="12299" spans="1:2" x14ac:dyDescent="0.25">
      <c r="A12299">
        <f ca="1">38143.2324672781*((RANDBETWEEN(1620,2416)))</f>
        <v>62669330.943737887</v>
      </c>
      <c r="B12299">
        <v>171422988.03877747</v>
      </c>
    </row>
    <row r="12300" spans="1:2" x14ac:dyDescent="0.25">
      <c r="A12300">
        <f ca="1">31572.6426313744*((RANDBETWEEN(1620,2416)))</f>
        <v>51621270.702297173</v>
      </c>
      <c r="B12300">
        <v>156202299.64611107</v>
      </c>
    </row>
    <row r="12301" spans="1:2" x14ac:dyDescent="0.25">
      <c r="A12301">
        <f ca="1">29191.9637002826*((RANDBETWEEN(1620,2416)))</f>
        <v>65302422.797532119</v>
      </c>
      <c r="B12301">
        <v>160486364.61007509</v>
      </c>
    </row>
    <row r="12302" spans="1:2" x14ac:dyDescent="0.25">
      <c r="A12302">
        <f ca="1">32640.7980407639*((RANDBETWEEN(1620,2416)))</f>
        <v>71287502.921028435</v>
      </c>
      <c r="B12302">
        <v>153939962.58837873</v>
      </c>
    </row>
    <row r="12303" spans="1:2" x14ac:dyDescent="0.25">
      <c r="A12303">
        <f ca="1">41478.9699519849*((RANDBETWEEN(1620,2416)))</f>
        <v>71136433.467654139</v>
      </c>
      <c r="B12303">
        <v>188872434.41780394</v>
      </c>
    </row>
    <row r="12304" spans="1:2" x14ac:dyDescent="0.25">
      <c r="A12304">
        <f ca="1">32975.6400416599*((RANDBETWEEN(1620,2416)))</f>
        <v>66775671.084361382</v>
      </c>
      <c r="B12304">
        <v>193313094.52922732</v>
      </c>
    </row>
    <row r="12305" spans="1:2" x14ac:dyDescent="0.25">
      <c r="A12305">
        <f ca="1">37910.6466903509*((RANDBETWEEN(1620,2416)))</f>
        <v>85374776.346670166</v>
      </c>
      <c r="B12305">
        <v>162094107.61908638</v>
      </c>
    </row>
    <row r="12306" spans="1:2" x14ac:dyDescent="0.25">
      <c r="A12306">
        <f ca="1">36543.4833925234*((RANDBETWEEN(1620,2416)))</f>
        <v>73013879.818261757</v>
      </c>
      <c r="B12306">
        <v>188259749.19479924</v>
      </c>
    </row>
    <row r="12307" spans="1:2" x14ac:dyDescent="0.25">
      <c r="A12307">
        <f ca="1">31218.8202789111*((RANDBETWEEN(1620,2416)))</f>
        <v>66059023.71017579</v>
      </c>
      <c r="B12307">
        <v>164176746.42815363</v>
      </c>
    </row>
    <row r="12308" spans="1:2" x14ac:dyDescent="0.25">
      <c r="A12308">
        <f ca="1">41832.7458049683*((RANDBETWEEN(1620,2416)))</f>
        <v>74211291.058013767</v>
      </c>
      <c r="B12308">
        <v>174481541.94513276</v>
      </c>
    </row>
    <row r="12309" spans="1:2" x14ac:dyDescent="0.25">
      <c r="A12309">
        <f ca="1">32990.39247133*((RANDBETWEEN(1620,2416)))</f>
        <v>76438739.356071621</v>
      </c>
      <c r="B12309">
        <v>148612070.21003246</v>
      </c>
    </row>
    <row r="12310" spans="1:2" x14ac:dyDescent="0.25">
      <c r="A12310">
        <f ca="1">39519.6996331262*((RANDBETWEEN(1620,2416)))</f>
        <v>77023894.584962904</v>
      </c>
      <c r="B12310">
        <v>147133798.25430238</v>
      </c>
    </row>
    <row r="12311" spans="1:2" x14ac:dyDescent="0.25">
      <c r="A12311">
        <f ca="1">32247.6879646997*((RANDBETWEEN(1620,2416)))</f>
        <v>66236751.07949321</v>
      </c>
      <c r="B12311">
        <v>202003161.41809496</v>
      </c>
    </row>
    <row r="12312" spans="1:2" x14ac:dyDescent="0.25">
      <c r="A12312">
        <f ca="1">27694.4754325595*((RANDBETWEEN(1620,2416)))</f>
        <v>55998229.324635245</v>
      </c>
      <c r="B12312">
        <v>143644147.6458548</v>
      </c>
    </row>
    <row r="12313" spans="1:2" x14ac:dyDescent="0.25">
      <c r="A12313">
        <f ca="1">30036.0677994747*((RANDBETWEEN(1620,2416)))</f>
        <v>58930765.022569329</v>
      </c>
      <c r="B12313">
        <v>198165055.50152594</v>
      </c>
    </row>
    <row r="12314" spans="1:2" x14ac:dyDescent="0.25">
      <c r="A12314">
        <f ca="1">41993.8390175054*((RANDBETWEEN(1620,2416)))</f>
        <v>79536331.099155307</v>
      </c>
      <c r="B12314">
        <v>176091463.48220223</v>
      </c>
    </row>
    <row r="12315" spans="1:2" x14ac:dyDescent="0.25">
      <c r="A12315">
        <f ca="1">31011.0659533979*((RANDBETWEEN(1620,2416)))</f>
        <v>59355180.234803498</v>
      </c>
      <c r="B12315">
        <v>144223512.98136061</v>
      </c>
    </row>
    <row r="12316" spans="1:2" x14ac:dyDescent="0.25">
      <c r="A12316">
        <f ca="1">31185.8339816684*((RANDBETWEEN(1620,2416)))</f>
        <v>58722925.387481563</v>
      </c>
      <c r="B12316">
        <v>162025395.87684959</v>
      </c>
    </row>
    <row r="12317" spans="1:2" x14ac:dyDescent="0.25">
      <c r="A12317">
        <f ca="1">36133.394372242*((RANDBETWEEN(1620,2416)))</f>
        <v>87298280.803336695</v>
      </c>
      <c r="B12317">
        <v>155353303.72677159</v>
      </c>
    </row>
    <row r="12318" spans="1:2" x14ac:dyDescent="0.25">
      <c r="A12318">
        <f ca="1">34435.1436762589*((RANDBETWEEN(1620,2416)))</f>
        <v>70419868.817949533</v>
      </c>
      <c r="B12318">
        <v>167028542.33216923</v>
      </c>
    </row>
    <row r="12319" spans="1:2" x14ac:dyDescent="0.25">
      <c r="A12319">
        <f ca="1">30659.0792822653*((RANDBETWEEN(1620,2416)))</f>
        <v>58988068.539078347</v>
      </c>
      <c r="B12319">
        <v>148900204.25896394</v>
      </c>
    </row>
    <row r="12320" spans="1:2" x14ac:dyDescent="0.25">
      <c r="A12320">
        <f ca="1">32844.1027923025*((RANDBETWEEN(1620,2416)))</f>
        <v>57707088.606075563</v>
      </c>
      <c r="B12320">
        <v>148809820.08943626</v>
      </c>
    </row>
    <row r="12321" spans="1:2" x14ac:dyDescent="0.25">
      <c r="A12321">
        <f ca="1">39253.6986796626*((RANDBETWEEN(1620,2416)))</f>
        <v>87260972.164889857</v>
      </c>
      <c r="B12321">
        <v>163617823.85555673</v>
      </c>
    </row>
    <row r="12322" spans="1:2" x14ac:dyDescent="0.25">
      <c r="A12322">
        <f ca="1">29622.1662417859*((RANDBETWEEN(1620,2416)))</f>
        <v>61436372.785463877</v>
      </c>
      <c r="B12322">
        <v>185031011.90008795</v>
      </c>
    </row>
    <row r="12323" spans="1:2" x14ac:dyDescent="0.25">
      <c r="A12323">
        <f ca="1">29776.2803797963*((RANDBETWEEN(1620,2416)))</f>
        <v>50262361.281096116</v>
      </c>
      <c r="B12323">
        <v>183932460.38243249</v>
      </c>
    </row>
    <row r="12324" spans="1:2" x14ac:dyDescent="0.25">
      <c r="A12324">
        <f ca="1">32737.6834950499*((RANDBETWEEN(1620,2416)))</f>
        <v>57945699.786238313</v>
      </c>
      <c r="B12324">
        <v>166267824.22669369</v>
      </c>
    </row>
    <row r="12325" spans="1:2" x14ac:dyDescent="0.25">
      <c r="A12325">
        <f ca="1">38469.5904884285*((RANDBETWEEN(1620,2416)))</f>
        <v>84863916.617473185</v>
      </c>
      <c r="B12325">
        <v>175339254.40578949</v>
      </c>
    </row>
    <row r="12326" spans="1:2" x14ac:dyDescent="0.25">
      <c r="A12326">
        <f ca="1">33981.8439352393*((RANDBETWEEN(1620,2416)))</f>
        <v>69458889.003629088</v>
      </c>
      <c r="B12326">
        <v>153967557.77306825</v>
      </c>
    </row>
    <row r="12327" spans="1:2" x14ac:dyDescent="0.25">
      <c r="A12327">
        <f ca="1">37505.8121574223*((RANDBETWEEN(1620,2416)))</f>
        <v>87726094.636210784</v>
      </c>
      <c r="B12327">
        <v>182614726.92231965</v>
      </c>
    </row>
    <row r="12328" spans="1:2" x14ac:dyDescent="0.25">
      <c r="A12328">
        <f ca="1">30809.2784361769*((RANDBETWEEN(1620,2416)))</f>
        <v>71908855.870036781</v>
      </c>
      <c r="B12328">
        <v>182248754.88017428</v>
      </c>
    </row>
    <row r="12329" spans="1:2" x14ac:dyDescent="0.25">
      <c r="A12329">
        <f ca="1">40943.0885327088*((RANDBETWEEN(1620,2416)))</f>
        <v>95929656.432136819</v>
      </c>
      <c r="B12329">
        <v>169228860.52159423</v>
      </c>
    </row>
    <row r="12330" spans="1:2" x14ac:dyDescent="0.25">
      <c r="A12330">
        <f ca="1">41028.4504864674*((RANDBETWEEN(1620,2416)))</f>
        <v>68148256.258022323</v>
      </c>
      <c r="B12330">
        <v>188386425.14794892</v>
      </c>
    </row>
    <row r="12331" spans="1:2" x14ac:dyDescent="0.25">
      <c r="A12331">
        <f ca="1">29246.1025271183*((RANDBETWEEN(1620,2416)))</f>
        <v>49630635.988519698</v>
      </c>
      <c r="B12331">
        <v>150888546.76918605</v>
      </c>
    </row>
    <row r="12332" spans="1:2" x14ac:dyDescent="0.25">
      <c r="A12332">
        <f ca="1">27491.0810951523*((RANDBETWEEN(1620,2416)))</f>
        <v>64109201.113895178</v>
      </c>
      <c r="B12332">
        <v>154284652.2301819</v>
      </c>
    </row>
    <row r="12333" spans="1:2" x14ac:dyDescent="0.25">
      <c r="A12333">
        <f ca="1">42709.0046627977*((RANDBETWEEN(1620,2416)))</f>
        <v>71623000.819511726</v>
      </c>
      <c r="B12333">
        <v>188931502.68921697</v>
      </c>
    </row>
    <row r="12334" spans="1:2" x14ac:dyDescent="0.25">
      <c r="A12334">
        <f ca="1">33801.1623401422*((RANDBETWEEN(1620,2416)))</f>
        <v>58611215.497806519</v>
      </c>
      <c r="B12334">
        <v>173378369.23569477</v>
      </c>
    </row>
    <row r="12335" spans="1:2" x14ac:dyDescent="0.25">
      <c r="A12335">
        <f ca="1">31149.8082195375*((RANDBETWEEN(1620,2416)))</f>
        <v>62735713.754148595</v>
      </c>
      <c r="B12335">
        <v>157429943.83113551</v>
      </c>
    </row>
    <row r="12336" spans="1:2" x14ac:dyDescent="0.25">
      <c r="A12336">
        <f ca="1">30419.2294765387*((RANDBETWEEN(1620,2416)))</f>
        <v>69720873.960226759</v>
      </c>
      <c r="B12336">
        <v>145748574.45011327</v>
      </c>
    </row>
    <row r="12337" spans="1:2" x14ac:dyDescent="0.25">
      <c r="A12337">
        <f ca="1">34602.7189037383*((RANDBETWEEN(1620,2416)))</f>
        <v>79932280.667635575</v>
      </c>
      <c r="B12337">
        <v>144316084.88904604</v>
      </c>
    </row>
    <row r="12338" spans="1:2" x14ac:dyDescent="0.25">
      <c r="A12338">
        <f ca="1">30041.0331101596*((RANDBETWEEN(1620,2416)))</f>
        <v>70356099.543993756</v>
      </c>
      <c r="B12338">
        <v>176889599.35865498</v>
      </c>
    </row>
    <row r="12339" spans="1:2" x14ac:dyDescent="0.25">
      <c r="A12339">
        <f ca="1">36574.4159291849*((RANDBETWEEN(1620,2416)))</f>
        <v>68759901.946867645</v>
      </c>
      <c r="B12339">
        <v>175459913.65999487</v>
      </c>
    </row>
    <row r="12340" spans="1:2" x14ac:dyDescent="0.25">
      <c r="A12340">
        <f ca="1">27486.3444233393*((RANDBETWEEN(1620,2416)))</f>
        <v>44775255.065619789</v>
      </c>
      <c r="B12340">
        <v>162248361.22313064</v>
      </c>
    </row>
    <row r="12341" spans="1:2" x14ac:dyDescent="0.25">
      <c r="A12341">
        <f ca="1">39331.4452220538*((RANDBETWEEN(1620,2416)))</f>
        <v>93530176.73804383</v>
      </c>
      <c r="B12341">
        <v>163718617.94695333</v>
      </c>
    </row>
    <row r="12342" spans="1:2" x14ac:dyDescent="0.25">
      <c r="A12342">
        <f ca="1">41420.6798841121*((RANDBETWEEN(1620,2416)))</f>
        <v>87273372.515824124</v>
      </c>
      <c r="B12342">
        <v>173246178.99230492</v>
      </c>
    </row>
    <row r="12343" spans="1:2" x14ac:dyDescent="0.25">
      <c r="A12343">
        <f ca="1">31739.8215605246*((RANDBETWEEN(1620,2416)))</f>
        <v>58845629.17321258</v>
      </c>
      <c r="B12343">
        <v>164452655.88287473</v>
      </c>
    </row>
    <row r="12344" spans="1:2" x14ac:dyDescent="0.25">
      <c r="A12344">
        <f ca="1">34489.9110065684*((RANDBETWEEN(1620,2416)))</f>
        <v>82499867.127711773</v>
      </c>
      <c r="B12344">
        <v>202424685.11935443</v>
      </c>
    </row>
    <row r="12345" spans="1:2" x14ac:dyDescent="0.25">
      <c r="A12345">
        <f ca="1">32712.1295615026*((RANDBETWEEN(1620,2416)))</f>
        <v>73733140.03162694</v>
      </c>
      <c r="B12345">
        <v>179074818.71979499</v>
      </c>
    </row>
    <row r="12346" spans="1:2" x14ac:dyDescent="0.25">
      <c r="A12346">
        <f ca="1">38663.6019991939*((RANDBETWEEN(1620,2416)))</f>
        <v>71875636.116501465</v>
      </c>
      <c r="B12346">
        <v>174583196.96149153</v>
      </c>
    </row>
    <row r="12347" spans="1:2" x14ac:dyDescent="0.25">
      <c r="A12347">
        <f ca="1">29591.8551207783*((RANDBETWEEN(1620,2416)))</f>
        <v>53354114.782763213</v>
      </c>
      <c r="B12347">
        <v>144621801.37061602</v>
      </c>
    </row>
    <row r="12348" spans="1:2" x14ac:dyDescent="0.25">
      <c r="A12348">
        <f ca="1">41710.5617292882*((RANDBETWEEN(1620,2416)))</f>
        <v>96309687.032926559</v>
      </c>
      <c r="B12348">
        <v>189832173.07973811</v>
      </c>
    </row>
    <row r="12349" spans="1:2" x14ac:dyDescent="0.25">
      <c r="A12349">
        <f ca="1">28413.4158965061*((RANDBETWEEN(1620,2416)))</f>
        <v>59355625.807801291</v>
      </c>
      <c r="B12349">
        <v>147365890.90374988</v>
      </c>
    </row>
    <row r="12350" spans="1:2" x14ac:dyDescent="0.25">
      <c r="A12350">
        <f ca="1">34989.012397271*((RANDBETWEEN(1620,2416)))</f>
        <v>74911475.542557314</v>
      </c>
      <c r="B12350">
        <v>154462742.9217177</v>
      </c>
    </row>
    <row r="12351" spans="1:2" x14ac:dyDescent="0.25">
      <c r="A12351">
        <f ca="1">34833.8978065073*((RANDBETWEEN(1620,2416)))</f>
        <v>61969504.197776437</v>
      </c>
      <c r="B12351">
        <v>173526591.56606233</v>
      </c>
    </row>
    <row r="12352" spans="1:2" x14ac:dyDescent="0.25">
      <c r="A12352">
        <f ca="1">30022.5484493114*((RANDBETWEEN(1620,2416)))</f>
        <v>56652548.923850611</v>
      </c>
      <c r="B12352">
        <v>148994937.7526415</v>
      </c>
    </row>
    <row r="12353" spans="1:2" x14ac:dyDescent="0.25">
      <c r="A12353">
        <f ca="1">35843.4260174283*((RANDBETWEEN(1620,2416)))</f>
        <v>62761838.956517041</v>
      </c>
      <c r="B12353">
        <v>155038135.68144357</v>
      </c>
    </row>
    <row r="12354" spans="1:2" x14ac:dyDescent="0.25">
      <c r="A12354">
        <f ca="1">37643.2474187023*((RANDBETWEEN(1620,2416)))</f>
        <v>77582732.929945379</v>
      </c>
      <c r="B12354">
        <v>180755436.28270411</v>
      </c>
    </row>
    <row r="12355" spans="1:2" x14ac:dyDescent="0.25">
      <c r="A12355">
        <f ca="1">32255.3922776676*((RANDBETWEEN(1620,2416)))</f>
        <v>63414101.217894413</v>
      </c>
      <c r="B12355">
        <v>149507668.17818397</v>
      </c>
    </row>
    <row r="12356" spans="1:2" x14ac:dyDescent="0.25">
      <c r="A12356">
        <f ca="1">39809.0943369163*((RANDBETWEEN(1620,2416)))</f>
        <v>75318806.485445619</v>
      </c>
      <c r="B12356">
        <v>178660356.60346517</v>
      </c>
    </row>
    <row r="12357" spans="1:2" x14ac:dyDescent="0.25">
      <c r="A12357">
        <f ca="1">31566.8604046316*((RANDBETWEEN(1620,2416)))</f>
        <v>59819200.4667769</v>
      </c>
      <c r="B12357">
        <v>196606839.00858057</v>
      </c>
    </row>
    <row r="12358" spans="1:2" x14ac:dyDescent="0.25">
      <c r="A12358">
        <f ca="1">40919.4413219409*((RANDBETWEEN(1620,2416)))</f>
        <v>91864145.767757401</v>
      </c>
      <c r="B12358">
        <v>191201237.41074574</v>
      </c>
    </row>
    <row r="12359" spans="1:2" x14ac:dyDescent="0.25">
      <c r="A12359">
        <f ca="1">38487.3030645313*((RANDBETWEEN(1620,2416)))</f>
        <v>64504719.936154477</v>
      </c>
      <c r="B12359">
        <v>144914897.27597356</v>
      </c>
    </row>
    <row r="12360" spans="1:2" x14ac:dyDescent="0.25">
      <c r="A12360">
        <f ca="1">34184.03412645*((RANDBETWEEN(1620,2416)))</f>
        <v>81016160.879686549</v>
      </c>
      <c r="B12360">
        <v>159051130.8173508</v>
      </c>
    </row>
    <row r="12361" spans="1:2" x14ac:dyDescent="0.25">
      <c r="A12361">
        <f ca="1">33326.9469145883*((RANDBETWEEN(1620,2416)))</f>
        <v>74285764.672617257</v>
      </c>
      <c r="B12361">
        <v>188054459.79118183</v>
      </c>
    </row>
    <row r="12362" spans="1:2" x14ac:dyDescent="0.25">
      <c r="A12362">
        <f ca="1">31827.3586769664*((RANDBETWEEN(1620,2416)))</f>
        <v>70211153.241387889</v>
      </c>
      <c r="B12362">
        <v>162613416.30432782</v>
      </c>
    </row>
    <row r="12363" spans="1:2" x14ac:dyDescent="0.25">
      <c r="A12363">
        <f ca="1">35732.6296841661*((RANDBETWEEN(1620,2416)))</f>
        <v>74216671.85401307</v>
      </c>
      <c r="B12363">
        <v>142943827.19612485</v>
      </c>
    </row>
    <row r="12364" spans="1:2" x14ac:dyDescent="0.25">
      <c r="A12364">
        <f ca="1">30882.6861748594*((RANDBETWEEN(1620,2416)))</f>
        <v>50215247.720321313</v>
      </c>
      <c r="B12364">
        <v>171258390.07943785</v>
      </c>
    </row>
    <row r="12365" spans="1:2" x14ac:dyDescent="0.25">
      <c r="A12365">
        <f ca="1">29807.9509119365*((RANDBETWEEN(1620,2416)))</f>
        <v>58036080.42554044</v>
      </c>
      <c r="B12365">
        <v>150784699.34221569</v>
      </c>
    </row>
    <row r="12366" spans="1:2" x14ac:dyDescent="0.25">
      <c r="A12366">
        <f ca="1">32021.1779886055*((RANDBETWEEN(1620,2416)))</f>
        <v>52995049.571142167</v>
      </c>
      <c r="B12366">
        <v>147735825.20310965</v>
      </c>
    </row>
    <row r="12367" spans="1:2" x14ac:dyDescent="0.25">
      <c r="A12367">
        <f ca="1">31511.304915495*((RANDBETWEEN(1620,2416)))</f>
        <v>73957032.63666667</v>
      </c>
      <c r="B12367">
        <v>166605757.65172857</v>
      </c>
    </row>
    <row r="12368" spans="1:2" x14ac:dyDescent="0.25">
      <c r="A12368">
        <f ca="1">36718.7383601637*((RANDBETWEEN(1620,2416)))</f>
        <v>69692165.407590687</v>
      </c>
      <c r="B12368">
        <v>180150078.83289477</v>
      </c>
    </row>
    <row r="12369" spans="1:2" x14ac:dyDescent="0.25">
      <c r="A12369">
        <f ca="1">36289.306749515*((RANDBETWEEN(1620,2416)))</f>
        <v>81288047.118913561</v>
      </c>
      <c r="B12369">
        <v>177573598.90004483</v>
      </c>
    </row>
    <row r="12370" spans="1:2" x14ac:dyDescent="0.25">
      <c r="A12370">
        <f ca="1">38325.8158106738*((RANDBETWEEN(1620,2416)))</f>
        <v>91828654.682374507</v>
      </c>
      <c r="B12370">
        <v>157593788.76610595</v>
      </c>
    </row>
    <row r="12371" spans="1:2" x14ac:dyDescent="0.25">
      <c r="A12371">
        <f ca="1">31058.6161804647*((RANDBETWEEN(1620,2416)))</f>
        <v>58980312.126702532</v>
      </c>
      <c r="B12371">
        <v>172485640.79036826</v>
      </c>
    </row>
    <row r="12372" spans="1:2" x14ac:dyDescent="0.25">
      <c r="A12372">
        <f ca="1">32310.0545432843*((RANDBETWEEN(1620,2416)))</f>
        <v>60096701.450508803</v>
      </c>
      <c r="B12372">
        <v>197128416.98268652</v>
      </c>
    </row>
    <row r="12373" spans="1:2" x14ac:dyDescent="0.25">
      <c r="A12373">
        <f ca="1">36645.3682764895*((RANDBETWEEN(1620,2416)))</f>
        <v>67977158.15288803</v>
      </c>
      <c r="B12373">
        <v>176458380.95906535</v>
      </c>
    </row>
    <row r="12374" spans="1:2" x14ac:dyDescent="0.25">
      <c r="A12374">
        <f ca="1">39081.8240335412*((RANDBETWEEN(1620,2416)))</f>
        <v>65227564.311980233</v>
      </c>
      <c r="B12374">
        <v>200924527.87509197</v>
      </c>
    </row>
    <row r="12375" spans="1:2" x14ac:dyDescent="0.25">
      <c r="A12375">
        <f ca="1">32885.4899433141*((RANDBETWEEN(1620,2416)))</f>
        <v>75274886.480245903</v>
      </c>
      <c r="B12375">
        <v>154001367.35271025</v>
      </c>
    </row>
    <row r="12376" spans="1:2" x14ac:dyDescent="0.25">
      <c r="A12376">
        <f ca="1">39065.5237553545*((RANDBETWEEN(1620,2416)))</f>
        <v>76529361.036739379</v>
      </c>
      <c r="B12376">
        <v>143591654.23987624</v>
      </c>
    </row>
    <row r="12377" spans="1:2" x14ac:dyDescent="0.25">
      <c r="A12377">
        <f ca="1">32702.4340383432*((RANDBETWEEN(1620,2416)))</f>
        <v>74986681.249921039</v>
      </c>
      <c r="B12377">
        <v>158717579.27963966</v>
      </c>
    </row>
    <row r="12378" spans="1:2" x14ac:dyDescent="0.25">
      <c r="A12378">
        <f ca="1">30141.9329333235*((RANDBETWEEN(1620,2416)))</f>
        <v>69838858.60651046</v>
      </c>
      <c r="B12378">
        <v>146159680.44649771</v>
      </c>
    </row>
    <row r="12379" spans="1:2" x14ac:dyDescent="0.25">
      <c r="A12379">
        <f ca="1">34148.0833509893*((RANDBETWEEN(1620,2416)))</f>
        <v>65530171.950548418</v>
      </c>
      <c r="B12379">
        <v>172373533.07304612</v>
      </c>
    </row>
    <row r="12380" spans="1:2" x14ac:dyDescent="0.25">
      <c r="A12380">
        <f ca="1">38231.4300290616*((RANDBETWEEN(1620,2416)))</f>
        <v>62661313.817631878</v>
      </c>
      <c r="B12380">
        <v>155786409.19687581</v>
      </c>
    </row>
    <row r="12381" spans="1:2" x14ac:dyDescent="0.25">
      <c r="A12381">
        <f ca="1">29571.7187511917*((RANDBETWEEN(1620,2416)))</f>
        <v>55151255.470972531</v>
      </c>
      <c r="B12381">
        <v>145949480.15895846</v>
      </c>
    </row>
    <row r="12382" spans="1:2" x14ac:dyDescent="0.25">
      <c r="A12382">
        <f ca="1">28732.5505668076*((RANDBETWEEN(1620,2416)))</f>
        <v>56919182.672845773</v>
      </c>
      <c r="B12382">
        <v>157895503.24519065</v>
      </c>
    </row>
    <row r="12383" spans="1:2" x14ac:dyDescent="0.25">
      <c r="A12383">
        <f ca="1">32705.286280275*((RANDBETWEEN(1620,2416)))</f>
        <v>78492687.072660103</v>
      </c>
      <c r="B12383">
        <v>195858174.8863644</v>
      </c>
    </row>
    <row r="12384" spans="1:2" x14ac:dyDescent="0.25">
      <c r="A12384">
        <f ca="1">38328.7994158669*((RANDBETWEEN(1620,2416)))</f>
        <v>87734621.862919271</v>
      </c>
      <c r="B12384">
        <v>181507146.31259286</v>
      </c>
    </row>
    <row r="12385" spans="1:2" x14ac:dyDescent="0.25">
      <c r="A12385">
        <f ca="1">39973.8065043474*((RANDBETWEEN(1620,2416)))</f>
        <v>78908294.039581701</v>
      </c>
      <c r="B12385">
        <v>187193951.84472695</v>
      </c>
    </row>
    <row r="12386" spans="1:2" x14ac:dyDescent="0.25">
      <c r="A12386">
        <f ca="1">38320.8645657454*((RANDBETWEEN(1620,2416)))</f>
        <v>69629010.915959299</v>
      </c>
      <c r="B12386">
        <v>164147837.97517258</v>
      </c>
    </row>
    <row r="12387" spans="1:2" x14ac:dyDescent="0.25">
      <c r="A12387">
        <f ca="1">30863.8872577004*((RANDBETWEEN(1620,2416)))</f>
        <v>59227799.647527061</v>
      </c>
      <c r="B12387">
        <v>150189311.46028763</v>
      </c>
    </row>
    <row r="12388" spans="1:2" x14ac:dyDescent="0.25">
      <c r="A12388">
        <f ca="1">32313.3874278277*((RANDBETWEEN(1620,2416)))</f>
        <v>58648798.181507327</v>
      </c>
      <c r="B12388">
        <v>170914470.44471633</v>
      </c>
    </row>
    <row r="12389" spans="1:2" x14ac:dyDescent="0.25">
      <c r="A12389">
        <f ca="1">35364.5056734679*((RANDBETWEEN(1620,2416)))</f>
        <v>71719217.505792946</v>
      </c>
      <c r="B12389">
        <v>164975638.89813861</v>
      </c>
    </row>
    <row r="12390" spans="1:2" x14ac:dyDescent="0.25">
      <c r="A12390">
        <f ca="1">30695.5961868633*((RANDBETWEEN(1620,2416)))</f>
        <v>55681811.482969992</v>
      </c>
      <c r="B12390">
        <v>154043598.36259937</v>
      </c>
    </row>
    <row r="12391" spans="1:2" x14ac:dyDescent="0.25">
      <c r="A12391">
        <f ca="1">36225.8276175886*((RANDBETWEEN(1620,2416)))</f>
        <v>75168592.306496248</v>
      </c>
      <c r="B12391">
        <v>185860915.07406935</v>
      </c>
    </row>
    <row r="12392" spans="1:2" x14ac:dyDescent="0.25">
      <c r="A12392">
        <f ca="1">34149.2340928881*((RANDBETWEEN(1620,2416)))</f>
        <v>57404862.510144927</v>
      </c>
      <c r="B12392">
        <v>152753364.78080222</v>
      </c>
    </row>
    <row r="12393" spans="1:2" x14ac:dyDescent="0.25">
      <c r="A12393">
        <f ca="1">31986.063438355*((RANDBETWEEN(1620,2416)))</f>
        <v>56423415.905258231</v>
      </c>
      <c r="B12393">
        <v>170589739.8856101</v>
      </c>
    </row>
    <row r="12394" spans="1:2" x14ac:dyDescent="0.25">
      <c r="A12394">
        <f ca="1">33970.7239859545*((RANDBETWEEN(1620,2416)))</f>
        <v>76977660.552172855</v>
      </c>
      <c r="B12394">
        <v>156201452.61337411</v>
      </c>
    </row>
    <row r="12395" spans="1:2" x14ac:dyDescent="0.25">
      <c r="A12395">
        <f ca="1">28790.9646956921*((RANDBETWEEN(1620,2416)))</f>
        <v>64117478.377306342</v>
      </c>
      <c r="B12395">
        <v>184863809.09383497</v>
      </c>
    </row>
    <row r="12396" spans="1:2" x14ac:dyDescent="0.25">
      <c r="A12396">
        <f ca="1">31953.4385991115*((RANDBETWEEN(1620,2416)))</f>
        <v>60296138.636523411</v>
      </c>
      <c r="B12396">
        <v>189812656.3703422</v>
      </c>
    </row>
    <row r="12397" spans="1:2" x14ac:dyDescent="0.25">
      <c r="A12397">
        <f ca="1">32618.4316345218*((RANDBETWEEN(1620,2416)))</f>
        <v>67878956.231439859</v>
      </c>
      <c r="B12397">
        <v>153146053.17156282</v>
      </c>
    </row>
    <row r="12398" spans="1:2" x14ac:dyDescent="0.25">
      <c r="A12398">
        <f ca="1">41234.684030281*((RANDBETWEEN(1620,2416)))</f>
        <v>82469368.060562089</v>
      </c>
      <c r="B12398">
        <v>187677411.12208763</v>
      </c>
    </row>
    <row r="12399" spans="1:2" x14ac:dyDescent="0.25">
      <c r="A12399">
        <f ca="1">31109.7451560448*((RANDBETWEEN(1620,2416)))</f>
        <v>62872794.960366629</v>
      </c>
      <c r="B12399">
        <v>200251617.55186224</v>
      </c>
    </row>
    <row r="12400" spans="1:2" x14ac:dyDescent="0.25">
      <c r="A12400">
        <f ca="1">32069.784889661*((RANDBETWEEN(1620,2416)))</f>
        <v>56057983.987127371</v>
      </c>
      <c r="B12400">
        <v>186690188.27231619</v>
      </c>
    </row>
    <row r="12401" spans="1:2" x14ac:dyDescent="0.25">
      <c r="A12401">
        <f ca="1">32196.775749925*((RANDBETWEEN(1620,2416)))</f>
        <v>60433348.082609273</v>
      </c>
      <c r="B12401">
        <v>165354618.03953651</v>
      </c>
    </row>
    <row r="12402" spans="1:2" x14ac:dyDescent="0.25">
      <c r="A12402">
        <f ca="1">35200.8052977669*((RANDBETWEEN(1620,2416)))</f>
        <v>82933097.28153871</v>
      </c>
      <c r="B12402">
        <v>157851168.29836324</v>
      </c>
    </row>
    <row r="12403" spans="1:2" x14ac:dyDescent="0.25">
      <c r="A12403">
        <f ca="1">33563.0028431749*((RANDBETWEEN(1620,2416)))</f>
        <v>64810158.490170762</v>
      </c>
      <c r="B12403">
        <v>186712010.69552857</v>
      </c>
    </row>
    <row r="12404" spans="1:2" x14ac:dyDescent="0.25">
      <c r="A12404">
        <f ca="1">37517.6430571596*((RANDBETWEEN(1620,2416)))</f>
        <v>82501297.082694054</v>
      </c>
      <c r="B12404">
        <v>180470483.49796045</v>
      </c>
    </row>
    <row r="12405" spans="1:2" x14ac:dyDescent="0.25">
      <c r="A12405">
        <f ca="1">30061.9991240292*((RANDBETWEEN(1620,2416)))</f>
        <v>67789808.024685755</v>
      </c>
      <c r="B12405">
        <v>154275124.10546279</v>
      </c>
    </row>
    <row r="12406" spans="1:2" x14ac:dyDescent="0.25">
      <c r="A12406">
        <f ca="1">32509.8592893392*((RANDBETWEEN(1620,2416)))</f>
        <v>55429310.088323258</v>
      </c>
      <c r="B12406">
        <v>148788471.45170957</v>
      </c>
    </row>
    <row r="12407" spans="1:2" x14ac:dyDescent="0.25">
      <c r="A12407">
        <f ca="1">35123.4222205972*((RANDBETWEEN(1620,2416)))</f>
        <v>73583569.552151039</v>
      </c>
      <c r="B12407">
        <v>151696994.87010831</v>
      </c>
    </row>
    <row r="12408" spans="1:2" x14ac:dyDescent="0.25">
      <c r="A12408">
        <f ca="1">31902.1037927833*((RANDBETWEEN(1620,2416)))</f>
        <v>53627436.475668691</v>
      </c>
      <c r="B12408">
        <v>164315775.95998842</v>
      </c>
    </row>
    <row r="12409" spans="1:2" x14ac:dyDescent="0.25">
      <c r="A12409">
        <f ca="1">29612.1523060783*((RANDBETWEEN(1620,2416)))</f>
        <v>53153813.389410622</v>
      </c>
      <c r="B12409">
        <v>202978665.72278762</v>
      </c>
    </row>
    <row r="12410" spans="1:2" x14ac:dyDescent="0.25">
      <c r="A12410">
        <f ca="1">41422.5082368018*((RANDBETWEEN(1620,2416)))</f>
        <v>94857543.862276033</v>
      </c>
      <c r="B12410">
        <v>181824541.37403736</v>
      </c>
    </row>
    <row r="12411" spans="1:2" x14ac:dyDescent="0.25">
      <c r="A12411">
        <f ca="1">28463.6780894409*((RANDBETWEEN(1620,2416)))</f>
        <v>46253476.895341434</v>
      </c>
      <c r="B12411">
        <v>160302001.80282283</v>
      </c>
    </row>
    <row r="12412" spans="1:2" x14ac:dyDescent="0.25">
      <c r="A12412">
        <f ca="1">30309.5655242321*((RANDBETWEEN(1620,2416)))</f>
        <v>54102574.460754335</v>
      </c>
      <c r="B12412">
        <v>157651064.95137629</v>
      </c>
    </row>
    <row r="12413" spans="1:2" x14ac:dyDescent="0.25">
      <c r="A12413">
        <f ca="1">31335.8140544423*((RANDBETWEEN(1620,2416)))</f>
        <v>54461644.826620728</v>
      </c>
      <c r="B12413">
        <v>161498026.41558939</v>
      </c>
    </row>
    <row r="12414" spans="1:2" x14ac:dyDescent="0.25">
      <c r="A12414">
        <f ca="1">31782.2272278656*((RANDBETWEEN(1620,2416)))</f>
        <v>53076319.470535547</v>
      </c>
      <c r="B12414">
        <v>169009798.24740258</v>
      </c>
    </row>
    <row r="12415" spans="1:2" x14ac:dyDescent="0.25">
      <c r="A12415">
        <f ca="1">32165.7868566112*((RANDBETWEEN(1620,2416)))</f>
        <v>59796197.766440138</v>
      </c>
      <c r="B12415">
        <v>190399067.61889702</v>
      </c>
    </row>
    <row r="12416" spans="1:2" x14ac:dyDescent="0.25">
      <c r="A12416">
        <f ca="1">36609.2967287322*((RANDBETWEEN(1620,2416)))</f>
        <v>76366992.976135373</v>
      </c>
      <c r="B12416">
        <v>177194861.74779415</v>
      </c>
    </row>
    <row r="12417" spans="1:2" x14ac:dyDescent="0.25">
      <c r="A12417">
        <f ca="1">31582.2756599229*((RANDBETWEEN(1620,2416)))</f>
        <v>71470689.818405584</v>
      </c>
      <c r="B12417">
        <v>181995709.50148684</v>
      </c>
    </row>
    <row r="12418" spans="1:2" x14ac:dyDescent="0.25">
      <c r="A12418">
        <f ca="1">30923.4125468212*((RANDBETWEEN(1620,2416)))</f>
        <v>63362072.30843661</v>
      </c>
      <c r="B12418">
        <v>180507577.61286533</v>
      </c>
    </row>
    <row r="12419" spans="1:2" x14ac:dyDescent="0.25">
      <c r="A12419">
        <f ca="1">31026.6069567065*((RANDBETWEEN(1620,2416)))</f>
        <v>59912378.033400208</v>
      </c>
      <c r="B12419">
        <v>156875955.18582734</v>
      </c>
    </row>
    <row r="12420" spans="1:2" x14ac:dyDescent="0.25">
      <c r="A12420">
        <f ca="1">40545.0591474575*((RANDBETWEEN(1620,2416)))</f>
        <v>76711251.906989679</v>
      </c>
      <c r="B12420">
        <v>162672268.5359863</v>
      </c>
    </row>
    <row r="12421" spans="1:2" x14ac:dyDescent="0.25">
      <c r="A12421">
        <f ca="1">33376.2654883579*((RANDBETWEEN(1620,2416)))</f>
        <v>79936155.844617188</v>
      </c>
      <c r="B12421">
        <v>154820383.53495398</v>
      </c>
    </row>
    <row r="12422" spans="1:2" x14ac:dyDescent="0.25">
      <c r="A12422">
        <f ca="1">31969.7955939239*((RANDBETWEEN(1620,2416)))</f>
        <v>52910011.707944058</v>
      </c>
      <c r="B12422">
        <v>143328747.41579503</v>
      </c>
    </row>
    <row r="12423" spans="1:2" x14ac:dyDescent="0.25">
      <c r="A12423">
        <f ca="1">31577.0016419946*((RANDBETWEEN(1620,2416)))</f>
        <v>64732853.366088845</v>
      </c>
      <c r="B12423">
        <v>143863520.97449416</v>
      </c>
    </row>
    <row r="12424" spans="1:2" x14ac:dyDescent="0.25">
      <c r="A12424">
        <f ca="1">41817.4180333352*((RANDBETWEEN(1620,2416)))</f>
        <v>71716871.927169934</v>
      </c>
      <c r="B12424">
        <v>181648466.92992252</v>
      </c>
    </row>
    <row r="12425" spans="1:2" x14ac:dyDescent="0.25">
      <c r="A12425">
        <f ca="1">32671.156529141*((RANDBETWEEN(1620,2416)))</f>
        <v>69393536.467895448</v>
      </c>
      <c r="B12425">
        <v>149974678.85718411</v>
      </c>
    </row>
    <row r="12426" spans="1:2" x14ac:dyDescent="0.25">
      <c r="A12426">
        <f ca="1">31595.6281244958*((RANDBETWEEN(1620,2416)))</f>
        <v>53270229.01789993</v>
      </c>
      <c r="B12426">
        <v>148635747.78863665</v>
      </c>
    </row>
    <row r="12427" spans="1:2" x14ac:dyDescent="0.25">
      <c r="A12427">
        <f ca="1">32674.3372518155*((RANDBETWEEN(1620,2416)))</f>
        <v>73680630.502843902</v>
      </c>
      <c r="B12427">
        <v>152477460.29118103</v>
      </c>
    </row>
    <row r="12428" spans="1:2" x14ac:dyDescent="0.25">
      <c r="A12428">
        <f ca="1">28697.7270795426*((RANDBETWEEN(1620,2416)))</f>
        <v>62216672.308448464</v>
      </c>
      <c r="B12428">
        <v>144667986.70507085</v>
      </c>
    </row>
    <row r="12429" spans="1:2" x14ac:dyDescent="0.25">
      <c r="A12429">
        <f ca="1">29125.4093386971*((RANDBETWEEN(1620,2416)))</f>
        <v>65357418.556036197</v>
      </c>
      <c r="B12429">
        <v>147544270.01695293</v>
      </c>
    </row>
    <row r="12430" spans="1:2" x14ac:dyDescent="0.25">
      <c r="A12430">
        <f ca="1">28821.6019944918*((RANDBETWEEN(1620,2416)))</f>
        <v>66577900.607276127</v>
      </c>
      <c r="B12430">
        <v>177856784.29386795</v>
      </c>
    </row>
    <row r="12431" spans="1:2" x14ac:dyDescent="0.25">
      <c r="A12431">
        <f ca="1">29383.9877293642*((RANDBETWEEN(1620,2416)))</f>
        <v>63440029.507697217</v>
      </c>
      <c r="B12431">
        <v>157874694.73037314</v>
      </c>
    </row>
    <row r="12432" spans="1:2" x14ac:dyDescent="0.25">
      <c r="A12432">
        <f ca="1">40152.9953579596*((RANDBETWEEN(1620,2416)))</f>
        <v>80305990.715919226</v>
      </c>
      <c r="B12432">
        <v>143292642.37067121</v>
      </c>
    </row>
    <row r="12433" spans="1:2" x14ac:dyDescent="0.25">
      <c r="A12433">
        <f ca="1">30727.1546586856*((RANDBETWEEN(1620,2416)))</f>
        <v>67108105.774569504</v>
      </c>
      <c r="B12433">
        <v>197173303.71651626</v>
      </c>
    </row>
    <row r="12434" spans="1:2" x14ac:dyDescent="0.25">
      <c r="A12434">
        <f ca="1">30139.007698057*((RANDBETWEEN(1620,2416)))</f>
        <v>54642020.956577256</v>
      </c>
      <c r="B12434">
        <v>169767249.45762882</v>
      </c>
    </row>
    <row r="12435" spans="1:2" x14ac:dyDescent="0.25">
      <c r="A12435">
        <f ca="1">42483.4197945395*((RANDBETWEEN(1620,2416)))</f>
        <v>91169418.879081845</v>
      </c>
      <c r="B12435">
        <v>179251338.11169821</v>
      </c>
    </row>
    <row r="12436" spans="1:2" x14ac:dyDescent="0.25">
      <c r="A12436">
        <f ca="1">32456.7534795383*((RANDBETWEEN(1620,2416)))</f>
        <v>58746723.797964312</v>
      </c>
      <c r="B12436">
        <v>150022809.6068095</v>
      </c>
    </row>
    <row r="12437" spans="1:2" x14ac:dyDescent="0.25">
      <c r="A12437">
        <f ca="1">30323.5749357003*((RANDBETWEEN(1620,2416)))</f>
        <v>51550077.390690446</v>
      </c>
      <c r="B12437">
        <v>147974979.97528937</v>
      </c>
    </row>
    <row r="12438" spans="1:2" x14ac:dyDescent="0.25">
      <c r="A12438">
        <f ca="1">32892.9434763513*((RANDBETWEEN(1620,2416)))</f>
        <v>70588256.700249881</v>
      </c>
      <c r="B12438">
        <v>165644922.52262333</v>
      </c>
    </row>
    <row r="12439" spans="1:2" x14ac:dyDescent="0.25">
      <c r="A12439">
        <f ca="1">30904.3993331833*((RANDBETWEEN(1620,2416)))</f>
        <v>50652310.507087417</v>
      </c>
      <c r="B12439">
        <v>197494179.73407847</v>
      </c>
    </row>
    <row r="12440" spans="1:2" x14ac:dyDescent="0.25">
      <c r="A12440">
        <f ca="1">32395.1445367428*((RANDBETWEEN(1620,2416)))</f>
        <v>66248070.577638991</v>
      </c>
      <c r="B12440">
        <v>177423249.73355544</v>
      </c>
    </row>
    <row r="12441" spans="1:2" x14ac:dyDescent="0.25">
      <c r="A12441">
        <f ca="1">40754.0488474147*((RANDBETWEEN(1620,2416)))</f>
        <v>67407196.793623865</v>
      </c>
      <c r="B12441">
        <v>163056247.62799764</v>
      </c>
    </row>
    <row r="12442" spans="1:2" x14ac:dyDescent="0.25">
      <c r="A12442">
        <f ca="1">41769.123689385*((RANDBETWEEN(1620,2416)))</f>
        <v>95484216.753934205</v>
      </c>
      <c r="B12442">
        <v>155466594.70400757</v>
      </c>
    </row>
    <row r="12443" spans="1:2" x14ac:dyDescent="0.25">
      <c r="A12443">
        <f ca="1">28219.9363852534*((RANDBETWEEN(1620,2416)))</f>
        <v>63269097.375738181</v>
      </c>
      <c r="B12443">
        <v>146079186.1123957</v>
      </c>
    </row>
    <row r="12444" spans="1:2" x14ac:dyDescent="0.25">
      <c r="A12444">
        <f ca="1">40307.3219546754*((RANDBETWEEN(1620,2416)))</f>
        <v>82509088.04122059</v>
      </c>
      <c r="B12444">
        <v>172558738.12994373</v>
      </c>
    </row>
    <row r="12445" spans="1:2" x14ac:dyDescent="0.25">
      <c r="A12445">
        <f ca="1">40363.325360269*((RANDBETWEEN(1620,2416)))</f>
        <v>84440076.653682858</v>
      </c>
      <c r="B12445">
        <v>201383600.11691564</v>
      </c>
    </row>
    <row r="12446" spans="1:2" x14ac:dyDescent="0.25">
      <c r="A12446">
        <f ca="1">30189.9067610423*((RANDBETWEEN(1620,2416)))</f>
        <v>71942547.811563909</v>
      </c>
      <c r="B12446">
        <v>156840206.81925926</v>
      </c>
    </row>
    <row r="12447" spans="1:2" x14ac:dyDescent="0.25">
      <c r="A12447">
        <f ca="1">34087.9271672375*((RANDBETWEEN(1620,2416)))</f>
        <v>62551346.351880886</v>
      </c>
      <c r="B12447">
        <v>194101016.85074869</v>
      </c>
    </row>
    <row r="12448" spans="1:2" x14ac:dyDescent="0.25">
      <c r="A12448">
        <f ca="1">30507.3548514913*((RANDBETWEEN(1620,2416)))</f>
        <v>70319452.932687521</v>
      </c>
      <c r="B12448">
        <v>169814705.6493676</v>
      </c>
    </row>
    <row r="12449" spans="1:2" x14ac:dyDescent="0.25">
      <c r="A12449">
        <f ca="1">35405.9368531958*((RANDBETWEEN(1620,2416)))</f>
        <v>73892190.212619692</v>
      </c>
      <c r="B12449">
        <v>165487329.51124614</v>
      </c>
    </row>
    <row r="12450" spans="1:2" x14ac:dyDescent="0.25">
      <c r="A12450">
        <f ca="1">33465.3208228334*((RANDBETWEEN(1620,2416)))</f>
        <v>58330054.194198638</v>
      </c>
      <c r="B12450">
        <v>177198266.61522236</v>
      </c>
    </row>
    <row r="12451" spans="1:2" x14ac:dyDescent="0.25">
      <c r="A12451">
        <f ca="1">33065.6362771877*((RANDBETWEEN(1620,2416)))</f>
        <v>57203550.759534724</v>
      </c>
      <c r="B12451">
        <v>160524611.63267219</v>
      </c>
    </row>
    <row r="12452" spans="1:2" x14ac:dyDescent="0.25">
      <c r="A12452">
        <f ca="1">31904.7894262797*((RANDBETWEEN(1620,2416)))</f>
        <v>58002907.176976562</v>
      </c>
      <c r="B12452">
        <v>196606339.69441679</v>
      </c>
    </row>
    <row r="12453" spans="1:2" x14ac:dyDescent="0.25">
      <c r="A12453">
        <f ca="1">30980.6237134661*((RANDBETWEEN(1620,2416)))</f>
        <v>63200472.375470899</v>
      </c>
      <c r="B12453">
        <v>163860377.40990654</v>
      </c>
    </row>
    <row r="12454" spans="1:2" x14ac:dyDescent="0.25">
      <c r="A12454">
        <f ca="1">40696.0407400247*((RANDBETWEEN(1620,2416)))</f>
        <v>83426883.517050549</v>
      </c>
      <c r="B12454">
        <v>146755592.91700181</v>
      </c>
    </row>
    <row r="12455" spans="1:2" x14ac:dyDescent="0.25">
      <c r="A12455">
        <f ca="1">37928.0726015318*((RANDBETWEEN(1620,2416)))</f>
        <v>63870874.260979623</v>
      </c>
      <c r="B12455">
        <v>147311983.82252163</v>
      </c>
    </row>
    <row r="12456" spans="1:2" x14ac:dyDescent="0.25">
      <c r="A12456">
        <f ca="1">33400.4078573176*((RANDBETWEEN(1620,2416)))</f>
        <v>68504236.515358314</v>
      </c>
      <c r="B12456">
        <v>191042698.06366467</v>
      </c>
    </row>
    <row r="12457" spans="1:2" x14ac:dyDescent="0.25">
      <c r="A12457">
        <f ca="1">32201.3097607143*((RANDBETWEEN(1620,2416)))</f>
        <v>54838830.52249638</v>
      </c>
      <c r="B12457">
        <v>142981558.20195436</v>
      </c>
    </row>
    <row r="12458" spans="1:2" x14ac:dyDescent="0.25">
      <c r="A12458">
        <f ca="1">28616.4608322713*((RANDBETWEEN(1620,2416)))</f>
        <v>60323499.434427932</v>
      </c>
      <c r="B12458">
        <v>189043221.67269629</v>
      </c>
    </row>
    <row r="12459" spans="1:2" x14ac:dyDescent="0.25">
      <c r="A12459">
        <f ca="1">35290.2796567817*((RANDBETWEEN(1620,2416)))</f>
        <v>66733918.830974206</v>
      </c>
      <c r="B12459">
        <v>170229453.472561</v>
      </c>
    </row>
    <row r="12460" spans="1:2" x14ac:dyDescent="0.25">
      <c r="A12460">
        <f ca="1">30640.7406095572*((RANDBETWEEN(1620,2416)))</f>
        <v>54080907.175868519</v>
      </c>
      <c r="B12460">
        <v>181828296.96288407</v>
      </c>
    </row>
    <row r="12461" spans="1:2" x14ac:dyDescent="0.25">
      <c r="A12461">
        <f ca="1">37121.8998515207*((RANDBETWEEN(1620,2416)))</f>
        <v>63626936.345506616</v>
      </c>
      <c r="B12461">
        <v>168790944.30130893</v>
      </c>
    </row>
    <row r="12462" spans="1:2" x14ac:dyDescent="0.25">
      <c r="A12462">
        <f ca="1">38883.1527023309*((RANDBETWEEN(1620,2416)))</f>
        <v>88964653.38293314</v>
      </c>
      <c r="B12462">
        <v>147047448.80153784</v>
      </c>
    </row>
    <row r="12463" spans="1:2" x14ac:dyDescent="0.25">
      <c r="A12463">
        <f ca="1">39520.7759574611*((RANDBETWEEN(1620,2416)))</f>
        <v>80938549.160880432</v>
      </c>
      <c r="B12463">
        <v>203314949.54526579</v>
      </c>
    </row>
    <row r="12464" spans="1:2" x14ac:dyDescent="0.25">
      <c r="A12464">
        <f ca="1">33301.2383138059*((RANDBETWEEN(1620,2416)))</f>
        <v>79856369.476506457</v>
      </c>
      <c r="B12464">
        <v>150863715.88320488</v>
      </c>
    </row>
    <row r="12465" spans="1:2" x14ac:dyDescent="0.25">
      <c r="A12465">
        <f ca="1">34403.4058555092*((RANDBETWEEN(1620,2416)))</f>
        <v>56249568.573757611</v>
      </c>
      <c r="B12465">
        <v>173621560.05629611</v>
      </c>
    </row>
    <row r="12466" spans="1:2" x14ac:dyDescent="0.25">
      <c r="A12466">
        <f ca="1">39680.7470250842*((RANDBETWEEN(1620,2416)))</f>
        <v>81583615.883573011</v>
      </c>
      <c r="B12466">
        <v>160958716.4599629</v>
      </c>
    </row>
    <row r="12467" spans="1:2" x14ac:dyDescent="0.25">
      <c r="A12467">
        <f ca="1">31819.0273062669*((RANDBETWEEN(1620,2416)))</f>
        <v>73151943.777107552</v>
      </c>
      <c r="B12467">
        <v>151983518.74262124</v>
      </c>
    </row>
    <row r="12468" spans="1:2" x14ac:dyDescent="0.25">
      <c r="A12468">
        <f ca="1">31188.3488134796*((RANDBETWEEN(1620,2416)))</f>
        <v>63499478.184244379</v>
      </c>
      <c r="B12468">
        <v>144498255.04430321</v>
      </c>
    </row>
    <row r="12469" spans="1:2" x14ac:dyDescent="0.25">
      <c r="A12469">
        <f ca="1">32131.3853948045*((RANDBETWEEN(1620,2416)))</f>
        <v>67218858.245931089</v>
      </c>
      <c r="B12469">
        <v>163565417.22016326</v>
      </c>
    </row>
    <row r="12470" spans="1:2" x14ac:dyDescent="0.25">
      <c r="A12470">
        <f ca="1">31285.5414252157*((RANDBETWEEN(1620,2416)))</f>
        <v>61382232.276273161</v>
      </c>
      <c r="B12470">
        <v>196504622.27188358</v>
      </c>
    </row>
    <row r="12471" spans="1:2" x14ac:dyDescent="0.25">
      <c r="A12471">
        <f ca="1">31874.7398415838*((RANDBETWEEN(1620,2416)))</f>
        <v>52019575.421464831</v>
      </c>
      <c r="B12471">
        <v>190707992.41287005</v>
      </c>
    </row>
    <row r="12472" spans="1:2" x14ac:dyDescent="0.25">
      <c r="A12472">
        <f ca="1">29382.4878669277*((RANDBETWEEN(1620,2416)))</f>
        <v>50626026.594716497</v>
      </c>
      <c r="B12472">
        <v>164614584.12659079</v>
      </c>
    </row>
    <row r="12473" spans="1:2" x14ac:dyDescent="0.25">
      <c r="A12473">
        <f ca="1">31683.7228603735*((RANDBETWEEN(1620,2416)))</f>
        <v>57125752.317253374</v>
      </c>
      <c r="B12473">
        <v>173852607.8522622</v>
      </c>
    </row>
    <row r="12474" spans="1:2" x14ac:dyDescent="0.25">
      <c r="A12474">
        <f ca="1">39997.5482199091*((RANDBETWEEN(1620,2416)))</f>
        <v>74035461.755051658</v>
      </c>
      <c r="B12474">
        <v>196306855.26767266</v>
      </c>
    </row>
    <row r="12475" spans="1:2" x14ac:dyDescent="0.25">
      <c r="A12475">
        <f ca="1">32966.9550565025*((RANDBETWEEN(1620,2416)))</f>
        <v>67648191.77594319</v>
      </c>
      <c r="B12475">
        <v>151192232.23497909</v>
      </c>
    </row>
    <row r="12476" spans="1:2" x14ac:dyDescent="0.25">
      <c r="A12476">
        <f ca="1">35838.3206241103*((RANDBETWEEN(1620,2416)))</f>
        <v>64508977.123398572</v>
      </c>
      <c r="B12476">
        <v>168648275.12599146</v>
      </c>
    </row>
    <row r="12477" spans="1:2" x14ac:dyDescent="0.25">
      <c r="A12477">
        <f ca="1">39128.3397375142*((RANDBETWEEN(1620,2416)))</f>
        <v>73561278.706526682</v>
      </c>
      <c r="B12477">
        <v>200176197.6397295</v>
      </c>
    </row>
    <row r="12478" spans="1:2" x14ac:dyDescent="0.25">
      <c r="A12478">
        <f ca="1">35025.9369789227*((RANDBETWEEN(1620,2416)))</f>
        <v>69736640.525035113</v>
      </c>
      <c r="B12478">
        <v>192078876.59465903</v>
      </c>
    </row>
    <row r="12479" spans="1:2" x14ac:dyDescent="0.25">
      <c r="A12479">
        <f ca="1">30904.0789589201*((RANDBETWEEN(1620,2416)))</f>
        <v>61869966.075757958</v>
      </c>
      <c r="B12479">
        <v>158984046.3046723</v>
      </c>
    </row>
    <row r="12480" spans="1:2" x14ac:dyDescent="0.25">
      <c r="A12480">
        <f ca="1">33118.3609441367*((RANDBETWEEN(1620,2416)))</f>
        <v>66634142.219603099</v>
      </c>
      <c r="B12480">
        <v>159520265.2144137</v>
      </c>
    </row>
    <row r="12481" spans="1:2" x14ac:dyDescent="0.25">
      <c r="A12481">
        <f ca="1">30350.06151776*((RANDBETWEEN(1620,2416)))</f>
        <v>51473704.334121011</v>
      </c>
      <c r="B12481">
        <v>157235609.01279375</v>
      </c>
    </row>
    <row r="12482" spans="1:2" x14ac:dyDescent="0.25">
      <c r="A12482">
        <f ca="1">32325.2434021596*((RANDBETWEEN(1620,2416)))</f>
        <v>68594166.49938257</v>
      </c>
      <c r="B12482">
        <v>160662334.78404927</v>
      </c>
    </row>
    <row r="12483" spans="1:2" x14ac:dyDescent="0.25">
      <c r="A12483">
        <f ca="1">30710.9483491047*((RANDBETWEEN(1620,2416)))</f>
        <v>68178305.335012332</v>
      </c>
      <c r="B12483">
        <v>174955781.7184867</v>
      </c>
    </row>
    <row r="12484" spans="1:2" x14ac:dyDescent="0.25">
      <c r="A12484">
        <f ca="1">33419.1072868116*((RANDBETWEEN(1620,2416)))</f>
        <v>69144132.97641325</v>
      </c>
      <c r="B12484">
        <v>153428265.6559</v>
      </c>
    </row>
    <row r="12485" spans="1:2" x14ac:dyDescent="0.25">
      <c r="A12485">
        <f ca="1">34243.5706211767*((RANDBETWEEN(1620,2416)))</f>
        <v>77287738.891995788</v>
      </c>
      <c r="B12485">
        <v>202372851.36416239</v>
      </c>
    </row>
    <row r="12486" spans="1:2" x14ac:dyDescent="0.25">
      <c r="A12486">
        <f ca="1">36086.470490355*((RANDBETWEEN(1620,2416)))</f>
        <v>80508915.663982093</v>
      </c>
      <c r="B12486">
        <v>165419328.37775719</v>
      </c>
    </row>
    <row r="12487" spans="1:2" x14ac:dyDescent="0.25">
      <c r="A12487">
        <f ca="1">34363.004632526*((RANDBETWEEN(1620,2416)))</f>
        <v>81199779.946658969</v>
      </c>
      <c r="B12487">
        <v>165688627.7225107</v>
      </c>
    </row>
    <row r="12488" spans="1:2" x14ac:dyDescent="0.25">
      <c r="A12488">
        <f ca="1">41125.3513071632*((RANDBETWEEN(1620,2416)))</f>
        <v>73861130.94766511</v>
      </c>
      <c r="B12488">
        <v>177357772.54864639</v>
      </c>
    </row>
    <row r="12489" spans="1:2" x14ac:dyDescent="0.25">
      <c r="A12489">
        <f ca="1">38294.0944298407*((RANDBETWEEN(1620,2416)))</f>
        <v>92441943.953635335</v>
      </c>
      <c r="B12489">
        <v>159222913.1048854</v>
      </c>
    </row>
    <row r="12490" spans="1:2" x14ac:dyDescent="0.25">
      <c r="A12490">
        <f ca="1">31415.5935502024*((RANDBETWEEN(1620,2416)))</f>
        <v>63051096.255256288</v>
      </c>
      <c r="B12490">
        <v>148328483.96094063</v>
      </c>
    </row>
    <row r="12491" spans="1:2" x14ac:dyDescent="0.25">
      <c r="A12491">
        <f ca="1">31560.4992628012*((RANDBETWEEN(1620,2416)))</f>
        <v>56903580.170830548</v>
      </c>
      <c r="B12491">
        <v>189371283.75018418</v>
      </c>
    </row>
    <row r="12492" spans="1:2" x14ac:dyDescent="0.25">
      <c r="A12492">
        <f ca="1">28948.56938221*((RANDBETWEEN(1620,2416)))</f>
        <v>51760042.055391476</v>
      </c>
      <c r="B12492">
        <v>176449015.06156087</v>
      </c>
    </row>
    <row r="12493" spans="1:2" x14ac:dyDescent="0.25">
      <c r="A12493">
        <f ca="1">36678.0911401361*((RANDBETWEEN(1620,2416)))</f>
        <v>84983137.171695367</v>
      </c>
      <c r="B12493">
        <v>151037959.11079088</v>
      </c>
    </row>
    <row r="12494" spans="1:2" x14ac:dyDescent="0.25">
      <c r="A12494">
        <f ca="1">36309.0076690755*((RANDBETWEEN(1620,2416)))</f>
        <v>66808574.111098856</v>
      </c>
      <c r="B12494">
        <v>150840900.12575829</v>
      </c>
    </row>
    <row r="12495" spans="1:2" x14ac:dyDescent="0.25">
      <c r="A12495">
        <f ca="1">34532.6226296089*((RANDBETWEEN(1620,2416)))</f>
        <v>63263764.657443583</v>
      </c>
      <c r="B12495">
        <v>194645329.92155328</v>
      </c>
    </row>
    <row r="12496" spans="1:2" x14ac:dyDescent="0.25">
      <c r="A12496">
        <f ca="1">33363.6289780629*((RANDBETWEEN(1620,2416)))</f>
        <v>75168256.087575749</v>
      </c>
      <c r="B12496">
        <v>198059796.425284</v>
      </c>
    </row>
    <row r="12497" spans="1:2" x14ac:dyDescent="0.25">
      <c r="A12497">
        <f ca="1">33114.6041131162*((RANDBETWEEN(1620,2416)))</f>
        <v>58083015.614405736</v>
      </c>
      <c r="B12497">
        <v>151638282.87510109</v>
      </c>
    </row>
    <row r="12498" spans="1:2" x14ac:dyDescent="0.25">
      <c r="A12498">
        <f ca="1">32694.0941019857*((RANDBETWEEN(1620,2416)))</f>
        <v>61759143.758651033</v>
      </c>
      <c r="B12498">
        <v>156753260.01473212</v>
      </c>
    </row>
    <row r="12499" spans="1:2" x14ac:dyDescent="0.25">
      <c r="A12499">
        <f ca="1">29760.2549060017*((RANDBETWEEN(1620,2416)))</f>
        <v>66633210.734537795</v>
      </c>
      <c r="B12499">
        <v>150374041.66163152</v>
      </c>
    </row>
    <row r="12500" spans="1:2" x14ac:dyDescent="0.25">
      <c r="A12500">
        <f ca="1">34454.514321247*((RANDBETWEEN(1620,2416)))</f>
        <v>63878669.551591963</v>
      </c>
      <c r="B12500">
        <v>152525391.05789268</v>
      </c>
    </row>
    <row r="12501" spans="1:2" x14ac:dyDescent="0.25">
      <c r="A12501">
        <f ca="1">39800.2400012754*((RANDBETWEEN(1620,2416)))</f>
        <v>85849117.682751015</v>
      </c>
      <c r="B12501">
        <v>145187531.96737936</v>
      </c>
    </row>
    <row r="12502" spans="1:2" x14ac:dyDescent="0.25">
      <c r="A12502">
        <f ca="1">37860.3914631348*((RANDBETWEEN(1620,2416)))</f>
        <v>85526624.315221578</v>
      </c>
      <c r="B12502">
        <v>199175866.69445825</v>
      </c>
    </row>
    <row r="12503" spans="1:2" x14ac:dyDescent="0.25">
      <c r="A12503">
        <f ca="1">30957.5345644506*((RANDBETWEEN(1620,2416)))</f>
        <v>72719248.691894561</v>
      </c>
      <c r="B12503">
        <v>161127334.52712071</v>
      </c>
    </row>
    <row r="12504" spans="1:2" x14ac:dyDescent="0.25">
      <c r="A12504">
        <f ca="1">34226.3466953783*((RANDBETWEEN(1620,2416)))</f>
        <v>82280137.455689549</v>
      </c>
      <c r="B12504">
        <v>168185465.45699197</v>
      </c>
    </row>
    <row r="12505" spans="1:2" x14ac:dyDescent="0.25">
      <c r="A12505">
        <f ca="1">39213.676145607*((RANDBETWEEN(1620,2416)))</f>
        <v>64859420.344833948</v>
      </c>
      <c r="B12505">
        <v>180767929.40858245</v>
      </c>
    </row>
    <row r="12506" spans="1:2" x14ac:dyDescent="0.25">
      <c r="A12506">
        <f ca="1">34405.5874645589*((RANDBETWEEN(1620,2416)))</f>
        <v>69774531.378125355</v>
      </c>
      <c r="B12506">
        <v>163665607.83734387</v>
      </c>
    </row>
    <row r="12507" spans="1:2" x14ac:dyDescent="0.25">
      <c r="A12507">
        <f ca="1">31738.9127015504*((RANDBETWEEN(1620,2416)))</f>
        <v>60462628.696453594</v>
      </c>
      <c r="B12507">
        <v>152374098.85214472</v>
      </c>
    </row>
    <row r="12508" spans="1:2" x14ac:dyDescent="0.25">
      <c r="A12508">
        <f ca="1">31496.1313928554*((RANDBETWEEN(1620,2416)))</f>
        <v>51905624.535425745</v>
      </c>
      <c r="B12508">
        <v>185411555.29305425</v>
      </c>
    </row>
    <row r="12509" spans="1:2" x14ac:dyDescent="0.25">
      <c r="A12509">
        <f ca="1">39417.4924616718*((RANDBETWEEN(1620,2416)))</f>
        <v>70084301.596852437</v>
      </c>
      <c r="B12509">
        <v>190598584.24642462</v>
      </c>
    </row>
    <row r="12510" spans="1:2" x14ac:dyDescent="0.25">
      <c r="A12510">
        <f ca="1">35471.7699718016*((RANDBETWEEN(1620,2416)))</f>
        <v>83571490.053564727</v>
      </c>
      <c r="B12510">
        <v>193714845.95287943</v>
      </c>
    </row>
    <row r="12511" spans="1:2" x14ac:dyDescent="0.25">
      <c r="A12511">
        <f ca="1">33130.294241392*((RANDBETWEEN(1620,2416)))</f>
        <v>65465461.420990683</v>
      </c>
      <c r="B12511">
        <v>149719210.30924025</v>
      </c>
    </row>
    <row r="12512" spans="1:2" x14ac:dyDescent="0.25">
      <c r="A12512">
        <f ca="1">32136.8581165451*((RANDBETWEEN(1620,2416)))</f>
        <v>74525373.97226806</v>
      </c>
      <c r="B12512">
        <v>189630565.44670275</v>
      </c>
    </row>
    <row r="12513" spans="1:2" x14ac:dyDescent="0.25">
      <c r="A12513">
        <f ca="1">34459.5788716593*((RANDBETWEEN(1620,2416)))</f>
        <v>59959667.236687221</v>
      </c>
      <c r="B12513">
        <v>153325467.16039342</v>
      </c>
    </row>
    <row r="12514" spans="1:2" x14ac:dyDescent="0.25">
      <c r="A12514">
        <f ca="1">31892.2763394508*((RANDBETWEEN(1620,2416)))</f>
        <v>54440115.711442575</v>
      </c>
      <c r="B12514">
        <v>191862768.89916262</v>
      </c>
    </row>
    <row r="12515" spans="1:2" x14ac:dyDescent="0.25">
      <c r="A12515">
        <f ca="1">31944.784768919*((RANDBETWEEN(1620,2416)))</f>
        <v>66317373.18027582</v>
      </c>
      <c r="B12515">
        <v>190730752.06106174</v>
      </c>
    </row>
    <row r="12516" spans="1:2" x14ac:dyDescent="0.25">
      <c r="A12516">
        <f ca="1">30783.4333339848*((RANDBETWEEN(1620,2416)))</f>
        <v>62921337.734664872</v>
      </c>
      <c r="B12516">
        <v>187031497.72613662</v>
      </c>
    </row>
    <row r="12517" spans="1:2" x14ac:dyDescent="0.25">
      <c r="A12517">
        <f ca="1">30055.2492934449*((RANDBETWEEN(1620,2416)))</f>
        <v>48749614.353967614</v>
      </c>
      <c r="B12517">
        <v>151085314.36415651</v>
      </c>
    </row>
    <row r="12518" spans="1:2" x14ac:dyDescent="0.25">
      <c r="A12518">
        <f ca="1">31649.2752723349*((RANDBETWEEN(1620,2416)))</f>
        <v>70862727.33475782</v>
      </c>
      <c r="B12518">
        <v>196383205.04465008</v>
      </c>
    </row>
    <row r="12519" spans="1:2" x14ac:dyDescent="0.25">
      <c r="A12519">
        <f ca="1">32663.4760812677*((RANDBETWEEN(1620,2416)))</f>
        <v>59153555.18317575</v>
      </c>
      <c r="B12519">
        <v>161781615.56947267</v>
      </c>
    </row>
    <row r="12520" spans="1:2" x14ac:dyDescent="0.25">
      <c r="A12520">
        <f ca="1">32040.307622176*((RANDBETWEEN(1620,2416)))</f>
        <v>70937241.075497687</v>
      </c>
      <c r="B12520">
        <v>199756311.87653983</v>
      </c>
    </row>
    <row r="12521" spans="1:2" x14ac:dyDescent="0.25">
      <c r="A12521">
        <f ca="1">35927.2333035842*((RANDBETWEEN(1620,2416)))</f>
        <v>64166038.680201396</v>
      </c>
      <c r="B12521">
        <v>169980613.96191239</v>
      </c>
    </row>
    <row r="12522" spans="1:2" x14ac:dyDescent="0.25">
      <c r="A12522">
        <f ca="1">32538.9599680454*((RANDBETWEEN(1620,2416)))</f>
        <v>59741530.501331337</v>
      </c>
      <c r="B12522">
        <v>186695469.79321811</v>
      </c>
    </row>
    <row r="12523" spans="1:2" x14ac:dyDescent="0.25">
      <c r="A12523">
        <f ca="1">30729.7857386763*((RANDBETWEEN(1620,2416)))</f>
        <v>70156100.841398001</v>
      </c>
      <c r="B12523">
        <v>157445575.66945577</v>
      </c>
    </row>
    <row r="12524" spans="1:2" x14ac:dyDescent="0.25">
      <c r="A12524">
        <f ca="1">35468.1816445318*((RANDBETWEEN(1620,2416)))</f>
        <v>80477304.151442662</v>
      </c>
      <c r="B12524">
        <v>150132733.67749524</v>
      </c>
    </row>
    <row r="12525" spans="1:2" x14ac:dyDescent="0.25">
      <c r="A12525">
        <f ca="1">30346.3745296892*((RANDBETWEEN(1620,2416)))</f>
        <v>56322871.127103128</v>
      </c>
      <c r="B12525">
        <v>188320698.48722386</v>
      </c>
    </row>
    <row r="12526" spans="1:2" x14ac:dyDescent="0.25">
      <c r="A12526">
        <f ca="1">34140.3279945726*((RANDBETWEEN(1620,2416)))</f>
        <v>65105605.48565001</v>
      </c>
      <c r="B12526">
        <v>145524391.30270514</v>
      </c>
    </row>
    <row r="12527" spans="1:2" x14ac:dyDescent="0.25">
      <c r="A12527">
        <f ca="1">34180.104791784*((RANDBETWEEN(1620,2416)))</f>
        <v>66480303.820019901</v>
      </c>
      <c r="B12527">
        <v>148474492.33797905</v>
      </c>
    </row>
    <row r="12528" spans="1:2" x14ac:dyDescent="0.25">
      <c r="A12528">
        <f ca="1">36057.1517871063*((RANDBETWEEN(1620,2416)))</f>
        <v>62811558.41313909</v>
      </c>
      <c r="B12528">
        <v>167849259.07265699</v>
      </c>
    </row>
    <row r="12529" spans="1:2" x14ac:dyDescent="0.25">
      <c r="A12529">
        <f ca="1">31744.3528563549*((RANDBETWEEN(1620,2416)))</f>
        <v>59393684.194240004</v>
      </c>
      <c r="B12529">
        <v>172938030.95681632</v>
      </c>
    </row>
    <row r="12530" spans="1:2" x14ac:dyDescent="0.25">
      <c r="A12530">
        <f ca="1">31762.3077869522*((RANDBETWEEN(1620,2416)))</f>
        <v>70861708.672690392</v>
      </c>
      <c r="B12530">
        <v>172640027.55168489</v>
      </c>
    </row>
    <row r="12531" spans="1:2" x14ac:dyDescent="0.25">
      <c r="A12531">
        <f ca="1">32568.0173416813*((RANDBETWEEN(1620,2416)))</f>
        <v>56733486.209208749</v>
      </c>
      <c r="B12531">
        <v>149483174.18903452</v>
      </c>
    </row>
    <row r="12532" spans="1:2" x14ac:dyDescent="0.25">
      <c r="A12532">
        <f ca="1">32975.6016728822*((RANDBETWEEN(1620,2416)))</f>
        <v>59586912.222898215</v>
      </c>
      <c r="B12532">
        <v>152271840.25442171</v>
      </c>
    </row>
    <row r="12533" spans="1:2" x14ac:dyDescent="0.25">
      <c r="A12533">
        <f ca="1">30620.9553905768*((RANDBETWEEN(1620,2416)))</f>
        <v>53709155.755071774</v>
      </c>
      <c r="B12533">
        <v>187040619.82107547</v>
      </c>
    </row>
    <row r="12534" spans="1:2" x14ac:dyDescent="0.25">
      <c r="A12534">
        <f ca="1">37154.2270492244*((RANDBETWEEN(1620,2416)))</f>
        <v>75831777.407466918</v>
      </c>
      <c r="B12534">
        <v>183684587.78546542</v>
      </c>
    </row>
    <row r="12535" spans="1:2" x14ac:dyDescent="0.25">
      <c r="A12535">
        <f ca="1">30943.8069953165*((RANDBETWEEN(1620,2416)))</f>
        <v>74419855.823736072</v>
      </c>
      <c r="B12535">
        <v>176542790.86938307</v>
      </c>
    </row>
    <row r="12536" spans="1:2" x14ac:dyDescent="0.25">
      <c r="A12536">
        <f ca="1">28300.112067339*((RANDBETWEEN(1620,2416)))</f>
        <v>56062522.005398519</v>
      </c>
      <c r="B12536">
        <v>156517943.3350023</v>
      </c>
    </row>
    <row r="12537" spans="1:2" x14ac:dyDescent="0.25">
      <c r="A12537">
        <f ca="1">28001.5806887626*((RANDBETWEEN(1620,2416)))</f>
        <v>45530570.199927911</v>
      </c>
      <c r="B12537">
        <v>201348596.03882021</v>
      </c>
    </row>
    <row r="12538" spans="1:2" x14ac:dyDescent="0.25">
      <c r="A12538">
        <f ca="1">33779.4964957368*((RANDBETWEEN(1620,2416)))</f>
        <v>63235217.440019369</v>
      </c>
      <c r="B12538">
        <v>164616569.37359661</v>
      </c>
    </row>
    <row r="12539" spans="1:2" x14ac:dyDescent="0.25">
      <c r="A12539">
        <f ca="1">30953.9256515928*((RANDBETWEEN(1620,2416)))</f>
        <v>51352562.65599253</v>
      </c>
      <c r="B12539">
        <v>152097681.28873432</v>
      </c>
    </row>
    <row r="12540" spans="1:2" x14ac:dyDescent="0.25">
      <c r="A12540">
        <f ca="1">32174.4651906478*((RANDBETWEEN(1620,2416)))</f>
        <v>58171433.064691186</v>
      </c>
      <c r="B12540">
        <v>170263506.07616353</v>
      </c>
    </row>
    <row r="12541" spans="1:2" x14ac:dyDescent="0.25">
      <c r="A12541">
        <f ca="1">39141.5036662472*((RANDBETWEEN(1620,2416)))</f>
        <v>88107524.752722383</v>
      </c>
      <c r="B12541">
        <v>193006059.06108671</v>
      </c>
    </row>
    <row r="12542" spans="1:2" x14ac:dyDescent="0.25">
      <c r="A12542">
        <f ca="1">30081.258432913*((RANDBETWEEN(1620,2416)))</f>
        <v>55469840.550291501</v>
      </c>
      <c r="B12542">
        <v>152827290.22350422</v>
      </c>
    </row>
    <row r="12543" spans="1:2" x14ac:dyDescent="0.25">
      <c r="A12543">
        <f ca="1">32329.1007033648*((RANDBETWEEN(1620,2416)))</f>
        <v>59032937.884344094</v>
      </c>
      <c r="B12543">
        <v>151164758.33431846</v>
      </c>
    </row>
    <row r="12544" spans="1:2" x14ac:dyDescent="0.25">
      <c r="A12544">
        <f ca="1">30158.6281887309*((RANDBETWEEN(1620,2416)))</f>
        <v>55341082.72632125</v>
      </c>
      <c r="B12544">
        <v>166463940.01936433</v>
      </c>
    </row>
    <row r="12545" spans="1:2" x14ac:dyDescent="0.25">
      <c r="A12545">
        <f ca="1">31011.6621828373*((RANDBETWEEN(1620,2416)))</f>
        <v>50362939.384927697</v>
      </c>
      <c r="B12545">
        <v>152841076.64697585</v>
      </c>
    </row>
    <row r="12546" spans="1:2" x14ac:dyDescent="0.25">
      <c r="A12546">
        <f ca="1">33294.9934922846*((RANDBETWEEN(1620,2416)))</f>
        <v>72116955.904288426</v>
      </c>
      <c r="B12546">
        <v>181620049.99167904</v>
      </c>
    </row>
    <row r="12547" spans="1:2" x14ac:dyDescent="0.25">
      <c r="A12547">
        <f ca="1">32761.077884049*((RANDBETWEEN(1620,2416)))</f>
        <v>57593974.920158215</v>
      </c>
      <c r="B12547">
        <v>153720304.22461098</v>
      </c>
    </row>
    <row r="12548" spans="1:2" x14ac:dyDescent="0.25">
      <c r="A12548">
        <f ca="1">36036.4344847811*((RANDBETWEEN(1620,2416)))</f>
        <v>66991731.707208149</v>
      </c>
      <c r="B12548">
        <v>197774410.01708305</v>
      </c>
    </row>
    <row r="12549" spans="1:2" x14ac:dyDescent="0.25">
      <c r="A12549">
        <f ca="1">39220.1453222047*((RANDBETWEEN(1620,2416)))</f>
        <v>89853352.933171004</v>
      </c>
      <c r="B12549">
        <v>197327624.46405476</v>
      </c>
    </row>
    <row r="12550" spans="1:2" x14ac:dyDescent="0.25">
      <c r="A12550">
        <f ca="1">31769.9807731749*((RANDBETWEEN(1620,2416)))</f>
        <v>74468834.932321876</v>
      </c>
      <c r="B12550">
        <v>161768036.64304811</v>
      </c>
    </row>
    <row r="12551" spans="1:2" x14ac:dyDescent="0.25">
      <c r="A12551">
        <f ca="1">30565.8621278779*((RANDBETWEEN(1620,2416)))</f>
        <v>53612522.172297873</v>
      </c>
      <c r="B12551">
        <v>145604102.96153155</v>
      </c>
    </row>
    <row r="12552" spans="1:2" x14ac:dyDescent="0.25">
      <c r="A12552">
        <f ca="1">35412.8208065259*((RANDBETWEEN(1620,2416)))</f>
        <v>71710962.133214891</v>
      </c>
      <c r="B12552">
        <v>163195914.1857121</v>
      </c>
    </row>
    <row r="12553" spans="1:2" x14ac:dyDescent="0.25">
      <c r="A12553">
        <f ca="1">30928.0800488272*((RANDBETWEEN(1620,2416)))</f>
        <v>63216995.619802825</v>
      </c>
      <c r="B12553">
        <v>148763957.70058656</v>
      </c>
    </row>
    <row r="12554" spans="1:2" x14ac:dyDescent="0.25">
      <c r="A12554">
        <f ca="1">39829.7725862553*((RANDBETWEEN(1620,2416)))</f>
        <v>69901250.888878092</v>
      </c>
      <c r="B12554">
        <v>191151340.27708012</v>
      </c>
    </row>
    <row r="12555" spans="1:2" x14ac:dyDescent="0.25">
      <c r="A12555">
        <f ca="1">32840.8375822244*((RANDBETWEEN(1620,2416)))</f>
        <v>57241579.905817047</v>
      </c>
      <c r="B12555">
        <v>196378977.8577227</v>
      </c>
    </row>
    <row r="12556" spans="1:2" x14ac:dyDescent="0.25">
      <c r="A12556">
        <f ca="1">36852.041295428*((RANDBETWEEN(1620,2416)))</f>
        <v>65449225.340680197</v>
      </c>
      <c r="B12556">
        <v>146808116.55626753</v>
      </c>
    </row>
    <row r="12557" spans="1:2" x14ac:dyDescent="0.25">
      <c r="A12557">
        <f ca="1">39569.6520544243*((RANDBETWEEN(1620,2416)))</f>
        <v>79060164.804739818</v>
      </c>
      <c r="B12557">
        <v>162041937.41867036</v>
      </c>
    </row>
    <row r="12558" spans="1:2" x14ac:dyDescent="0.25">
      <c r="A12558">
        <f ca="1">32187.4467128101*((RANDBETWEEN(1620,2416)))</f>
        <v>57229280.255376294</v>
      </c>
      <c r="B12558">
        <v>179024723.14782652</v>
      </c>
    </row>
    <row r="12559" spans="1:2" x14ac:dyDescent="0.25">
      <c r="A12559">
        <f ca="1">34527.1157818456*((RANDBETWEEN(1620,2416)))</f>
        <v>79826691.687627032</v>
      </c>
      <c r="B12559">
        <v>149120231.03494841</v>
      </c>
    </row>
    <row r="12560" spans="1:2" x14ac:dyDescent="0.25">
      <c r="A12560">
        <f ca="1">34752.511416299*((RANDBETWEEN(1620,2416)))</f>
        <v>60712637.444274299</v>
      </c>
      <c r="B12560">
        <v>153536440.38714591</v>
      </c>
    </row>
    <row r="12561" spans="1:2" x14ac:dyDescent="0.25">
      <c r="A12561">
        <f ca="1">29884.2514027201*((RANDBETWEEN(1620,2416)))</f>
        <v>64908594.046708032</v>
      </c>
      <c r="B12561">
        <v>165803150.45685858</v>
      </c>
    </row>
    <row r="12562" spans="1:2" x14ac:dyDescent="0.25">
      <c r="A12562">
        <f ca="1">30901.718739878*((RANDBETWEEN(1620,2416)))</f>
        <v>59454906.855525285</v>
      </c>
      <c r="B12562">
        <v>160130420.12813872</v>
      </c>
    </row>
    <row r="12563" spans="1:2" x14ac:dyDescent="0.25">
      <c r="A12563">
        <f ca="1">40961.2884628868*((RANDBETWEEN(1620,2416)))</f>
        <v>95890376.291617885</v>
      </c>
      <c r="B12563">
        <v>202222469.07250845</v>
      </c>
    </row>
    <row r="12564" spans="1:2" x14ac:dyDescent="0.25">
      <c r="A12564">
        <f ca="1">38331.1700180237*((RANDBETWEEN(1620,2416)))</f>
        <v>74745781.535146117</v>
      </c>
      <c r="B12564">
        <v>143409666.05365902</v>
      </c>
    </row>
    <row r="12565" spans="1:2" x14ac:dyDescent="0.25">
      <c r="A12565">
        <f ca="1">30635.450599065*((RANDBETWEEN(1620,2416)))</f>
        <v>51590098.808825418</v>
      </c>
      <c r="B12565">
        <v>186131601.3686955</v>
      </c>
    </row>
    <row r="12566" spans="1:2" x14ac:dyDescent="0.25">
      <c r="A12566">
        <f ca="1">35318.0934868674*((RANDBETWEEN(1620,2416)))</f>
        <v>71307230.749985218</v>
      </c>
      <c r="B12566">
        <v>181648677.90049475</v>
      </c>
    </row>
    <row r="12567" spans="1:2" x14ac:dyDescent="0.25">
      <c r="A12567">
        <f ca="1">37105.2446751078*((RANDBETWEEN(1620,2416)))</f>
        <v>82930221.848865867</v>
      </c>
      <c r="B12567">
        <v>160044623.05245411</v>
      </c>
    </row>
    <row r="12568" spans="1:2" x14ac:dyDescent="0.25">
      <c r="A12568">
        <f ca="1">34991.8754969506*((RANDBETWEEN(1620,2416)))</f>
        <v>71628369.142257929</v>
      </c>
      <c r="B12568">
        <v>192868143.2981258</v>
      </c>
    </row>
    <row r="12569" spans="1:2" x14ac:dyDescent="0.25">
      <c r="A12569">
        <f ca="1">31319.2111265854*((RANDBETWEEN(1620,2416)))</f>
        <v>68964902.900740966</v>
      </c>
      <c r="B12569">
        <v>155638566.44032007</v>
      </c>
    </row>
    <row r="12570" spans="1:2" x14ac:dyDescent="0.25">
      <c r="A12570">
        <f ca="1">35537.772160407*((RANDBETWEEN(1620,2416)))</f>
        <v>84757586.602570713</v>
      </c>
      <c r="B12570">
        <v>172838897.3638922</v>
      </c>
    </row>
    <row r="12571" spans="1:2" x14ac:dyDescent="0.25">
      <c r="A12571">
        <f ca="1">30551.6116528619*((RANDBETWEEN(1620,2416)))</f>
        <v>64922174.762331605</v>
      </c>
      <c r="B12571">
        <v>173794190.70173419</v>
      </c>
    </row>
    <row r="12572" spans="1:2" x14ac:dyDescent="0.25">
      <c r="A12572">
        <f ca="1">33093.2032072408*((RANDBETWEEN(1620,2416)))</f>
        <v>57218148.345319286</v>
      </c>
      <c r="B12572">
        <v>192048469.23464152</v>
      </c>
    </row>
    <row r="12573" spans="1:2" x14ac:dyDescent="0.25">
      <c r="A12573">
        <f ca="1">35482.6381429331*((RANDBETWEEN(1620,2416)))</f>
        <v>81468137.176174328</v>
      </c>
      <c r="B12573">
        <v>189012953.05563492</v>
      </c>
    </row>
    <row r="12574" spans="1:2" x14ac:dyDescent="0.25">
      <c r="A12574">
        <f ca="1">40603.9113373499*((RANDBETWEEN(1620,2416)))</f>
        <v>96596705.071555302</v>
      </c>
      <c r="B12574">
        <v>159741457.03208688</v>
      </c>
    </row>
    <row r="12575" spans="1:2" x14ac:dyDescent="0.25">
      <c r="A12575">
        <f ca="1">32140.4230031547*((RANDBETWEEN(1620,2416)))</f>
        <v>55152965.873413488</v>
      </c>
      <c r="B12575">
        <v>193350521.28525433</v>
      </c>
    </row>
    <row r="12576" spans="1:2" x14ac:dyDescent="0.25">
      <c r="A12576">
        <f ca="1">35595.9764437231*((RANDBETWEEN(1620,2416)))</f>
        <v>85252363.582716838</v>
      </c>
      <c r="B12576">
        <v>145378817.29412934</v>
      </c>
    </row>
    <row r="12577" spans="1:2" x14ac:dyDescent="0.25">
      <c r="A12577">
        <f ca="1">39751.552817972*((RANDBETWEEN(1620,2416)))</f>
        <v>92819875.829964563</v>
      </c>
      <c r="B12577">
        <v>145570051.1049774</v>
      </c>
    </row>
    <row r="12578" spans="1:2" x14ac:dyDescent="0.25">
      <c r="A12578">
        <f ca="1">33181.3630982139*((RANDBETWEEN(1620,2416)))</f>
        <v>63110952.612802841</v>
      </c>
      <c r="B12578">
        <v>145604405.62274665</v>
      </c>
    </row>
    <row r="12579" spans="1:2" x14ac:dyDescent="0.25">
      <c r="A12579">
        <f ca="1">30961.3781613256*((RANDBETWEEN(1620,2416)))</f>
        <v>55978171.715676628</v>
      </c>
      <c r="B12579">
        <v>173043225.82878113</v>
      </c>
    </row>
    <row r="12580" spans="1:2" x14ac:dyDescent="0.25">
      <c r="A12580">
        <f ca="1">31351.8752124868*((RANDBETWEEN(1620,2416)))</f>
        <v>60101544.782337144</v>
      </c>
      <c r="B12580">
        <v>199411094.15196794</v>
      </c>
    </row>
    <row r="12581" spans="1:2" x14ac:dyDescent="0.25">
      <c r="A12581">
        <f ca="1">32390.0019258148*((RANDBETWEEN(1620,2416)))</f>
        <v>61281883.643641628</v>
      </c>
      <c r="B12581">
        <v>147388090.88885835</v>
      </c>
    </row>
    <row r="12582" spans="1:2" x14ac:dyDescent="0.25">
      <c r="A12582">
        <f ca="1">33604.0092049587*((RANDBETWEEN(1620,2416)))</f>
        <v>75172168.591492638</v>
      </c>
      <c r="B12582">
        <v>151595449.08838338</v>
      </c>
    </row>
    <row r="12583" spans="1:2" x14ac:dyDescent="0.25">
      <c r="A12583">
        <f ca="1">32248.1311131881*((RANDBETWEEN(1620,2416)))</f>
        <v>62206644.917339921</v>
      </c>
      <c r="B12583">
        <v>162361023.85553381</v>
      </c>
    </row>
    <row r="12584" spans="1:2" x14ac:dyDescent="0.25">
      <c r="A12584">
        <f ca="1">30119.7799074477*((RANDBETWEEN(1620,2416)))</f>
        <v>52107219.239884466</v>
      </c>
      <c r="B12584">
        <v>188817025.60524446</v>
      </c>
    </row>
    <row r="12585" spans="1:2" x14ac:dyDescent="0.25">
      <c r="A12585">
        <f ca="1">33100.1180576436*((RANDBETWEEN(1620,2416)))</f>
        <v>60838016.989948846</v>
      </c>
      <c r="B12585">
        <v>151540401.4154079</v>
      </c>
    </row>
    <row r="12586" spans="1:2" x14ac:dyDescent="0.25">
      <c r="A12586">
        <f ca="1">28646.4684047226*((RANDBETWEEN(1620,2416)))</f>
        <v>47209379.93098285</v>
      </c>
      <c r="B12586">
        <v>152967208.48434514</v>
      </c>
    </row>
    <row r="12587" spans="1:2" x14ac:dyDescent="0.25">
      <c r="A12587">
        <f ca="1">36006.406371173*((RANDBETWEEN(1620,2416)))</f>
        <v>71796774.304119051</v>
      </c>
      <c r="B12587">
        <v>161341094.23593092</v>
      </c>
    </row>
    <row r="12588" spans="1:2" x14ac:dyDescent="0.25">
      <c r="A12588">
        <f ca="1">30870.642679482*((RANDBETWEEN(1620,2416)))</f>
        <v>63655265.205091819</v>
      </c>
      <c r="B12588">
        <v>182902620.32863796</v>
      </c>
    </row>
    <row r="12589" spans="1:2" x14ac:dyDescent="0.25">
      <c r="A12589">
        <f ca="1">34281.7143711133*((RANDBETWEEN(1620,2416)))</f>
        <v>74425601.899686918</v>
      </c>
      <c r="B12589">
        <v>169452398.28967494</v>
      </c>
    </row>
    <row r="12590" spans="1:2" x14ac:dyDescent="0.25">
      <c r="A12590">
        <f ca="1">38009.3653487231*((RANDBETWEEN(1620,2416)))</f>
        <v>83164491.383006051</v>
      </c>
      <c r="B12590">
        <v>154400071.02911362</v>
      </c>
    </row>
    <row r="12591" spans="1:2" x14ac:dyDescent="0.25">
      <c r="A12591">
        <f ca="1">28293.9106200736*((RANDBETWEEN(1620,2416)))</f>
        <v>50391454.814351037</v>
      </c>
      <c r="B12591">
        <v>147261746.3238706</v>
      </c>
    </row>
    <row r="12592" spans="1:2" x14ac:dyDescent="0.25">
      <c r="A12592">
        <f ca="1">31628.3588399411*((RANDBETWEEN(1620,2416)))</f>
        <v>59682713.130968884</v>
      </c>
      <c r="B12592">
        <v>148356536.74016869</v>
      </c>
    </row>
    <row r="12593" spans="1:2" x14ac:dyDescent="0.25">
      <c r="A12593">
        <f ca="1">32568.3772722331*((RANDBETWEEN(1620,2416)))</f>
        <v>54975420.835529417</v>
      </c>
      <c r="B12593">
        <v>172097225.12073937</v>
      </c>
    </row>
    <row r="12594" spans="1:2" x14ac:dyDescent="0.25">
      <c r="A12594">
        <f ca="1">30649.2794955861*((RANDBETWEEN(1620,2416)))</f>
        <v>69022177.424059913</v>
      </c>
      <c r="B12594">
        <v>161239388.36982834</v>
      </c>
    </row>
    <row r="12595" spans="1:2" x14ac:dyDescent="0.25">
      <c r="A12595">
        <f ca="1">37987.1975612593*((RANDBETWEEN(1620,2416)))</f>
        <v>88928029.490908042</v>
      </c>
      <c r="B12595">
        <v>146299091.57710028</v>
      </c>
    </row>
    <row r="12596" spans="1:2" x14ac:dyDescent="0.25">
      <c r="A12596">
        <f ca="1">31555.2901772637*((RANDBETWEEN(1620,2416)))</f>
        <v>60365270.109105535</v>
      </c>
      <c r="B12596">
        <v>173470426.12618309</v>
      </c>
    </row>
    <row r="12597" spans="1:2" x14ac:dyDescent="0.25">
      <c r="A12597">
        <f ca="1">40122.6215799489*((RANDBETWEEN(1620,2416)))</f>
        <v>81007572.969916821</v>
      </c>
      <c r="B12597">
        <v>161741160.11323813</v>
      </c>
    </row>
    <row r="12598" spans="1:2" x14ac:dyDescent="0.25">
      <c r="A12598">
        <f ca="1">29472.1776138533*((RANDBETWEEN(1620,2416)))</f>
        <v>51664727.357084826</v>
      </c>
      <c r="B12598">
        <v>150095858.35395408</v>
      </c>
    </row>
    <row r="12599" spans="1:2" x14ac:dyDescent="0.25">
      <c r="A12599">
        <f ca="1">29760.548722682*((RANDBETWEEN(1620,2416)))</f>
        <v>71544359.129327446</v>
      </c>
      <c r="B12599">
        <v>150744718.09769934</v>
      </c>
    </row>
    <row r="12600" spans="1:2" x14ac:dyDescent="0.25">
      <c r="A12600">
        <f ca="1">28100.0895456292*((RANDBETWEEN(1620,2416)))</f>
        <v>48107353.302117132</v>
      </c>
      <c r="B12600">
        <v>145362272.12296718</v>
      </c>
    </row>
    <row r="12601" spans="1:2" x14ac:dyDescent="0.25">
      <c r="A12601">
        <f ca="1">29670.9623944319*((RANDBETWEEN(1620,2416)))</f>
        <v>52873654.986877628</v>
      </c>
      <c r="B12601">
        <v>181671420.23627505</v>
      </c>
    </row>
    <row r="12602" spans="1:2" x14ac:dyDescent="0.25">
      <c r="A12602">
        <f ca="1">40639.4462614274*((RANDBETWEEN(1620,2416)))</f>
        <v>73029084.931785107</v>
      </c>
      <c r="B12602">
        <v>185456324.81551206</v>
      </c>
    </row>
    <row r="12603" spans="1:2" x14ac:dyDescent="0.25">
      <c r="A12603">
        <f ca="1">28322.2241871436*((RANDBETWEEN(1620,2416)))</f>
        <v>51546448.020601273</v>
      </c>
      <c r="B12603">
        <v>178313813.50901821</v>
      </c>
    </row>
    <row r="12604" spans="1:2" x14ac:dyDescent="0.25">
      <c r="A12604">
        <f ca="1">32513.0450957294*((RANDBETWEEN(1620,2416)))</f>
        <v>63400437.936672412</v>
      </c>
      <c r="B12604">
        <v>174753774.83957863</v>
      </c>
    </row>
    <row r="12605" spans="1:2" x14ac:dyDescent="0.25">
      <c r="A12605">
        <f ca="1">32880.0367771828*((RANDBETWEEN(1620,2416)))</f>
        <v>70955119.365160421</v>
      </c>
      <c r="B12605">
        <v>155294150.36336008</v>
      </c>
    </row>
    <row r="12606" spans="1:2" x14ac:dyDescent="0.25">
      <c r="A12606">
        <f ca="1">34983.2029127546*((RANDBETWEEN(1620,2416)))</f>
        <v>77522777.654664084</v>
      </c>
      <c r="B12606">
        <v>172840328.62911186</v>
      </c>
    </row>
    <row r="12607" spans="1:2" x14ac:dyDescent="0.25">
      <c r="A12607">
        <f ca="1">39042.246724785*((RANDBETWEEN(1620,2416)))</f>
        <v>80153732.525983542</v>
      </c>
      <c r="B12607">
        <v>159822775.89795488</v>
      </c>
    </row>
    <row r="12608" spans="1:2" x14ac:dyDescent="0.25">
      <c r="A12608">
        <f ca="1">31364.1916761235*((RANDBETWEEN(1620,2416)))</f>
        <v>67213462.761932597</v>
      </c>
      <c r="B12608">
        <v>151709965.74346951</v>
      </c>
    </row>
    <row r="12609" spans="1:2" x14ac:dyDescent="0.25">
      <c r="A12609">
        <f ca="1">32244.9879436146*((RANDBETWEEN(1620,2416)))</f>
        <v>73841022.39087747</v>
      </c>
      <c r="B12609">
        <v>167345335.44584927</v>
      </c>
    </row>
    <row r="12610" spans="1:2" x14ac:dyDescent="0.25">
      <c r="A12610">
        <f ca="1">32639.3368746852*((RANDBETWEEN(1620,2416)))</f>
        <v>54083381.201353297</v>
      </c>
      <c r="B12610">
        <v>194242205.66785386</v>
      </c>
    </row>
    <row r="12611" spans="1:2" x14ac:dyDescent="0.25">
      <c r="A12611">
        <f ca="1">31853.864270955*((RANDBETWEEN(1620,2416)))</f>
        <v>57782909.78751231</v>
      </c>
      <c r="B12611">
        <v>157596156.82849982</v>
      </c>
    </row>
    <row r="12612" spans="1:2" x14ac:dyDescent="0.25">
      <c r="A12612">
        <f ca="1">31353.723800345*((RANDBETWEEN(1620,2416)))</f>
        <v>67441859.894542038</v>
      </c>
      <c r="B12612">
        <v>184623379.00248089</v>
      </c>
    </row>
    <row r="12613" spans="1:2" x14ac:dyDescent="0.25">
      <c r="A12613">
        <f ca="1">30527.6081039024*((RANDBETWEEN(1620,2416)))</f>
        <v>53331731.357517518</v>
      </c>
      <c r="B12613">
        <v>178720304.41609582</v>
      </c>
    </row>
    <row r="12614" spans="1:2" x14ac:dyDescent="0.25">
      <c r="A12614">
        <f ca="1">43270.2932716727*((RANDBETWEEN(1620,2416)))</f>
        <v>92944589.947552904</v>
      </c>
      <c r="B12614">
        <v>183162405.25810957</v>
      </c>
    </row>
    <row r="12615" spans="1:2" x14ac:dyDescent="0.25">
      <c r="A12615">
        <f ca="1">31471.2986819523*((RANDBETWEEN(1620,2416)))</f>
        <v>70306881.255481392</v>
      </c>
      <c r="B12615">
        <v>185547218.43215263</v>
      </c>
    </row>
    <row r="12616" spans="1:2" x14ac:dyDescent="0.25">
      <c r="A12616">
        <f ca="1">32961.9521350351*((RANDBETWEEN(1620,2416)))</f>
        <v>64209882.759048291</v>
      </c>
      <c r="B12616">
        <v>158794115.79157937</v>
      </c>
    </row>
    <row r="12617" spans="1:2" x14ac:dyDescent="0.25">
      <c r="A12617">
        <f ca="1">31135.6232320074*((RANDBETWEEN(1620,2416)))</f>
        <v>57071597.384269588</v>
      </c>
      <c r="B12617">
        <v>156128107.43834394</v>
      </c>
    </row>
    <row r="12618" spans="1:2" x14ac:dyDescent="0.25">
      <c r="A12618">
        <f ca="1">38037.3061887718*((RANDBETWEEN(1620,2416)))</f>
        <v>81095536.794461563</v>
      </c>
      <c r="B12618">
        <v>194918006.2756207</v>
      </c>
    </row>
    <row r="12619" spans="1:2" x14ac:dyDescent="0.25">
      <c r="A12619">
        <f ca="1">33524.2603755477*((RANDBETWEEN(1620,2416)))</f>
        <v>55951990.566789053</v>
      </c>
      <c r="B12619">
        <v>189438510.89064923</v>
      </c>
    </row>
    <row r="12620" spans="1:2" x14ac:dyDescent="0.25">
      <c r="A12620">
        <f ca="1">31331.5940641843*((RANDBETWEEN(1620,2416)))</f>
        <v>70151439.109708607</v>
      </c>
      <c r="B12620">
        <v>143169564.98347425</v>
      </c>
    </row>
    <row r="12621" spans="1:2" x14ac:dyDescent="0.25">
      <c r="A12621">
        <f ca="1">29667.8261362784*((RANDBETWEEN(1620,2416)))</f>
        <v>69126034.897528633</v>
      </c>
      <c r="B12621">
        <v>144918368.210004</v>
      </c>
    </row>
    <row r="12622" spans="1:2" x14ac:dyDescent="0.25">
      <c r="A12622">
        <f ca="1">36696.6247261143*((RANDBETWEEN(1620,2416)))</f>
        <v>81613293.390878201</v>
      </c>
      <c r="B12622">
        <v>180710522.23832077</v>
      </c>
    </row>
    <row r="12623" spans="1:2" x14ac:dyDescent="0.25">
      <c r="A12623">
        <f ca="1">31259.2813991796*((RANDBETWEEN(1620,2416)))</f>
        <v>64112786.149717264</v>
      </c>
      <c r="B12623">
        <v>156110981.70154622</v>
      </c>
    </row>
    <row r="12624" spans="1:2" x14ac:dyDescent="0.25">
      <c r="A12624">
        <f ca="1">28958.7809678583*((RANDBETWEEN(1620,2416)))</f>
        <v>54790013.591187865</v>
      </c>
      <c r="B12624">
        <v>193022209.81111822</v>
      </c>
    </row>
    <row r="12625" spans="1:2" x14ac:dyDescent="0.25">
      <c r="A12625">
        <f ca="1">38145.9158290462*((RANDBETWEEN(1620,2416)))</f>
        <v>77817668.291254237</v>
      </c>
      <c r="B12625">
        <v>193664678.96293759</v>
      </c>
    </row>
    <row r="12626" spans="1:2" x14ac:dyDescent="0.25">
      <c r="A12626">
        <f ca="1">29414.9990036941*((RANDBETWEEN(1620,2416)))</f>
        <v>57682813.046244055</v>
      </c>
      <c r="B12626">
        <v>163202995.64245832</v>
      </c>
    </row>
    <row r="12627" spans="1:2" x14ac:dyDescent="0.25">
      <c r="A12627">
        <f ca="1">29913.4328326938*((RANDBETWEEN(1620,2416)))</f>
        <v>61412277.605520472</v>
      </c>
      <c r="B12627">
        <v>166805283.79245663</v>
      </c>
    </row>
    <row r="12628" spans="1:2" x14ac:dyDescent="0.25">
      <c r="A12628">
        <f ca="1">30293.0545537944*((RANDBETWEEN(1620,2416)))</f>
        <v>65190653.399765596</v>
      </c>
      <c r="B12628">
        <v>167938754.87323749</v>
      </c>
    </row>
    <row r="12629" spans="1:2" x14ac:dyDescent="0.25">
      <c r="A12629">
        <f ca="1">33279.4198679507*((RANDBETWEEN(1620,2416)))</f>
        <v>54445130.903967269</v>
      </c>
      <c r="B12629">
        <v>178437045.96882883</v>
      </c>
    </row>
    <row r="12630" spans="1:2" x14ac:dyDescent="0.25">
      <c r="A12630">
        <f ca="1">39802.5971197092*((RANDBETWEEN(1620,2416)))</f>
        <v>73555199.477222636</v>
      </c>
      <c r="B12630">
        <v>158510588.35911193</v>
      </c>
    </row>
    <row r="12631" spans="1:2" x14ac:dyDescent="0.25">
      <c r="A12631">
        <f ca="1">31525.7123462315*((RANDBETWEEN(1620,2416)))</f>
        <v>72067778.423485115</v>
      </c>
      <c r="B12631">
        <v>172284241.55466315</v>
      </c>
    </row>
    <row r="12632" spans="1:2" x14ac:dyDescent="0.25">
      <c r="A12632">
        <f ca="1">37432.6162045336*((RANDBETWEEN(1620,2416)))</f>
        <v>75389289.035930708</v>
      </c>
      <c r="B12632">
        <v>174118880.40547776</v>
      </c>
    </row>
    <row r="12633" spans="1:2" x14ac:dyDescent="0.25">
      <c r="A12633">
        <f ca="1">28923.9773197432*((RANDBETWEEN(1620,2416)))</f>
        <v>60364340.666304149</v>
      </c>
      <c r="B12633">
        <v>202981921.41947925</v>
      </c>
    </row>
    <row r="12634" spans="1:2" x14ac:dyDescent="0.25">
      <c r="A12634">
        <f ca="1">33463.9252804051*((RANDBETWEEN(1620,2416)))</f>
        <v>67028242.336651355</v>
      </c>
      <c r="B12634">
        <v>177579834.4150337</v>
      </c>
    </row>
    <row r="12635" spans="1:2" x14ac:dyDescent="0.25">
      <c r="A12635">
        <f ca="1">31816.7288663702*((RANDBETWEEN(1620,2416)))</f>
        <v>58383697.469789237</v>
      </c>
      <c r="B12635">
        <v>172380451.38137925</v>
      </c>
    </row>
    <row r="12636" spans="1:2" x14ac:dyDescent="0.25">
      <c r="A12636">
        <f ca="1">30867.8927290042*((RANDBETWEEN(1620,2416)))</f>
        <v>56673451.050451763</v>
      </c>
      <c r="B12636">
        <v>159453452.39173943</v>
      </c>
    </row>
    <row r="12637" spans="1:2" x14ac:dyDescent="0.25">
      <c r="A12637">
        <f ca="1">31788.801687153*((RANDBETWEEN(1620,2416)))</f>
        <v>55821135.762640744</v>
      </c>
      <c r="B12637">
        <v>169924410.37566909</v>
      </c>
    </row>
    <row r="12638" spans="1:2" x14ac:dyDescent="0.25">
      <c r="A12638">
        <f ca="1">31513.5623415652*((RANDBETWEEN(1620,2416)))</f>
        <v>70874001.706180155</v>
      </c>
      <c r="B12638">
        <v>186001798.22856987</v>
      </c>
    </row>
    <row r="12639" spans="1:2" x14ac:dyDescent="0.25">
      <c r="A12639">
        <f ca="1">35259.6226498158*((RANDBETWEEN(1620,2416)))</f>
        <v>67169581.147899121</v>
      </c>
      <c r="B12639">
        <v>189236970.52202448</v>
      </c>
    </row>
    <row r="12640" spans="1:2" x14ac:dyDescent="0.25">
      <c r="A12640">
        <f ca="1">36296.3458353514*((RANDBETWEEN(1620,2416)))</f>
        <v>73645285.699928001</v>
      </c>
      <c r="B12640">
        <v>161777711.24550933</v>
      </c>
    </row>
    <row r="12641" spans="1:2" x14ac:dyDescent="0.25">
      <c r="A12641">
        <f ca="1">28667.7254344412*((RANDBETWEEN(1620,2416)))</f>
        <v>47846433.750082359</v>
      </c>
      <c r="B12641">
        <v>147978836.30818015</v>
      </c>
    </row>
    <row r="12642" spans="1:2" x14ac:dyDescent="0.25">
      <c r="A12642">
        <f ca="1">30345.2721599236*((RANDBETWEEN(1620,2416)))</f>
        <v>63664380.991519809</v>
      </c>
      <c r="B12642">
        <v>151184277.03175935</v>
      </c>
    </row>
    <row r="12643" spans="1:2" x14ac:dyDescent="0.25">
      <c r="A12643">
        <f ca="1">33213.354610056*((RANDBETWEEN(1620,2416)))</f>
        <v>60348665.326471709</v>
      </c>
      <c r="B12643">
        <v>174898098.69303697</v>
      </c>
    </row>
    <row r="12644" spans="1:2" x14ac:dyDescent="0.25">
      <c r="A12644">
        <f ca="1">32925.8339483683*((RANDBETWEEN(1620,2416)))</f>
        <v>71449059.667959139</v>
      </c>
      <c r="B12644">
        <v>175429475.20667171</v>
      </c>
    </row>
    <row r="12645" spans="1:2" x14ac:dyDescent="0.25">
      <c r="A12645">
        <f ca="1">39801.2056580218*((RANDBETWEEN(1620,2416)))</f>
        <v>92418399.53792654</v>
      </c>
      <c r="B12645">
        <v>177908741.10075611</v>
      </c>
    </row>
    <row r="12646" spans="1:2" x14ac:dyDescent="0.25">
      <c r="A12646">
        <f ca="1">31328.865193592*((RANDBETWEEN(1620,2416)))</f>
        <v>58365675.855661958</v>
      </c>
      <c r="B12646">
        <v>156512154.57950059</v>
      </c>
    </row>
    <row r="12647" spans="1:2" x14ac:dyDescent="0.25">
      <c r="A12647">
        <f ca="1">31337.0755199982*((RANDBETWEEN(1620,2416)))</f>
        <v>74049509.453755632</v>
      </c>
      <c r="B12647">
        <v>159425690.471246</v>
      </c>
    </row>
    <row r="12648" spans="1:2" x14ac:dyDescent="0.25">
      <c r="A12648">
        <f ca="1">36513.1935292131*((RANDBETWEEN(1620,2416)))</f>
        <v>81972119.473083451</v>
      </c>
      <c r="B12648">
        <v>203271146.60529035</v>
      </c>
    </row>
    <row r="12649" spans="1:2" x14ac:dyDescent="0.25">
      <c r="A12649">
        <f ca="1">31304.7872127843*((RANDBETWEEN(1620,2416)))</f>
        <v>54157281.878116764</v>
      </c>
      <c r="B12649">
        <v>163185404.49309286</v>
      </c>
    </row>
    <row r="12650" spans="1:2" x14ac:dyDescent="0.25">
      <c r="A12650">
        <f ca="1">33669.291887092*((RANDBETWEEN(1620,2416)))</f>
        <v>56194048.159556545</v>
      </c>
      <c r="B12650">
        <v>167968235.6906625</v>
      </c>
    </row>
    <row r="12651" spans="1:2" x14ac:dyDescent="0.25">
      <c r="A12651">
        <f ca="1">33185.8025292146*((RANDBETWEEN(1620,2416)))</f>
        <v>54756574.173204102</v>
      </c>
      <c r="B12651">
        <v>172100741.70403636</v>
      </c>
    </row>
    <row r="12652" spans="1:2" x14ac:dyDescent="0.25">
      <c r="A12652">
        <f ca="1">36735.0673420496*((RANDBETWEEN(1620,2416)))</f>
        <v>63808811.973140225</v>
      </c>
      <c r="B12652">
        <v>147999338.00055656</v>
      </c>
    </row>
    <row r="12653" spans="1:2" x14ac:dyDescent="0.25">
      <c r="A12653">
        <f ca="1">30457.1137889462*((RANDBETWEEN(1620,2416)))</f>
        <v>70264561.511098921</v>
      </c>
      <c r="B12653">
        <v>165911297.15859604</v>
      </c>
    </row>
    <row r="12654" spans="1:2" x14ac:dyDescent="0.25">
      <c r="A12654">
        <f ca="1">30324.8033724697*((RANDBETWEEN(1620,2416)))</f>
        <v>50399823.205044687</v>
      </c>
      <c r="B12654">
        <v>170275924.66616675</v>
      </c>
    </row>
    <row r="12655" spans="1:2" x14ac:dyDescent="0.25">
      <c r="A12655">
        <f ca="1">32362.4356556422*((RANDBETWEEN(1620,2416)))</f>
        <v>73171467.01740694</v>
      </c>
      <c r="B12655">
        <v>188464153.42377043</v>
      </c>
    </row>
    <row r="12656" spans="1:2" x14ac:dyDescent="0.25">
      <c r="A12656">
        <f ca="1">31463.7829216369*((RANDBETWEEN(1620,2416)))</f>
        <v>64626610.121042147</v>
      </c>
      <c r="B12656">
        <v>176692181.55749166</v>
      </c>
    </row>
    <row r="12657" spans="1:2" x14ac:dyDescent="0.25">
      <c r="A12657">
        <f ca="1">31287.9329746628*((RANDBETWEEN(1620,2416)))</f>
        <v>64766021.257552087</v>
      </c>
      <c r="B12657">
        <v>178662091.17972878</v>
      </c>
    </row>
    <row r="12658" spans="1:2" x14ac:dyDescent="0.25">
      <c r="A12658">
        <f ca="1">33522.201501979*((RANDBETWEEN(1620,2416)))</f>
        <v>65669992.742376797</v>
      </c>
      <c r="B12658">
        <v>162458321.14236918</v>
      </c>
    </row>
    <row r="12659" spans="1:2" x14ac:dyDescent="0.25">
      <c r="A12659">
        <f ca="1">35940.562144479*((RANDBETWEEN(1620,2416)))</f>
        <v>78206663.226386279</v>
      </c>
      <c r="B12659">
        <v>172240495.52956671</v>
      </c>
    </row>
    <row r="12660" spans="1:2" x14ac:dyDescent="0.25">
      <c r="A12660">
        <f ca="1">31235.5321602528*((RANDBETWEEN(1620,2416)))</f>
        <v>58098089.818070196</v>
      </c>
      <c r="B12660">
        <v>148587834.31798688</v>
      </c>
    </row>
    <row r="12661" spans="1:2" x14ac:dyDescent="0.25">
      <c r="A12661">
        <f ca="1">33492.1933390122*((RANDBETWEEN(1620,2416)))</f>
        <v>68926933.891687021</v>
      </c>
      <c r="B12661">
        <v>186209026.00290781</v>
      </c>
    </row>
    <row r="12662" spans="1:2" x14ac:dyDescent="0.25">
      <c r="A12662">
        <f ca="1">39270.7535012345*((RANDBETWEEN(1620,2416)))</f>
        <v>92168458.467397332</v>
      </c>
      <c r="B12662">
        <v>153072824.92051572</v>
      </c>
    </row>
    <row r="12663" spans="1:2" x14ac:dyDescent="0.25">
      <c r="A12663">
        <f ca="1">31945.5243234356*((RANDBETWEEN(1620,2416)))</f>
        <v>74816417.965486094</v>
      </c>
      <c r="B12663">
        <v>173175770.33246553</v>
      </c>
    </row>
    <row r="12664" spans="1:2" x14ac:dyDescent="0.25">
      <c r="A12664">
        <f ca="1">32008.3617615408*((RANDBETWEEN(1620,2416)))</f>
        <v>65553124.887635536</v>
      </c>
      <c r="B12664">
        <v>172017326.28517577</v>
      </c>
    </row>
    <row r="12665" spans="1:2" x14ac:dyDescent="0.25">
      <c r="A12665">
        <f ca="1">39826.0978901282*((RANDBETWEEN(1620,2416)))</f>
        <v>84869414.603863195</v>
      </c>
      <c r="B12665">
        <v>146732609.87365949</v>
      </c>
    </row>
    <row r="12666" spans="1:2" x14ac:dyDescent="0.25">
      <c r="A12666">
        <f ca="1">30985.926619352*((RANDBETWEEN(1620,2416)))</f>
        <v>60670444.320691206</v>
      </c>
      <c r="B12666">
        <v>154723353.52541912</v>
      </c>
    </row>
    <row r="12667" spans="1:2" x14ac:dyDescent="0.25">
      <c r="A12667">
        <f ca="1">31178.7334150804*((RANDBETWEEN(1620,2416)))</f>
        <v>64602335.636046648</v>
      </c>
      <c r="B12667">
        <v>149795691.81970716</v>
      </c>
    </row>
    <row r="12668" spans="1:2" x14ac:dyDescent="0.25">
      <c r="A12668">
        <f ca="1">29994.2735786583*((RANDBETWEEN(1620,2416)))</f>
        <v>48650711.744583838</v>
      </c>
      <c r="B12668">
        <v>144928233.45396975</v>
      </c>
    </row>
    <row r="12669" spans="1:2" x14ac:dyDescent="0.25">
      <c r="A12669">
        <f ca="1">32341.753658904*((RANDBETWEEN(1620,2416)))</f>
        <v>63292811.910475187</v>
      </c>
      <c r="B12669">
        <v>192243680.30018044</v>
      </c>
    </row>
    <row r="12670" spans="1:2" x14ac:dyDescent="0.25">
      <c r="A12670">
        <f ca="1">36520.2944984324*((RANDBETWEEN(1620,2416)))</f>
        <v>87794787.974231556</v>
      </c>
      <c r="B12670">
        <v>151888361.22332072</v>
      </c>
    </row>
    <row r="12671" spans="1:2" x14ac:dyDescent="0.25">
      <c r="A12671">
        <f ca="1">30081.4427318193*((RANDBETWEEN(1620,2416)))</f>
        <v>69608458.4814298</v>
      </c>
      <c r="B12671">
        <v>194926119.88889343</v>
      </c>
    </row>
    <row r="12672" spans="1:2" x14ac:dyDescent="0.25">
      <c r="A12672">
        <f ca="1">28469.7084816845*((RANDBETWEEN(1620,2416)))</f>
        <v>62234782.740962364</v>
      </c>
      <c r="B12672">
        <v>191061092.59229267</v>
      </c>
    </row>
    <row r="12673" spans="1:2" x14ac:dyDescent="0.25">
      <c r="A12673">
        <f ca="1">42005.3836166192*((RANDBETWEEN(1620,2416)))</f>
        <v>76071749.729697421</v>
      </c>
      <c r="B12673">
        <v>154573052.10710987</v>
      </c>
    </row>
    <row r="12674" spans="1:2" x14ac:dyDescent="0.25">
      <c r="A12674">
        <f ca="1">34968.3911537369*((RANDBETWEEN(1620,2416)))</f>
        <v>72769221.990926638</v>
      </c>
      <c r="B12674">
        <v>151046250.56631544</v>
      </c>
    </row>
    <row r="12675" spans="1:2" x14ac:dyDescent="0.25">
      <c r="A12675">
        <f ca="1">30058.0206102308*((RANDBETWEEN(1620,2416)))</f>
        <v>70215536.145499125</v>
      </c>
      <c r="B12675">
        <v>167213129.89027503</v>
      </c>
    </row>
    <row r="12676" spans="1:2" x14ac:dyDescent="0.25">
      <c r="A12676">
        <f ca="1">37361.782466143*((RANDBETWEEN(1620,2416)))</f>
        <v>82868433.50990507</v>
      </c>
      <c r="B12676">
        <v>155273079.59739399</v>
      </c>
    </row>
    <row r="12677" spans="1:2" x14ac:dyDescent="0.25">
      <c r="A12677">
        <f ca="1">31423.5467740124*((RANDBETWEEN(1620,2416)))</f>
        <v>63758376.404471129</v>
      </c>
      <c r="B12677">
        <v>170879775.69496399</v>
      </c>
    </row>
    <row r="12678" spans="1:2" x14ac:dyDescent="0.25">
      <c r="A12678">
        <f ca="1">28820.2696599768*((RANDBETWEEN(1620,2416)))</f>
        <v>66228979.678626664</v>
      </c>
      <c r="B12678">
        <v>148321403.24718276</v>
      </c>
    </row>
    <row r="12679" spans="1:2" x14ac:dyDescent="0.25">
      <c r="A12679">
        <f ca="1">30743.2372706711*((RANDBETWEEN(1620,2416)))</f>
        <v>62777690.506710343</v>
      </c>
      <c r="B12679">
        <v>160520253.26319614</v>
      </c>
    </row>
    <row r="12680" spans="1:2" x14ac:dyDescent="0.25">
      <c r="A12680">
        <f ca="1">31205.8608566389*((RANDBETWEEN(1620,2416)))</f>
        <v>54672668.220831439</v>
      </c>
      <c r="B12680">
        <v>154429202.00361642</v>
      </c>
    </row>
    <row r="12681" spans="1:2" x14ac:dyDescent="0.25">
      <c r="A12681">
        <f ca="1">37665.8676797676*((RANDBETWEEN(1620,2416)))</f>
        <v>80152966.422545552</v>
      </c>
      <c r="B12681">
        <v>147869108.21312791</v>
      </c>
    </row>
    <row r="12682" spans="1:2" x14ac:dyDescent="0.25">
      <c r="A12682">
        <f ca="1">27057.477556412*((RANDBETWEEN(1620,2416)))</f>
        <v>61853393.693957783</v>
      </c>
      <c r="B12682">
        <v>192334933.91680825</v>
      </c>
    </row>
    <row r="12683" spans="1:2" x14ac:dyDescent="0.25">
      <c r="A12683">
        <f ca="1">29616.7700670573*((RANDBETWEEN(1620,2416)))</f>
        <v>68918223.946042359</v>
      </c>
      <c r="B12683">
        <v>194594376.71541494</v>
      </c>
    </row>
    <row r="12684" spans="1:2" x14ac:dyDescent="0.25">
      <c r="A12684">
        <f ca="1">28752.5305821363*((RANDBETWEEN(1620,2416)))</f>
        <v>67769714.582095236</v>
      </c>
      <c r="B12684">
        <v>147402035.58109891</v>
      </c>
    </row>
    <row r="12685" spans="1:2" x14ac:dyDescent="0.25">
      <c r="A12685">
        <f ca="1">36242.3146755284*((RANDBETWEEN(1620,2416)))</f>
        <v>87126524.479970172</v>
      </c>
      <c r="B12685">
        <v>196226559.53964809</v>
      </c>
    </row>
    <row r="12686" spans="1:2" x14ac:dyDescent="0.25">
      <c r="A12686">
        <f ca="1">27880.5668492214*((RANDBETWEEN(1620,2416)))</f>
        <v>55092000.094061442</v>
      </c>
      <c r="B12686">
        <v>147251082.2107498</v>
      </c>
    </row>
    <row r="12687" spans="1:2" x14ac:dyDescent="0.25">
      <c r="A12687">
        <f ca="1">30183.3859509411*((RANDBETWEEN(1620,2416)))</f>
        <v>57348433.30678805</v>
      </c>
      <c r="B12687">
        <v>158717287.94764325</v>
      </c>
    </row>
    <row r="12688" spans="1:2" x14ac:dyDescent="0.25">
      <c r="A12688">
        <f ca="1">36892.1432396984*((RANDBETWEEN(1620,2416)))</f>
        <v>63528270.658760712</v>
      </c>
      <c r="B12688">
        <v>152614747.71342182</v>
      </c>
    </row>
    <row r="12689" spans="1:2" x14ac:dyDescent="0.25">
      <c r="A12689">
        <f ca="1">30139.7633857902*((RANDBETWEEN(1620,2416)))</f>
        <v>54824229.598752379</v>
      </c>
      <c r="B12689">
        <v>175254080.02320647</v>
      </c>
    </row>
    <row r="12690" spans="1:2" x14ac:dyDescent="0.25">
      <c r="A12690">
        <f ca="1">29584.3240022659*((RANDBETWEEN(1620,2416)))</f>
        <v>61239550.684690468</v>
      </c>
      <c r="B12690">
        <v>157797350.53565791</v>
      </c>
    </row>
    <row r="12691" spans="1:2" x14ac:dyDescent="0.25">
      <c r="A12691">
        <f ca="1">30927.3507171667*((RANDBETWEEN(1620,2416)))</f>
        <v>70050449.374382481</v>
      </c>
      <c r="B12691">
        <v>195414166.48554879</v>
      </c>
    </row>
    <row r="12692" spans="1:2" x14ac:dyDescent="0.25">
      <c r="A12692">
        <f ca="1">31883.0586704502*((RANDBETWEEN(1620,2416)))</f>
        <v>65966048.389161453</v>
      </c>
      <c r="B12692">
        <v>165686754.99711943</v>
      </c>
    </row>
    <row r="12693" spans="1:2" x14ac:dyDescent="0.25">
      <c r="A12693">
        <f ca="1">39183.2107091737*((RANDBETWEEN(1620,2416)))</f>
        <v>78405604.629056677</v>
      </c>
      <c r="B12693">
        <v>167458764.32493451</v>
      </c>
    </row>
    <row r="12694" spans="1:2" x14ac:dyDescent="0.25">
      <c r="A12694">
        <f ca="1">32861.8346888168*((RANDBETWEEN(1620,2416)))</f>
        <v>55470776.954722799</v>
      </c>
      <c r="B12694">
        <v>184248481.4774884</v>
      </c>
    </row>
    <row r="12695" spans="1:2" x14ac:dyDescent="0.25">
      <c r="A12695">
        <f ca="1">32892.3349759609*((RANDBETWEEN(1620,2416)))</f>
        <v>53910537.025599919</v>
      </c>
      <c r="B12695">
        <v>149941838.13692799</v>
      </c>
    </row>
    <row r="12696" spans="1:2" x14ac:dyDescent="0.25">
      <c r="A12696">
        <f ca="1">31689.7559991073*((RANDBETWEEN(1620,2416)))</f>
        <v>66485108.086127117</v>
      </c>
      <c r="B12696">
        <v>149008874.04126188</v>
      </c>
    </row>
    <row r="12697" spans="1:2" x14ac:dyDescent="0.25">
      <c r="A12697">
        <f ca="1">33037.7991164519*((RANDBETWEEN(1620,2416)))</f>
        <v>66042560.433787256</v>
      </c>
      <c r="B12697">
        <v>162579465.15826383</v>
      </c>
    </row>
    <row r="12698" spans="1:2" x14ac:dyDescent="0.25">
      <c r="A12698">
        <f ca="1">31058.9330337725*((RANDBETWEEN(1620,2416)))</f>
        <v>58204440.505289696</v>
      </c>
      <c r="B12698">
        <v>199459844.02433729</v>
      </c>
    </row>
    <row r="12699" spans="1:2" x14ac:dyDescent="0.25">
      <c r="A12699">
        <f ca="1">34701.6195587129*((RANDBETWEEN(1620,2416)))</f>
        <v>73428626.986236408</v>
      </c>
      <c r="B12699">
        <v>187269119.51326197</v>
      </c>
    </row>
    <row r="12700" spans="1:2" x14ac:dyDescent="0.25">
      <c r="A12700">
        <f ca="1">38367.0795230092*((RANDBETWEEN(1620,2416)))</f>
        <v>71017464.197090104</v>
      </c>
      <c r="B12700">
        <v>152163025.14592627</v>
      </c>
    </row>
    <row r="12701" spans="1:2" x14ac:dyDescent="0.25">
      <c r="A12701">
        <f ca="1">32625.297503566*((RANDBETWEEN(1620,2416)))</f>
        <v>73504795.275534183</v>
      </c>
      <c r="B12701">
        <v>149862276.54020002</v>
      </c>
    </row>
    <row r="12702" spans="1:2" x14ac:dyDescent="0.25">
      <c r="A12702">
        <f ca="1">31294.5878952464*((RANDBETWEEN(1620,2416)))</f>
        <v>62839532.493654713</v>
      </c>
      <c r="B12702">
        <v>164679103.28454173</v>
      </c>
    </row>
    <row r="12703" spans="1:2" x14ac:dyDescent="0.25">
      <c r="A12703">
        <f ca="1">28958.1152536033*((RANDBETWEEN(1620,2416)))</f>
        <v>58784973.964814737</v>
      </c>
      <c r="B12703">
        <v>161367696.48726952</v>
      </c>
    </row>
    <row r="12704" spans="1:2" x14ac:dyDescent="0.25">
      <c r="A12704">
        <f ca="1">36490.1309835274*((RANDBETWEEN(1620,2416)))</f>
        <v>61741301.624128312</v>
      </c>
      <c r="B12704">
        <v>144355841.23638853</v>
      </c>
    </row>
    <row r="12705" spans="1:2" x14ac:dyDescent="0.25">
      <c r="A12705">
        <f ca="1">36615.3684019878*((RANDBETWEEN(1620,2416)))</f>
        <v>85020885.429415733</v>
      </c>
      <c r="B12705">
        <v>165686897.63161349</v>
      </c>
    </row>
    <row r="12706" spans="1:2" x14ac:dyDescent="0.25">
      <c r="A12706">
        <f ca="1">32942.8360531999*((RANDBETWEEN(1620,2416)))</f>
        <v>75735580.086306572</v>
      </c>
      <c r="B12706">
        <v>167634756.93874037</v>
      </c>
    </row>
    <row r="12707" spans="1:2" x14ac:dyDescent="0.25">
      <c r="A12707">
        <f ca="1">31420.6284640618*((RANDBETWEEN(1620,2416)))</f>
        <v>56619972.492239416</v>
      </c>
      <c r="B12707">
        <v>172169103.63610509</v>
      </c>
    </row>
    <row r="12708" spans="1:2" x14ac:dyDescent="0.25">
      <c r="A12708">
        <f ca="1">37779.1171660583*((RANDBETWEEN(1620,2416)))</f>
        <v>90972114.135868296</v>
      </c>
      <c r="B12708">
        <v>162895951.20340303</v>
      </c>
    </row>
    <row r="12709" spans="1:2" x14ac:dyDescent="0.25">
      <c r="A12709">
        <f ca="1">40723.7749330349*((RANDBETWEEN(1620,2416)))</f>
        <v>85112689.610042855</v>
      </c>
      <c r="B12709">
        <v>168934972.65942651</v>
      </c>
    </row>
    <row r="12710" spans="1:2" x14ac:dyDescent="0.25">
      <c r="A12710">
        <f ca="1">31938.8983519366*((RANDBETWEEN(1620,2416)))</f>
        <v>52092343.212008558</v>
      </c>
      <c r="B12710">
        <v>159544004.6113466</v>
      </c>
    </row>
    <row r="12711" spans="1:2" x14ac:dyDescent="0.25">
      <c r="A12711">
        <f ca="1">37246.1397886648*((RANDBETWEEN(1620,2416)))</f>
        <v>62573514.8449568</v>
      </c>
      <c r="B12711">
        <v>151114195.19980869</v>
      </c>
    </row>
    <row r="12712" spans="1:2" x14ac:dyDescent="0.25">
      <c r="A12712">
        <f ca="1">30097.257468839*((RANDBETWEEN(1620,2416)))</f>
        <v>55348856.485194877</v>
      </c>
      <c r="B12712">
        <v>160677353.84101173</v>
      </c>
    </row>
    <row r="12713" spans="1:2" x14ac:dyDescent="0.25">
      <c r="A12713">
        <f ca="1">29294.3751369644*((RANDBETWEEN(1620,2416)))</f>
        <v>50415619.610715806</v>
      </c>
      <c r="B12713">
        <v>183413164.3692857</v>
      </c>
    </row>
    <row r="12714" spans="1:2" x14ac:dyDescent="0.25">
      <c r="A12714">
        <f ca="1">31596.8303417061*((RANDBETWEEN(1620,2416)))</f>
        <v>54883694.303543478</v>
      </c>
      <c r="B12714">
        <v>148204945.20750162</v>
      </c>
    </row>
    <row r="12715" spans="1:2" x14ac:dyDescent="0.25">
      <c r="A12715">
        <f ca="1">33075.4619645271*((RANDBETWEEN(1620,2416)))</f>
        <v>68466206.266571119</v>
      </c>
      <c r="B12715">
        <v>169264414.47828823</v>
      </c>
    </row>
    <row r="12716" spans="1:2" x14ac:dyDescent="0.25">
      <c r="A12716">
        <f ca="1">31079.2162490632*((RANDBETWEEN(1620,2416)))</f>
        <v>61692244.2543905</v>
      </c>
      <c r="B12716">
        <v>152416859.65275055</v>
      </c>
    </row>
    <row r="12717" spans="1:2" x14ac:dyDescent="0.25">
      <c r="A12717">
        <f ca="1">31545.8642304322*((RANDBETWEEN(1620,2416)))</f>
        <v>63091728.460864402</v>
      </c>
      <c r="B12717">
        <v>182979845.89414164</v>
      </c>
    </row>
    <row r="12718" spans="1:2" x14ac:dyDescent="0.25">
      <c r="A12718">
        <f ca="1">38013.4438576834*((RANDBETWEEN(1620,2416)))</f>
        <v>69526588.815702856</v>
      </c>
      <c r="B12718">
        <v>188237710.24348515</v>
      </c>
    </row>
    <row r="12719" spans="1:2" x14ac:dyDescent="0.25">
      <c r="A12719">
        <f ca="1">38305.8062221729*((RANDBETWEEN(1620,2416)))</f>
        <v>66613797.020358682</v>
      </c>
      <c r="B12719">
        <v>186362861.21872705</v>
      </c>
    </row>
    <row r="12720" spans="1:2" x14ac:dyDescent="0.25">
      <c r="A12720">
        <f ca="1">30461.4167646862*((RANDBETWEEN(1620,2416)))</f>
        <v>72589556.150247097</v>
      </c>
      <c r="B12720">
        <v>182107036.92546493</v>
      </c>
    </row>
    <row r="12721" spans="1:2" x14ac:dyDescent="0.25">
      <c r="A12721">
        <f ca="1">29705.3351405675*((RANDBETWEEN(1620,2416)))</f>
        <v>64609103.930734366</v>
      </c>
      <c r="B12721">
        <v>161247814.54945958</v>
      </c>
    </row>
    <row r="12722" spans="1:2" x14ac:dyDescent="0.25">
      <c r="A12722">
        <f ca="1">31163.1287192116*((RANDBETWEEN(1620,2416)))</f>
        <v>69711918.944876447</v>
      </c>
      <c r="B12722">
        <v>166170620.94323134</v>
      </c>
    </row>
    <row r="12723" spans="1:2" x14ac:dyDescent="0.25">
      <c r="A12723">
        <f ca="1">29819.0762778907*((RANDBETWEEN(1620,2416)))</f>
        <v>63454994.319351375</v>
      </c>
      <c r="B12723">
        <v>157468453.88254333</v>
      </c>
    </row>
    <row r="12724" spans="1:2" x14ac:dyDescent="0.25">
      <c r="A12724">
        <f ca="1">32228.1725114463*((RANDBETWEEN(1620,2416)))</f>
        <v>58880871.1784124</v>
      </c>
      <c r="B12724">
        <v>199293309.59657031</v>
      </c>
    </row>
    <row r="12725" spans="1:2" x14ac:dyDescent="0.25">
      <c r="A12725">
        <f ca="1">32065.5990595733*((RANDBETWEEN(1620,2416)))</f>
        <v>74263927.421971768</v>
      </c>
      <c r="B12725">
        <v>169616885.73580462</v>
      </c>
    </row>
    <row r="12726" spans="1:2" x14ac:dyDescent="0.25">
      <c r="A12726">
        <f ca="1">35980.7777901331*((RANDBETWEEN(1620,2416)))</f>
        <v>79085749.582712591</v>
      </c>
      <c r="B12726">
        <v>187947286.07855093</v>
      </c>
    </row>
    <row r="12727" spans="1:2" x14ac:dyDescent="0.25">
      <c r="A12727">
        <f ca="1">40903.8972414327*((RANDBETWEEN(1620,2416)))</f>
        <v>66918775.886983849</v>
      </c>
      <c r="B12727">
        <v>165981207.03715217</v>
      </c>
    </row>
    <row r="12728" spans="1:2" x14ac:dyDescent="0.25">
      <c r="A12728">
        <f ca="1">30681.8747430459*((RANDBETWEEN(1620,2416)))</f>
        <v>54644418.917364687</v>
      </c>
      <c r="B12728">
        <v>173132421.4249025</v>
      </c>
    </row>
    <row r="12729" spans="1:2" x14ac:dyDescent="0.25">
      <c r="A12729">
        <f ca="1">35931.0540357189*((RANDBETWEEN(1620,2416)))</f>
        <v>58639480.186293192</v>
      </c>
      <c r="B12729">
        <v>182448732.91790271</v>
      </c>
    </row>
    <row r="12730" spans="1:2" x14ac:dyDescent="0.25">
      <c r="A12730">
        <f ca="1">31507.9314116174*((RANDBETWEEN(1620,2416)))</f>
        <v>61850069.361004934</v>
      </c>
      <c r="B12730">
        <v>150929742.76212284</v>
      </c>
    </row>
    <row r="12731" spans="1:2" x14ac:dyDescent="0.25">
      <c r="A12731">
        <f ca="1">33452.594459983*((RANDBETWEEN(1620,2416)))</f>
        <v>59311449.977549955</v>
      </c>
      <c r="B12731">
        <v>168289858.4023709</v>
      </c>
    </row>
    <row r="12732" spans="1:2" x14ac:dyDescent="0.25">
      <c r="A12732">
        <f ca="1">30735.9118500699*((RANDBETWEEN(1620,2416)))</f>
        <v>52035898.762168415</v>
      </c>
      <c r="B12732">
        <v>180305827.82089216</v>
      </c>
    </row>
    <row r="12733" spans="1:2" x14ac:dyDescent="0.25">
      <c r="A12733">
        <f ca="1">33438.4713839271*((RANDBETWEEN(1620,2416)))</f>
        <v>78212584.567005441</v>
      </c>
      <c r="B12733">
        <v>166645626.8918795</v>
      </c>
    </row>
    <row r="12734" spans="1:2" x14ac:dyDescent="0.25">
      <c r="A12734">
        <f ca="1">30947.2311372287*((RANDBETWEEN(1620,2416)))</f>
        <v>67712541.728256464</v>
      </c>
      <c r="B12734">
        <v>200118572.23115149</v>
      </c>
    </row>
    <row r="12735" spans="1:2" x14ac:dyDescent="0.25">
      <c r="A12735">
        <f ca="1">31819.7581242685*((RANDBETWEEN(1620,2416)))</f>
        <v>52534420.66316735</v>
      </c>
      <c r="B12735">
        <v>158804543.38339904</v>
      </c>
    </row>
    <row r="12736" spans="1:2" x14ac:dyDescent="0.25">
      <c r="A12736">
        <f ca="1">30864.1522652021*((RANDBETWEEN(1620,2416)))</f>
        <v>72901127.650407284</v>
      </c>
      <c r="B12736">
        <v>146527755.78420573</v>
      </c>
    </row>
    <row r="12737" spans="1:2" x14ac:dyDescent="0.25">
      <c r="A12737">
        <f ca="1">31340.6858824056*((RANDBETWEEN(1620,2416)))</f>
        <v>72835753.990710661</v>
      </c>
      <c r="B12737">
        <v>143125401.18881789</v>
      </c>
    </row>
    <row r="12738" spans="1:2" x14ac:dyDescent="0.25">
      <c r="A12738">
        <f ca="1">40723.2960440428*((RANDBETWEEN(1620,2416)))</f>
        <v>84215776.219080448</v>
      </c>
      <c r="B12738">
        <v>155894185.8460255</v>
      </c>
    </row>
    <row r="12739" spans="1:2" x14ac:dyDescent="0.25">
      <c r="A12739">
        <f ca="1">39802.784282379*((RANDBETWEEN(1620,2416)))</f>
        <v>68022958.33858569</v>
      </c>
      <c r="B12739">
        <v>163757117.40310222</v>
      </c>
    </row>
    <row r="12740" spans="1:2" x14ac:dyDescent="0.25">
      <c r="A12740">
        <f ca="1">32280.4563910839*((RANDBETWEEN(1620,2416)))</f>
        <v>76601523.016041979</v>
      </c>
      <c r="B12740">
        <v>147052779.3583684</v>
      </c>
    </row>
    <row r="12741" spans="1:2" x14ac:dyDescent="0.25">
      <c r="A12741">
        <f ca="1">36573.467718113*((RANDBETWEEN(1620,2416)))</f>
        <v>72927494.629917264</v>
      </c>
      <c r="B12741">
        <v>186454355.1352554</v>
      </c>
    </row>
    <row r="12742" spans="1:2" x14ac:dyDescent="0.25">
      <c r="A12742">
        <f ca="1">38260.7082950627*((RANDBETWEEN(1620,2416)))</f>
        <v>84785729.581858858</v>
      </c>
      <c r="B12742">
        <v>171889865.54644397</v>
      </c>
    </row>
    <row r="12743" spans="1:2" x14ac:dyDescent="0.25">
      <c r="A12743">
        <f ca="1">29987.4643183177*((RANDBETWEEN(1620,2416)))</f>
        <v>52657987.342965893</v>
      </c>
      <c r="B12743">
        <v>158621319.25689375</v>
      </c>
    </row>
    <row r="12744" spans="1:2" x14ac:dyDescent="0.25">
      <c r="A12744">
        <f ca="1">30981.8125836358*((RANDBETWEEN(1620,2416)))</f>
        <v>74015550.262305841</v>
      </c>
      <c r="B12744">
        <v>145521753.75893253</v>
      </c>
    </row>
    <row r="12745" spans="1:2" x14ac:dyDescent="0.25">
      <c r="A12745">
        <f ca="1">30661.3624002596*((RANDBETWEEN(1620,2416)))</f>
        <v>61476031.612520508</v>
      </c>
      <c r="B12745">
        <v>156249421.11275131</v>
      </c>
    </row>
    <row r="12746" spans="1:2" x14ac:dyDescent="0.25">
      <c r="A12746">
        <f ca="1">28009.1552874518*((RANDBETWEEN(1620,2416)))</f>
        <v>58427097.929624557</v>
      </c>
      <c r="B12746">
        <v>175092862.49400774</v>
      </c>
    </row>
    <row r="12747" spans="1:2" x14ac:dyDescent="0.25">
      <c r="A12747">
        <f ca="1">34393.409511239*((RANDBETWEEN(1620,2416)))</f>
        <v>80927692.579945326</v>
      </c>
      <c r="B12747">
        <v>147874325.12931231</v>
      </c>
    </row>
    <row r="12748" spans="1:2" x14ac:dyDescent="0.25">
      <c r="A12748">
        <f ca="1">32261.6090271645*((RANDBETWEEN(1620,2416)))</f>
        <v>67297716.430665255</v>
      </c>
      <c r="B12748">
        <v>195458646.72572368</v>
      </c>
    </row>
    <row r="12749" spans="1:2" x14ac:dyDescent="0.25">
      <c r="A12749">
        <f ca="1">34315.031205163*((RANDBETWEEN(1620,2416)))</f>
        <v>82664910.173237607</v>
      </c>
      <c r="B12749">
        <v>178543453.07613245</v>
      </c>
    </row>
    <row r="12750" spans="1:2" x14ac:dyDescent="0.25">
      <c r="A12750">
        <f ca="1">33026.5893396981*((RANDBETWEEN(1620,2416)))</f>
        <v>66218311.626094669</v>
      </c>
      <c r="B12750">
        <v>169027699.46029621</v>
      </c>
    </row>
    <row r="12751" spans="1:2" x14ac:dyDescent="0.25">
      <c r="A12751">
        <f ca="1">33670.6389297524*((RANDBETWEEN(1620,2416)))</f>
        <v>67307607.220574975</v>
      </c>
      <c r="B12751">
        <v>198077587.77711269</v>
      </c>
    </row>
    <row r="12752" spans="1:2" x14ac:dyDescent="0.25">
      <c r="A12752">
        <f ca="1">30871.8401118065*((RANDBETWEEN(1620,2416)))</f>
        <v>70480410.975254148</v>
      </c>
      <c r="B12752">
        <v>144312447.70852122</v>
      </c>
    </row>
    <row r="12753" spans="1:2" x14ac:dyDescent="0.25">
      <c r="A12753">
        <f ca="1">32957.7497654628*((RANDBETWEEN(1620,2416)))</f>
        <v>59159160.829005785</v>
      </c>
      <c r="B12753">
        <v>172647511.99725631</v>
      </c>
    </row>
    <row r="12754" spans="1:2" x14ac:dyDescent="0.25">
      <c r="A12754">
        <f ca="1">29612.5654362934*((RANDBETWEEN(1620,2416)))</f>
        <v>68020062.807165831</v>
      </c>
      <c r="B12754">
        <v>167238069.18898934</v>
      </c>
    </row>
    <row r="12755" spans="1:2" x14ac:dyDescent="0.25">
      <c r="A12755">
        <f ca="1">39914.9919754031*((RANDBETWEEN(1620,2416)))</f>
        <v>81227008.669945285</v>
      </c>
      <c r="B12755">
        <v>166910851.59435445</v>
      </c>
    </row>
    <row r="12756" spans="1:2" x14ac:dyDescent="0.25">
      <c r="A12756">
        <f ca="1">32972.6056954075*((RANDBETWEEN(1620,2416)))</f>
        <v>60438786.23968187</v>
      </c>
      <c r="B12756">
        <v>179813106.01717776</v>
      </c>
    </row>
    <row r="12757" spans="1:2" x14ac:dyDescent="0.25">
      <c r="A12757">
        <f ca="1">31062.5050187105*((RANDBETWEEN(1620,2416)))</f>
        <v>65728260.619591348</v>
      </c>
      <c r="B12757">
        <v>155275483.70690411</v>
      </c>
    </row>
    <row r="12758" spans="1:2" x14ac:dyDescent="0.25">
      <c r="A12758">
        <f ca="1">39493.7797736551*((RANDBETWEEN(1620,2416)))</f>
        <v>71444247.610542044</v>
      </c>
      <c r="B12758">
        <v>158680707.31560275</v>
      </c>
    </row>
    <row r="12759" spans="1:2" x14ac:dyDescent="0.25">
      <c r="A12759">
        <f ca="1">31048.6307544345*((RANDBETWEEN(1620,2416)))</f>
        <v>59644419.679268755</v>
      </c>
      <c r="B12759">
        <v>144120459.94912678</v>
      </c>
    </row>
    <row r="12760" spans="1:2" x14ac:dyDescent="0.25">
      <c r="A12760">
        <f ca="1">30272.8284258813*((RANDBETWEEN(1620,2416)))</f>
        <v>56277188.043713421</v>
      </c>
      <c r="B12760">
        <v>162304868.91128436</v>
      </c>
    </row>
    <row r="12761" spans="1:2" x14ac:dyDescent="0.25">
      <c r="A12761">
        <f ca="1">33091.5302852828*((RANDBETWEEN(1620,2416)))</f>
        <v>68598742.281391218</v>
      </c>
      <c r="B12761">
        <v>158056820.48219955</v>
      </c>
    </row>
    <row r="12762" spans="1:2" x14ac:dyDescent="0.25">
      <c r="A12762">
        <f ca="1">39738.3621556481*((RANDBETWEEN(1620,2416)))</f>
        <v>73913353.609505415</v>
      </c>
      <c r="B12762">
        <v>184303577.05152947</v>
      </c>
    </row>
    <row r="12763" spans="1:2" x14ac:dyDescent="0.25">
      <c r="A12763">
        <f ca="1">32682.3546835297*((RANDBETWEEN(1620,2416)))</f>
        <v>62652073.928326353</v>
      </c>
      <c r="B12763">
        <v>198328330.42718551</v>
      </c>
    </row>
    <row r="12764" spans="1:2" x14ac:dyDescent="0.25">
      <c r="A12764">
        <f ca="1">35908.6377937523*((RANDBETWEEN(1620,2416)))</f>
        <v>62337395.209954031</v>
      </c>
      <c r="B12764">
        <v>186378377.75591737</v>
      </c>
    </row>
    <row r="12765" spans="1:2" x14ac:dyDescent="0.25">
      <c r="A12765">
        <f ca="1">41059.2692612024*((RANDBETWEEN(1620,2416)))</f>
        <v>95709156.647862703</v>
      </c>
      <c r="B12765">
        <v>187339245.32239902</v>
      </c>
    </row>
    <row r="12766" spans="1:2" x14ac:dyDescent="0.25">
      <c r="A12766">
        <f ca="1">39925.340129862*((RANDBETWEEN(1620,2416)))</f>
        <v>94223802.706474423</v>
      </c>
      <c r="B12766">
        <v>183961033.91788357</v>
      </c>
    </row>
    <row r="12767" spans="1:2" x14ac:dyDescent="0.25">
      <c r="A12767">
        <f ca="1">31264.6767830439*((RANDBETWEEN(1620,2416)))</f>
        <v>69532641.165489629</v>
      </c>
      <c r="B12767">
        <v>146628940.42333969</v>
      </c>
    </row>
    <row r="12768" spans="1:2" x14ac:dyDescent="0.25">
      <c r="A12768">
        <f ca="1">26962.2910944946*((RANDBETWEEN(1620,2416)))</f>
        <v>54841300.086201921</v>
      </c>
      <c r="B12768">
        <v>181514498.42701232</v>
      </c>
    </row>
    <row r="12769" spans="1:2" x14ac:dyDescent="0.25">
      <c r="A12769">
        <f ca="1">32928.926518437*((RANDBETWEEN(1620,2416)))</f>
        <v>74551089.637741387</v>
      </c>
      <c r="B12769">
        <v>157109040.11690408</v>
      </c>
    </row>
    <row r="12770" spans="1:2" x14ac:dyDescent="0.25">
      <c r="A12770">
        <f ca="1">40402.0531002141*((RANDBETWEEN(1620,2416)))</f>
        <v>73208520.217587963</v>
      </c>
      <c r="B12770">
        <v>185253143.30538684</v>
      </c>
    </row>
    <row r="12771" spans="1:2" x14ac:dyDescent="0.25">
      <c r="A12771">
        <f ca="1">32889.7369659675*((RANDBETWEEN(1620,2416)))</f>
        <v>60911792.860971719</v>
      </c>
      <c r="B12771">
        <v>159909449.93818009</v>
      </c>
    </row>
    <row r="12772" spans="1:2" x14ac:dyDescent="0.25">
      <c r="A12772">
        <f ca="1">37665.7231511849*((RANDBETWEEN(1620,2416)))</f>
        <v>69756919.27599442</v>
      </c>
      <c r="B12772">
        <v>182437986.02075869</v>
      </c>
    </row>
    <row r="12773" spans="1:2" x14ac:dyDescent="0.25">
      <c r="A12773">
        <f ca="1">37293.5032295373*((RANDBETWEEN(1620,2416)))</f>
        <v>70037199.065071121</v>
      </c>
      <c r="B12773">
        <v>195079106.32312059</v>
      </c>
    </row>
    <row r="12774" spans="1:2" x14ac:dyDescent="0.25">
      <c r="A12774">
        <f ca="1">29789.9937399155*((RANDBETWEEN(1620,2416)))</f>
        <v>55111488.418843649</v>
      </c>
      <c r="B12774">
        <v>199102474.05193725</v>
      </c>
    </row>
    <row r="12775" spans="1:2" x14ac:dyDescent="0.25">
      <c r="A12775">
        <f ca="1">31924.2577315258*((RANDBETWEEN(1620,2416)))</f>
        <v>57367891.143551864</v>
      </c>
      <c r="B12775">
        <v>160986001.68256959</v>
      </c>
    </row>
    <row r="12776" spans="1:2" x14ac:dyDescent="0.25">
      <c r="A12776">
        <f ca="1">30271.171806273*((RANDBETWEEN(1620,2416)))</f>
        <v>58968242.678619795</v>
      </c>
      <c r="B12776">
        <v>146624950.87570778</v>
      </c>
    </row>
    <row r="12777" spans="1:2" x14ac:dyDescent="0.25">
      <c r="A12777">
        <f ca="1">31112.806290642*((RANDBETWEEN(1620,2416)))</f>
        <v>60794423.491914488</v>
      </c>
      <c r="B12777">
        <v>150708178.3007482</v>
      </c>
    </row>
    <row r="12778" spans="1:2" x14ac:dyDescent="0.25">
      <c r="A12778">
        <f ca="1">32293.0623880306*((RANDBETWEEN(1620,2416)))</f>
        <v>65780968.08441823</v>
      </c>
      <c r="B12778">
        <v>181881955.97925597</v>
      </c>
    </row>
    <row r="12779" spans="1:2" x14ac:dyDescent="0.25">
      <c r="A12779">
        <f ca="1">30002.1513176959*((RANDBETWEEN(1620,2416)))</f>
        <v>50283605.608458333</v>
      </c>
      <c r="B12779">
        <v>160592538.31612837</v>
      </c>
    </row>
    <row r="12780" spans="1:2" x14ac:dyDescent="0.25">
      <c r="A12780">
        <f ca="1">31847.9219682887*((RANDBETWEEN(1620,2416)))</f>
        <v>51912112.808310658</v>
      </c>
      <c r="B12780">
        <v>172222350.12737373</v>
      </c>
    </row>
    <row r="12781" spans="1:2" x14ac:dyDescent="0.25">
      <c r="A12781">
        <f ca="1">30691.042234502*((RANDBETWEEN(1620,2416)))</f>
        <v>58988183.174712859</v>
      </c>
      <c r="B12781">
        <v>147922694.6675095</v>
      </c>
    </row>
    <row r="12782" spans="1:2" x14ac:dyDescent="0.25">
      <c r="A12782">
        <f ca="1">33398.695453918*((RANDBETWEEN(1620,2416)))</f>
        <v>63657913.535167754</v>
      </c>
      <c r="B12782">
        <v>155969526.43618315</v>
      </c>
    </row>
    <row r="12783" spans="1:2" x14ac:dyDescent="0.25">
      <c r="A12783">
        <f ca="1">29981.1932493122*((RANDBETWEEN(1620,2416)))</f>
        <v>62630712.69781325</v>
      </c>
      <c r="B12783">
        <v>195190175.39468303</v>
      </c>
    </row>
    <row r="12784" spans="1:2" x14ac:dyDescent="0.25">
      <c r="A12784">
        <f ca="1">30558.9958407029*((RANDBETWEEN(1620,2416)))</f>
        <v>66924200.891139388</v>
      </c>
      <c r="B12784">
        <v>149600423.17986715</v>
      </c>
    </row>
    <row r="12785" spans="1:2" x14ac:dyDescent="0.25">
      <c r="A12785">
        <f ca="1">32361.7017014644*((RANDBETWEEN(1620,2416)))</f>
        <v>68250828.88838844</v>
      </c>
      <c r="B12785">
        <v>157029572.40838149</v>
      </c>
    </row>
    <row r="12786" spans="1:2" x14ac:dyDescent="0.25">
      <c r="A12786">
        <f ca="1">32529.3130860668*((RANDBETWEEN(1620,2416)))</f>
        <v>70458492.144420788</v>
      </c>
      <c r="B12786">
        <v>195971541.18040097</v>
      </c>
    </row>
    <row r="12787" spans="1:2" x14ac:dyDescent="0.25">
      <c r="A12787">
        <f ca="1">31788.4368051242*((RANDBETWEEN(1620,2416)))</f>
        <v>73431289.019836918</v>
      </c>
      <c r="B12787">
        <v>149756689.30882427</v>
      </c>
    </row>
    <row r="12788" spans="1:2" x14ac:dyDescent="0.25">
      <c r="A12788">
        <f ca="1">34250.7569900525*((RANDBETWEEN(1620,2416)))</f>
        <v>62165123.936945282</v>
      </c>
      <c r="B12788">
        <v>170068425.97617471</v>
      </c>
    </row>
    <row r="12789" spans="1:2" x14ac:dyDescent="0.25">
      <c r="A12789">
        <f ca="1">39469.5610027628*((RANDBETWEEN(1620,2416)))</f>
        <v>77636626.492434368</v>
      </c>
      <c r="B12789">
        <v>189445174.9242526</v>
      </c>
    </row>
    <row r="12790" spans="1:2" x14ac:dyDescent="0.25">
      <c r="A12790">
        <f ca="1">41353.8348492334*((RANDBETWEEN(1620,2416)))</f>
        <v>98132650.097230822</v>
      </c>
      <c r="B12790">
        <v>162555807.13957489</v>
      </c>
    </row>
    <row r="12791" spans="1:2" x14ac:dyDescent="0.25">
      <c r="A12791">
        <f ca="1">32594.1180875557*((RANDBETWEEN(1620,2416)))</f>
        <v>74901283.365203068</v>
      </c>
      <c r="B12791">
        <v>151228291.6467326</v>
      </c>
    </row>
    <row r="12792" spans="1:2" x14ac:dyDescent="0.25">
      <c r="A12792">
        <f ca="1">30339.1430211841*((RANDBETWEEN(1620,2416)))</f>
        <v>56461145.162423544</v>
      </c>
      <c r="B12792">
        <v>157452295.52244189</v>
      </c>
    </row>
    <row r="12793" spans="1:2" x14ac:dyDescent="0.25">
      <c r="A12793">
        <f ca="1">33005.0839369732*((RANDBETWEEN(1620,2416)))</f>
        <v>60366298.520723917</v>
      </c>
      <c r="B12793">
        <v>180425948.57674244</v>
      </c>
    </row>
    <row r="12794" spans="1:2" x14ac:dyDescent="0.25">
      <c r="A12794">
        <f ca="1">29939.5804660197*((RANDBETWEEN(1620,2416)))</f>
        <v>50268555.602447078</v>
      </c>
      <c r="B12794">
        <v>157607459.95302245</v>
      </c>
    </row>
    <row r="12795" spans="1:2" x14ac:dyDescent="0.25">
      <c r="A12795">
        <f ca="1">31212.1870831486*((RANDBETWEEN(1620,2416)))</f>
        <v>60738916.063807108</v>
      </c>
      <c r="B12795">
        <v>161878965.30537301</v>
      </c>
    </row>
    <row r="12796" spans="1:2" x14ac:dyDescent="0.25">
      <c r="A12796">
        <f ca="1">28053.1090784957*((RANDBETWEEN(1620,2416)))</f>
        <v>56891705.211189181</v>
      </c>
      <c r="B12796">
        <v>146255949.42767119</v>
      </c>
    </row>
    <row r="12797" spans="1:2" x14ac:dyDescent="0.25">
      <c r="A12797">
        <f ca="1">41393.6454425242*((RANDBETWEEN(1620,2416)))</f>
        <v>98392695.216880023</v>
      </c>
      <c r="B12797">
        <v>155831130.44996154</v>
      </c>
    </row>
    <row r="12798" spans="1:2" x14ac:dyDescent="0.25">
      <c r="A12798">
        <f ca="1">30718.0048835142*((RANDBETWEEN(1620,2416)))</f>
        <v>59992263.537503265</v>
      </c>
      <c r="B12798">
        <v>169998386.51873943</v>
      </c>
    </row>
    <row r="12799" spans="1:2" x14ac:dyDescent="0.25">
      <c r="A12799">
        <f ca="1">33855.8317227605*((RANDBETWEEN(1620,2416)))</f>
        <v>57588769.760415547</v>
      </c>
      <c r="B12799">
        <v>158518105.05186695</v>
      </c>
    </row>
    <row r="12800" spans="1:2" x14ac:dyDescent="0.25">
      <c r="A12800">
        <f ca="1">31970.6526251488*((RANDBETWEEN(1620,2416)))</f>
        <v>58857971.482898936</v>
      </c>
      <c r="B12800">
        <v>152847157.54669344</v>
      </c>
    </row>
    <row r="12801" spans="1:2" x14ac:dyDescent="0.25">
      <c r="A12801">
        <f ca="1">30320.6109344304*((RANDBETWEEN(1620,2416)))</f>
        <v>71374718.139649183</v>
      </c>
      <c r="B12801">
        <v>154235242.54023588</v>
      </c>
    </row>
    <row r="12802" spans="1:2" x14ac:dyDescent="0.25">
      <c r="A12802">
        <f ca="1">29442.1463420305*((RANDBETWEEN(1620,2416)))</f>
        <v>62564560.976814918</v>
      </c>
      <c r="B12802">
        <v>171917846.0808419</v>
      </c>
    </row>
    <row r="12803" spans="1:2" x14ac:dyDescent="0.25">
      <c r="A12803">
        <f ca="1">31650.2214653777*((RANDBETWEEN(1620,2416)))</f>
        <v>74409670.665102929</v>
      </c>
      <c r="B12803">
        <v>159176343.15915951</v>
      </c>
    </row>
    <row r="12804" spans="1:2" x14ac:dyDescent="0.25">
      <c r="A12804">
        <f ca="1">30584.3148981349*((RANDBETWEEN(1620,2416)))</f>
        <v>60893370.962186538</v>
      </c>
      <c r="B12804">
        <v>159306619.70949417</v>
      </c>
    </row>
    <row r="12805" spans="1:2" x14ac:dyDescent="0.25">
      <c r="A12805">
        <f ca="1">30345.9848584031*((RANDBETWEEN(1620,2416)))</f>
        <v>62118231.005151175</v>
      </c>
      <c r="B12805">
        <v>169878919.46132123</v>
      </c>
    </row>
    <row r="12806" spans="1:2" x14ac:dyDescent="0.25">
      <c r="A12806">
        <f ca="1">30992.9071478204*((RANDBETWEEN(1620,2416)))</f>
        <v>68990211.31104812</v>
      </c>
      <c r="B12806">
        <v>146558428.83513564</v>
      </c>
    </row>
    <row r="12807" spans="1:2" x14ac:dyDescent="0.25">
      <c r="A12807">
        <f ca="1">29577.0350646662*((RANDBETWEEN(1620,2416)))</f>
        <v>56994946.56961181</v>
      </c>
      <c r="B12807">
        <v>177136970.17669472</v>
      </c>
    </row>
    <row r="12808" spans="1:2" x14ac:dyDescent="0.25">
      <c r="A12808">
        <f ca="1">29702.0958318229*((RANDBETWEEN(1620,2416)))</f>
        <v>67334651.250742525</v>
      </c>
      <c r="B12808">
        <v>176427548.77396479</v>
      </c>
    </row>
    <row r="12809" spans="1:2" x14ac:dyDescent="0.25">
      <c r="A12809">
        <f ca="1">41026.1289099571*((RANDBETWEEN(1620,2416)))</f>
        <v>92965208.109962717</v>
      </c>
      <c r="B12809">
        <v>194751419.06466442</v>
      </c>
    </row>
    <row r="12810" spans="1:2" x14ac:dyDescent="0.25">
      <c r="A12810">
        <f ca="1">37903.9897107036*((RANDBETWEEN(1620,2416)))</f>
        <v>69136877.232323378</v>
      </c>
      <c r="B12810">
        <v>189970578.31111947</v>
      </c>
    </row>
    <row r="12811" spans="1:2" x14ac:dyDescent="0.25">
      <c r="A12811">
        <f ca="1">37673.7835007781*((RANDBETWEEN(1620,2416)))</f>
        <v>67775136.517899841</v>
      </c>
      <c r="B12811">
        <v>143681462.71083972</v>
      </c>
    </row>
    <row r="12812" spans="1:2" x14ac:dyDescent="0.25">
      <c r="A12812">
        <f ca="1">31860.078882466*((RANDBETWEEN(1620,2416)))</f>
        <v>55372817.097725965</v>
      </c>
      <c r="B12812">
        <v>148336917.5124796</v>
      </c>
    </row>
    <row r="12813" spans="1:2" x14ac:dyDescent="0.25">
      <c r="A12813">
        <f ca="1">41505.1270432307*((RANDBETWEEN(1620,2416)))</f>
        <v>71969890.292962089</v>
      </c>
      <c r="B12813">
        <v>159748713.32323754</v>
      </c>
    </row>
    <row r="12814" spans="1:2" x14ac:dyDescent="0.25">
      <c r="A12814">
        <f ca="1">30051.1756184306*((RANDBETWEEN(1620,2416)))</f>
        <v>63227673.501178019</v>
      </c>
      <c r="B12814">
        <v>147738941.07413235</v>
      </c>
    </row>
    <row r="12815" spans="1:2" x14ac:dyDescent="0.25">
      <c r="A12815">
        <f ca="1">29117.8697499451*((RANDBETWEEN(1620,2416)))</f>
        <v>61788119.609383538</v>
      </c>
      <c r="B12815">
        <v>179809847.3744579</v>
      </c>
    </row>
    <row r="12816" spans="1:2" x14ac:dyDescent="0.25">
      <c r="A12816">
        <f ca="1">27942.9379697263*((RANDBETWEEN(1620,2416)))</f>
        <v>55662332.435694717</v>
      </c>
      <c r="B12816">
        <v>147669067.18921751</v>
      </c>
    </row>
    <row r="12817" spans="1:2" x14ac:dyDescent="0.25">
      <c r="A12817">
        <f ca="1">32647.9693489274*((RANDBETWEEN(1620,2416)))</f>
        <v>60300799.38746886</v>
      </c>
      <c r="B12817">
        <v>188328573.78949207</v>
      </c>
    </row>
    <row r="12818" spans="1:2" x14ac:dyDescent="0.25">
      <c r="A12818">
        <f ca="1">30515.3096540865*((RANDBETWEEN(1620,2416)))</f>
        <v>58375787.368267566</v>
      </c>
      <c r="B12818">
        <v>145399224.72723991</v>
      </c>
    </row>
    <row r="12819" spans="1:2" x14ac:dyDescent="0.25">
      <c r="A12819">
        <f ca="1">30829.4021267467*((RANDBETWEEN(1620,2416)))</f>
        <v>64926720.878928505</v>
      </c>
      <c r="B12819">
        <v>192110667.39259142</v>
      </c>
    </row>
    <row r="12820" spans="1:2" x14ac:dyDescent="0.25">
      <c r="A12820">
        <f ca="1">42004.4449198473*((RANDBETWEEN(1620,2416)))</f>
        <v>97702338.88356483</v>
      </c>
      <c r="B12820">
        <v>183575085.30270416</v>
      </c>
    </row>
    <row r="12821" spans="1:2" x14ac:dyDescent="0.25">
      <c r="A12821">
        <f ca="1">36182.8863421685*((RANDBETWEEN(1620,2416)))</f>
        <v>78697777.794216424</v>
      </c>
      <c r="B12821">
        <v>148473337.89819911</v>
      </c>
    </row>
    <row r="12822" spans="1:2" x14ac:dyDescent="0.25">
      <c r="A12822">
        <f ca="1">29375.0054262577*((RANDBETWEEN(1620,2416)))</f>
        <v>55812510.309889697</v>
      </c>
      <c r="B12822">
        <v>185326575.07535675</v>
      </c>
    </row>
    <row r="12823" spans="1:2" x14ac:dyDescent="0.25">
      <c r="A12823">
        <f ca="1">37084.8413345492*((RANDBETWEEN(1620,2416)))</f>
        <v>76765621.562516943</v>
      </c>
      <c r="B12823">
        <v>153713204.38057953</v>
      </c>
    </row>
    <row r="12824" spans="1:2" x14ac:dyDescent="0.25">
      <c r="A12824">
        <f ca="1">31518.7741622191*((RANDBETWEEN(1620,2416)))</f>
        <v>66599169.804768972</v>
      </c>
      <c r="B12824">
        <v>164628035.77878335</v>
      </c>
    </row>
    <row r="12825" spans="1:2" x14ac:dyDescent="0.25">
      <c r="A12825">
        <f ca="1">33859.7712487261*((RANDBETWEEN(1620,2416)))</f>
        <v>74830094.459684759</v>
      </c>
      <c r="B12825">
        <v>190380997.4798224</v>
      </c>
    </row>
    <row r="12826" spans="1:2" x14ac:dyDescent="0.25">
      <c r="A12826">
        <f ca="1">29457.3754729962*((RANDBETWEEN(1620,2416)))</f>
        <v>69872894.621946946</v>
      </c>
      <c r="B12826">
        <v>164206096.97408807</v>
      </c>
    </row>
    <row r="12827" spans="1:2" x14ac:dyDescent="0.25">
      <c r="A12827">
        <f ca="1">31693.917911038*((RANDBETWEEN(1620,2416)))</f>
        <v>62405324.36683391</v>
      </c>
      <c r="B12827">
        <v>185924304.92364413</v>
      </c>
    </row>
    <row r="12828" spans="1:2" x14ac:dyDescent="0.25">
      <c r="A12828">
        <f ca="1">33854.2381647018*((RANDBETWEEN(1620,2416)))</f>
        <v>59244916.788228199</v>
      </c>
      <c r="B12828">
        <v>163163346.1816138</v>
      </c>
    </row>
    <row r="12829" spans="1:2" x14ac:dyDescent="0.25">
      <c r="A12829">
        <f ca="1">39462.9248963327*((RANDBETWEEN(1620,2416)))</f>
        <v>94513705.126716912</v>
      </c>
      <c r="B12829">
        <v>143367037.58081305</v>
      </c>
    </row>
    <row r="12830" spans="1:2" x14ac:dyDescent="0.25">
      <c r="A12830">
        <f ca="1">39836.3741482902*((RANDBETWEEN(1620,2416)))</f>
        <v>72462364.575739816</v>
      </c>
      <c r="B12830">
        <v>187822657.30407009</v>
      </c>
    </row>
    <row r="12831" spans="1:2" x14ac:dyDescent="0.25">
      <c r="A12831">
        <f ca="1">32127.4954164396*((RANDBETWEEN(1620,2416)))</f>
        <v>64190735.84204638</v>
      </c>
      <c r="B12831">
        <v>179970560.69879887</v>
      </c>
    </row>
    <row r="12832" spans="1:2" x14ac:dyDescent="0.25">
      <c r="A12832">
        <f ca="1">30089.924728893*((RANDBETWEEN(1620,2416)))</f>
        <v>69026287.328080609</v>
      </c>
      <c r="B12832">
        <v>149328905.12295467</v>
      </c>
    </row>
    <row r="12833" spans="1:2" x14ac:dyDescent="0.25">
      <c r="A12833">
        <f ca="1">39092.9426261501*((RANDBETWEEN(1620,2416)))</f>
        <v>89014630.359743878</v>
      </c>
      <c r="B12833">
        <v>161678828.39634797</v>
      </c>
    </row>
    <row r="12834" spans="1:2" x14ac:dyDescent="0.25">
      <c r="A12834">
        <f ca="1">33004.5576657242*((RANDBETWEEN(1620,2416)))</f>
        <v>68847507.290700659</v>
      </c>
      <c r="B12834">
        <v>163350999.98157805</v>
      </c>
    </row>
    <row r="12835" spans="1:2" x14ac:dyDescent="0.25">
      <c r="A12835">
        <f ca="1">35368.9298208521*((RANDBETWEEN(1620,2416)))</f>
        <v>74734548.711460441</v>
      </c>
      <c r="B12835">
        <v>143041578.52068329</v>
      </c>
    </row>
    <row r="12836" spans="1:2" x14ac:dyDescent="0.25">
      <c r="A12836">
        <f ca="1">29623.9045449283*((RANDBETWEEN(1620,2416)))</f>
        <v>68283099.976059645</v>
      </c>
      <c r="B12836">
        <v>145077106.69900191</v>
      </c>
    </row>
    <row r="12837" spans="1:2" x14ac:dyDescent="0.25">
      <c r="A12837">
        <f ca="1">32345.8100691345*((RANDBETWEEN(1620,2416)))</f>
        <v>69252379.358017057</v>
      </c>
      <c r="B12837">
        <v>169474546.75785148</v>
      </c>
    </row>
    <row r="12838" spans="1:2" x14ac:dyDescent="0.25">
      <c r="A12838">
        <f ca="1">29804.610758483*((RANDBETWEEN(1620,2416)))</f>
        <v>56598955.830359295</v>
      </c>
      <c r="B12838">
        <v>176184843.69888812</v>
      </c>
    </row>
    <row r="12839" spans="1:2" x14ac:dyDescent="0.25">
      <c r="A12839">
        <f ca="1">40996.9185332451*((RANDBETWEEN(1620,2416)))</f>
        <v>94907866.404462412</v>
      </c>
      <c r="B12839">
        <v>172984503.54565674</v>
      </c>
    </row>
    <row r="12840" spans="1:2" x14ac:dyDescent="0.25">
      <c r="A12840">
        <f ca="1">31225.5002871679*((RANDBETWEEN(1620,2416)))</f>
        <v>62388549.573761366</v>
      </c>
      <c r="B12840">
        <v>187591980.47493705</v>
      </c>
    </row>
    <row r="12841" spans="1:2" x14ac:dyDescent="0.25">
      <c r="A12841">
        <f ca="1">35567.1051589327*((RANDBETWEEN(1620,2416)))</f>
        <v>85894558.958822459</v>
      </c>
      <c r="B12841">
        <v>171846569.49277294</v>
      </c>
    </row>
    <row r="12842" spans="1:2" x14ac:dyDescent="0.25">
      <c r="A12842">
        <f ca="1">36798.1411772636*((RANDBETWEEN(1620,2416)))</f>
        <v>66015865.272010922</v>
      </c>
      <c r="B12842">
        <v>149939413.35349977</v>
      </c>
    </row>
    <row r="12843" spans="1:2" x14ac:dyDescent="0.25">
      <c r="A12843">
        <f ca="1">41103.8229572717*((RANDBETWEEN(1620,2416)))</f>
        <v>67369165.826968372</v>
      </c>
      <c r="B12843">
        <v>176340459.94347203</v>
      </c>
    </row>
    <row r="12844" spans="1:2" x14ac:dyDescent="0.25">
      <c r="A12844">
        <f ca="1">30032.8844446323*((RANDBETWEEN(1620,2416)))</f>
        <v>72379251.511563912</v>
      </c>
      <c r="B12844">
        <v>151452575.12387413</v>
      </c>
    </row>
    <row r="12845" spans="1:2" x14ac:dyDescent="0.25">
      <c r="A12845">
        <f ca="1">32503.9984872257*((RANDBETWEEN(1620,2416)))</f>
        <v>62570197.087909542</v>
      </c>
      <c r="B12845">
        <v>176955260.49874836</v>
      </c>
    </row>
    <row r="12846" spans="1:2" x14ac:dyDescent="0.25">
      <c r="A12846">
        <f ca="1">41139.8316800971*((RANDBETWEEN(1620,2416)))</f>
        <v>68086421.430560663</v>
      </c>
      <c r="B12846">
        <v>157967154.4557448</v>
      </c>
    </row>
    <row r="12847" spans="1:2" x14ac:dyDescent="0.25">
      <c r="A12847">
        <f ca="1">35548.4381057878*((RANDBETWEEN(1620,2416)))</f>
        <v>82187988.900581375</v>
      </c>
      <c r="B12847">
        <v>188119247.30068734</v>
      </c>
    </row>
    <row r="12848" spans="1:2" x14ac:dyDescent="0.25">
      <c r="A12848">
        <f ca="1">31458.4294801037*((RANDBETWEEN(1620,2416)))</f>
        <v>54454541.43005944</v>
      </c>
      <c r="B12848">
        <v>163079139.17036441</v>
      </c>
    </row>
    <row r="12849" spans="1:2" x14ac:dyDescent="0.25">
      <c r="A12849">
        <f ca="1">33738.5552389548*((RANDBETWEEN(1620,2416)))</f>
        <v>75102023.961913407</v>
      </c>
      <c r="B12849">
        <v>193662218.7282508</v>
      </c>
    </row>
    <row r="12850" spans="1:2" x14ac:dyDescent="0.25">
      <c r="A12850">
        <f ca="1">31535.0085416637*((RANDBETWEEN(1620,2416)))</f>
        <v>65403607.715410613</v>
      </c>
      <c r="B12850">
        <v>148864054.99246573</v>
      </c>
    </row>
    <row r="12851" spans="1:2" x14ac:dyDescent="0.25">
      <c r="A12851">
        <f ca="1">32719.5922334605*((RANDBETWEEN(1620,2416)))</f>
        <v>69561853.088337019</v>
      </c>
      <c r="B12851">
        <v>154109514.6387029</v>
      </c>
    </row>
    <row r="12852" spans="1:2" x14ac:dyDescent="0.25">
      <c r="A12852">
        <f ca="1">30183.1525227196*((RANDBETWEEN(1620,2416)))</f>
        <v>51945205.491600417</v>
      </c>
      <c r="B12852">
        <v>170002657.20111665</v>
      </c>
    </row>
    <row r="12853" spans="1:2" x14ac:dyDescent="0.25">
      <c r="A12853">
        <f ca="1">35315.4780991391*((RANDBETWEEN(1620,2416)))</f>
        <v>70913480.023071215</v>
      </c>
      <c r="B12853">
        <v>149754619.37020054</v>
      </c>
    </row>
    <row r="12854" spans="1:2" x14ac:dyDescent="0.25">
      <c r="A12854">
        <f ca="1">30690.7500462434*((RANDBETWEEN(1620,2416)))</f>
        <v>55979928.084348008</v>
      </c>
      <c r="B12854">
        <v>148314908.47317326</v>
      </c>
    </row>
    <row r="12855" spans="1:2" x14ac:dyDescent="0.25">
      <c r="A12855">
        <f ca="1">30910.8782022358*((RANDBETWEEN(1620,2416)))</f>
        <v>71435039.525366902</v>
      </c>
      <c r="B12855">
        <v>148064006.48347282</v>
      </c>
    </row>
    <row r="12856" spans="1:2" x14ac:dyDescent="0.25">
      <c r="A12856">
        <f ca="1">31861.9799688765*((RANDBETWEEN(1620,2416)))</f>
        <v>75512892.526237264</v>
      </c>
      <c r="B12856">
        <v>165435715.00799954</v>
      </c>
    </row>
    <row r="12857" spans="1:2" x14ac:dyDescent="0.25">
      <c r="A12857">
        <f ca="1">32370.2616238476*((RANDBETWEEN(1620,2416)))</f>
        <v>63607564.090860575</v>
      </c>
      <c r="B12857">
        <v>149252507.53520909</v>
      </c>
    </row>
    <row r="12858" spans="1:2" x14ac:dyDescent="0.25">
      <c r="A12858">
        <f ca="1">31089.5668727386*((RANDBETWEEN(1620,2416)))</f>
        <v>56831728.243366085</v>
      </c>
      <c r="B12858">
        <v>149664554.26664874</v>
      </c>
    </row>
    <row r="12859" spans="1:2" x14ac:dyDescent="0.25">
      <c r="A12859">
        <f ca="1">34045.6382890293*((RANDBETWEEN(1620,2416)))</f>
        <v>57264763.602147348</v>
      </c>
      <c r="B12859">
        <v>180196341.45491189</v>
      </c>
    </row>
    <row r="12860" spans="1:2" x14ac:dyDescent="0.25">
      <c r="A12860">
        <f ca="1">28191.7694324423*((RANDBETWEEN(1620,2416)))</f>
        <v>59851126.505074956</v>
      </c>
      <c r="B12860">
        <v>164420443.51649818</v>
      </c>
    </row>
    <row r="12861" spans="1:2" x14ac:dyDescent="0.25">
      <c r="A12861">
        <f ca="1">34054.3840647924*((RANDBETWEEN(1620,2416)))</f>
        <v>81424032.29891853</v>
      </c>
      <c r="B12861">
        <v>156168473.48551196</v>
      </c>
    </row>
    <row r="12862" spans="1:2" x14ac:dyDescent="0.25">
      <c r="A12862">
        <f ca="1">39111.8658808561*((RANDBETWEEN(1620,2416)))</f>
        <v>79318864.006376147</v>
      </c>
      <c r="B12862">
        <v>191205366.42514032</v>
      </c>
    </row>
    <row r="12863" spans="1:2" x14ac:dyDescent="0.25">
      <c r="A12863">
        <f ca="1">32044.9238332833*((RANDBETWEEN(1620,2416)))</f>
        <v>77292356.285879299</v>
      </c>
      <c r="B12863">
        <v>197001687.35489404</v>
      </c>
    </row>
    <row r="12864" spans="1:2" x14ac:dyDescent="0.25">
      <c r="A12864">
        <f ca="1">37380.5512398331*((RANDBETWEEN(1620,2416)))</f>
        <v>71396852.868081212</v>
      </c>
      <c r="B12864">
        <v>185097983.52526593</v>
      </c>
    </row>
    <row r="12865" spans="1:2" x14ac:dyDescent="0.25">
      <c r="A12865">
        <f ca="1">32435.274387021*((RANDBETWEEN(1620,2416)))</f>
        <v>76158024.260725275</v>
      </c>
      <c r="B12865">
        <v>166479546.59620857</v>
      </c>
    </row>
    <row r="12866" spans="1:2" x14ac:dyDescent="0.25">
      <c r="A12866">
        <f ca="1">29993.0709913954*((RANDBETWEEN(1620,2416)))</f>
        <v>57526710.161496408</v>
      </c>
      <c r="B12866">
        <v>148146612.4123717</v>
      </c>
    </row>
    <row r="12867" spans="1:2" x14ac:dyDescent="0.25">
      <c r="A12867">
        <f ca="1">29351.9254218958*((RANDBETWEEN(1620,2416)))</f>
        <v>55856714.077867799</v>
      </c>
      <c r="B12867">
        <v>151529553.69889414</v>
      </c>
    </row>
    <row r="12868" spans="1:2" x14ac:dyDescent="0.25">
      <c r="A12868">
        <f ca="1">38617.0599759018*((RANDBETWEEN(1620,2416)))</f>
        <v>90827325.063321114</v>
      </c>
      <c r="B12868">
        <v>172062929.72165191</v>
      </c>
    </row>
    <row r="12869" spans="1:2" x14ac:dyDescent="0.25">
      <c r="A12869">
        <f ca="1">32534.4881068841*((RANDBETWEEN(1620,2416)))</f>
        <v>55991854.031947538</v>
      </c>
      <c r="B12869">
        <v>172677783.57184216</v>
      </c>
    </row>
    <row r="12870" spans="1:2" x14ac:dyDescent="0.25">
      <c r="A12870">
        <f ca="1">31785.373679231*((RANDBETWEEN(1620,2416)))</f>
        <v>60137927.001105085</v>
      </c>
      <c r="B12870">
        <v>155415346.181003</v>
      </c>
    </row>
    <row r="12871" spans="1:2" x14ac:dyDescent="0.25">
      <c r="A12871">
        <f ca="1">38201.7229037537*((RANDBETWEEN(1620,2416)))</f>
        <v>71513625.275827006</v>
      </c>
      <c r="B12871">
        <v>173888108.13117391</v>
      </c>
    </row>
    <row r="12872" spans="1:2" x14ac:dyDescent="0.25">
      <c r="A12872">
        <f ca="1">36541.2759499258*((RANDBETWEEN(1620,2416)))</f>
        <v>69757295.788408294</v>
      </c>
      <c r="B12872">
        <v>182725218.78837234</v>
      </c>
    </row>
    <row r="12873" spans="1:2" x14ac:dyDescent="0.25">
      <c r="A12873">
        <f ca="1">27483.2936660674*((RANDBETWEEN(1620,2416)))</f>
        <v>47573581.335962728</v>
      </c>
      <c r="B12873">
        <v>185629899.79097217</v>
      </c>
    </row>
    <row r="12874" spans="1:2" x14ac:dyDescent="0.25">
      <c r="A12874">
        <f ca="1">32902.4554967598*((RANDBETWEEN(1620,2416)))</f>
        <v>67285521.490873709</v>
      </c>
      <c r="B12874">
        <v>147086849.21516946</v>
      </c>
    </row>
    <row r="12875" spans="1:2" x14ac:dyDescent="0.25">
      <c r="A12875">
        <f ca="1">30051.3203650311*((RANDBETWEEN(1620,2416)))</f>
        <v>70079679.091252625</v>
      </c>
      <c r="B12875">
        <v>146866691.70297474</v>
      </c>
    </row>
    <row r="12876" spans="1:2" x14ac:dyDescent="0.25">
      <c r="A12876">
        <f ca="1">37293.8279047678*((RANDBETWEEN(1620,2416)))</f>
        <v>66159250.703058064</v>
      </c>
      <c r="B12876">
        <v>194656372.16602823</v>
      </c>
    </row>
    <row r="12877" spans="1:2" x14ac:dyDescent="0.25">
      <c r="A12877">
        <f ca="1">36308.851361035*((RANDBETWEEN(1620,2416)))</f>
        <v>76756911.777228013</v>
      </c>
      <c r="B12877">
        <v>172089814.97313553</v>
      </c>
    </row>
    <row r="12878" spans="1:2" x14ac:dyDescent="0.25">
      <c r="A12878">
        <f ca="1">32594.0254216808*((RANDBETWEEN(1620,2416)))</f>
        <v>76367801.562998027</v>
      </c>
      <c r="B12878">
        <v>142932451.17322519</v>
      </c>
    </row>
    <row r="12879" spans="1:2" x14ac:dyDescent="0.25">
      <c r="A12879">
        <f ca="1">32779.8254800505*((RANDBETWEEN(1620,2416)))</f>
        <v>76672011.797838151</v>
      </c>
      <c r="B12879">
        <v>159604931.21512052</v>
      </c>
    </row>
    <row r="12880" spans="1:2" x14ac:dyDescent="0.25">
      <c r="A12880">
        <f ca="1">38476.049243141*((RANDBETWEEN(1620,2416)))</f>
        <v>72027164.183160022</v>
      </c>
      <c r="B12880">
        <v>173594044.26140198</v>
      </c>
    </row>
    <row r="12881" spans="1:2" x14ac:dyDescent="0.25">
      <c r="A12881">
        <f ca="1">38467.1803791935*((RANDBETWEEN(1620,2416)))</f>
        <v>66740557.957900725</v>
      </c>
      <c r="B12881">
        <v>182092319.2247673</v>
      </c>
    </row>
    <row r="12882" spans="1:2" x14ac:dyDescent="0.25">
      <c r="A12882">
        <f ca="1">32817.6532074809*((RANDBETWEEN(1620,2416)))</f>
        <v>77941926.36776711</v>
      </c>
      <c r="B12882">
        <v>189599600.42627409</v>
      </c>
    </row>
    <row r="12883" spans="1:2" x14ac:dyDescent="0.25">
      <c r="A12883">
        <f ca="1">38323.7134830623*((RANDBETWEEN(1620,2416)))</f>
        <v>91057143.235756069</v>
      </c>
      <c r="B12883">
        <v>176228447.30914727</v>
      </c>
    </row>
    <row r="12884" spans="1:2" x14ac:dyDescent="0.25">
      <c r="A12884">
        <f ca="1">31706.7310644632*((RANDBETWEEN(1620,2416)))</f>
        <v>70642596.811624035</v>
      </c>
      <c r="B12884">
        <v>159069833.68675941</v>
      </c>
    </row>
    <row r="12885" spans="1:2" x14ac:dyDescent="0.25">
      <c r="A12885">
        <f ca="1">32357.6168569518*((RANDBETWEEN(1620,2416)))</f>
        <v>68145141.100740433</v>
      </c>
      <c r="B12885">
        <v>152630041.71657899</v>
      </c>
    </row>
    <row r="12886" spans="1:2" x14ac:dyDescent="0.25">
      <c r="A12886">
        <f ca="1">38087.5825407158*((RANDBETWEEN(1620,2416)))</f>
        <v>65129766.144624077</v>
      </c>
      <c r="B12886">
        <v>162789947.14224529</v>
      </c>
    </row>
    <row r="12887" spans="1:2" x14ac:dyDescent="0.25">
      <c r="A12887">
        <f ca="1">30623.9989237177*((RANDBETWEEN(1620,2416)))</f>
        <v>60023037.89048674</v>
      </c>
      <c r="B12887">
        <v>161155509.29282087</v>
      </c>
    </row>
    <row r="12888" spans="1:2" x14ac:dyDescent="0.25">
      <c r="A12888">
        <f ca="1">27621.5427041069*((RANDBETWEEN(1620,2416)))</f>
        <v>63170468.164292514</v>
      </c>
      <c r="B12888">
        <v>149539541.53916445</v>
      </c>
    </row>
    <row r="12889" spans="1:2" x14ac:dyDescent="0.25">
      <c r="A12889">
        <f ca="1">34723.9163059475*((RANDBETWEEN(1620,2416)))</f>
        <v>60176546.958207026</v>
      </c>
      <c r="B12889">
        <v>191078256.47785062</v>
      </c>
    </row>
    <row r="12890" spans="1:2" x14ac:dyDescent="0.25">
      <c r="A12890">
        <f ca="1">38839.4790557922*((RANDBETWEEN(1620,2416)))</f>
        <v>81679424.454331011</v>
      </c>
      <c r="B12890">
        <v>200684727.95683503</v>
      </c>
    </row>
    <row r="12891" spans="1:2" x14ac:dyDescent="0.25">
      <c r="A12891">
        <f ca="1">31226.7985510022*((RANDBETWEEN(1620,2416)))</f>
        <v>59830546.023720272</v>
      </c>
      <c r="B12891">
        <v>146892520.45407897</v>
      </c>
    </row>
    <row r="12892" spans="1:2" x14ac:dyDescent="0.25">
      <c r="A12892">
        <f ca="1">32631.4651144036*((RANDBETWEEN(1620,2416)))</f>
        <v>77042889.135106787</v>
      </c>
      <c r="B12892">
        <v>149174004.42301261</v>
      </c>
    </row>
    <row r="12893" spans="1:2" x14ac:dyDescent="0.25">
      <c r="A12893">
        <f ca="1">34361.1372780707*((RANDBETWEEN(1620,2416)))</f>
        <v>71402443.26383087</v>
      </c>
      <c r="B12893">
        <v>144513368.21255869</v>
      </c>
    </row>
    <row r="12894" spans="1:2" x14ac:dyDescent="0.25">
      <c r="A12894">
        <f ca="1">30106.6909447021*((RANDBETWEEN(1620,2416)))</f>
        <v>53620016.572514474</v>
      </c>
      <c r="B12894">
        <v>145645875.95562428</v>
      </c>
    </row>
    <row r="12895" spans="1:2" x14ac:dyDescent="0.25">
      <c r="A12895">
        <f ca="1">31482.6435309728*((RANDBETWEEN(1620,2416)))</f>
        <v>73260111.496573687</v>
      </c>
      <c r="B12895">
        <v>155997227.94647816</v>
      </c>
    </row>
    <row r="12896" spans="1:2" x14ac:dyDescent="0.25">
      <c r="A12896">
        <f ca="1">34222.3872966767*((RANDBETWEEN(1620,2416)))</f>
        <v>68513219.367946818</v>
      </c>
      <c r="B12896">
        <v>191297324.33097771</v>
      </c>
    </row>
    <row r="12897" spans="1:2" x14ac:dyDescent="0.25">
      <c r="A12897">
        <f ca="1">34561.5669038064*((RANDBETWEEN(1620,2416)))</f>
        <v>80977751.255618453</v>
      </c>
      <c r="B12897">
        <v>150756804.8849712</v>
      </c>
    </row>
    <row r="12898" spans="1:2" x14ac:dyDescent="0.25">
      <c r="A12898">
        <f ca="1">31708.8906578178*((RANDBETWEEN(1620,2416)))</f>
        <v>64559301.379317053</v>
      </c>
      <c r="B12898">
        <v>181392035.70620587</v>
      </c>
    </row>
    <row r="12899" spans="1:2" x14ac:dyDescent="0.25">
      <c r="A12899">
        <f ca="1">32333.7367772794*((RANDBETWEEN(1620,2416)))</f>
        <v>67480508.654182151</v>
      </c>
      <c r="B12899">
        <v>159696453.2728999</v>
      </c>
    </row>
    <row r="12900" spans="1:2" x14ac:dyDescent="0.25">
      <c r="A12900">
        <f ca="1">31609.0787495431*((RANDBETWEEN(1620,2416)))</f>
        <v>60657822.120373219</v>
      </c>
      <c r="B12900">
        <v>143918099.09589529</v>
      </c>
    </row>
    <row r="12901" spans="1:2" x14ac:dyDescent="0.25">
      <c r="A12901">
        <f ca="1">36167.6580461343*((RANDBETWEEN(1620,2416)))</f>
        <v>76349926.135389581</v>
      </c>
      <c r="B12901">
        <v>144054641.89287901</v>
      </c>
    </row>
    <row r="12902" spans="1:2" x14ac:dyDescent="0.25">
      <c r="A12902">
        <f ca="1">30633.1675521846*((RANDBETWEEN(1620,2416)))</f>
        <v>63533189.503230825</v>
      </c>
      <c r="B12902">
        <v>146158195.9587369</v>
      </c>
    </row>
    <row r="12903" spans="1:2" x14ac:dyDescent="0.25">
      <c r="A12903">
        <f ca="1">29465.0300641674*((RANDBETWEEN(1620,2416)))</f>
        <v>68859775.259959251</v>
      </c>
      <c r="B12903">
        <v>171716706.87032214</v>
      </c>
    </row>
    <row r="12904" spans="1:2" x14ac:dyDescent="0.25">
      <c r="A12904">
        <f ca="1">36279.0637604712*((RANDBETWEEN(1620,2416)))</f>
        <v>59062315.802047037</v>
      </c>
      <c r="B12904">
        <v>188641207.98669422</v>
      </c>
    </row>
    <row r="12905" spans="1:2" x14ac:dyDescent="0.25">
      <c r="A12905">
        <f ca="1">30911.2843024784*((RANDBETWEEN(1620,2416)))</f>
        <v>74217993.610250562</v>
      </c>
      <c r="B12905">
        <v>142916124.35991326</v>
      </c>
    </row>
    <row r="12906" spans="1:2" x14ac:dyDescent="0.25">
      <c r="A12906">
        <f ca="1">32282.6585780149*((RANDBETWEEN(1620,2416)))</f>
        <v>61143355.34676031</v>
      </c>
      <c r="B12906">
        <v>168166810.13984913</v>
      </c>
    </row>
    <row r="12907" spans="1:2" x14ac:dyDescent="0.25">
      <c r="A12907">
        <f ca="1">30224.6856406552*((RANDBETWEEN(1620,2416)))</f>
        <v>58212744.543901876</v>
      </c>
      <c r="B12907">
        <v>143026351.1502724</v>
      </c>
    </row>
    <row r="12908" spans="1:2" x14ac:dyDescent="0.25">
      <c r="A12908">
        <f ca="1">38590.4887363196*((RANDBETWEEN(1620,2416)))</f>
        <v>65256516.453116477</v>
      </c>
      <c r="B12908">
        <v>180962903.98037797</v>
      </c>
    </row>
    <row r="12909" spans="1:2" x14ac:dyDescent="0.25">
      <c r="A12909">
        <f ca="1">31554.645079409*((RANDBETWEEN(1620,2416)))</f>
        <v>73806314.840737566</v>
      </c>
      <c r="B12909">
        <v>192683863.65666413</v>
      </c>
    </row>
    <row r="12910" spans="1:2" x14ac:dyDescent="0.25">
      <c r="A12910">
        <f ca="1">30537.0857170913*((RANDBETWEEN(1620,2416)))</f>
        <v>51271766.918996327</v>
      </c>
      <c r="B12910">
        <v>149971037.41081721</v>
      </c>
    </row>
    <row r="12911" spans="1:2" x14ac:dyDescent="0.25">
      <c r="A12911">
        <f ca="1">37434.4296841434*((RANDBETWEEN(1620,2416)))</f>
        <v>71200285.259240806</v>
      </c>
      <c r="B12911">
        <v>146505917.90228906</v>
      </c>
    </row>
    <row r="12912" spans="1:2" x14ac:dyDescent="0.25">
      <c r="A12912">
        <f ca="1">31573.8052042604*((RANDBETWEEN(1620,2416)))</f>
        <v>68957190.566104725</v>
      </c>
      <c r="B12912">
        <v>168087202.81290829</v>
      </c>
    </row>
    <row r="12913" spans="1:2" x14ac:dyDescent="0.25">
      <c r="A12913">
        <f ca="1">30277.1151168658*((RANDBETWEEN(1620,2416)))</f>
        <v>52167469.346359737</v>
      </c>
      <c r="B12913">
        <v>153522333.17613384</v>
      </c>
    </row>
    <row r="12914" spans="1:2" x14ac:dyDescent="0.25">
      <c r="A12914">
        <f ca="1">31719.3957484197*((RANDBETWEEN(1620,2416)))</f>
        <v>68418736.629341364</v>
      </c>
      <c r="B12914">
        <v>159302241.92655084</v>
      </c>
    </row>
    <row r="12915" spans="1:2" x14ac:dyDescent="0.25">
      <c r="A12915">
        <f ca="1">40343.9185337476*((RANDBETWEEN(1620,2416)))</f>
        <v>78670641.140807748</v>
      </c>
      <c r="B12915">
        <v>162608782.73447311</v>
      </c>
    </row>
    <row r="12916" spans="1:2" x14ac:dyDescent="0.25">
      <c r="A12916">
        <f ca="1">31846.0855552505*((RANDBETWEEN(1620,2416)))</f>
        <v>62864172.886064455</v>
      </c>
      <c r="B12916">
        <v>178276939.36652762</v>
      </c>
    </row>
    <row r="12917" spans="1:2" x14ac:dyDescent="0.25">
      <c r="A12917">
        <f ca="1">32358.052141211*((RANDBETWEEN(1620,2416)))</f>
        <v>71511295.232076362</v>
      </c>
      <c r="B12917">
        <v>145151016.47453228</v>
      </c>
    </row>
    <row r="12918" spans="1:2" x14ac:dyDescent="0.25">
      <c r="A12918">
        <f ca="1">37870.0738606598*((RANDBETWEEN(1620,2416)))</f>
        <v>74831265.948663682</v>
      </c>
      <c r="B12918">
        <v>153295527.37148777</v>
      </c>
    </row>
    <row r="12919" spans="1:2" x14ac:dyDescent="0.25">
      <c r="A12919">
        <f ca="1">31341.7413704329*((RANDBETWEEN(1620,2416)))</f>
        <v>61837255.72386416</v>
      </c>
      <c r="B12919">
        <v>181446046.80721948</v>
      </c>
    </row>
    <row r="12920" spans="1:2" x14ac:dyDescent="0.25">
      <c r="A12920">
        <f ca="1">33790.9176146737*((RANDBETWEEN(1620,2416)))</f>
        <v>55890177.734670252</v>
      </c>
      <c r="B12920">
        <v>155317729.6541135</v>
      </c>
    </row>
    <row r="12921" spans="1:2" x14ac:dyDescent="0.25">
      <c r="A12921">
        <f ca="1">31034.6672090572*((RANDBETWEEN(1620,2416)))</f>
        <v>70510763.898978055</v>
      </c>
      <c r="B12921">
        <v>174977951.64533424</v>
      </c>
    </row>
    <row r="12922" spans="1:2" x14ac:dyDescent="0.25">
      <c r="A12922">
        <f ca="1">31526.0617515416*((RANDBETWEEN(1620,2416)))</f>
        <v>58827631.228376679</v>
      </c>
      <c r="B12922">
        <v>147521853.48712385</v>
      </c>
    </row>
    <row r="12923" spans="1:2" x14ac:dyDescent="0.25">
      <c r="A12923">
        <f ca="1">32953.6328472121*((RANDBETWEEN(1620,2416)))</f>
        <v>73255925.819352493</v>
      </c>
      <c r="B12923">
        <v>189630517.72886953</v>
      </c>
    </row>
    <row r="12924" spans="1:2" x14ac:dyDescent="0.25">
      <c r="A12924">
        <f ca="1">38769.6806502784*((RANDBETWEEN(1620,2416)))</f>
        <v>63000731.056702346</v>
      </c>
      <c r="B12924">
        <v>168269106.80800182</v>
      </c>
    </row>
    <row r="12925" spans="1:2" x14ac:dyDescent="0.25">
      <c r="A12925">
        <f ca="1">37757.9760538253*((RANDBETWEEN(1620,2416)))</f>
        <v>85144236.001375943</v>
      </c>
      <c r="B12925">
        <v>147194247.80403838</v>
      </c>
    </row>
    <row r="12926" spans="1:2" x14ac:dyDescent="0.25">
      <c r="A12926">
        <f ca="1">32031.328133524*((RANDBETWEEN(1620,2416)))</f>
        <v>74793151.191778615</v>
      </c>
      <c r="B12926">
        <v>187958655.88417697</v>
      </c>
    </row>
    <row r="12927" spans="1:2" x14ac:dyDescent="0.25">
      <c r="A12927">
        <f ca="1">33548.3559249881*((RANDBETWEEN(1620,2416)))</f>
        <v>57434785.34357959</v>
      </c>
      <c r="B12927">
        <v>180219258.61747813</v>
      </c>
    </row>
    <row r="12928" spans="1:2" x14ac:dyDescent="0.25">
      <c r="A12928">
        <f ca="1">29877.1961809867*((RANDBETWEEN(1620,2416)))</f>
        <v>68478533.646821484</v>
      </c>
      <c r="B12928">
        <v>162613851.55526471</v>
      </c>
    </row>
    <row r="12929" spans="1:2" x14ac:dyDescent="0.25">
      <c r="A12929">
        <f ca="1">37532.3969348914*((RANDBETWEEN(1620,2416)))</f>
        <v>61365468.988547407</v>
      </c>
      <c r="B12929">
        <v>159703645.75080833</v>
      </c>
    </row>
    <row r="12930" spans="1:2" x14ac:dyDescent="0.25">
      <c r="A12930">
        <f ca="1">33033.0710314717*((RANDBETWEEN(1620,2416)))</f>
        <v>57015080.600320131</v>
      </c>
      <c r="B12930">
        <v>156272000.72472832</v>
      </c>
    </row>
    <row r="12931" spans="1:2" x14ac:dyDescent="0.25">
      <c r="A12931">
        <f ca="1">33230.8403675194*((RANDBETWEEN(1620,2416)))</f>
        <v>67591529.307534441</v>
      </c>
      <c r="B12931">
        <v>193627141.95072925</v>
      </c>
    </row>
    <row r="12932" spans="1:2" x14ac:dyDescent="0.25">
      <c r="A12932">
        <f ca="1">30400.0719588263*((RANDBETWEEN(1620,2416)))</f>
        <v>71926570.254582912</v>
      </c>
      <c r="B12932">
        <v>153332165.34667864</v>
      </c>
    </row>
    <row r="12933" spans="1:2" x14ac:dyDescent="0.25">
      <c r="A12933">
        <f ca="1">30381.8023639754*((RANDBETWEEN(1620,2416)))</f>
        <v>53593499.370052613</v>
      </c>
      <c r="B12933">
        <v>170640823.91352841</v>
      </c>
    </row>
    <row r="12934" spans="1:2" x14ac:dyDescent="0.25">
      <c r="A12934">
        <f ca="1">35981.1193854032*((RANDBETWEEN(1620,2416)))</f>
        <v>83152366.899666905</v>
      </c>
      <c r="B12934">
        <v>146413656.7784723</v>
      </c>
    </row>
    <row r="12935" spans="1:2" x14ac:dyDescent="0.25">
      <c r="A12935">
        <f ca="1">34361.6889838374*((RANDBETWEEN(1620,2416)))</f>
        <v>69479335.125319228</v>
      </c>
      <c r="B12935">
        <v>162635286.26771042</v>
      </c>
    </row>
    <row r="12936" spans="1:2" x14ac:dyDescent="0.25">
      <c r="A12936">
        <f ca="1">30873.5973176054*((RANDBETWEEN(1620,2416)))</f>
        <v>52207253.064070731</v>
      </c>
      <c r="B12936">
        <v>152240564.81537911</v>
      </c>
    </row>
    <row r="12937" spans="1:2" x14ac:dyDescent="0.25">
      <c r="A12937">
        <f ca="1">32376.3004115884*((RANDBETWEEN(1620,2416)))</f>
        <v>53906540.185294747</v>
      </c>
      <c r="B12937">
        <v>142943209.51201975</v>
      </c>
    </row>
    <row r="12938" spans="1:2" x14ac:dyDescent="0.25">
      <c r="A12938">
        <f ca="1">30763.1449391654*((RANDBETWEEN(1620,2416)))</f>
        <v>52697267.280790262</v>
      </c>
      <c r="B12938">
        <v>144983898.93580976</v>
      </c>
    </row>
    <row r="12939" spans="1:2" x14ac:dyDescent="0.25">
      <c r="A12939">
        <f ca="1">29802.5651780971*((RANDBETWEEN(1620,2416)))</f>
        <v>52154489.061669908</v>
      </c>
      <c r="B12939">
        <v>143077900.72094178</v>
      </c>
    </row>
    <row r="12940" spans="1:2" x14ac:dyDescent="0.25">
      <c r="A12940">
        <f ca="1">30060.0773775517*((RANDBETWEEN(1620,2416)))</f>
        <v>53476877.654664434</v>
      </c>
      <c r="B12940">
        <v>148438076.39148015</v>
      </c>
    </row>
    <row r="12941" spans="1:2" x14ac:dyDescent="0.25">
      <c r="A12941">
        <f ca="1">27925.2018563795*((RANDBETWEEN(1620,2416)))</f>
        <v>60625613.230199955</v>
      </c>
      <c r="B12941">
        <v>166728397.44338149</v>
      </c>
    </row>
    <row r="12942" spans="1:2" x14ac:dyDescent="0.25">
      <c r="A12942">
        <f ca="1">33248.4685300303*((RANDBETWEEN(1620,2416)))</f>
        <v>71583952.74515529</v>
      </c>
      <c r="B12942">
        <v>152441748.96500248</v>
      </c>
    </row>
    <row r="12943" spans="1:2" x14ac:dyDescent="0.25">
      <c r="A12943">
        <f ca="1">32688.2041805733*((RANDBETWEEN(1620,2416)))</f>
        <v>63415116.110312201</v>
      </c>
      <c r="B12943">
        <v>196463218.77660498</v>
      </c>
    </row>
    <row r="12944" spans="1:2" x14ac:dyDescent="0.25">
      <c r="A12944">
        <f ca="1">36497.5167138059*((RANDBETWEEN(1620,2416)))</f>
        <v>82849362.940339491</v>
      </c>
      <c r="B12944">
        <v>202858786.39155927</v>
      </c>
    </row>
    <row r="12945" spans="1:2" x14ac:dyDescent="0.25">
      <c r="A12945">
        <f ca="1">32126.8559908791*((RANDBETWEEN(1620,2416)))</f>
        <v>65988562.205265641</v>
      </c>
      <c r="B12945">
        <v>151741313.44557458</v>
      </c>
    </row>
    <row r="12946" spans="1:2" x14ac:dyDescent="0.25">
      <c r="A12946">
        <f ca="1">38568.3388691475*((RANDBETWEEN(1620,2416)))</f>
        <v>65141924.349990144</v>
      </c>
      <c r="B12946">
        <v>172885353.46394074</v>
      </c>
    </row>
    <row r="12947" spans="1:2" x14ac:dyDescent="0.25">
      <c r="A12947">
        <f ca="1">40161.8030013867*((RANDBETWEEN(1620,2416)))</f>
        <v>69118462.96538642</v>
      </c>
      <c r="B12947">
        <v>169845139.66800174</v>
      </c>
    </row>
    <row r="12948" spans="1:2" x14ac:dyDescent="0.25">
      <c r="A12948">
        <f ca="1">33441.0923585708*((RANDBETWEEN(1620,2416)))</f>
        <v>63571516.573643021</v>
      </c>
      <c r="B12948">
        <v>177632204.74797314</v>
      </c>
    </row>
    <row r="12949" spans="1:2" x14ac:dyDescent="0.25">
      <c r="A12949">
        <f ca="1">37352.1517914302*((RANDBETWEEN(1620,2416)))</f>
        <v>76048981.047351986</v>
      </c>
      <c r="B12949">
        <v>178685110.1649375</v>
      </c>
    </row>
    <row r="12950" spans="1:2" x14ac:dyDescent="0.25">
      <c r="A12950">
        <f ca="1">27988.3676170407*((RANDBETWEEN(1620,2416)))</f>
        <v>54857200.529399693</v>
      </c>
      <c r="B12950">
        <v>172518505.40760592</v>
      </c>
    </row>
    <row r="12951" spans="1:2" x14ac:dyDescent="0.25">
      <c r="A12951">
        <f ca="1">31506.7075479456*((RANDBETWEEN(1620,2416)))</f>
        <v>58570969.331630863</v>
      </c>
      <c r="B12951">
        <v>181344686.97518528</v>
      </c>
    </row>
    <row r="12952" spans="1:2" x14ac:dyDescent="0.25">
      <c r="A12952">
        <f ca="1">32893.8758000613*((RANDBETWEEN(1620,2416)))</f>
        <v>75623020.464340985</v>
      </c>
      <c r="B12952">
        <v>164203938.14745358</v>
      </c>
    </row>
    <row r="12953" spans="1:2" x14ac:dyDescent="0.25">
      <c r="A12953">
        <f ca="1">31881.6250069757*((RANDBETWEEN(1620,2416)))</f>
        <v>70585917.76544413</v>
      </c>
      <c r="B12953">
        <v>168181999.75485066</v>
      </c>
    </row>
    <row r="12954" spans="1:2" x14ac:dyDescent="0.25">
      <c r="A12954">
        <f ca="1">29630.8951645095*((RANDBETWEEN(1620,2416)))</f>
        <v>49542856.715059929</v>
      </c>
      <c r="B12954">
        <v>159156107.08266473</v>
      </c>
    </row>
    <row r="12955" spans="1:2" x14ac:dyDescent="0.25">
      <c r="A12955">
        <f ca="1">31319.7107090661*((RANDBETWEEN(1620,2416)))</f>
        <v>66648344.388892591</v>
      </c>
      <c r="B12955">
        <v>196562966.24645001</v>
      </c>
    </row>
    <row r="12956" spans="1:2" x14ac:dyDescent="0.25">
      <c r="A12956">
        <f ca="1">32267.7794864246*((RANDBETWEEN(1620,2416)))</f>
        <v>71085918.208593413</v>
      </c>
      <c r="B12956">
        <v>154069833.14119464</v>
      </c>
    </row>
    <row r="12957" spans="1:2" x14ac:dyDescent="0.25">
      <c r="A12957">
        <f ca="1">33298.0786257203*((RANDBETWEEN(1620,2416)))</f>
        <v>79482513.679594249</v>
      </c>
      <c r="B12957">
        <v>146741844.17415732</v>
      </c>
    </row>
    <row r="12958" spans="1:2" x14ac:dyDescent="0.25">
      <c r="A12958">
        <f ca="1">33364.338350822*((RANDBETWEEN(1620,2416)))</f>
        <v>80274598.072077632</v>
      </c>
      <c r="B12958">
        <v>161043118.6909636</v>
      </c>
    </row>
    <row r="12959" spans="1:2" x14ac:dyDescent="0.25">
      <c r="A12959">
        <f ca="1">36529.1524582077*((RANDBETWEEN(1620,2416)))</f>
        <v>84930279.465332791</v>
      </c>
      <c r="B12959">
        <v>147320139.40499133</v>
      </c>
    </row>
    <row r="12960" spans="1:2" x14ac:dyDescent="0.25">
      <c r="A12960">
        <f ca="1">31946.5249988061*((RANDBETWEEN(1620,2416)))</f>
        <v>56321723.572895207</v>
      </c>
      <c r="B12960">
        <v>169682295.5561597</v>
      </c>
    </row>
    <row r="12961" spans="1:2" x14ac:dyDescent="0.25">
      <c r="A12961">
        <f ca="1">31904.8162441909*((RANDBETWEEN(1620,2416)))</f>
        <v>73572506.259104192</v>
      </c>
      <c r="B12961">
        <v>143700418.54964668</v>
      </c>
    </row>
    <row r="12962" spans="1:2" x14ac:dyDescent="0.25">
      <c r="A12962">
        <f ca="1">30212.9701100209*((RANDBETWEEN(1620,2416)))</f>
        <v>56105485.494308732</v>
      </c>
      <c r="B12962">
        <v>144674639.13121516</v>
      </c>
    </row>
    <row r="12963" spans="1:2" x14ac:dyDescent="0.25">
      <c r="A12963">
        <f ca="1">32320.7824401934*((RANDBETWEEN(1620,2416)))</f>
        <v>63445695.930099733</v>
      </c>
      <c r="B12963">
        <v>172229641.92764312</v>
      </c>
    </row>
    <row r="12964" spans="1:2" x14ac:dyDescent="0.25">
      <c r="A12964">
        <f ca="1">32560.1749943074*((RANDBETWEEN(1620,2416)))</f>
        <v>56557023.965111896</v>
      </c>
      <c r="B12964">
        <v>146919805.16491163</v>
      </c>
    </row>
    <row r="12965" spans="1:2" x14ac:dyDescent="0.25">
      <c r="A12965">
        <f ca="1">37832.6571973982*((RANDBETWEEN(1620,2416)))</f>
        <v>90079556.787005171</v>
      </c>
      <c r="B12965">
        <v>146872412.02316028</v>
      </c>
    </row>
    <row r="12966" spans="1:2" x14ac:dyDescent="0.25">
      <c r="A12966">
        <f ca="1">32082.8446297065*((RANDBETWEEN(1620,2416)))</f>
        <v>63588198.056078374</v>
      </c>
      <c r="B12966">
        <v>202252157.95588875</v>
      </c>
    </row>
    <row r="12967" spans="1:2" x14ac:dyDescent="0.25">
      <c r="A12967">
        <f ca="1">31492.7447037498*((RANDBETWEEN(1620,2416)))</f>
        <v>51585115.824742235</v>
      </c>
      <c r="B12967">
        <v>143541002.33282873</v>
      </c>
    </row>
    <row r="12968" spans="1:2" x14ac:dyDescent="0.25">
      <c r="A12968">
        <f ca="1">30819.0951437721*((RANDBETWEEN(1620,2416)))</f>
        <v>61884743.048694454</v>
      </c>
      <c r="B12968">
        <v>154201973.70120302</v>
      </c>
    </row>
    <row r="12969" spans="1:2" x14ac:dyDescent="0.25">
      <c r="A12969">
        <f ca="1">33217.9600650931*((RANDBETWEEN(1620,2416)))</f>
        <v>70222767.577606753</v>
      </c>
      <c r="B12969">
        <v>156469078.58408332</v>
      </c>
    </row>
    <row r="12970" spans="1:2" x14ac:dyDescent="0.25">
      <c r="A12970">
        <f ca="1">36214.0671930245*((RANDBETWEEN(1620,2416)))</f>
        <v>67177094.643060535</v>
      </c>
      <c r="B12970">
        <v>196078033.0590986</v>
      </c>
    </row>
    <row r="12971" spans="1:2" x14ac:dyDescent="0.25">
      <c r="A12971">
        <f ca="1">30146.4628058583*((RANDBETWEEN(1620,2416)))</f>
        <v>71869167.329166174</v>
      </c>
      <c r="B12971">
        <v>185954987.13892305</v>
      </c>
    </row>
    <row r="12972" spans="1:2" x14ac:dyDescent="0.25">
      <c r="A12972">
        <f ca="1">36134.4210187046*((RANDBETWEEN(1620,2416)))</f>
        <v>78592365.715682566</v>
      </c>
      <c r="B12972">
        <v>154898512.93966219</v>
      </c>
    </row>
    <row r="12973" spans="1:2" x14ac:dyDescent="0.25">
      <c r="A12973">
        <f ca="1">32434.9776605071*((RANDBETWEEN(1620,2416)))</f>
        <v>69573027.081787765</v>
      </c>
      <c r="B12973">
        <v>188644435.07491398</v>
      </c>
    </row>
    <row r="12974" spans="1:2" x14ac:dyDescent="0.25">
      <c r="A12974">
        <f ca="1">33265.9137347573*((RANDBETWEEN(1620,2416)))</f>
        <v>71421916.788524032</v>
      </c>
      <c r="B12974">
        <v>178016543.79132336</v>
      </c>
    </row>
    <row r="12975" spans="1:2" x14ac:dyDescent="0.25">
      <c r="A12975">
        <f ca="1">34148.1276514088*((RANDBETWEEN(1620,2416)))</f>
        <v>67920625.898652032</v>
      </c>
      <c r="B12975">
        <v>151576130.97798902</v>
      </c>
    </row>
    <row r="12976" spans="1:2" x14ac:dyDescent="0.25">
      <c r="A12976">
        <f ca="1">29965.869432274*((RANDBETWEEN(1620,2416)))</f>
        <v>61849554.508213639</v>
      </c>
      <c r="B12976">
        <v>158239047.51614916</v>
      </c>
    </row>
    <row r="12977" spans="1:2" x14ac:dyDescent="0.25">
      <c r="A12977">
        <f ca="1">41728.4628452595*((RANDBETWEEN(1620,2416)))</f>
        <v>88756440.471866995</v>
      </c>
      <c r="B12977">
        <v>151903215.20698613</v>
      </c>
    </row>
    <row r="12978" spans="1:2" x14ac:dyDescent="0.25">
      <c r="A12978">
        <f ca="1">33713.0907676723*((RANDBETWEEN(1620,2416)))</f>
        <v>60144153.929527432</v>
      </c>
      <c r="B12978">
        <v>173427570.6204114</v>
      </c>
    </row>
    <row r="12979" spans="1:2" x14ac:dyDescent="0.25">
      <c r="A12979">
        <f ca="1">33543.8806757768*((RANDBETWEEN(1620,2416)))</f>
        <v>80471769.741188467</v>
      </c>
      <c r="B12979">
        <v>177950578.44175172</v>
      </c>
    </row>
    <row r="12980" spans="1:2" x14ac:dyDescent="0.25">
      <c r="A12980">
        <f ca="1">36734.8868092242*((RANDBETWEEN(1620,2416)))</f>
        <v>75637131.940192729</v>
      </c>
      <c r="B12980">
        <v>195271919.25718132</v>
      </c>
    </row>
    <row r="12981" spans="1:2" x14ac:dyDescent="0.25">
      <c r="A12981">
        <f ca="1">29985.0676254756*((RANDBETWEEN(1620,2416)))</f>
        <v>56401912.203519553</v>
      </c>
      <c r="B12981">
        <v>168922298.97410437</v>
      </c>
    </row>
    <row r="12982" spans="1:2" x14ac:dyDescent="0.25">
      <c r="A12982">
        <f ca="1">30207.3934686547*((RANDBETWEEN(1620,2416)))</f>
        <v>52500449.848521896</v>
      </c>
      <c r="B12982">
        <v>162938398.11027104</v>
      </c>
    </row>
    <row r="12983" spans="1:2" x14ac:dyDescent="0.25">
      <c r="A12983">
        <f ca="1">31120.6010779996*((RANDBETWEEN(1620,2416)))</f>
        <v>56732855.765193187</v>
      </c>
      <c r="B12983">
        <v>145111253.45211285</v>
      </c>
    </row>
    <row r="12984" spans="1:2" x14ac:dyDescent="0.25">
      <c r="A12984">
        <f ca="1">31446.0907271277*((RANDBETWEEN(1620,2416)))</f>
        <v>59999141.10735973</v>
      </c>
      <c r="B12984">
        <v>150307988.28404719</v>
      </c>
    </row>
    <row r="12985" spans="1:2" x14ac:dyDescent="0.25">
      <c r="A12985">
        <f ca="1">32735.8569912353*((RANDBETWEEN(1620,2416)))</f>
        <v>77518509.355245218</v>
      </c>
      <c r="B12985">
        <v>183159035.27866164</v>
      </c>
    </row>
    <row r="12986" spans="1:2" x14ac:dyDescent="0.25">
      <c r="A12986">
        <f ca="1">32858.2399442735*((RANDBETWEEN(1620,2416)))</f>
        <v>72485277.317067444</v>
      </c>
      <c r="B12986">
        <v>173478772.79736787</v>
      </c>
    </row>
    <row r="12987" spans="1:2" x14ac:dyDescent="0.25">
      <c r="A12987">
        <f ca="1">30042.0769120012*((RANDBETWEEN(1620,2416)))</f>
        <v>52723844.980562106</v>
      </c>
      <c r="B12987">
        <v>161763056.34497404</v>
      </c>
    </row>
    <row r="12988" spans="1:2" x14ac:dyDescent="0.25">
      <c r="A12988">
        <f ca="1">31481.5126256533*((RANDBETWEEN(1620,2416)))</f>
        <v>73414887.443023413</v>
      </c>
      <c r="B12988">
        <v>162504411.82452205</v>
      </c>
    </row>
    <row r="12989" spans="1:2" x14ac:dyDescent="0.25">
      <c r="A12989">
        <f ca="1">28073.4055133979*((RANDBETWEEN(1620,2416)))</f>
        <v>53872865.180210553</v>
      </c>
      <c r="B12989">
        <v>171415263.04811913</v>
      </c>
    </row>
    <row r="12990" spans="1:2" x14ac:dyDescent="0.25">
      <c r="A12990">
        <f ca="1">33673.8054960926*((RANDBETWEEN(1620,2416)))</f>
        <v>76944645.558571592</v>
      </c>
      <c r="B12990">
        <v>161110997.86463588</v>
      </c>
    </row>
    <row r="12991" spans="1:2" x14ac:dyDescent="0.25">
      <c r="A12991">
        <f ca="1">29682.2801296273*((RANDBETWEEN(1620,2416)))</f>
        <v>61709460.389495142</v>
      </c>
      <c r="B12991">
        <v>201168757.99814618</v>
      </c>
    </row>
    <row r="12992" spans="1:2" x14ac:dyDescent="0.25">
      <c r="A12992">
        <f ca="1">30346.8545599603*((RANDBETWEEN(1620,2416)))</f>
        <v>53835319.989369497</v>
      </c>
      <c r="B12992">
        <v>187755989.61256355</v>
      </c>
    </row>
    <row r="12993" spans="1:2" x14ac:dyDescent="0.25">
      <c r="A12993">
        <f ca="1">29762.8469017419*((RANDBETWEEN(1620,2416)))</f>
        <v>53156444.566511035</v>
      </c>
      <c r="B12993">
        <v>178318809.042519</v>
      </c>
    </row>
    <row r="12994" spans="1:2" x14ac:dyDescent="0.25">
      <c r="A12994">
        <f ca="1">40860.0962780111*((RANDBETWEEN(1620,2416)))</f>
        <v>67705179.532664314</v>
      </c>
      <c r="B12994">
        <v>180814978.18622649</v>
      </c>
    </row>
    <row r="12995" spans="1:2" x14ac:dyDescent="0.25">
      <c r="A12995">
        <f ca="1">39159.141239934*((RANDBETWEEN(1620,2416)))</f>
        <v>76634439.406550899</v>
      </c>
      <c r="B12995">
        <v>147855751.1501368</v>
      </c>
    </row>
    <row r="12996" spans="1:2" x14ac:dyDescent="0.25">
      <c r="A12996">
        <f ca="1">30159.9540577561*((RANDBETWEEN(1620,2416)))</f>
        <v>59294469.677548528</v>
      </c>
      <c r="B12996">
        <v>174644338.68138283</v>
      </c>
    </row>
    <row r="12997" spans="1:2" x14ac:dyDescent="0.25">
      <c r="A12997">
        <f ca="1">40969.1433786226*((RANDBETWEEN(1620,2416)))</f>
        <v>89927269.716076657</v>
      </c>
      <c r="B12997">
        <v>203261650.1081686</v>
      </c>
    </row>
    <row r="12998" spans="1:2" x14ac:dyDescent="0.25">
      <c r="A12998">
        <f ca="1">30673.7466531119*((RANDBETWEEN(1620,2416)))</f>
        <v>50949093.190818891</v>
      </c>
      <c r="B12998">
        <v>181913472.5332644</v>
      </c>
    </row>
    <row r="12999" spans="1:2" x14ac:dyDescent="0.25">
      <c r="A12999">
        <f ca="1">32838.8188345205*((RANDBETWEEN(1620,2416)))</f>
        <v>61375752.40171884</v>
      </c>
      <c r="B12999">
        <v>150097394.06288421</v>
      </c>
    </row>
    <row r="13000" spans="1:2" x14ac:dyDescent="0.25">
      <c r="A13000">
        <f ca="1">32893.2474700424*((RANDBETWEEN(1620,2416)))</f>
        <v>71378347.009992078</v>
      </c>
      <c r="B13000">
        <v>186844522.84968674</v>
      </c>
    </row>
    <row r="13001" spans="1:2" x14ac:dyDescent="0.25">
      <c r="A13001">
        <f ca="1">31466.4751646997*((RANDBETWEEN(1620,2416)))</f>
        <v>72970755.906938642</v>
      </c>
      <c r="B13001">
        <v>165485968.88429078</v>
      </c>
    </row>
    <row r="13002" spans="1:2" x14ac:dyDescent="0.25">
      <c r="A13002">
        <f ca="1">30100.3298884926*((RANDBETWEEN(1620,2416)))</f>
        <v>63270893.425611369</v>
      </c>
      <c r="B13002">
        <v>170471996.42392388</v>
      </c>
    </row>
    <row r="13003" spans="1:2" x14ac:dyDescent="0.25">
      <c r="A13003">
        <f ca="1">39659.7221728269*((RANDBETWEEN(1620,2416)))</f>
        <v>85664999.893306106</v>
      </c>
      <c r="B13003">
        <v>180396026.09882987</v>
      </c>
    </row>
    <row r="13004" spans="1:2" x14ac:dyDescent="0.25">
      <c r="A13004">
        <f ca="1">41273.8971481075*((RANDBETWEEN(1620,2416)))</f>
        <v>67895560.808636814</v>
      </c>
      <c r="B13004">
        <v>155594053.61603299</v>
      </c>
    </row>
    <row r="13005" spans="1:2" x14ac:dyDescent="0.25">
      <c r="A13005">
        <f ca="1">32283.0583634393*((RANDBETWEEN(1620,2416)))</f>
        <v>55978823.202203795</v>
      </c>
      <c r="B13005">
        <v>148064013.47497082</v>
      </c>
    </row>
    <row r="13006" spans="1:2" x14ac:dyDescent="0.25">
      <c r="A13006">
        <f ca="1">30747.9758250823*((RANDBETWEEN(1620,2416)))</f>
        <v>56975999.203877471</v>
      </c>
      <c r="B13006">
        <v>179499752.43587238</v>
      </c>
    </row>
    <row r="13007" spans="1:2" x14ac:dyDescent="0.25">
      <c r="A13007">
        <f ca="1">30597.8857200242*((RANDBETWEEN(1620,2416)))</f>
        <v>72639380.699337363</v>
      </c>
      <c r="B13007">
        <v>189706447.38587046</v>
      </c>
    </row>
    <row r="13008" spans="1:2" x14ac:dyDescent="0.25">
      <c r="A13008">
        <f ca="1">37443.367807616*((RANDBETWEEN(1620,2416)))</f>
        <v>77357997.890534639</v>
      </c>
      <c r="B13008">
        <v>157617815.06200853</v>
      </c>
    </row>
    <row r="13009" spans="1:2" x14ac:dyDescent="0.25">
      <c r="A13009">
        <f ca="1">39578.5960634776*((RANDBETWEEN(1620,2416)))</f>
        <v>83194208.925429985</v>
      </c>
      <c r="B13009">
        <v>148951695.56199849</v>
      </c>
    </row>
    <row r="13010" spans="1:2" x14ac:dyDescent="0.25">
      <c r="A13010">
        <f ca="1">30412.8456146733*((RANDBETWEEN(1620,2416)))</f>
        <v>65965462.138226308</v>
      </c>
      <c r="B13010">
        <v>164231382.25971919</v>
      </c>
    </row>
    <row r="13011" spans="1:2" x14ac:dyDescent="0.25">
      <c r="A13011">
        <f ca="1">33766.5697861351*((RANDBETWEEN(1620,2416)))</f>
        <v>56559004.391776338</v>
      </c>
      <c r="B13011">
        <v>161653834.73378745</v>
      </c>
    </row>
    <row r="13012" spans="1:2" x14ac:dyDescent="0.25">
      <c r="A13012">
        <f ca="1">32045.2685646325*((RANDBETWEEN(1620,2416)))</f>
        <v>52906738.40020822</v>
      </c>
      <c r="B13012">
        <v>175392836.58565891</v>
      </c>
    </row>
    <row r="13013" spans="1:2" x14ac:dyDescent="0.25">
      <c r="A13013">
        <f ca="1">30528.3574250324*((RANDBETWEEN(1620,2416)))</f>
        <v>62827359.580716722</v>
      </c>
      <c r="B13013">
        <v>163797744.76983735</v>
      </c>
    </row>
    <row r="13014" spans="1:2" x14ac:dyDescent="0.25">
      <c r="A13014">
        <f ca="1">31877.7005372263*((RANDBETWEEN(1620,2416)))</f>
        <v>73478099.738306686</v>
      </c>
      <c r="B13014">
        <v>198931327.77403069</v>
      </c>
    </row>
    <row r="13015" spans="1:2" x14ac:dyDescent="0.25">
      <c r="A13015">
        <f ca="1">30876.4695155798*((RANDBETWEEN(1620,2416)))</f>
        <v>57646368.585587554</v>
      </c>
      <c r="B13015">
        <v>157358140.63365531</v>
      </c>
    </row>
    <row r="13016" spans="1:2" x14ac:dyDescent="0.25">
      <c r="A13016">
        <f ca="1">30828.7857932406*((RANDBETWEEN(1620,2416)))</f>
        <v>66744321.242365822</v>
      </c>
      <c r="B13016">
        <v>200485206.77841982</v>
      </c>
    </row>
    <row r="13017" spans="1:2" x14ac:dyDescent="0.25">
      <c r="A13017">
        <f ca="1">32233.0615698995*((RANDBETWEEN(1620,2416)))</f>
        <v>66045543.156724073</v>
      </c>
      <c r="B13017">
        <v>151586713.52254426</v>
      </c>
    </row>
    <row r="13018" spans="1:2" x14ac:dyDescent="0.25">
      <c r="A13018">
        <f ca="1">30529.8270346903*((RANDBETWEEN(1620,2416)))</f>
        <v>55136867.624650635</v>
      </c>
      <c r="B13018">
        <v>186076297.53217453</v>
      </c>
    </row>
    <row r="13019" spans="1:2" x14ac:dyDescent="0.25">
      <c r="A13019">
        <f ca="1">35518.6259526922*((RANDBETWEEN(1620,2416)))</f>
        <v>81799395.569050223</v>
      </c>
      <c r="B13019">
        <v>142953591.93844736</v>
      </c>
    </row>
    <row r="13020" spans="1:2" x14ac:dyDescent="0.25">
      <c r="A13020">
        <f ca="1">34425.6692259615*((RANDBETWEEN(1620,2416)))</f>
        <v>82311775.119273946</v>
      </c>
      <c r="B13020">
        <v>166678588.94309658</v>
      </c>
    </row>
    <row r="13021" spans="1:2" x14ac:dyDescent="0.25">
      <c r="A13021">
        <f ca="1">31412.5757968711*((RANDBETWEEN(1620,2416)))</f>
        <v>75421594.488287404</v>
      </c>
      <c r="B13021">
        <v>157922899.33684859</v>
      </c>
    </row>
    <row r="13022" spans="1:2" x14ac:dyDescent="0.25">
      <c r="A13022">
        <f ca="1">38542.3550760183*((RANDBETWEEN(1620,2416)))</f>
        <v>81054572.724866465</v>
      </c>
      <c r="B13022">
        <v>167997077.43122599</v>
      </c>
    </row>
    <row r="13023" spans="1:2" x14ac:dyDescent="0.25">
      <c r="A13023">
        <f ca="1">32484.3127562395*((RANDBETWEEN(1620,2416)))</f>
        <v>65878186.269653745</v>
      </c>
      <c r="B13023">
        <v>143959138.83923042</v>
      </c>
    </row>
    <row r="13024" spans="1:2" x14ac:dyDescent="0.25">
      <c r="A13024">
        <f ca="1">32421.5459158107*((RANDBETWEEN(1620,2416)))</f>
        <v>56024431.3425209</v>
      </c>
      <c r="B13024">
        <v>184298810.43010533</v>
      </c>
    </row>
    <row r="13025" spans="1:2" x14ac:dyDescent="0.25">
      <c r="A13025">
        <f ca="1">37162.0686139636*((RANDBETWEEN(1620,2416)))</f>
        <v>69530230.376725852</v>
      </c>
      <c r="B13025">
        <v>143997954.86153686</v>
      </c>
    </row>
    <row r="13026" spans="1:2" x14ac:dyDescent="0.25">
      <c r="A13026">
        <f ca="1">28203.3619432557*((RANDBETWEEN(1620,2416)))</f>
        <v>61765362.655729942</v>
      </c>
      <c r="B13026">
        <v>145196473.8568781</v>
      </c>
    </row>
    <row r="13027" spans="1:2" x14ac:dyDescent="0.25">
      <c r="A13027">
        <f ca="1">30491.5233078708*((RANDBETWEEN(1620,2416)))</f>
        <v>66745944.520929247</v>
      </c>
      <c r="B13027">
        <v>143690657.89819545</v>
      </c>
    </row>
    <row r="13028" spans="1:2" x14ac:dyDescent="0.25">
      <c r="A13028">
        <f ca="1">36217.2488296974*((RANDBETWEEN(1620,2416)))</f>
        <v>83842931.040749431</v>
      </c>
      <c r="B13028">
        <v>153497468.77777046</v>
      </c>
    </row>
    <row r="13029" spans="1:2" x14ac:dyDescent="0.25">
      <c r="A13029">
        <f ca="1">30790.0019401975*((RANDBETWEEN(1620,2416)))</f>
        <v>63550564.004567727</v>
      </c>
      <c r="B13029">
        <v>143427795.12722203</v>
      </c>
    </row>
    <row r="13030" spans="1:2" x14ac:dyDescent="0.25">
      <c r="A13030">
        <f ca="1">28711.8798360784*((RANDBETWEEN(1620,2416)))</f>
        <v>54523859.808712855</v>
      </c>
      <c r="B13030">
        <v>147562676.67288148</v>
      </c>
    </row>
    <row r="13031" spans="1:2" x14ac:dyDescent="0.25">
      <c r="A13031">
        <f ca="1">41316.9456105435*((RANDBETWEEN(1620,2416)))</f>
        <v>97507991.640882626</v>
      </c>
      <c r="B13031">
        <v>194960029.69762915</v>
      </c>
    </row>
    <row r="13032" spans="1:2" x14ac:dyDescent="0.25">
      <c r="A13032">
        <f ca="1">41147.1388916315*((RANDBETWEEN(1620,2416)))</f>
        <v>72542405.865946263</v>
      </c>
      <c r="B13032">
        <v>177143252.30374524</v>
      </c>
    </row>
    <row r="13033" spans="1:2" x14ac:dyDescent="0.25">
      <c r="A13033">
        <f ca="1">31262.5042893689*((RANDBETWEEN(1620,2416)))</f>
        <v>72591534.95991455</v>
      </c>
      <c r="B13033">
        <v>153794311.13844454</v>
      </c>
    </row>
    <row r="13034" spans="1:2" x14ac:dyDescent="0.25">
      <c r="A13034">
        <f ca="1">33059.9241624916*((RANDBETWEEN(1620,2416)))</f>
        <v>74120349.972306371</v>
      </c>
      <c r="B13034">
        <v>190710218.18113869</v>
      </c>
    </row>
    <row r="13035" spans="1:2" x14ac:dyDescent="0.25">
      <c r="A13035">
        <f ca="1">31300.4351491604*((RANDBETWEEN(1620,2416)))</f>
        <v>55558272.389759667</v>
      </c>
      <c r="B13035">
        <v>182466507.04698324</v>
      </c>
    </row>
    <row r="13036" spans="1:2" x14ac:dyDescent="0.25">
      <c r="A13036">
        <f ca="1">35084.7911605655*((RANDBETWEEN(1620,2416)))</f>
        <v>81221291.536709115</v>
      </c>
      <c r="B13036">
        <v>164761455.66749999</v>
      </c>
    </row>
    <row r="13037" spans="1:2" x14ac:dyDescent="0.25">
      <c r="A13037">
        <f ca="1">33654.6683176863*((RANDBETWEEN(1620,2416)))</f>
        <v>59669726.927257888</v>
      </c>
      <c r="B13037">
        <v>152696884.95644104</v>
      </c>
    </row>
    <row r="13038" spans="1:2" x14ac:dyDescent="0.25">
      <c r="A13038">
        <f ca="1">33309.2829875383*((RANDBETWEEN(1620,2416)))</f>
        <v>63420874.808272891</v>
      </c>
      <c r="B13038">
        <v>203629550.37258714</v>
      </c>
    </row>
    <row r="13039" spans="1:2" x14ac:dyDescent="0.25">
      <c r="A13039">
        <f ca="1">32273.6798258751*((RANDBETWEEN(1620,2416)))</f>
        <v>60319507.594560556</v>
      </c>
      <c r="B13039">
        <v>146123813.28564519</v>
      </c>
    </row>
    <row r="13040" spans="1:2" x14ac:dyDescent="0.25">
      <c r="A13040">
        <f ca="1">31021.5467517407*((RANDBETWEEN(1620,2416)))</f>
        <v>67595950.372043028</v>
      </c>
      <c r="B13040">
        <v>197832846.67555684</v>
      </c>
    </row>
    <row r="13041" spans="1:2" x14ac:dyDescent="0.25">
      <c r="A13041">
        <f ca="1">35672.1218039427*((RANDBETWEEN(1620,2416)))</f>
        <v>69846014.492119759</v>
      </c>
      <c r="B13041">
        <v>199437186.16793966</v>
      </c>
    </row>
    <row r="13042" spans="1:2" x14ac:dyDescent="0.25">
      <c r="A13042">
        <f ca="1">31063.6329379614*((RANDBETWEEN(1620,2416)))</f>
        <v>72502519.277201965</v>
      </c>
      <c r="B13042">
        <v>181091068.84169793</v>
      </c>
    </row>
    <row r="13043" spans="1:2" x14ac:dyDescent="0.25">
      <c r="A13043">
        <f ca="1">31380.5317277134*((RANDBETWEEN(1620,2416)))</f>
        <v>70229630.006622627</v>
      </c>
      <c r="B13043">
        <v>167361354.58622831</v>
      </c>
    </row>
    <row r="13044" spans="1:2" x14ac:dyDescent="0.25">
      <c r="A13044">
        <f ca="1">34124.3529183049*((RANDBETWEEN(1620,2416)))</f>
        <v>79304996.18214047</v>
      </c>
      <c r="B13044">
        <v>154315118.98861682</v>
      </c>
    </row>
    <row r="13045" spans="1:2" x14ac:dyDescent="0.25">
      <c r="A13045">
        <f ca="1">30621.8694508667*((RANDBETWEEN(1620,2416)))</f>
        <v>70889627.778756306</v>
      </c>
      <c r="B13045">
        <v>145495054.57715303</v>
      </c>
    </row>
    <row r="13046" spans="1:2" x14ac:dyDescent="0.25">
      <c r="A13046">
        <f ca="1">27905.0464215498*((RANDBETWEEN(1620,2416)))</f>
        <v>54749701.079080783</v>
      </c>
      <c r="B13046">
        <v>188418212.16899222</v>
      </c>
    </row>
    <row r="13047" spans="1:2" x14ac:dyDescent="0.25">
      <c r="A13047">
        <f ca="1">28963.0468284417*((RANDBETWEEN(1620,2416)))</f>
        <v>65804042.394219466</v>
      </c>
      <c r="B13047">
        <v>192601577.46890467</v>
      </c>
    </row>
    <row r="13048" spans="1:2" x14ac:dyDescent="0.25">
      <c r="A13048">
        <f ca="1">36278.9607624521*((RANDBETWEEN(1620,2416)))</f>
        <v>85436952.595574632</v>
      </c>
      <c r="B13048">
        <v>170498213.73719007</v>
      </c>
    </row>
    <row r="13049" spans="1:2" x14ac:dyDescent="0.25">
      <c r="A13049">
        <f ca="1">29494.4507969105*((RANDBETWEEN(1620,2416)))</f>
        <v>68279653.594847813</v>
      </c>
      <c r="B13049">
        <v>188884665.22461009</v>
      </c>
    </row>
    <row r="13050" spans="1:2" x14ac:dyDescent="0.25">
      <c r="A13050">
        <f ca="1">29649.6197348737*((RANDBETWEEN(1620,2416)))</f>
        <v>69261511.700664848</v>
      </c>
      <c r="B13050">
        <v>152046044.64008039</v>
      </c>
    </row>
    <row r="13051" spans="1:2" x14ac:dyDescent="0.25">
      <c r="A13051">
        <f ca="1">31523.2818995766*((RANDBETWEEN(1620,2416)))</f>
        <v>53810242.202577308</v>
      </c>
      <c r="B13051">
        <v>164809550.6207228</v>
      </c>
    </row>
    <row r="13052" spans="1:2" x14ac:dyDescent="0.25">
      <c r="A13052">
        <f ca="1">30583.9213811667*((RANDBETWEEN(1620,2416)))</f>
        <v>69823092.513203487</v>
      </c>
      <c r="B13052">
        <v>201648702.25807554</v>
      </c>
    </row>
    <row r="13053" spans="1:2" x14ac:dyDescent="0.25">
      <c r="A13053">
        <f ca="1">29915.5659448423*((RANDBETWEEN(1620,2416)))</f>
        <v>58006282.367049225</v>
      </c>
      <c r="B13053">
        <v>172680498.52359164</v>
      </c>
    </row>
    <row r="13054" spans="1:2" x14ac:dyDescent="0.25">
      <c r="A13054">
        <f ca="1">36234.8851843723*((RANDBETWEEN(1620,2416)))</f>
        <v>83485175.464793786</v>
      </c>
      <c r="B13054">
        <v>156760947.47353548</v>
      </c>
    </row>
    <row r="13055" spans="1:2" x14ac:dyDescent="0.25">
      <c r="A13055">
        <f ca="1">30109.7661334268*((RANDBETWEEN(1620,2416)))</f>
        <v>60761508.057255276</v>
      </c>
      <c r="B13055">
        <v>151756487.39967906</v>
      </c>
    </row>
    <row r="13056" spans="1:2" x14ac:dyDescent="0.25">
      <c r="A13056">
        <f ca="1">37819.4385576019*((RANDBETWEEN(1620,2416)))</f>
        <v>70911447.295503587</v>
      </c>
      <c r="B13056">
        <v>199172554.95708501</v>
      </c>
    </row>
    <row r="13057" spans="1:2" x14ac:dyDescent="0.25">
      <c r="A13057">
        <f ca="1">29767.0767755657*((RANDBETWEEN(1620,2416)))</f>
        <v>50633797.595237248</v>
      </c>
      <c r="B13057">
        <v>151597251.5223605</v>
      </c>
    </row>
    <row r="13058" spans="1:2" x14ac:dyDescent="0.25">
      <c r="A13058">
        <f ca="1">29501.8941784057*((RANDBETWEEN(1620,2416)))</f>
        <v>57558195.542069457</v>
      </c>
      <c r="B13058">
        <v>164674516.15776837</v>
      </c>
    </row>
    <row r="13059" spans="1:2" x14ac:dyDescent="0.25">
      <c r="A13059">
        <f ca="1">32334.2276455475*((RANDBETWEEN(1620,2416)))</f>
        <v>54483173.582747594</v>
      </c>
      <c r="B13059">
        <v>175282007.18035021</v>
      </c>
    </row>
    <row r="13060" spans="1:2" x14ac:dyDescent="0.25">
      <c r="A13060">
        <f ca="1">33832.5385096268*((RANDBETWEEN(1620,2416)))</f>
        <v>75751053.723054439</v>
      </c>
      <c r="B13060">
        <v>151747769.91239178</v>
      </c>
    </row>
    <row r="13061" spans="1:2" x14ac:dyDescent="0.25">
      <c r="A13061">
        <f ca="1">31171.6116497053*((RANDBETWEEN(1620,2416)))</f>
        <v>68047628.231306747</v>
      </c>
      <c r="B13061">
        <v>159065998.57533145</v>
      </c>
    </row>
    <row r="13062" spans="1:2" x14ac:dyDescent="0.25">
      <c r="A13062">
        <f ca="1">31179.6761328258*((RANDBETWEEN(1620,2416)))</f>
        <v>56248135.743617691</v>
      </c>
      <c r="B13062">
        <v>151774906.69235215</v>
      </c>
    </row>
    <row r="13063" spans="1:2" x14ac:dyDescent="0.25">
      <c r="A13063">
        <f ca="1">34508.4096024726*((RANDBETWEEN(1620,2416)))</f>
        <v>58215686.999371283</v>
      </c>
      <c r="B13063">
        <v>188235339.45808738</v>
      </c>
    </row>
    <row r="13064" spans="1:2" x14ac:dyDescent="0.25">
      <c r="A13064">
        <f ca="1">31381.0460424214*((RANDBETWEEN(1620,2416)))</f>
        <v>57270409.027419098</v>
      </c>
      <c r="B13064">
        <v>196973651.6894244</v>
      </c>
    </row>
    <row r="13065" spans="1:2" x14ac:dyDescent="0.25">
      <c r="A13065">
        <f ca="1">32542.2937639914*((RANDBETWEEN(1620,2416)))</f>
        <v>65084587.527982861</v>
      </c>
      <c r="B13065">
        <v>152132141.18700519</v>
      </c>
    </row>
    <row r="13066" spans="1:2" x14ac:dyDescent="0.25">
      <c r="A13066">
        <f ca="1">32186.6475465861*((RANDBETWEEN(1620,2416)))</f>
        <v>63407695.666774713</v>
      </c>
      <c r="B13066">
        <v>190507178.1339767</v>
      </c>
    </row>
    <row r="13067" spans="1:2" x14ac:dyDescent="0.25">
      <c r="A13067">
        <f ca="1">30327.062188488*((RANDBETWEEN(1620,2416)))</f>
        <v>71298923.205135375</v>
      </c>
      <c r="B13067">
        <v>195084628.48014435</v>
      </c>
    </row>
    <row r="13068" spans="1:2" x14ac:dyDescent="0.25">
      <c r="A13068">
        <f ca="1">35086.26948738*((RANDBETWEEN(1620,2416)))</f>
        <v>78628329.9212185</v>
      </c>
      <c r="B13068">
        <v>178540689.62598425</v>
      </c>
    </row>
    <row r="13069" spans="1:2" x14ac:dyDescent="0.25">
      <c r="A13069">
        <f ca="1">32401.2237907021*((RANDBETWEEN(1620,2416)))</f>
        <v>72935154.752870426</v>
      </c>
      <c r="B13069">
        <v>153657727.03919792</v>
      </c>
    </row>
    <row r="13070" spans="1:2" x14ac:dyDescent="0.25">
      <c r="A13070">
        <f ca="1">35434.6457089721*((RANDBETWEEN(1620,2416)))</f>
        <v>77743612.685484707</v>
      </c>
      <c r="B13070">
        <v>161356467.91049659</v>
      </c>
    </row>
    <row r="13071" spans="1:2" x14ac:dyDescent="0.25">
      <c r="A13071">
        <f ca="1">33431.1239710364*((RANDBETWEEN(1620,2416)))</f>
        <v>61613561.478620142</v>
      </c>
      <c r="B13071">
        <v>178200412.55879027</v>
      </c>
    </row>
    <row r="13072" spans="1:2" x14ac:dyDescent="0.25">
      <c r="A13072">
        <f ca="1">30887.063497992*((RANDBETWEEN(1620,2416)))</f>
        <v>60693079.773554355</v>
      </c>
      <c r="B13072">
        <v>177242678.50804284</v>
      </c>
    </row>
    <row r="13073" spans="1:2" x14ac:dyDescent="0.25">
      <c r="A13073">
        <f ca="1">34238.7865770677*((RANDBETWEEN(1620,2416)))</f>
        <v>66560201.105819531</v>
      </c>
      <c r="B13073">
        <v>178627414.9959411</v>
      </c>
    </row>
    <row r="13074" spans="1:2" x14ac:dyDescent="0.25">
      <c r="A13074">
        <f ca="1">30758.3214243227*((RANDBETWEEN(1620,2416)))</f>
        <v>61978017.670010194</v>
      </c>
      <c r="B13074">
        <v>194769040.56723964</v>
      </c>
    </row>
    <row r="13075" spans="1:2" x14ac:dyDescent="0.25">
      <c r="A13075">
        <f ca="1">38466.8504136693*((RANDBETWEEN(1620,2416)))</f>
        <v>72817747.833075941</v>
      </c>
      <c r="B13075">
        <v>144569389.3159188</v>
      </c>
    </row>
    <row r="13076" spans="1:2" x14ac:dyDescent="0.25">
      <c r="A13076">
        <f ca="1">35499.8836726112*((RANDBETWEEN(1620,2416)))</f>
        <v>63438292.122956134</v>
      </c>
      <c r="B13076">
        <v>158879186.88726306</v>
      </c>
    </row>
    <row r="13077" spans="1:2" x14ac:dyDescent="0.25">
      <c r="A13077">
        <f ca="1">33110.2570708566*((RANDBETWEEN(1620,2416)))</f>
        <v>72478352.728105128</v>
      </c>
      <c r="B13077">
        <v>201573347.96292883</v>
      </c>
    </row>
    <row r="13078" spans="1:2" x14ac:dyDescent="0.25">
      <c r="A13078">
        <f ca="1">32066.625195898*((RANDBETWEEN(1620,2416)))</f>
        <v>60734188.1210308</v>
      </c>
      <c r="B13078">
        <v>170919273.69643518</v>
      </c>
    </row>
    <row r="13079" spans="1:2" x14ac:dyDescent="0.25">
      <c r="A13079">
        <f ca="1">31070.2746678113*((RANDBETWEEN(1620,2416)))</f>
        <v>74257956.456068918</v>
      </c>
      <c r="B13079">
        <v>164309749.32236183</v>
      </c>
    </row>
    <row r="13080" spans="1:2" x14ac:dyDescent="0.25">
      <c r="A13080">
        <f ca="1">36261.6870045321*((RANDBETWEEN(1620,2416)))</f>
        <v>86665431.940831959</v>
      </c>
      <c r="B13080">
        <v>168010429.27129409</v>
      </c>
    </row>
    <row r="13081" spans="1:2" x14ac:dyDescent="0.25">
      <c r="A13081">
        <f ca="1">34159.9687583297*((RANDBETWEEN(1620,2416)))</f>
        <v>64118261.359384939</v>
      </c>
      <c r="B13081">
        <v>160674312.86899629</v>
      </c>
    </row>
    <row r="13082" spans="1:2" x14ac:dyDescent="0.25">
      <c r="A13082">
        <f ca="1">34805.1458065567*((RANDBETWEEN(1620,2416)))</f>
        <v>71872626.090539515</v>
      </c>
      <c r="B13082">
        <v>151215780.89728874</v>
      </c>
    </row>
    <row r="13083" spans="1:2" x14ac:dyDescent="0.25">
      <c r="A13083">
        <f ca="1">29779.5698381612*((RANDBETWEEN(1620,2416)))</f>
        <v>60541865.480981745</v>
      </c>
      <c r="B13083">
        <v>151453855.90460718</v>
      </c>
    </row>
    <row r="13084" spans="1:2" x14ac:dyDescent="0.25">
      <c r="A13084">
        <f ca="1">33506.3224075879*((RANDBETWEEN(1620,2416)))</f>
        <v>69994707.509451076</v>
      </c>
      <c r="B13084">
        <v>167719537.21582898</v>
      </c>
    </row>
    <row r="13085" spans="1:2" x14ac:dyDescent="0.25">
      <c r="A13085">
        <f ca="1">35121.4701984502*((RANDBETWEEN(1620,2416)))</f>
        <v>60584536.092326522</v>
      </c>
      <c r="B13085">
        <v>152908844.39311478</v>
      </c>
    </row>
    <row r="13086" spans="1:2" x14ac:dyDescent="0.25">
      <c r="A13086">
        <f ca="1">30485.1741190561*((RANDBETWEEN(1620,2416)))</f>
        <v>65085846.744184688</v>
      </c>
      <c r="B13086">
        <v>144340629.32291991</v>
      </c>
    </row>
    <row r="13087" spans="1:2" x14ac:dyDescent="0.25">
      <c r="A13087">
        <f ca="1">30620.4153627351*((RANDBETWEEN(1620,2416)))</f>
        <v>54779923.083933167</v>
      </c>
      <c r="B13087">
        <v>172427342.45779672</v>
      </c>
    </row>
    <row r="13088" spans="1:2" x14ac:dyDescent="0.25">
      <c r="A13088">
        <f ca="1">29592.5727278231*((RANDBETWEEN(1620,2416)))</f>
        <v>67115954.946702793</v>
      </c>
      <c r="B13088">
        <v>175687769.30075461</v>
      </c>
    </row>
    <row r="13089" spans="1:2" x14ac:dyDescent="0.25">
      <c r="A13089">
        <f ca="1">38264.5279655974*((RANDBETWEEN(1620,2416)))</f>
        <v>72855661.246497527</v>
      </c>
      <c r="B13089">
        <v>178073752.8743217</v>
      </c>
    </row>
    <row r="13090" spans="1:2" x14ac:dyDescent="0.25">
      <c r="A13090">
        <f ca="1">29706.0114855414*((RANDBETWEEN(1620,2416)))</f>
        <v>67432646.072178945</v>
      </c>
      <c r="B13090">
        <v>147707111.97557375</v>
      </c>
    </row>
    <row r="13091" spans="1:2" x14ac:dyDescent="0.25">
      <c r="A13091">
        <f ca="1">31135.0058252414*((RANDBETWEEN(1620,2416)))</f>
        <v>50625519.471842565</v>
      </c>
      <c r="B13091">
        <v>192155944.33254585</v>
      </c>
    </row>
    <row r="13092" spans="1:2" x14ac:dyDescent="0.25">
      <c r="A13092">
        <f ca="1">34694.4271785193*((RANDBETWEEN(1620,2416)))</f>
        <v>78340016.569096491</v>
      </c>
      <c r="B13092">
        <v>148871827.87426353</v>
      </c>
    </row>
    <row r="13093" spans="1:2" x14ac:dyDescent="0.25">
      <c r="A13093">
        <f ca="1">35982.6200116451*((RANDBETWEEN(1620,2416)))</f>
        <v>66279986.06145025</v>
      </c>
      <c r="B13093">
        <v>160193454.14342386</v>
      </c>
    </row>
    <row r="13094" spans="1:2" x14ac:dyDescent="0.25">
      <c r="A13094">
        <f ca="1">31389.792573788*((RANDBETWEEN(1620,2416)))</f>
        <v>52640682.146242507</v>
      </c>
      <c r="B13094">
        <v>189763721.52227587</v>
      </c>
    </row>
    <row r="13095" spans="1:2" x14ac:dyDescent="0.25">
      <c r="A13095">
        <f ca="1">30791.3740649141*((RANDBETWEEN(1620,2416)))</f>
        <v>60936129.274464957</v>
      </c>
      <c r="B13095">
        <v>151643304.26406351</v>
      </c>
    </row>
    <row r="13096" spans="1:2" x14ac:dyDescent="0.25">
      <c r="A13096">
        <f ca="1">42553.0503736603*((RANDBETWEEN(1620,2416)))</f>
        <v>92637990.663458556</v>
      </c>
      <c r="B13096">
        <v>198392454.93902239</v>
      </c>
    </row>
    <row r="13097" spans="1:2" x14ac:dyDescent="0.25">
      <c r="A13097">
        <f ca="1">37572.1303540703*((RANDBETWEEN(1620,2416)))</f>
        <v>71725196.845920205</v>
      </c>
      <c r="B13097">
        <v>159203282.20387107</v>
      </c>
    </row>
    <row r="13098" spans="1:2" x14ac:dyDescent="0.25">
      <c r="A13098">
        <f ca="1">30002.787573543*((RANDBETWEEN(1620,2416)))</f>
        <v>62675823.241131328</v>
      </c>
      <c r="B13098">
        <v>198156862.16259962</v>
      </c>
    </row>
    <row r="13099" spans="1:2" x14ac:dyDescent="0.25">
      <c r="A13099">
        <f ca="1">28459.7154607291*((RANDBETWEEN(1620,2416)))</f>
        <v>52849691.610573888</v>
      </c>
      <c r="B13099">
        <v>148935827.88616049</v>
      </c>
    </row>
    <row r="13100" spans="1:2" x14ac:dyDescent="0.25">
      <c r="A13100">
        <f ca="1">33670.7153163745*((RANDBETWEEN(1620,2416)))</f>
        <v>72695074.368052572</v>
      </c>
      <c r="B13100">
        <v>153615226.66359228</v>
      </c>
    </row>
    <row r="13101" spans="1:2" x14ac:dyDescent="0.25">
      <c r="A13101">
        <f ca="1">31428.2693079502*((RANDBETWEEN(1620,2416)))</f>
        <v>70682177.673580021</v>
      </c>
      <c r="B13101">
        <v>192625095.18974835</v>
      </c>
    </row>
    <row r="13102" spans="1:2" x14ac:dyDescent="0.25">
      <c r="A13102">
        <f ca="1">32524.2637519777*((RANDBETWEEN(1620,2416)))</f>
        <v>54413093.25705871</v>
      </c>
      <c r="B13102">
        <v>200178790.78940403</v>
      </c>
    </row>
    <row r="13103" spans="1:2" x14ac:dyDescent="0.25">
      <c r="A13103">
        <f ca="1">30304.3553164322*((RANDBETWEEN(1620,2416)))</f>
        <v>64608885.534633502</v>
      </c>
      <c r="B13103">
        <v>175847712.89432222</v>
      </c>
    </row>
    <row r="13104" spans="1:2" x14ac:dyDescent="0.25">
      <c r="A13104">
        <f ca="1">30927.9709802653*((RANDBETWEEN(1620,2416)))</f>
        <v>66835345.288353264</v>
      </c>
      <c r="B13104">
        <v>158816260.20433837</v>
      </c>
    </row>
    <row r="13105" spans="1:2" x14ac:dyDescent="0.25">
      <c r="A13105">
        <f ca="1">32554.8409042038*((RANDBETWEEN(1620,2416)))</f>
        <v>63091281.672346935</v>
      </c>
      <c r="B13105">
        <v>150417038.88718233</v>
      </c>
    </row>
    <row r="13106" spans="1:2" x14ac:dyDescent="0.25">
      <c r="A13106">
        <f ca="1">32905.5353309804*((RANDBETWEEN(1620,2416)))</f>
        <v>68246080.276453361</v>
      </c>
      <c r="B13106">
        <v>147667772.16796228</v>
      </c>
    </row>
    <row r="13107" spans="1:2" x14ac:dyDescent="0.25">
      <c r="A13107">
        <f ca="1">30072.3165868367*((RANDBETWEEN(1620,2416)))</f>
        <v>59152246.726307757</v>
      </c>
      <c r="B13107">
        <v>178749358.59267268</v>
      </c>
    </row>
    <row r="13108" spans="1:2" x14ac:dyDescent="0.25">
      <c r="A13108">
        <f ca="1">36761.9745452437*((RANDBETWEEN(1620,2416)))</f>
        <v>69516893.865055814</v>
      </c>
      <c r="B13108">
        <v>196253003.03481114</v>
      </c>
    </row>
    <row r="13109" spans="1:2" x14ac:dyDescent="0.25">
      <c r="A13109">
        <f ca="1">38708.7683573834*((RANDBETWEEN(1620,2416)))</f>
        <v>67043586.794988073</v>
      </c>
      <c r="B13109">
        <v>166309791.16104487</v>
      </c>
    </row>
    <row r="13110" spans="1:2" x14ac:dyDescent="0.25">
      <c r="A13110">
        <f ca="1">31123.2322370454*((RANDBETWEEN(1620,2416)))</f>
        <v>62619943.260935262</v>
      </c>
      <c r="B13110">
        <v>170609277.58089674</v>
      </c>
    </row>
    <row r="13111" spans="1:2" x14ac:dyDescent="0.25">
      <c r="A13111">
        <f ca="1">36225.6752174252*((RANDBETWEEN(1620,2416)))</f>
        <v>74045280.144417152</v>
      </c>
      <c r="B13111">
        <v>172968409.057136</v>
      </c>
    </row>
    <row r="13112" spans="1:2" x14ac:dyDescent="0.25">
      <c r="A13112">
        <f ca="1">31909.8315507454*((RANDBETWEEN(1620,2416)))</f>
        <v>71414203.010568321</v>
      </c>
      <c r="B13112">
        <v>187701929.16133007</v>
      </c>
    </row>
    <row r="13113" spans="1:2" x14ac:dyDescent="0.25">
      <c r="A13113">
        <f ca="1">32218.2159710065*((RANDBETWEEN(1620,2416)))</f>
        <v>65306323.773230083</v>
      </c>
      <c r="B13113">
        <v>170571674.46832839</v>
      </c>
    </row>
    <row r="13114" spans="1:2" x14ac:dyDescent="0.25">
      <c r="A13114">
        <f ca="1">37929.6903663874*((RANDBETWEEN(1620,2416)))</f>
        <v>66187309.689346023</v>
      </c>
      <c r="B13114">
        <v>186452434.54468793</v>
      </c>
    </row>
    <row r="13115" spans="1:2" x14ac:dyDescent="0.25">
      <c r="A13115">
        <f ca="1">38057.8181578746*((RANDBETWEEN(1620,2416)))</f>
        <v>75735058.134170458</v>
      </c>
      <c r="B13115">
        <v>147011849.60401762</v>
      </c>
    </row>
    <row r="13116" spans="1:2" x14ac:dyDescent="0.25">
      <c r="A13116">
        <f ca="1">30458.3147150827*((RANDBETWEEN(1620,2416)))</f>
        <v>64053835.845818892</v>
      </c>
      <c r="B13116">
        <v>159737723.30854803</v>
      </c>
    </row>
    <row r="13117" spans="1:2" x14ac:dyDescent="0.25">
      <c r="A13117">
        <f ca="1">30344.5691976*((RANDBETWEEN(1620,2416)))</f>
        <v>55378838.785620078</v>
      </c>
      <c r="B13117">
        <v>174758129.79772356</v>
      </c>
    </row>
    <row r="13118" spans="1:2" x14ac:dyDescent="0.25">
      <c r="A13118">
        <f ca="1">30918.7200515992*((RANDBETWEEN(1620,2416)))</f>
        <v>57632494.176180884</v>
      </c>
      <c r="B13118">
        <v>159948291.47466335</v>
      </c>
    </row>
    <row r="13119" spans="1:2" x14ac:dyDescent="0.25">
      <c r="A13119">
        <f ca="1">36274.3739753331*((RANDBETWEEN(1620,2416)))</f>
        <v>69211505.544935629</v>
      </c>
      <c r="B13119">
        <v>150055757.97896251</v>
      </c>
    </row>
    <row r="13120" spans="1:2" x14ac:dyDescent="0.25">
      <c r="A13120">
        <f ca="1">28543.8792520988*((RANDBETWEEN(1620,2416)))</f>
        <v>56145810.48887831</v>
      </c>
      <c r="B13120">
        <v>171227335.10553357</v>
      </c>
    </row>
    <row r="13121" spans="1:2" x14ac:dyDescent="0.25">
      <c r="A13121">
        <f ca="1">32335.4395400944*((RANDBETWEEN(1620,2416)))</f>
        <v>62245721.114681691</v>
      </c>
      <c r="B13121">
        <v>199943926.72990683</v>
      </c>
    </row>
    <row r="13122" spans="1:2" x14ac:dyDescent="0.25">
      <c r="A13122">
        <f ca="1">30730.3381775569*((RANDBETWEEN(1620,2416)))</f>
        <v>61952361.765954629</v>
      </c>
      <c r="B13122">
        <v>189620342.63900495</v>
      </c>
    </row>
    <row r="13123" spans="1:2" x14ac:dyDescent="0.25">
      <c r="A13123">
        <f ca="1">30717.1106955656*((RANDBETWEEN(1620,2416)))</f>
        <v>66133939.327552788</v>
      </c>
      <c r="B13123">
        <v>146170503.04669446</v>
      </c>
    </row>
    <row r="13124" spans="1:2" x14ac:dyDescent="0.25">
      <c r="A13124">
        <f ca="1">30955.6044989557*((RANDBETWEEN(1620,2416)))</f>
        <v>65811615.164779857</v>
      </c>
      <c r="B13124">
        <v>152597468.38184023</v>
      </c>
    </row>
    <row r="13125" spans="1:2" x14ac:dyDescent="0.25">
      <c r="A13125">
        <f ca="1">31142.2951038831*((RANDBETWEEN(1620,2416)))</f>
        <v>55744708.235950716</v>
      </c>
      <c r="B13125">
        <v>161311598.57400227</v>
      </c>
    </row>
    <row r="13126" spans="1:2" x14ac:dyDescent="0.25">
      <c r="A13126">
        <f ca="1">33280.4502562805*((RANDBETWEEN(1620,2416)))</f>
        <v>69123495.182294607</v>
      </c>
      <c r="B13126">
        <v>182154358.473259</v>
      </c>
    </row>
    <row r="13127" spans="1:2" x14ac:dyDescent="0.25">
      <c r="A13127">
        <f ca="1">34739.3462267904*((RANDBETWEEN(1620,2416)))</f>
        <v>65587885.676180251</v>
      </c>
      <c r="B13127">
        <v>152298007.92143309</v>
      </c>
    </row>
    <row r="13128" spans="1:2" x14ac:dyDescent="0.25">
      <c r="A13128">
        <f ca="1">42615.308582269*((RANDBETWEEN(1620,2416)))</f>
        <v>91921220.611954227</v>
      </c>
      <c r="B13128">
        <v>169291858.33607718</v>
      </c>
    </row>
    <row r="13129" spans="1:2" x14ac:dyDescent="0.25">
      <c r="A13129">
        <f ca="1">39190.8599018491*((RANDBETWEEN(1620,2416)))</f>
        <v>92843147.107480481</v>
      </c>
      <c r="B13129">
        <v>188669089.91243085</v>
      </c>
    </row>
    <row r="13130" spans="1:2" x14ac:dyDescent="0.25">
      <c r="A13130">
        <f ca="1">31335.3750390293*((RANDBETWEEN(1620,2416)))</f>
        <v>52486753.190374002</v>
      </c>
      <c r="B13130">
        <v>156009578.933613</v>
      </c>
    </row>
    <row r="13131" spans="1:2" x14ac:dyDescent="0.25">
      <c r="A13131">
        <f ca="1">31600.0931693409*((RANDBETWEEN(1620,2416)))</f>
        <v>51413351.58651761</v>
      </c>
      <c r="B13131">
        <v>157243163.54648936</v>
      </c>
    </row>
    <row r="13132" spans="1:2" x14ac:dyDescent="0.25">
      <c r="A13132">
        <f ca="1">36157.7492901712*((RANDBETWEEN(1620,2416)))</f>
        <v>61287385.046840176</v>
      </c>
      <c r="B13132">
        <v>190546396.78310093</v>
      </c>
    </row>
    <row r="13133" spans="1:2" x14ac:dyDescent="0.25">
      <c r="A13133">
        <f ca="1">32918.3626766213*((RANDBETWEEN(1620,2416)))</f>
        <v>69128561.620904759</v>
      </c>
      <c r="B13133">
        <v>165489619.78555501</v>
      </c>
    </row>
    <row r="13134" spans="1:2" x14ac:dyDescent="0.25">
      <c r="A13134">
        <f ca="1">33327.9416481571*((RANDBETWEEN(1620,2416)))</f>
        <v>78887237.881187931</v>
      </c>
      <c r="B13134">
        <v>151523008.3793664</v>
      </c>
    </row>
    <row r="13135" spans="1:2" x14ac:dyDescent="0.25">
      <c r="A13135">
        <f ca="1">33293.2230261859*((RANDBETWEEN(1620,2416)))</f>
        <v>68883678.44117862</v>
      </c>
      <c r="B13135">
        <v>167369525.67537469</v>
      </c>
    </row>
    <row r="13136" spans="1:2" x14ac:dyDescent="0.25">
      <c r="A13136">
        <f ca="1">31279.8374214665*((RANDBETWEEN(1620,2416)))</f>
        <v>61808958.744817823</v>
      </c>
      <c r="B13136">
        <v>166744334.47826394</v>
      </c>
    </row>
    <row r="13137" spans="1:2" x14ac:dyDescent="0.25">
      <c r="A13137">
        <f ca="1">36046.1719248315*((RANDBETWEEN(1620,2416)))</f>
        <v>67045879.780186638</v>
      </c>
      <c r="B13137">
        <v>191994221.50818983</v>
      </c>
    </row>
    <row r="13138" spans="1:2" x14ac:dyDescent="0.25">
      <c r="A13138">
        <f ca="1">33072.0397069195*((RANDBETWEEN(1620,2416)))</f>
        <v>60488760.623955823</v>
      </c>
      <c r="B13138">
        <v>172498915.58224261</v>
      </c>
    </row>
    <row r="13139" spans="1:2" x14ac:dyDescent="0.25">
      <c r="A13139">
        <f ca="1">31887.2865686476*((RANDBETWEEN(1620,2416)))</f>
        <v>51880615.247189648</v>
      </c>
      <c r="B13139">
        <v>175604623.64833331</v>
      </c>
    </row>
    <row r="13140" spans="1:2" x14ac:dyDescent="0.25">
      <c r="A13140">
        <f ca="1">41175.00568456*((RANDBETWEEN(1620,2416)))</f>
        <v>81444161.244059712</v>
      </c>
      <c r="B13140">
        <v>158933159.67435557</v>
      </c>
    </row>
    <row r="13141" spans="1:2" x14ac:dyDescent="0.25">
      <c r="A13141">
        <f ca="1">34560.920452823*((RANDBETWEEN(1620,2416)))</f>
        <v>56852714.144893833</v>
      </c>
      <c r="B13141">
        <v>144827108.47270218</v>
      </c>
    </row>
    <row r="13142" spans="1:2" x14ac:dyDescent="0.25">
      <c r="A13142">
        <f ca="1">34181.9482585226*((RANDBETWEEN(1620,2416)))</f>
        <v>80122486.717976898</v>
      </c>
      <c r="B13142">
        <v>167113632.71443415</v>
      </c>
    </row>
    <row r="13143" spans="1:2" x14ac:dyDescent="0.25">
      <c r="A13143">
        <f ca="1">32942.8396769007*((RANDBETWEEN(1620,2416)))</f>
        <v>63085537.98126483</v>
      </c>
      <c r="B13143">
        <v>147828597.02613047</v>
      </c>
    </row>
    <row r="13144" spans="1:2" x14ac:dyDescent="0.25">
      <c r="A13144">
        <f ca="1">38424.5975508264*((RANDBETWEEN(1620,2416)))</f>
        <v>76887619.699203551</v>
      </c>
      <c r="B13144">
        <v>150885248.58256036</v>
      </c>
    </row>
    <row r="13145" spans="1:2" x14ac:dyDescent="0.25">
      <c r="A13145">
        <f ca="1">30541.9686834584*((RANDBETWEEN(1620,2416)))</f>
        <v>49752866.985353813</v>
      </c>
      <c r="B13145">
        <v>148263398.43852893</v>
      </c>
    </row>
    <row r="13146" spans="1:2" x14ac:dyDescent="0.25">
      <c r="A13146">
        <f ca="1">28286.1948559082*((RANDBETWEEN(1620,2416)))</f>
        <v>60702174.160778917</v>
      </c>
      <c r="B13146">
        <v>153949893.72404385</v>
      </c>
    </row>
    <row r="13147" spans="1:2" x14ac:dyDescent="0.25">
      <c r="A13147">
        <f ca="1">35920.8029662021*((RANDBETWEEN(1620,2416)))</f>
        <v>64837049.353994831</v>
      </c>
      <c r="B13147">
        <v>143904403.9304879</v>
      </c>
    </row>
    <row r="13148" spans="1:2" x14ac:dyDescent="0.25">
      <c r="A13148">
        <f ca="1">35876.6171140657*((RANDBETWEEN(1620,2416)))</f>
        <v>61205508.796596102</v>
      </c>
      <c r="B13148">
        <v>175978106.48419034</v>
      </c>
    </row>
    <row r="13149" spans="1:2" x14ac:dyDescent="0.25">
      <c r="A13149">
        <f ca="1">29773.4249007601*((RANDBETWEEN(1620,2416)))</f>
        <v>58296365.95568829</v>
      </c>
      <c r="B13149">
        <v>192492640.22298467</v>
      </c>
    </row>
    <row r="13150" spans="1:2" x14ac:dyDescent="0.25">
      <c r="A13150">
        <f ca="1">30086.5537873669*((RANDBETWEEN(1620,2416)))</f>
        <v>60173107.574733831</v>
      </c>
      <c r="B13150">
        <v>173689255.82222894</v>
      </c>
    </row>
    <row r="13151" spans="1:2" x14ac:dyDescent="0.25">
      <c r="A13151">
        <f ca="1">30846.1786048872*((RANDBETWEEN(1620,2416)))</f>
        <v>70576056.647981822</v>
      </c>
      <c r="B13151">
        <v>183445301.24340543</v>
      </c>
    </row>
    <row r="13152" spans="1:2" x14ac:dyDescent="0.25">
      <c r="A13152">
        <f ca="1">29096.8954934006*((RANDBETWEEN(1620,2416)))</f>
        <v>65729886.919591948</v>
      </c>
      <c r="B13152">
        <v>144915602.01057631</v>
      </c>
    </row>
    <row r="13153" spans="1:2" x14ac:dyDescent="0.25">
      <c r="A13153">
        <f ca="1">33940.4654316451*((RANDBETWEEN(1620,2416)))</f>
        <v>76773332.806381211</v>
      </c>
      <c r="B13153">
        <v>174744890.96595174</v>
      </c>
    </row>
    <row r="13154" spans="1:2" x14ac:dyDescent="0.25">
      <c r="A13154">
        <f ca="1">29173.3751167795*((RANDBETWEEN(1620,2416)))</f>
        <v>48690363.069905028</v>
      </c>
      <c r="B13154">
        <v>145819065.02818704</v>
      </c>
    </row>
    <row r="13155" spans="1:2" x14ac:dyDescent="0.25">
      <c r="A13155">
        <f ca="1">31377.7128762807*((RANDBETWEEN(1620,2416)))</f>
        <v>64481199.960756756</v>
      </c>
      <c r="B13155">
        <v>152727114.12508649</v>
      </c>
    </row>
    <row r="13156" spans="1:2" x14ac:dyDescent="0.25">
      <c r="A13156">
        <f ca="1">30424.2342955421*((RANDBETWEEN(1620,2416)))</f>
        <v>70766768.971430942</v>
      </c>
      <c r="B13156">
        <v>146394067.99137092</v>
      </c>
    </row>
    <row r="13157" spans="1:2" x14ac:dyDescent="0.25">
      <c r="A13157">
        <f ca="1">31684.3552633541*((RANDBETWEEN(1620,2416)))</f>
        <v>71796749.026760414</v>
      </c>
      <c r="B13157">
        <v>160519571.07089776</v>
      </c>
    </row>
    <row r="13158" spans="1:2" x14ac:dyDescent="0.25">
      <c r="A13158">
        <f ca="1">35950.1505911992*((RANDBETWEEN(1620,2416)))</f>
        <v>77544474.825216576</v>
      </c>
      <c r="B13158">
        <v>163136638.27437162</v>
      </c>
    </row>
    <row r="13159" spans="1:2" x14ac:dyDescent="0.25">
      <c r="A13159">
        <f ca="1">32297.0598383476*((RANDBETWEEN(1620,2416)))</f>
        <v>73088246.414180681</v>
      </c>
      <c r="B13159">
        <v>161125301.47453135</v>
      </c>
    </row>
    <row r="13160" spans="1:2" x14ac:dyDescent="0.25">
      <c r="A13160">
        <f ca="1">39631.2555156094*((RANDBETWEEN(1620,2416)))</f>
        <v>85762036.935778782</v>
      </c>
      <c r="B13160">
        <v>191889051.9735505</v>
      </c>
    </row>
    <row r="13161" spans="1:2" x14ac:dyDescent="0.25">
      <c r="A13161">
        <f ca="1">31385.2206926397*((RANDBETWEEN(1620,2416)))</f>
        <v>60667631.59887249</v>
      </c>
      <c r="B13161">
        <v>166655084.10692793</v>
      </c>
    </row>
    <row r="13162" spans="1:2" x14ac:dyDescent="0.25">
      <c r="A13162">
        <f ca="1">36796.7990556155*((RANDBETWEEN(1620,2416)))</f>
        <v>81799284.300633162</v>
      </c>
      <c r="B13162">
        <v>150089546.02188843</v>
      </c>
    </row>
    <row r="13163" spans="1:2" x14ac:dyDescent="0.25">
      <c r="A13163">
        <f ca="1">31897.5345438913*((RANDBETWEEN(1620,2416)))</f>
        <v>74321255.487266749</v>
      </c>
      <c r="B13163">
        <v>165769140.10698864</v>
      </c>
    </row>
    <row r="13164" spans="1:2" x14ac:dyDescent="0.25">
      <c r="A13164">
        <f ca="1">33084.0364107388*((RANDBETWEEN(1620,2416)))</f>
        <v>63455181.83579699</v>
      </c>
      <c r="B13164">
        <v>148904263.22651887</v>
      </c>
    </row>
    <row r="13165" spans="1:2" x14ac:dyDescent="0.25">
      <c r="A13165">
        <f ca="1">41213.0957613453*((RANDBETWEEN(1620,2416)))</f>
        <v>75955735.488159433</v>
      </c>
      <c r="B13165">
        <v>181962628.29816413</v>
      </c>
    </row>
    <row r="13166" spans="1:2" x14ac:dyDescent="0.25">
      <c r="A13166">
        <f ca="1">38291.5556195813*((RANDBETWEEN(1620,2416)))</f>
        <v>82939509.47201325</v>
      </c>
      <c r="B13166">
        <v>165577937.2423712</v>
      </c>
    </row>
    <row r="13167" spans="1:2" x14ac:dyDescent="0.25">
      <c r="A13167">
        <f ca="1">29077.5530370765*((RANDBETWEEN(1620,2416)))</f>
        <v>59725293.9381551</v>
      </c>
      <c r="B13167">
        <v>156072284.69445127</v>
      </c>
    </row>
    <row r="13168" spans="1:2" x14ac:dyDescent="0.25">
      <c r="A13168">
        <f ca="1">35188.9726338589*((RANDBETWEEN(1620,2416)))</f>
        <v>67738772.320178285</v>
      </c>
      <c r="B13168">
        <v>161045008.06178424</v>
      </c>
    </row>
    <row r="13169" spans="1:2" x14ac:dyDescent="0.25">
      <c r="A13169">
        <f ca="1">33065.0038599145*((RANDBETWEEN(1620,2416)))</f>
        <v>71717993.372154638</v>
      </c>
      <c r="B13169">
        <v>197131785.78210136</v>
      </c>
    </row>
    <row r="13170" spans="1:2" x14ac:dyDescent="0.25">
      <c r="A13170">
        <f ca="1">30801.2096308416*((RANDBETWEEN(1620,2416)))</f>
        <v>61910431.357991613</v>
      </c>
      <c r="B13170">
        <v>143013199.57680622</v>
      </c>
    </row>
    <row r="13171" spans="1:2" x14ac:dyDescent="0.25">
      <c r="A13171">
        <f ca="1">29895.090735415*((RANDBETWEEN(1620,2416)))</f>
        <v>70851365.042933613</v>
      </c>
      <c r="B13171">
        <v>182821055.57519555</v>
      </c>
    </row>
    <row r="13172" spans="1:2" x14ac:dyDescent="0.25">
      <c r="A13172">
        <f ca="1">30065.3788219485*((RANDBETWEEN(1620,2416)))</f>
        <v>58507227.18751172</v>
      </c>
      <c r="B13172">
        <v>143432639.30329847</v>
      </c>
    </row>
    <row r="13173" spans="1:2" x14ac:dyDescent="0.25">
      <c r="A13173">
        <f ca="1">29803.7112995395*((RANDBETWEEN(1620,2416)))</f>
        <v>68339910.009844139</v>
      </c>
      <c r="B13173">
        <v>154230391.5754444</v>
      </c>
    </row>
    <row r="13174" spans="1:2" x14ac:dyDescent="0.25">
      <c r="A13174">
        <f ca="1">30743.5224263382*((RANDBETWEEN(1620,2416)))</f>
        <v>56721798.876593955</v>
      </c>
      <c r="B13174">
        <v>150716154.90416625</v>
      </c>
    </row>
    <row r="13175" spans="1:2" x14ac:dyDescent="0.25">
      <c r="A13175">
        <f ca="1">30277.3655782912*((RANDBETWEEN(1620,2416)))</f>
        <v>58465592.931680225</v>
      </c>
      <c r="B13175">
        <v>181136439.5724571</v>
      </c>
    </row>
    <row r="13176" spans="1:2" x14ac:dyDescent="0.25">
      <c r="A13176">
        <f ca="1">30828.6978674738*((RANDBETWEEN(1620,2416)))</f>
        <v>68069764.891382113</v>
      </c>
      <c r="B13176">
        <v>165591732.33609596</v>
      </c>
    </row>
    <row r="13177" spans="1:2" x14ac:dyDescent="0.25">
      <c r="A13177">
        <f ca="1">33714.8171857802*((RANDBETWEEN(1620,2416)))</f>
        <v>71677701.336968705</v>
      </c>
      <c r="B13177">
        <v>154984115.66936898</v>
      </c>
    </row>
    <row r="13178" spans="1:2" x14ac:dyDescent="0.25">
      <c r="A13178">
        <f ca="1">41312.0540465591*((RANDBETWEEN(1620,2416)))</f>
        <v>76551236.148274094</v>
      </c>
      <c r="B13178">
        <v>152487194.17830691</v>
      </c>
    </row>
    <row r="13179" spans="1:2" x14ac:dyDescent="0.25">
      <c r="A13179">
        <f ca="1">27711.5278500584*((RANDBETWEEN(1620,2416)))</f>
        <v>55173651.949466176</v>
      </c>
      <c r="B13179">
        <v>148598035.96872789</v>
      </c>
    </row>
    <row r="13180" spans="1:2" x14ac:dyDescent="0.25">
      <c r="A13180">
        <f ca="1">33285.741112994*((RANDBETWEEN(1620,2416)))</f>
        <v>77855348.463293001</v>
      </c>
      <c r="B13180">
        <v>167219366.7455039</v>
      </c>
    </row>
    <row r="13181" spans="1:2" x14ac:dyDescent="0.25">
      <c r="A13181">
        <f ca="1">30860.5736974647*((RANDBETWEEN(1620,2416)))</f>
        <v>74003655.726520374</v>
      </c>
      <c r="B13181">
        <v>150065525.14907613</v>
      </c>
    </row>
    <row r="13182" spans="1:2" x14ac:dyDescent="0.25">
      <c r="A13182">
        <f ca="1">31282.197367112*((RANDBETWEEN(1620,2416)))</f>
        <v>66568515.99721431</v>
      </c>
      <c r="B13182">
        <v>192386262.14227903</v>
      </c>
    </row>
    <row r="13183" spans="1:2" x14ac:dyDescent="0.25">
      <c r="A13183">
        <f ca="1">32822.8602708921*((RANDBETWEEN(1620,2416)))</f>
        <v>57111776.871352173</v>
      </c>
      <c r="B13183">
        <v>145780426.99219763</v>
      </c>
    </row>
    <row r="13184" spans="1:2" x14ac:dyDescent="0.25">
      <c r="A13184">
        <f ca="1">31199.7574235864*((RANDBETWEEN(1620,2416)))</f>
        <v>68795465.11900793</v>
      </c>
      <c r="B13184">
        <v>200710503.55484521</v>
      </c>
    </row>
    <row r="13185" spans="1:2" x14ac:dyDescent="0.25">
      <c r="A13185">
        <f ca="1">36576.0203903554*((RANDBETWEEN(1620,2416)))</f>
        <v>62654722.928678833</v>
      </c>
      <c r="B13185">
        <v>148363798.96942735</v>
      </c>
    </row>
    <row r="13186" spans="1:2" x14ac:dyDescent="0.25">
      <c r="A13186">
        <f ca="1">32835.3466607676*((RANDBETWEEN(1620,2416)))</f>
        <v>75127273.159836158</v>
      </c>
      <c r="B13186">
        <v>158810228.58704621</v>
      </c>
    </row>
    <row r="13187" spans="1:2" x14ac:dyDescent="0.25">
      <c r="A13187">
        <f ca="1">40563.3406528213*((RANDBETWEEN(1620,2416)))</f>
        <v>95364413.874782979</v>
      </c>
      <c r="B13187">
        <v>155674535.01986918</v>
      </c>
    </row>
    <row r="13188" spans="1:2" x14ac:dyDescent="0.25">
      <c r="A13188">
        <f ca="1">35701.1858475187*((RANDBETWEEN(1620,2416)))</f>
        <v>67760850.738590509</v>
      </c>
      <c r="B13188">
        <v>177790495.94052523</v>
      </c>
    </row>
    <row r="13189" spans="1:2" x14ac:dyDescent="0.25">
      <c r="A13189">
        <f ca="1">30492.4759430654*((RANDBETWEEN(1620,2416)))</f>
        <v>57844226.863995053</v>
      </c>
      <c r="B13189">
        <v>145124067.19251311</v>
      </c>
    </row>
    <row r="13190" spans="1:2" x14ac:dyDescent="0.25">
      <c r="A13190">
        <f ca="1">40843.3919346846*((RANDBETWEEN(1620,2416)))</f>
        <v>80257265.151655331</v>
      </c>
      <c r="B13190">
        <v>178539265.67774063</v>
      </c>
    </row>
    <row r="13191" spans="1:2" x14ac:dyDescent="0.25">
      <c r="A13191">
        <f ca="1">38663.9405187474*((RANDBETWEEN(1620,2416)))</f>
        <v>89623014.122456521</v>
      </c>
      <c r="B13191">
        <v>170101150.37510324</v>
      </c>
    </row>
    <row r="13192" spans="1:2" x14ac:dyDescent="0.25">
      <c r="A13192">
        <f ca="1">40045.7542841089*((RANDBETWEEN(1620,2416)))</f>
        <v>68358102.562974051</v>
      </c>
      <c r="B13192">
        <v>159202248.89034653</v>
      </c>
    </row>
    <row r="13193" spans="1:2" x14ac:dyDescent="0.25">
      <c r="A13193">
        <f ca="1">39161.703366496*((RANDBETWEEN(1620,2416)))</f>
        <v>89680300.709275827</v>
      </c>
      <c r="B13193">
        <v>145516636.91470048</v>
      </c>
    </row>
    <row r="13194" spans="1:2" x14ac:dyDescent="0.25">
      <c r="A13194">
        <f ca="1">31392.924057755*((RANDBETWEEN(1620,2416)))</f>
        <v>62785848.115509905</v>
      </c>
      <c r="B13194">
        <v>158831164.84147087</v>
      </c>
    </row>
    <row r="13195" spans="1:2" x14ac:dyDescent="0.25">
      <c r="A13195">
        <f ca="1">29435.5674518969*((RANDBETWEEN(1620,2416)))</f>
        <v>64611070.556913786</v>
      </c>
      <c r="B13195">
        <v>176716600.9416731</v>
      </c>
    </row>
    <row r="13196" spans="1:2" x14ac:dyDescent="0.25">
      <c r="A13196">
        <f ca="1">31218.7391983703*((RANDBETWEEN(1620,2416)))</f>
        <v>59221948.259308398</v>
      </c>
      <c r="B13196">
        <v>153786899.90326494</v>
      </c>
    </row>
    <row r="13197" spans="1:2" x14ac:dyDescent="0.25">
      <c r="A13197">
        <f ca="1">31892.4624928309*((RANDBETWEEN(1620,2416)))</f>
        <v>66846601.384973593</v>
      </c>
      <c r="B13197">
        <v>179546527.63007948</v>
      </c>
    </row>
    <row r="13198" spans="1:2" x14ac:dyDescent="0.25">
      <c r="A13198">
        <f ca="1">32497.6782689238*((RANDBETWEEN(1620,2416)))</f>
        <v>64865365.824771866</v>
      </c>
      <c r="B13198">
        <v>175327091.45870471</v>
      </c>
    </row>
    <row r="13199" spans="1:2" x14ac:dyDescent="0.25">
      <c r="A13199">
        <f ca="1">30668.5297332525*((RANDBETWEEN(1620,2416)))</f>
        <v>51952489.368129715</v>
      </c>
      <c r="B13199">
        <v>199290503.7369248</v>
      </c>
    </row>
    <row r="13200" spans="1:2" x14ac:dyDescent="0.25">
      <c r="A13200">
        <f ca="1">31149.0368533307*((RANDBETWEEN(1620,2416)))</f>
        <v>74757688.447993651</v>
      </c>
      <c r="B13200">
        <v>165289533.50505772</v>
      </c>
    </row>
    <row r="13201" spans="1:2" x14ac:dyDescent="0.25">
      <c r="A13201">
        <f ca="1">29771.9686095075*((RANDBETWEEN(1620,2416)))</f>
        <v>68564843.707695872</v>
      </c>
      <c r="B13201">
        <v>194278518.24407053</v>
      </c>
    </row>
    <row r="13202" spans="1:2" x14ac:dyDescent="0.25">
      <c r="A13202">
        <f ca="1">32623.4149555704*((RANDBETWEEN(1620,2416)))</f>
        <v>71902006.56207718</v>
      </c>
      <c r="B13202">
        <v>181865571.46892613</v>
      </c>
    </row>
    <row r="13203" spans="1:2" x14ac:dyDescent="0.25">
      <c r="A13203">
        <f ca="1">31424.622813503*((RANDBETWEEN(1620,2416)))</f>
        <v>56721444.17837289</v>
      </c>
      <c r="B13203">
        <v>176272225.47268724</v>
      </c>
    </row>
    <row r="13204" spans="1:2" x14ac:dyDescent="0.25">
      <c r="A13204">
        <f ca="1">39546.1019284764*((RANDBETWEEN(1620,2416)))</f>
        <v>71024799.063543707</v>
      </c>
      <c r="B13204">
        <v>175764333.02143359</v>
      </c>
    </row>
    <row r="13205" spans="1:2" x14ac:dyDescent="0.25">
      <c r="A13205">
        <f ca="1">40566.4406875212*((RANDBETWEEN(1620,2416)))</f>
        <v>73546956.966475949</v>
      </c>
      <c r="B13205">
        <v>189698477.04331014</v>
      </c>
    </row>
    <row r="13206" spans="1:2" x14ac:dyDescent="0.25">
      <c r="A13206">
        <f ca="1">37549.4366078895*((RANDBETWEEN(1620,2416)))</f>
        <v>90681889.408053085</v>
      </c>
      <c r="B13206">
        <v>176931176.32170507</v>
      </c>
    </row>
    <row r="13207" spans="1:2" x14ac:dyDescent="0.25">
      <c r="A13207">
        <f ca="1">28249.4276220872*((RANDBETWEEN(1620,2416)))</f>
        <v>53504415.916233167</v>
      </c>
      <c r="B13207">
        <v>156289431.88912797</v>
      </c>
    </row>
    <row r="13208" spans="1:2" x14ac:dyDescent="0.25">
      <c r="A13208">
        <f ca="1">37337.4596087332*((RANDBETWEEN(1620,2416)))</f>
        <v>64257767.986629851</v>
      </c>
      <c r="B13208">
        <v>144897574.10902381</v>
      </c>
    </row>
    <row r="13209" spans="1:2" x14ac:dyDescent="0.25">
      <c r="A13209">
        <f ca="1">28767.1482132088*((RANDBETWEEN(1620,2416)))</f>
        <v>49623330.667785227</v>
      </c>
      <c r="B13209">
        <v>160713814.37883735</v>
      </c>
    </row>
    <row r="13210" spans="1:2" x14ac:dyDescent="0.25">
      <c r="A13210">
        <f ca="1">31343.2883233121*((RANDBETWEEN(1620,2416)))</f>
        <v>52029858.616698131</v>
      </c>
      <c r="B13210">
        <v>160380467.18465221</v>
      </c>
    </row>
    <row r="13211" spans="1:2" x14ac:dyDescent="0.25">
      <c r="A13211">
        <f ca="1">32232.087321022*((RANDBETWEEN(1620,2416)))</f>
        <v>66011314.833453149</v>
      </c>
      <c r="B13211">
        <v>149032752.6731309</v>
      </c>
    </row>
    <row r="13212" spans="1:2" x14ac:dyDescent="0.25">
      <c r="A13212">
        <f ca="1">39876.1789012143*((RANDBETWEEN(1620,2416)))</f>
        <v>76562263.490331382</v>
      </c>
      <c r="B13212">
        <v>167983651.57792848</v>
      </c>
    </row>
    <row r="13213" spans="1:2" x14ac:dyDescent="0.25">
      <c r="A13213">
        <f ca="1">29709.4018739393*((RANDBETWEEN(1620,2416)))</f>
        <v>69252615.768152609</v>
      </c>
      <c r="B13213">
        <v>175023714.43891045</v>
      </c>
    </row>
    <row r="13214" spans="1:2" x14ac:dyDescent="0.25">
      <c r="A13214">
        <f ca="1">33135.2801166137*((RANDBETWEEN(1620,2416)))</f>
        <v>54341859.391246431</v>
      </c>
      <c r="B13214">
        <v>194589486.04056042</v>
      </c>
    </row>
    <row r="13215" spans="1:2" x14ac:dyDescent="0.25">
      <c r="A13215">
        <f ca="1">30677.744906569*((RANDBETWEEN(1620,2416)))</f>
        <v>49851335.473174646</v>
      </c>
      <c r="B13215">
        <v>147920451.81138471</v>
      </c>
    </row>
    <row r="13216" spans="1:2" x14ac:dyDescent="0.25">
      <c r="A13216">
        <f ca="1">30553.5785349125*((RANDBETWEEN(1620,2416)))</f>
        <v>59732246.035753965</v>
      </c>
      <c r="B13216">
        <v>151190372.10575542</v>
      </c>
    </row>
    <row r="13217" spans="1:2" x14ac:dyDescent="0.25">
      <c r="A13217">
        <f ca="1">35350.4810007297*((RANDBETWEEN(1620,2416)))</f>
        <v>75650029.341561481</v>
      </c>
      <c r="B13217">
        <v>165190648.40322307</v>
      </c>
    </row>
    <row r="13218" spans="1:2" x14ac:dyDescent="0.25">
      <c r="A13218">
        <f ca="1">31247.3119708998*((RANDBETWEEN(1620,2416)))</f>
        <v>50995613.136508539</v>
      </c>
      <c r="B13218">
        <v>171247979.31060874</v>
      </c>
    </row>
    <row r="13219" spans="1:2" x14ac:dyDescent="0.25">
      <c r="A13219">
        <f ca="1">32959.1679530775*((RANDBETWEEN(1620,2416)))</f>
        <v>59458338.98735182</v>
      </c>
      <c r="B13219">
        <v>173187537.31249565</v>
      </c>
    </row>
    <row r="13220" spans="1:2" x14ac:dyDescent="0.25">
      <c r="A13220">
        <f ca="1">33611.6659975238*((RANDBETWEEN(1620,2416)))</f>
        <v>75659860.16042614</v>
      </c>
      <c r="B13220">
        <v>152452397.89889887</v>
      </c>
    </row>
    <row r="13221" spans="1:2" x14ac:dyDescent="0.25">
      <c r="A13221">
        <f ca="1">39161.7570826869*((RANDBETWEEN(1620,2416)))</f>
        <v>89954556.018931925</v>
      </c>
      <c r="B13221">
        <v>153744991.80377889</v>
      </c>
    </row>
    <row r="13222" spans="1:2" x14ac:dyDescent="0.25">
      <c r="A13222">
        <f ca="1">39252.650988906*((RANDBETWEEN(1620,2416)))</f>
        <v>66297727.520262301</v>
      </c>
      <c r="B13222">
        <v>157908014.43453699</v>
      </c>
    </row>
    <row r="13223" spans="1:2" x14ac:dyDescent="0.25">
      <c r="A13223">
        <f ca="1">32296.7767741069*((RANDBETWEEN(1620,2416)))</f>
        <v>70148599.153360143</v>
      </c>
      <c r="B13223">
        <v>199949672.50446045</v>
      </c>
    </row>
    <row r="13224" spans="1:2" x14ac:dyDescent="0.25">
      <c r="A13224">
        <f ca="1">29166.2212768295*((RANDBETWEEN(1620,2416)))</f>
        <v>65740662.757973611</v>
      </c>
      <c r="B13224">
        <v>161601823.29815024</v>
      </c>
    </row>
    <row r="13225" spans="1:2" x14ac:dyDescent="0.25">
      <c r="A13225">
        <f ca="1">35086.4154832314*((RANDBETWEEN(1620,2416)))</f>
        <v>83716187.342989996</v>
      </c>
      <c r="B13225">
        <v>199431048.23019832</v>
      </c>
    </row>
    <row r="13226" spans="1:2" x14ac:dyDescent="0.25">
      <c r="A13226">
        <f ca="1">33603.3287642838*((RANDBETWEEN(1620,2416)))</f>
        <v>65526491.090353377</v>
      </c>
      <c r="B13226">
        <v>144491036.26782581</v>
      </c>
    </row>
    <row r="13227" spans="1:2" x14ac:dyDescent="0.25">
      <c r="A13227">
        <f ca="1">27795.2852712536*((RANDBETWEEN(1620,2416)))</f>
        <v>62817344.713033237</v>
      </c>
      <c r="B13227">
        <v>177124400.35154396</v>
      </c>
    </row>
    <row r="13228" spans="1:2" x14ac:dyDescent="0.25">
      <c r="A13228">
        <f ca="1">39280.0486766577*((RANDBETWEEN(1620,2416)))</f>
        <v>77146015.600955695</v>
      </c>
      <c r="B13228">
        <v>143172520.66768223</v>
      </c>
    </row>
    <row r="13229" spans="1:2" x14ac:dyDescent="0.25">
      <c r="A13229">
        <f ca="1">39583.0298616765*((RANDBETWEEN(1620,2416)))</f>
        <v>94563858.339545161</v>
      </c>
      <c r="B13229">
        <v>168056234.7683419</v>
      </c>
    </row>
    <row r="13230" spans="1:2" x14ac:dyDescent="0.25">
      <c r="A13230">
        <f ca="1">38932.3102535823*((RANDBETWEEN(1620,2416)))</f>
        <v>83626602.424694791</v>
      </c>
      <c r="B13230">
        <v>143807925.36276767</v>
      </c>
    </row>
    <row r="13231" spans="1:2" x14ac:dyDescent="0.25">
      <c r="A13231">
        <f ca="1">34000.6187524451*((RANDBETWEEN(1620,2416)))</f>
        <v>59467082.19802653</v>
      </c>
      <c r="B13231">
        <v>168348144.6094577</v>
      </c>
    </row>
    <row r="13232" spans="1:2" x14ac:dyDescent="0.25">
      <c r="A13232">
        <f ca="1">39516.4590642834*((RANDBETWEEN(1620,2416)))</f>
        <v>76899029.339095443</v>
      </c>
      <c r="B13232">
        <v>158263799.93630257</v>
      </c>
    </row>
    <row r="13233" spans="1:2" x14ac:dyDescent="0.25">
      <c r="A13233">
        <f ca="1">31514.9632907399*((RANDBETWEEN(1620,2416)))</f>
        <v>72957140.018062875</v>
      </c>
      <c r="B13233">
        <v>150449271.69974941</v>
      </c>
    </row>
    <row r="13234" spans="1:2" x14ac:dyDescent="0.25">
      <c r="A13234">
        <f ca="1">33360.7435354752*((RANDBETWEEN(1620,2416)))</f>
        <v>69490428.784394816</v>
      </c>
      <c r="B13234">
        <v>160612631.95441574</v>
      </c>
    </row>
    <row r="13235" spans="1:2" x14ac:dyDescent="0.25">
      <c r="A13235">
        <f ca="1">32784.8425160291*((RANDBETWEEN(1620,2416)))</f>
        <v>61602719.087618679</v>
      </c>
      <c r="B13235">
        <v>171812695.37027252</v>
      </c>
    </row>
    <row r="13236" spans="1:2" x14ac:dyDescent="0.25">
      <c r="A13236">
        <f ca="1">35587.3645382075*((RANDBETWEEN(1620,2416)))</f>
        <v>60961155.453949369</v>
      </c>
      <c r="B13236">
        <v>199290750.74412829</v>
      </c>
    </row>
    <row r="13237" spans="1:2" x14ac:dyDescent="0.25">
      <c r="A13237">
        <f ca="1">35980.4269481954*((RANDBETWEEN(1620,2416)))</f>
        <v>61202706.238880359</v>
      </c>
      <c r="B13237">
        <v>174287443.28815788</v>
      </c>
    </row>
    <row r="13238" spans="1:2" x14ac:dyDescent="0.25">
      <c r="A13238">
        <f ca="1">31423.6186299729*((RANDBETWEEN(1620,2416)))</f>
        <v>55619804.975052103</v>
      </c>
      <c r="B13238">
        <v>201593586.96948725</v>
      </c>
    </row>
    <row r="13239" spans="1:2" x14ac:dyDescent="0.25">
      <c r="A13239">
        <f ca="1">33639.4282121763*((RANDBETWEEN(1620,2416)))</f>
        <v>62703894.18749655</v>
      </c>
      <c r="B13239">
        <v>179636753.29187047</v>
      </c>
    </row>
    <row r="13240" spans="1:2" x14ac:dyDescent="0.25">
      <c r="A13240">
        <f ca="1">30471.4218431795*((RANDBETWEEN(1620,2416)))</f>
        <v>61308500.748477153</v>
      </c>
      <c r="B13240">
        <v>162090022.34741589</v>
      </c>
    </row>
    <row r="13241" spans="1:2" x14ac:dyDescent="0.25">
      <c r="A13241">
        <f ca="1">29067.0472133956*((RANDBETWEEN(1620,2416)))</f>
        <v>55866864.744146422</v>
      </c>
      <c r="B13241">
        <v>143178283.28953859</v>
      </c>
    </row>
    <row r="13242" spans="1:2" x14ac:dyDescent="0.25">
      <c r="A13242">
        <f ca="1">32997.3021009861*((RANDBETWEEN(1620,2416)))</f>
        <v>71439159.048634946</v>
      </c>
      <c r="B13242">
        <v>156847083.50072935</v>
      </c>
    </row>
    <row r="13243" spans="1:2" x14ac:dyDescent="0.25">
      <c r="A13243">
        <f ca="1">28751.3952476925*((RANDBETWEEN(1620,2416)))</f>
        <v>54570148.180120423</v>
      </c>
      <c r="B13243">
        <v>159854828.70862621</v>
      </c>
    </row>
    <row r="13244" spans="1:2" x14ac:dyDescent="0.25">
      <c r="A13244">
        <f ca="1">32302.0632191924*((RANDBETWEEN(1620,2416)))</f>
        <v>62213773.760164544</v>
      </c>
      <c r="B13244">
        <v>161997078.45274901</v>
      </c>
    </row>
    <row r="13245" spans="1:2" x14ac:dyDescent="0.25">
      <c r="A13245">
        <f ca="1">32506.5360408508*((RANDBETWEEN(1620,2416)))</f>
        <v>70311637.45636037</v>
      </c>
      <c r="B13245">
        <v>159518682.19525707</v>
      </c>
    </row>
    <row r="13246" spans="1:2" x14ac:dyDescent="0.25">
      <c r="A13246">
        <f ca="1">31406.3185300033*((RANDBETWEEN(1620,2416)))</f>
        <v>67649210.113627017</v>
      </c>
      <c r="B13246">
        <v>163903148.19780022</v>
      </c>
    </row>
    <row r="13247" spans="1:2" x14ac:dyDescent="0.25">
      <c r="A13247">
        <f ca="1">40180.232506644*((RANDBETWEEN(1620,2416)))</f>
        <v>66699185.961028971</v>
      </c>
      <c r="B13247">
        <v>155846014.75297052</v>
      </c>
    </row>
    <row r="13248" spans="1:2" x14ac:dyDescent="0.25">
      <c r="A13248">
        <f ca="1">37962.2028305028*((RANDBETWEEN(1620,2416)))</f>
        <v>74747577.373260096</v>
      </c>
      <c r="B13248">
        <v>198493300.71579191</v>
      </c>
    </row>
    <row r="13249" spans="1:2" x14ac:dyDescent="0.25">
      <c r="A13249">
        <f ca="1">31908.799744271*((RANDBETWEEN(1620,2416)))</f>
        <v>56255213.949149773</v>
      </c>
      <c r="B13249">
        <v>184439701.2434848</v>
      </c>
    </row>
    <row r="13250" spans="1:2" x14ac:dyDescent="0.25">
      <c r="A13250">
        <f ca="1">39231.6778540539*((RANDBETWEEN(1620,2416)))</f>
        <v>94469880.272561774</v>
      </c>
      <c r="B13250">
        <v>190569006.51981908</v>
      </c>
    </row>
    <row r="13251" spans="1:2" x14ac:dyDescent="0.25">
      <c r="A13251">
        <f ca="1">32058.6626378456*((RANDBETWEEN(1620,2416)))</f>
        <v>65688199.744945548</v>
      </c>
      <c r="B13251">
        <v>188293832.68717122</v>
      </c>
    </row>
    <row r="13252" spans="1:2" x14ac:dyDescent="0.25">
      <c r="A13252">
        <f ca="1">38246.3893457464*((RANDBETWEEN(1620,2416)))</f>
        <v>65630804.117300749</v>
      </c>
      <c r="B13252">
        <v>199235916.15574747</v>
      </c>
    </row>
    <row r="13253" spans="1:2" x14ac:dyDescent="0.25">
      <c r="A13253">
        <f ca="1">31824.8482228405*((RANDBETWEEN(1620,2416)))</f>
        <v>53115671.68392092</v>
      </c>
      <c r="B13253">
        <v>148644966.24027538</v>
      </c>
    </row>
    <row r="13254" spans="1:2" x14ac:dyDescent="0.25">
      <c r="A13254">
        <f ca="1">32487.1794305655*((RANDBETWEEN(1620,2416)))</f>
        <v>75922538.329231665</v>
      </c>
      <c r="B13254">
        <v>168299285.95893613</v>
      </c>
    </row>
    <row r="13255" spans="1:2" x14ac:dyDescent="0.25">
      <c r="A13255">
        <f ca="1">41695.7369441655*((RANDBETWEEN(1620,2416)))</f>
        <v>70007142.329253823</v>
      </c>
      <c r="B13255">
        <v>162948622.90161073</v>
      </c>
    </row>
    <row r="13256" spans="1:2" x14ac:dyDescent="0.25">
      <c r="A13256">
        <f ca="1">35139.6859560736*((RANDBETWEEN(1620,2416)))</f>
        <v>57910202.455609322</v>
      </c>
      <c r="B13256">
        <v>193403467.96288246</v>
      </c>
    </row>
    <row r="13257" spans="1:2" x14ac:dyDescent="0.25">
      <c r="A13257">
        <f ca="1">30119.4765656779*((RANDBETWEEN(1620,2416)))</f>
        <v>67919419.655603603</v>
      </c>
      <c r="B13257">
        <v>198435811.87961739</v>
      </c>
    </row>
    <row r="13258" spans="1:2" x14ac:dyDescent="0.25">
      <c r="A13258">
        <f ca="1">31803.5305925647*((RANDBETWEEN(1620,2416)))</f>
        <v>58295871.576171078</v>
      </c>
      <c r="B13258">
        <v>158875382.78328711</v>
      </c>
    </row>
    <row r="13259" spans="1:2" x14ac:dyDescent="0.25">
      <c r="A13259">
        <f ca="1">32140.5203109287*((RANDBETWEEN(1620,2416)))</f>
        <v>54156776.723914862</v>
      </c>
      <c r="B13259">
        <v>187532203.64422429</v>
      </c>
    </row>
    <row r="13260" spans="1:2" x14ac:dyDescent="0.25">
      <c r="A13260">
        <f ca="1">33275.7501274332*((RANDBETWEEN(1620,2416)))</f>
        <v>62025998.237535492</v>
      </c>
      <c r="B13260">
        <v>157340064.65885848</v>
      </c>
    </row>
    <row r="13261" spans="1:2" x14ac:dyDescent="0.25">
      <c r="A13261">
        <f ca="1">39873.8508321425*((RANDBETWEEN(1620,2416)))</f>
        <v>81621772.653395593</v>
      </c>
      <c r="B13261">
        <v>153671148.06142956</v>
      </c>
    </row>
    <row r="13262" spans="1:2" x14ac:dyDescent="0.25">
      <c r="A13262">
        <f ca="1">35066.1069727027*((RANDBETWEEN(1620,2416)))</f>
        <v>68378908.596770346</v>
      </c>
      <c r="B13262">
        <v>161123829.05917412</v>
      </c>
    </row>
    <row r="13263" spans="1:2" x14ac:dyDescent="0.25">
      <c r="A13263">
        <f ca="1">34028.4117267544*((RANDBETWEEN(1620,2416)))</f>
        <v>72684687.448347449</v>
      </c>
      <c r="B13263">
        <v>154771547.33044687</v>
      </c>
    </row>
    <row r="13264" spans="1:2" x14ac:dyDescent="0.25">
      <c r="A13264">
        <f ca="1">31819.3597739833*((RANDBETWEEN(1620,2416)))</f>
        <v>65070590.737795807</v>
      </c>
      <c r="B13264">
        <v>156635659.5154627</v>
      </c>
    </row>
    <row r="13265" spans="1:2" x14ac:dyDescent="0.25">
      <c r="A13265">
        <f ca="1">31068.7254187187*((RANDBETWEEN(1620,2416)))</f>
        <v>56172255.557043433</v>
      </c>
      <c r="B13265">
        <v>145895701.82837808</v>
      </c>
    </row>
    <row r="13266" spans="1:2" x14ac:dyDescent="0.25">
      <c r="A13266">
        <f ca="1">29986.5050424424*((RANDBETWEEN(1620,2416)))</f>
        <v>65520513.517736569</v>
      </c>
      <c r="B13266">
        <v>163876922.17240477</v>
      </c>
    </row>
    <row r="13267" spans="1:2" x14ac:dyDescent="0.25">
      <c r="A13267">
        <f ca="1">33624.1336190653*((RANDBETWEEN(1620,2416)))</f>
        <v>80798793.086613968</v>
      </c>
      <c r="B13267">
        <v>165707372.6392107</v>
      </c>
    </row>
    <row r="13268" spans="1:2" x14ac:dyDescent="0.25">
      <c r="A13268">
        <f ca="1">32279.8206973311*((RANDBETWEEN(1620,2416)))</f>
        <v>75663899.714543998</v>
      </c>
      <c r="B13268">
        <v>188596500.2601701</v>
      </c>
    </row>
    <row r="13269" spans="1:2" x14ac:dyDescent="0.25">
      <c r="A13269">
        <f ca="1">35496.525216609*((RANDBETWEEN(1620,2416)))</f>
        <v>64248710.642062247</v>
      </c>
      <c r="B13269">
        <v>143045194.16547927</v>
      </c>
    </row>
    <row r="13270" spans="1:2" x14ac:dyDescent="0.25">
      <c r="A13270">
        <f ca="1">30119.31018204*((RANDBETWEEN(1620,2416)))</f>
        <v>50961872.828011692</v>
      </c>
      <c r="B13270">
        <v>171866858.49792477</v>
      </c>
    </row>
    <row r="13271" spans="1:2" x14ac:dyDescent="0.25">
      <c r="A13271">
        <f ca="1">36231.2914528204*((RANDBETWEEN(1620,2416)))</f>
        <v>86085548.491901308</v>
      </c>
      <c r="B13271">
        <v>155793757.44564855</v>
      </c>
    </row>
    <row r="13272" spans="1:2" x14ac:dyDescent="0.25">
      <c r="A13272">
        <f ca="1">28566.8686991512*((RANDBETWEEN(1620,2416)))</f>
        <v>64903925.684471563</v>
      </c>
      <c r="B13272">
        <v>185029910.40490264</v>
      </c>
    </row>
    <row r="13273" spans="1:2" x14ac:dyDescent="0.25">
      <c r="A13273">
        <f ca="1">28816.2791813456*((RANDBETWEEN(1620,2416)))</f>
        <v>65441770.020835862</v>
      </c>
      <c r="B13273">
        <v>171679949.2530151</v>
      </c>
    </row>
    <row r="13274" spans="1:2" x14ac:dyDescent="0.25">
      <c r="A13274">
        <f ca="1">29566.993412689*((RANDBETWEEN(1620,2416)))</f>
        <v>52658815.267999031</v>
      </c>
      <c r="B13274">
        <v>166078478.36169899</v>
      </c>
    </row>
    <row r="13275" spans="1:2" x14ac:dyDescent="0.25">
      <c r="A13275">
        <f ca="1">32582.221734367*((RANDBETWEEN(1620,2416)))</f>
        <v>56725648.039532952</v>
      </c>
      <c r="B13275">
        <v>151404185.81037548</v>
      </c>
    </row>
    <row r="13276" spans="1:2" x14ac:dyDescent="0.25">
      <c r="A13276">
        <f ca="1">33182.7819679807*((RANDBETWEEN(1620,2416)))</f>
        <v>57538943.932478562</v>
      </c>
      <c r="B13276">
        <v>153291122.60355297</v>
      </c>
    </row>
    <row r="13277" spans="1:2" x14ac:dyDescent="0.25">
      <c r="A13277">
        <f ca="1">30554.1975146377*((RANDBETWEEN(1620,2416)))</f>
        <v>63858272.80559279</v>
      </c>
      <c r="B13277">
        <v>173681324.97957528</v>
      </c>
    </row>
    <row r="13278" spans="1:2" x14ac:dyDescent="0.25">
      <c r="A13278">
        <f ca="1">29826.245075746*((RANDBETWEEN(1620,2416)))</f>
        <v>61203454.895430773</v>
      </c>
      <c r="B13278">
        <v>195124091.13217631</v>
      </c>
    </row>
    <row r="13279" spans="1:2" x14ac:dyDescent="0.25">
      <c r="A13279">
        <f ca="1">30493.1566907122*((RANDBETWEEN(1620,2416)))</f>
        <v>72268781.356988013</v>
      </c>
      <c r="B13279">
        <v>171827920.73792624</v>
      </c>
    </row>
    <row r="13280" spans="1:2" x14ac:dyDescent="0.25">
      <c r="A13280">
        <f ca="1">31110.754359309*((RANDBETWEEN(1620,2416)))</f>
        <v>51208301.675422631</v>
      </c>
      <c r="B13280">
        <v>162781114.47058573</v>
      </c>
    </row>
    <row r="13281" spans="1:2" x14ac:dyDescent="0.25">
      <c r="A13281">
        <f ca="1">37059.9430624659*((RANDBETWEEN(1620,2416)))</f>
        <v>74898144.929243654</v>
      </c>
      <c r="B13281">
        <v>170074015.1328665</v>
      </c>
    </row>
    <row r="13282" spans="1:2" x14ac:dyDescent="0.25">
      <c r="A13282">
        <f ca="1">34017.1436442156*((RANDBETWEEN(1620,2416)))</f>
        <v>55447944.140071362</v>
      </c>
      <c r="B13282">
        <v>196117362.54576808</v>
      </c>
    </row>
    <row r="13283" spans="1:2" x14ac:dyDescent="0.25">
      <c r="A13283">
        <f ca="1">41848.9781547205*((RANDBETWEEN(1620,2416)))</f>
        <v>87799156.168603554</v>
      </c>
      <c r="B13283">
        <v>186641017.35744908</v>
      </c>
    </row>
    <row r="13284" spans="1:2" x14ac:dyDescent="0.25">
      <c r="A13284">
        <f ca="1">38667.4656581591*((RANDBETWEEN(1620,2416)))</f>
        <v>92724582.648265511</v>
      </c>
      <c r="B13284">
        <v>171741125.77344191</v>
      </c>
    </row>
    <row r="13285" spans="1:2" x14ac:dyDescent="0.25">
      <c r="A13285">
        <f ca="1">31140.9460105325*((RANDBETWEEN(1620,2416)))</f>
        <v>72807531.772624999</v>
      </c>
      <c r="B13285">
        <v>154343002.8169927</v>
      </c>
    </row>
    <row r="13286" spans="1:2" x14ac:dyDescent="0.25">
      <c r="A13286">
        <f ca="1">29189.5954082978*((RANDBETWEEN(1620,2416)))</f>
        <v>47345523.752258971</v>
      </c>
      <c r="B13286">
        <v>147364073.77204126</v>
      </c>
    </row>
    <row r="13287" spans="1:2" x14ac:dyDescent="0.25">
      <c r="A13287">
        <f ca="1">30698.6614372639*((RANDBETWEEN(1620,2416)))</f>
        <v>59708896.495478235</v>
      </c>
      <c r="B13287">
        <v>157999866.67815873</v>
      </c>
    </row>
    <row r="13288" spans="1:2" x14ac:dyDescent="0.25">
      <c r="A13288">
        <f ca="1">36851.6927169503*((RANDBETWEEN(1620,2416)))</f>
        <v>61505475.14459008</v>
      </c>
      <c r="B13288">
        <v>150820833.25472617</v>
      </c>
    </row>
    <row r="13289" spans="1:2" x14ac:dyDescent="0.25">
      <c r="A13289">
        <f ca="1">32121.546343654*((RANDBETWEEN(1620,2416)))</f>
        <v>64339457.326338924</v>
      </c>
      <c r="B13289">
        <v>159651785.69977635</v>
      </c>
    </row>
    <row r="13290" spans="1:2" x14ac:dyDescent="0.25">
      <c r="A13290">
        <f ca="1">32671.8597220525*((RANDBETWEEN(1620,2416)))</f>
        <v>68284186.819089741</v>
      </c>
      <c r="B13290">
        <v>173505250.27224243</v>
      </c>
    </row>
    <row r="13291" spans="1:2" x14ac:dyDescent="0.25">
      <c r="A13291">
        <f ca="1">32871.4538699759*((RANDBETWEEN(1620,2416)))</f>
        <v>62127047.814254366</v>
      </c>
      <c r="B13291">
        <v>198334452.91050974</v>
      </c>
    </row>
    <row r="13292" spans="1:2" x14ac:dyDescent="0.25">
      <c r="A13292">
        <f ca="1">35863.9291320246*((RANDBETWEEN(1620,2416)))</f>
        <v>59283074.855236717</v>
      </c>
      <c r="B13292">
        <v>186805389.90005794</v>
      </c>
    </row>
    <row r="13293" spans="1:2" x14ac:dyDescent="0.25">
      <c r="A13293">
        <f ca="1">31046.4841440886*((RANDBETWEEN(1620,2416)))</f>
        <v>66346336.61591737</v>
      </c>
      <c r="B13293">
        <v>149535297.01009804</v>
      </c>
    </row>
    <row r="13294" spans="1:2" x14ac:dyDescent="0.25">
      <c r="A13294">
        <f ca="1">39698.8231947782*((RANDBETWEEN(1620,2416)))</f>
        <v>77214211.113843679</v>
      </c>
      <c r="B13294">
        <v>165624612.02544606</v>
      </c>
    </row>
    <row r="13295" spans="1:2" x14ac:dyDescent="0.25">
      <c r="A13295">
        <f ca="1">28963.4712974447*((RANDBETWEEN(1620,2416)))</f>
        <v>62734878.830265172</v>
      </c>
      <c r="B13295">
        <v>190493506.76249993</v>
      </c>
    </row>
    <row r="13296" spans="1:2" x14ac:dyDescent="0.25">
      <c r="A13296">
        <f ca="1">31025.6884413986*((RANDBETWEEN(1620,2416)))</f>
        <v>67046512.721862428</v>
      </c>
      <c r="B13296">
        <v>196878080.4503082</v>
      </c>
    </row>
    <row r="13297" spans="1:2" x14ac:dyDescent="0.25">
      <c r="A13297">
        <f ca="1">38247.677398107*((RANDBETWEEN(1620,2416)))</f>
        <v>85292320.597778529</v>
      </c>
      <c r="B13297">
        <v>190963959.45667955</v>
      </c>
    </row>
    <row r="13298" spans="1:2" x14ac:dyDescent="0.25">
      <c r="A13298">
        <f ca="1">35566.6030176566*((RANDBETWEEN(1620,2416)))</f>
        <v>80309389.613868535</v>
      </c>
      <c r="B13298">
        <v>183193162.59763622</v>
      </c>
    </row>
    <row r="13299" spans="1:2" x14ac:dyDescent="0.25">
      <c r="A13299">
        <f ca="1">32058.0188401311*((RANDBETWEEN(1620,2416)))</f>
        <v>74470777.765624493</v>
      </c>
      <c r="B13299">
        <v>191669788.32435068</v>
      </c>
    </row>
    <row r="13300" spans="1:2" x14ac:dyDescent="0.25">
      <c r="A13300">
        <f ca="1">30724.0589265008*((RANDBETWEEN(1620,2416)))</f>
        <v>66917000.341918647</v>
      </c>
      <c r="B13300">
        <v>154665589.08952802</v>
      </c>
    </row>
    <row r="13301" spans="1:2" x14ac:dyDescent="0.25">
      <c r="A13301">
        <f ca="1">30112.1689462525*((RANDBETWEEN(1620,2416)))</f>
        <v>57845476.54575102</v>
      </c>
      <c r="B13301">
        <v>144943803.50398505</v>
      </c>
    </row>
    <row r="13302" spans="1:2" x14ac:dyDescent="0.25">
      <c r="A13302">
        <f ca="1">34004.5437795948*((RANDBETWEEN(1620,2416)))</f>
        <v>79842668.794488579</v>
      </c>
      <c r="B13302">
        <v>187073329.63524416</v>
      </c>
    </row>
    <row r="13303" spans="1:2" x14ac:dyDescent="0.25">
      <c r="A13303">
        <f ca="1">34216.858797628*((RANDBETWEEN(1620,2416)))</f>
        <v>76645763.706686825</v>
      </c>
      <c r="B13303">
        <v>149861296.98023897</v>
      </c>
    </row>
    <row r="13304" spans="1:2" x14ac:dyDescent="0.25">
      <c r="A13304">
        <f ca="1">31272.6422244522*((RANDBETWEEN(1620,2416)))</f>
        <v>71770713.905117691</v>
      </c>
      <c r="B13304">
        <v>167788181.70274699</v>
      </c>
    </row>
    <row r="13305" spans="1:2" x14ac:dyDescent="0.25">
      <c r="A13305">
        <f ca="1">39051.5792502671*((RANDBETWEEN(1620,2416)))</f>
        <v>89271910.16611056</v>
      </c>
      <c r="B13305">
        <v>196820295.38365334</v>
      </c>
    </row>
    <row r="13306" spans="1:2" x14ac:dyDescent="0.25">
      <c r="A13306">
        <f ca="1">31671.6029698039*((RANDBETWEEN(1620,2416)))</f>
        <v>73351432.478065908</v>
      </c>
      <c r="B13306">
        <v>154917588.62947595</v>
      </c>
    </row>
    <row r="13307" spans="1:2" x14ac:dyDescent="0.25">
      <c r="A13307">
        <f ca="1">34379.1033614061*((RANDBETWEEN(1620,2416)))</f>
        <v>81203442.139641285</v>
      </c>
      <c r="B13307">
        <v>174814686.17726642</v>
      </c>
    </row>
    <row r="13308" spans="1:2" x14ac:dyDescent="0.25">
      <c r="A13308">
        <f ca="1">28009.3936194138*((RANDBETWEEN(1620,2416)))</f>
        <v>53778035.749274507</v>
      </c>
      <c r="B13308">
        <v>176166832.23491025</v>
      </c>
    </row>
    <row r="13309" spans="1:2" x14ac:dyDescent="0.25">
      <c r="A13309">
        <f ca="1">38247.3220363743*((RANDBETWEEN(1620,2416)))</f>
        <v>81352053.971368074</v>
      </c>
      <c r="B13309">
        <v>151741459.50815392</v>
      </c>
    </row>
    <row r="13310" spans="1:2" x14ac:dyDescent="0.25">
      <c r="A13310">
        <f ca="1">41045.5364197065*((RANDBETWEEN(1620,2416)))</f>
        <v>82173163.912252456</v>
      </c>
      <c r="B13310">
        <v>149765769.07372451</v>
      </c>
    </row>
    <row r="13311" spans="1:2" x14ac:dyDescent="0.25">
      <c r="A13311">
        <f ca="1">31944.1160715996*((RANDBETWEEN(1620,2416)))</f>
        <v>65613214.411065675</v>
      </c>
      <c r="B13311">
        <v>146117783.35154226</v>
      </c>
    </row>
    <row r="13312" spans="1:2" x14ac:dyDescent="0.25">
      <c r="A13312">
        <f ca="1">34428.9204995346*((RANDBETWEEN(1620,2416)))</f>
        <v>60422755.476683237</v>
      </c>
      <c r="B13312">
        <v>158318337.71285886</v>
      </c>
    </row>
    <row r="13313" spans="1:2" x14ac:dyDescent="0.25">
      <c r="A13313">
        <f ca="1">32569.1979679141*((RANDBETWEEN(1620,2416)))</f>
        <v>55888743.712940514</v>
      </c>
      <c r="B13313">
        <v>192909825.30291492</v>
      </c>
    </row>
    <row r="13314" spans="1:2" x14ac:dyDescent="0.25">
      <c r="A13314">
        <f ca="1">29158.6840845279*((RANDBETWEEN(1620,2416)))</f>
        <v>70301587.327796876</v>
      </c>
      <c r="B13314">
        <v>151804737.5922814</v>
      </c>
    </row>
    <row r="13315" spans="1:2" x14ac:dyDescent="0.25">
      <c r="A13315">
        <f ca="1">32956.6137631936*((RANDBETWEEN(1620,2416)))</f>
        <v>54773892.074427836</v>
      </c>
      <c r="B13315">
        <v>146703671.5448876</v>
      </c>
    </row>
    <row r="13316" spans="1:2" x14ac:dyDescent="0.25">
      <c r="A13316">
        <f ca="1">41670.2964880793*((RANDBETWEEN(1620,2416)))</f>
        <v>95216627.475261137</v>
      </c>
      <c r="B13316">
        <v>143360722.52923936</v>
      </c>
    </row>
    <row r="13317" spans="1:2" x14ac:dyDescent="0.25">
      <c r="A13317">
        <f ca="1">31248.4244252841*((RANDBETWEEN(1620,2416)))</f>
        <v>67340354.636487171</v>
      </c>
      <c r="B13317">
        <v>196627333.3284837</v>
      </c>
    </row>
    <row r="13318" spans="1:2" x14ac:dyDescent="0.25">
      <c r="A13318">
        <f ca="1">31938.6884521306*((RANDBETWEEN(1620,2416)))</f>
        <v>73363167.37454395</v>
      </c>
      <c r="B13318">
        <v>173572929.83200824</v>
      </c>
    </row>
    <row r="13319" spans="1:2" x14ac:dyDescent="0.25">
      <c r="A13319">
        <f ca="1">33503.4866891116*((RANDBETWEEN(1620,2416)))</f>
        <v>61545905.047898054</v>
      </c>
      <c r="B13319">
        <v>192309738.74436802</v>
      </c>
    </row>
    <row r="13320" spans="1:2" x14ac:dyDescent="0.25">
      <c r="A13320">
        <f ca="1">32001.281431102*((RANDBETWEEN(1620,2416)))</f>
        <v>69186770.454042554</v>
      </c>
      <c r="B13320">
        <v>151295829.9222911</v>
      </c>
    </row>
    <row r="13321" spans="1:2" x14ac:dyDescent="0.25">
      <c r="A13321">
        <f ca="1">31815.6305300735*((RANDBETWEEN(1620,2416)))</f>
        <v>76580222.685886845</v>
      </c>
      <c r="B13321">
        <v>178942669.48888049</v>
      </c>
    </row>
    <row r="13322" spans="1:2" x14ac:dyDescent="0.25">
      <c r="A13322">
        <f ca="1">37692.2616969526*((RANDBETWEEN(1620,2416)))</f>
        <v>82470668.592932329</v>
      </c>
      <c r="B13322">
        <v>179971015.69763166</v>
      </c>
    </row>
    <row r="13323" spans="1:2" x14ac:dyDescent="0.25">
      <c r="A13323">
        <f ca="1">31510.3933652759*((RANDBETWEEN(1620,2416)))</f>
        <v>74994736.209356621</v>
      </c>
      <c r="B13323">
        <v>144688258.92374107</v>
      </c>
    </row>
    <row r="13324" spans="1:2" x14ac:dyDescent="0.25">
      <c r="A13324">
        <f ca="1">29466.6247102671*((RANDBETWEEN(1620,2416)))</f>
        <v>57960850.805095434</v>
      </c>
      <c r="B13324">
        <v>171574004.3018088</v>
      </c>
    </row>
    <row r="13325" spans="1:2" x14ac:dyDescent="0.25">
      <c r="A13325">
        <f ca="1">28594.6689836222*((RANDBETWEEN(1620,2416)))</f>
        <v>63394381.136690319</v>
      </c>
      <c r="B13325">
        <v>152354348.99175796</v>
      </c>
    </row>
    <row r="13326" spans="1:2" x14ac:dyDescent="0.25">
      <c r="A13326">
        <f ca="1">28649.3287436183*((RANDBETWEEN(1620,2416)))</f>
        <v>53115855.490668416</v>
      </c>
      <c r="B13326">
        <v>187215028.17643622</v>
      </c>
    </row>
    <row r="13327" spans="1:2" x14ac:dyDescent="0.25">
      <c r="A13327">
        <f ca="1">30989.6603917341*((RANDBETWEEN(1620,2416)))</f>
        <v>58539468.479985781</v>
      </c>
      <c r="B13327">
        <v>171528538.09319463</v>
      </c>
    </row>
    <row r="13328" spans="1:2" x14ac:dyDescent="0.25">
      <c r="A13328">
        <f ca="1">39160.6766400871*((RANDBETWEEN(1620,2416)))</f>
        <v>93946463.259568959</v>
      </c>
      <c r="B13328">
        <v>143086396.88759589</v>
      </c>
    </row>
    <row r="13329" spans="1:2" x14ac:dyDescent="0.25">
      <c r="A13329">
        <f ca="1">31141.8653241375*((RANDBETWEEN(1620,2416)))</f>
        <v>57986153.23354394</v>
      </c>
      <c r="B13329">
        <v>152301777.92002562</v>
      </c>
    </row>
    <row r="13330" spans="1:2" x14ac:dyDescent="0.25">
      <c r="A13330">
        <f ca="1">34313.4160175045*((RANDBETWEEN(1620,2416)))</f>
        <v>73362083.445424631</v>
      </c>
      <c r="B13330">
        <v>167539841.33615083</v>
      </c>
    </row>
    <row r="13331" spans="1:2" x14ac:dyDescent="0.25">
      <c r="A13331">
        <f ca="1">35311.5611753873*((RANDBETWEEN(1620,2416)))</f>
        <v>72282765.726017743</v>
      </c>
      <c r="B13331">
        <v>194374842.30913514</v>
      </c>
    </row>
    <row r="13332" spans="1:2" x14ac:dyDescent="0.25">
      <c r="A13332">
        <f ca="1">35683.3876336196*((RANDBETWEEN(1620,2416)))</f>
        <v>69725339.436092645</v>
      </c>
      <c r="B13332">
        <v>148982806.20266563</v>
      </c>
    </row>
    <row r="13333" spans="1:2" x14ac:dyDescent="0.25">
      <c r="A13333">
        <f ca="1">30681.5834786357*((RANDBETWEEN(1620,2416)))</f>
        <v>63204061.96598959</v>
      </c>
      <c r="B13333">
        <v>151357234.18719572</v>
      </c>
    </row>
    <row r="13334" spans="1:2" x14ac:dyDescent="0.25">
      <c r="A13334">
        <f ca="1">28049.9311956204*((RANDBETWEEN(1620,2416)))</f>
        <v>62663546.291015886</v>
      </c>
      <c r="B13334">
        <v>162009347.54211089</v>
      </c>
    </row>
    <row r="13335" spans="1:2" x14ac:dyDescent="0.25">
      <c r="A13335">
        <f ca="1">39483.5504722526*((RANDBETWEEN(1620,2416)))</f>
        <v>72649732.868944809</v>
      </c>
      <c r="B13335">
        <v>161630200.29948041</v>
      </c>
    </row>
    <row r="13336" spans="1:2" x14ac:dyDescent="0.25">
      <c r="A13336">
        <f ca="1">40443.8273398705*((RANDBETWEEN(1620,2416)))</f>
        <v>75023299.715459779</v>
      </c>
      <c r="B13336">
        <v>163630385.11178914</v>
      </c>
    </row>
    <row r="13337" spans="1:2" x14ac:dyDescent="0.25">
      <c r="A13337">
        <f ca="1">35571.2400770318*((RANDBETWEEN(1620,2416)))</f>
        <v>63992660.898580298</v>
      </c>
      <c r="B13337">
        <v>145141484.21746123</v>
      </c>
    </row>
    <row r="13338" spans="1:2" x14ac:dyDescent="0.25">
      <c r="A13338">
        <f ca="1">30461.2992646127*((RANDBETWEEN(1620,2416)))</f>
        <v>66161942.002738751</v>
      </c>
      <c r="B13338">
        <v>167875665.65890431</v>
      </c>
    </row>
    <row r="13339" spans="1:2" x14ac:dyDescent="0.25">
      <c r="A13339">
        <f ca="1">31339.1633571456*((RANDBETWEEN(1620,2416)))</f>
        <v>66501704.643862933</v>
      </c>
      <c r="B13339">
        <v>186128985.43189633</v>
      </c>
    </row>
    <row r="13340" spans="1:2" x14ac:dyDescent="0.25">
      <c r="A13340">
        <f ca="1">34746.8536034993*((RANDBETWEEN(1620,2416)))</f>
        <v>59382372.808380343</v>
      </c>
      <c r="B13340">
        <v>177360342.1874533</v>
      </c>
    </row>
    <row r="13341" spans="1:2" x14ac:dyDescent="0.25">
      <c r="A13341">
        <f ca="1">30172.2056548863*((RANDBETWEEN(1620,2416)))</f>
        <v>53344459.59783902</v>
      </c>
      <c r="B13341">
        <v>160760896.61711895</v>
      </c>
    </row>
    <row r="13342" spans="1:2" x14ac:dyDescent="0.25">
      <c r="A13342">
        <f ca="1">28453.3679480289*((RANDBETWEEN(1620,2416)))</f>
        <v>47830111.520636544</v>
      </c>
      <c r="B13342">
        <v>153693897.49467289</v>
      </c>
    </row>
    <row r="13343" spans="1:2" x14ac:dyDescent="0.25">
      <c r="A13343">
        <f ca="1">37723.2230631381*((RANDBETWEEN(1620,2416)))</f>
        <v>77521223.394748852</v>
      </c>
      <c r="B13343">
        <v>143519017.19778723</v>
      </c>
    </row>
    <row r="13344" spans="1:2" x14ac:dyDescent="0.25">
      <c r="A13344">
        <f ca="1">41270.5071634289*((RANDBETWEEN(1620,2416)))</f>
        <v>89103024.965843022</v>
      </c>
      <c r="B13344">
        <v>168532434.08583438</v>
      </c>
    </row>
    <row r="13345" spans="1:2" x14ac:dyDescent="0.25">
      <c r="A13345">
        <f ca="1">40741.6895678852*((RANDBETWEEN(1620,2416)))</f>
        <v>83968622.199411377</v>
      </c>
      <c r="B13345">
        <v>174870233.32129127</v>
      </c>
    </row>
    <row r="13346" spans="1:2" x14ac:dyDescent="0.25">
      <c r="A13346">
        <f ca="1">30073.2705089678*((RANDBETWEEN(1620,2416)))</f>
        <v>60778079.698623836</v>
      </c>
      <c r="B13346">
        <v>195712105.80386269</v>
      </c>
    </row>
    <row r="13347" spans="1:2" x14ac:dyDescent="0.25">
      <c r="A13347">
        <f ca="1">31276.4881086104*((RANDBETWEEN(1620,2416)))</f>
        <v>56328955.083607294</v>
      </c>
      <c r="B13347">
        <v>144597686.29328039</v>
      </c>
    </row>
    <row r="13348" spans="1:2" x14ac:dyDescent="0.25">
      <c r="A13348">
        <f ca="1">32239.8569421998*((RANDBETWEEN(1620,2416)))</f>
        <v>71121124.414492667</v>
      </c>
      <c r="B13348">
        <v>189585965.34727439</v>
      </c>
    </row>
    <row r="13349" spans="1:2" x14ac:dyDescent="0.25">
      <c r="A13349">
        <f ca="1">38668.1362833753*((RANDBETWEEN(1620,2416)))</f>
        <v>80855072.968537688</v>
      </c>
      <c r="B13349">
        <v>183535575.4835161</v>
      </c>
    </row>
    <row r="13350" spans="1:2" x14ac:dyDescent="0.25">
      <c r="A13350">
        <f ca="1">30150.972243132*((RANDBETWEEN(1620,2416)))</f>
        <v>49326990.589763947</v>
      </c>
      <c r="B13350">
        <v>143183395.33430445</v>
      </c>
    </row>
    <row r="13351" spans="1:2" x14ac:dyDescent="0.25">
      <c r="A13351">
        <f ca="1">29193.40178776*((RANDBETWEEN(1620,2416)))</f>
        <v>60313568.093512148</v>
      </c>
      <c r="B13351">
        <v>162065736.64216566</v>
      </c>
    </row>
    <row r="13352" spans="1:2" x14ac:dyDescent="0.25">
      <c r="A13352">
        <f ca="1">34877.993155603*((RANDBETWEEN(1620,2416)))</f>
        <v>72511347.770498559</v>
      </c>
      <c r="B13352">
        <v>162878137.52796805</v>
      </c>
    </row>
    <row r="13353" spans="1:2" x14ac:dyDescent="0.25">
      <c r="A13353">
        <f ca="1">31211.8709394099*((RANDBETWEEN(1620,2416)))</f>
        <v>57492266.270392992</v>
      </c>
      <c r="B13353">
        <v>145780671.90280956</v>
      </c>
    </row>
    <row r="13354" spans="1:2" x14ac:dyDescent="0.25">
      <c r="A13354">
        <f ca="1">31501.7070106963*((RANDBETWEEN(1620,2416)))</f>
        <v>57774130.657616943</v>
      </c>
      <c r="B13354">
        <v>181230315.87937316</v>
      </c>
    </row>
    <row r="13355" spans="1:2" x14ac:dyDescent="0.25">
      <c r="A13355">
        <f ca="1">29884.5922820479*((RANDBETWEEN(1620,2416)))</f>
        <v>50893460.656327568</v>
      </c>
      <c r="B13355">
        <v>196034103.18699437</v>
      </c>
    </row>
    <row r="13356" spans="1:2" x14ac:dyDescent="0.25">
      <c r="A13356">
        <f ca="1">31224.6223233862*((RANDBETWEEN(1620,2416)))</f>
        <v>67382734.973867506</v>
      </c>
      <c r="B13356">
        <v>173550112.10715252</v>
      </c>
    </row>
    <row r="13357" spans="1:2" x14ac:dyDescent="0.25">
      <c r="A13357">
        <f ca="1">30642.9790091246*((RANDBETWEEN(1620,2416)))</f>
        <v>64656685.709252924</v>
      </c>
      <c r="B13357">
        <v>146371214.91142535</v>
      </c>
    </row>
    <row r="13358" spans="1:2" x14ac:dyDescent="0.25">
      <c r="A13358">
        <f ca="1">34620.9796630245*((RANDBETWEEN(1620,2416)))</f>
        <v>79178180.489337042</v>
      </c>
      <c r="B13358">
        <v>144849403.24401891</v>
      </c>
    </row>
    <row r="13359" spans="1:2" x14ac:dyDescent="0.25">
      <c r="A13359">
        <f ca="1">32876.7912908055*((RANDBETWEEN(1620,2416)))</f>
        <v>78345393.645989537</v>
      </c>
      <c r="B13359">
        <v>154054550.34053874</v>
      </c>
    </row>
    <row r="13360" spans="1:2" x14ac:dyDescent="0.25">
      <c r="A13360">
        <f ca="1">30276.8233568143*((RANDBETWEEN(1620,2416)))</f>
        <v>51228385.11972975</v>
      </c>
      <c r="B13360">
        <v>143696652.53907558</v>
      </c>
    </row>
    <row r="13361" spans="1:2" x14ac:dyDescent="0.25">
      <c r="A13361">
        <f ca="1">30963.8987367705*((RANDBETWEEN(1620,2416)))</f>
        <v>63352136.815432459</v>
      </c>
      <c r="B13361">
        <v>192022666.35906476</v>
      </c>
    </row>
    <row r="13362" spans="1:2" x14ac:dyDescent="0.25">
      <c r="A13362">
        <f ca="1">38306.5008964888*((RANDBETWEEN(1620,2416)))</f>
        <v>74161385.735602275</v>
      </c>
      <c r="B13362">
        <v>148918057.20639968</v>
      </c>
    </row>
    <row r="13363" spans="1:2" x14ac:dyDescent="0.25">
      <c r="A13363">
        <f ca="1">40375.9277125292*((RANDBETWEEN(1620,2416)))</f>
        <v>78208171.97916913</v>
      </c>
      <c r="B13363">
        <v>175826044.13735166</v>
      </c>
    </row>
    <row r="13364" spans="1:2" x14ac:dyDescent="0.25">
      <c r="A13364">
        <f ca="1">32545.4335352217*((RANDBETWEEN(1620,2416)))</f>
        <v>69842500.366585881</v>
      </c>
      <c r="B13364">
        <v>189995188.66323173</v>
      </c>
    </row>
    <row r="13365" spans="1:2" x14ac:dyDescent="0.25">
      <c r="A13365">
        <f ca="1">31126.1812174363*((RANDBETWEEN(1620,2416)))</f>
        <v>57241047.258865416</v>
      </c>
      <c r="B13365">
        <v>151678089.9097425</v>
      </c>
    </row>
    <row r="13366" spans="1:2" x14ac:dyDescent="0.25">
      <c r="A13366">
        <f ca="1">35825.0697422609*((RANDBETWEEN(1620,2416)))</f>
        <v>79101753.990912125</v>
      </c>
      <c r="B13366">
        <v>155499695.14057434</v>
      </c>
    </row>
    <row r="13367" spans="1:2" x14ac:dyDescent="0.25">
      <c r="A13367">
        <f ca="1">30641.9992110644*((RANDBETWEEN(1620,2416)))</f>
        <v>65727088.307733193</v>
      </c>
      <c r="B13367">
        <v>146485778.67113307</v>
      </c>
    </row>
    <row r="13368" spans="1:2" x14ac:dyDescent="0.25">
      <c r="A13368">
        <f ca="1">30766.8043608003*((RANDBETWEEN(1620,2416)))</f>
        <v>57533924.154696479</v>
      </c>
      <c r="B13368">
        <v>156606251.10246679</v>
      </c>
    </row>
    <row r="13369" spans="1:2" x14ac:dyDescent="0.25">
      <c r="A13369">
        <f ca="1">32215.0249067002*((RANDBETWEEN(1620,2416)))</f>
        <v>76381824.053786203</v>
      </c>
      <c r="B13369">
        <v>145272761.78760785</v>
      </c>
    </row>
    <row r="13370" spans="1:2" x14ac:dyDescent="0.25">
      <c r="A13370">
        <f ca="1">31547.2677627535*((RANDBETWEEN(1620,2416)))</f>
        <v>57479121.863736868</v>
      </c>
      <c r="B13370">
        <v>165041653.17524636</v>
      </c>
    </row>
    <row r="13371" spans="1:2" x14ac:dyDescent="0.25">
      <c r="A13371">
        <f ca="1">35131.7238334611*((RANDBETWEEN(1620,2416)))</f>
        <v>57475500.191542365</v>
      </c>
      <c r="B13371">
        <v>190780490.3897717</v>
      </c>
    </row>
    <row r="13372" spans="1:2" x14ac:dyDescent="0.25">
      <c r="A13372">
        <f ca="1">32145.8280143423*((RANDBETWEEN(1620,2416)))</f>
        <v>57605323.801701471</v>
      </c>
      <c r="B13372">
        <v>189601158.24703926</v>
      </c>
    </row>
    <row r="13373" spans="1:2" x14ac:dyDescent="0.25">
      <c r="A13373">
        <f ca="1">30169.3863817126*((RANDBETWEEN(1620,2416)))</f>
        <v>54123879.168792397</v>
      </c>
      <c r="B13373">
        <v>163641612.8698411</v>
      </c>
    </row>
    <row r="13374" spans="1:2" x14ac:dyDescent="0.25">
      <c r="A13374">
        <f ca="1">31501.7013976787*((RANDBETWEEN(1620,2416)))</f>
        <v>65303026.99738799</v>
      </c>
      <c r="B13374">
        <v>171210628.5411323</v>
      </c>
    </row>
    <row r="13375" spans="1:2" x14ac:dyDescent="0.25">
      <c r="A13375">
        <f ca="1">29879.2067212549*((RANDBETWEEN(1620,2416)))</f>
        <v>54260639.405798949</v>
      </c>
      <c r="B13375">
        <v>155962668.65511376</v>
      </c>
    </row>
    <row r="13376" spans="1:2" x14ac:dyDescent="0.25">
      <c r="A13376">
        <f ca="1">33079.1335806844*((RANDBETWEEN(1620,2416)))</f>
        <v>63842727.810720839</v>
      </c>
      <c r="B13376">
        <v>170012892.94727159</v>
      </c>
    </row>
    <row r="13377" spans="1:2" x14ac:dyDescent="0.25">
      <c r="A13377">
        <f ca="1">36080.5521324176*((RANDBETWEEN(1620,2416)))</f>
        <v>80531792.359556049</v>
      </c>
      <c r="B13377">
        <v>158329551.20978969</v>
      </c>
    </row>
    <row r="13378" spans="1:2" x14ac:dyDescent="0.25">
      <c r="A13378">
        <f ca="1">30145.5143174166*((RANDBETWEEN(1620,2416)))</f>
        <v>57095604.117186956</v>
      </c>
      <c r="B13378">
        <v>162730810.10114095</v>
      </c>
    </row>
    <row r="13379" spans="1:2" x14ac:dyDescent="0.25">
      <c r="A13379">
        <f ca="1">32574.2546615954*((RANDBETWEEN(1620,2416)))</f>
        <v>77657023.113243371</v>
      </c>
      <c r="B13379">
        <v>156350717.6817486</v>
      </c>
    </row>
    <row r="13380" spans="1:2" x14ac:dyDescent="0.25">
      <c r="A13380">
        <f ca="1">30074.2872400211*((RANDBETWEEN(1620,2416)))</f>
        <v>58314042.958400913</v>
      </c>
      <c r="B13380">
        <v>175897572.4973357</v>
      </c>
    </row>
    <row r="13381" spans="1:2" x14ac:dyDescent="0.25">
      <c r="A13381">
        <f ca="1">34898.4048505868*((RANDBETWEEN(1620,2416)))</f>
        <v>64911033.022091486</v>
      </c>
      <c r="B13381">
        <v>150974056.95094317</v>
      </c>
    </row>
    <row r="13382" spans="1:2" x14ac:dyDescent="0.25">
      <c r="A13382">
        <f ca="1">38375.1703074465*((RANDBETWEEN(1620,2416)))</f>
        <v>74179204.204294041</v>
      </c>
      <c r="B13382">
        <v>172346405.51323527</v>
      </c>
    </row>
    <row r="13383" spans="1:2" x14ac:dyDescent="0.25">
      <c r="A13383">
        <f ca="1">33890.6357939678*((RANDBETWEEN(1620,2416)))</f>
        <v>66425646.156176887</v>
      </c>
      <c r="B13383">
        <v>149465952.01159555</v>
      </c>
    </row>
    <row r="13384" spans="1:2" x14ac:dyDescent="0.25">
      <c r="A13384">
        <f ca="1">32793.3914054367*((RANDBETWEEN(1620,2416)))</f>
        <v>58634583.832920879</v>
      </c>
      <c r="B13384">
        <v>181742679.87829804</v>
      </c>
    </row>
    <row r="13385" spans="1:2" x14ac:dyDescent="0.25">
      <c r="A13385">
        <f ca="1">30701.8932429267*((RANDBETWEEN(1620,2416)))</f>
        <v>51149354.142715961</v>
      </c>
      <c r="B13385">
        <v>167077022.69088799</v>
      </c>
    </row>
    <row r="13386" spans="1:2" x14ac:dyDescent="0.25">
      <c r="A13386">
        <f ca="1">30852.0417022082*((RANDBETWEEN(1620,2416)))</f>
        <v>67967047.8699646</v>
      </c>
      <c r="B13386">
        <v>202673200.96116656</v>
      </c>
    </row>
    <row r="13387" spans="1:2" x14ac:dyDescent="0.25">
      <c r="A13387">
        <f ca="1">40151.6517270571*((RANDBETWEEN(1620,2416)))</f>
        <v>93432893.568861872</v>
      </c>
      <c r="B13387">
        <v>160896343.99735349</v>
      </c>
    </row>
    <row r="13388" spans="1:2" x14ac:dyDescent="0.25">
      <c r="A13388">
        <f ca="1">31158.870129859*((RANDBETWEEN(1620,2416)))</f>
        <v>73939998.818155304</v>
      </c>
      <c r="B13388">
        <v>142984841.37631059</v>
      </c>
    </row>
    <row r="13389" spans="1:2" x14ac:dyDescent="0.25">
      <c r="A13389">
        <f ca="1">31171.7483319924*((RANDBETWEEN(1620,2416)))</f>
        <v>72879547.600198194</v>
      </c>
      <c r="B13389">
        <v>167869646.92984653</v>
      </c>
    </row>
    <row r="13390" spans="1:2" x14ac:dyDescent="0.25">
      <c r="A13390">
        <f ca="1">32405.2695564138*((RANDBETWEEN(1620,2416)))</f>
        <v>69606519.007176816</v>
      </c>
      <c r="B13390">
        <v>178160575.44349563</v>
      </c>
    </row>
    <row r="13391" spans="1:2" x14ac:dyDescent="0.25">
      <c r="A13391">
        <f ca="1">29227.3500378464*((RANDBETWEEN(1620,2416)))</f>
        <v>48955811.313392699</v>
      </c>
      <c r="B13391">
        <v>142990768.6993717</v>
      </c>
    </row>
    <row r="13392" spans="1:2" x14ac:dyDescent="0.25">
      <c r="A13392">
        <f ca="1">31441.8117086763*((RANDBETWEEN(1620,2416)))</f>
        <v>54237125.197466627</v>
      </c>
      <c r="B13392">
        <v>166448846.38900062</v>
      </c>
    </row>
    <row r="13393" spans="1:2" x14ac:dyDescent="0.25">
      <c r="A13393">
        <f ca="1">31538.7870307808*((RANDBETWEEN(1620,2416)))</f>
        <v>54719795.498404652</v>
      </c>
      <c r="B13393">
        <v>202894067.32819325</v>
      </c>
    </row>
    <row r="13394" spans="1:2" x14ac:dyDescent="0.25">
      <c r="A13394">
        <f ca="1">38643.6754617535*((RANDBETWEEN(1620,2416)))</f>
        <v>65926110.337751403</v>
      </c>
      <c r="B13394">
        <v>174243597.91149074</v>
      </c>
    </row>
    <row r="13395" spans="1:2" x14ac:dyDescent="0.25">
      <c r="A13395">
        <f ca="1">30023.699111886*((RANDBETWEEN(1620,2416)))</f>
        <v>66922825.320393786</v>
      </c>
      <c r="B13395">
        <v>146501860.14310133</v>
      </c>
    </row>
    <row r="13396" spans="1:2" x14ac:dyDescent="0.25">
      <c r="A13396">
        <f ca="1">38377.1566829737*((RANDBETWEEN(1620,2416)))</f>
        <v>66661121.158325404</v>
      </c>
      <c r="B13396">
        <v>174651048.84663075</v>
      </c>
    </row>
    <row r="13397" spans="1:2" x14ac:dyDescent="0.25">
      <c r="A13397">
        <f ca="1">33874.8886151838*((RANDBETWEEN(1620,2416)))</f>
        <v>78420367.144150555</v>
      </c>
      <c r="B13397">
        <v>147580027.11646834</v>
      </c>
    </row>
    <row r="13398" spans="1:2" x14ac:dyDescent="0.25">
      <c r="A13398">
        <f ca="1">31066.4094297361*((RANDBETWEEN(1620,2416)))</f>
        <v>74186585.718209758</v>
      </c>
      <c r="B13398">
        <v>201541689.69939634</v>
      </c>
    </row>
    <row r="13399" spans="1:2" x14ac:dyDescent="0.25">
      <c r="A13399">
        <f ca="1">37727.0179304627*((RANDBETWEEN(1620,2416)))</f>
        <v>88507584.06486544</v>
      </c>
      <c r="B13399">
        <v>190291365.9443565</v>
      </c>
    </row>
    <row r="13400" spans="1:2" x14ac:dyDescent="0.25">
      <c r="A13400">
        <f ca="1">41175.5987408841*((RANDBETWEEN(1620,2416)))</f>
        <v>78110110.811457068</v>
      </c>
      <c r="B13400">
        <v>163161671.92694524</v>
      </c>
    </row>
    <row r="13401" spans="1:2" x14ac:dyDescent="0.25">
      <c r="A13401">
        <f ca="1">31018.602931569*((RANDBETWEEN(1620,2416)))</f>
        <v>69450651.963783011</v>
      </c>
      <c r="B13401">
        <v>154035490.10553658</v>
      </c>
    </row>
    <row r="13402" spans="1:2" x14ac:dyDescent="0.25">
      <c r="A13402">
        <f ca="1">31568.2389949803*((RANDBETWEEN(1620,2416)))</f>
        <v>61684338.996191576</v>
      </c>
      <c r="B13402">
        <v>186345797.34806406</v>
      </c>
    </row>
    <row r="13403" spans="1:2" x14ac:dyDescent="0.25">
      <c r="A13403">
        <f ca="1">30931.4979682466*((RANDBETWEEN(1620,2416)))</f>
        <v>57130476.747351453</v>
      </c>
      <c r="B13403">
        <v>177514380.74179336</v>
      </c>
    </row>
    <row r="13404" spans="1:2" x14ac:dyDescent="0.25">
      <c r="A13404">
        <f ca="1">27182.2512742263*((RANDBETWEEN(1620,2416)))</f>
        <v>50776445.38025479</v>
      </c>
      <c r="B13404">
        <v>156219629.17728692</v>
      </c>
    </row>
    <row r="13405" spans="1:2" x14ac:dyDescent="0.25">
      <c r="A13405">
        <f ca="1">30500.4582849185*((RANDBETWEEN(1620,2416)))</f>
        <v>71645576.511273459</v>
      </c>
      <c r="B13405">
        <v>169411188.02879673</v>
      </c>
    </row>
    <row r="13406" spans="1:2" x14ac:dyDescent="0.25">
      <c r="A13406">
        <f ca="1">35181.7721193077*((RANDBETWEEN(1620,2416)))</f>
        <v>60688556.905805781</v>
      </c>
      <c r="B13406">
        <v>159289645.44789267</v>
      </c>
    </row>
    <row r="13407" spans="1:2" x14ac:dyDescent="0.25">
      <c r="A13407">
        <f ca="1">39892.1310466888*((RANDBETWEEN(1620,2416)))</f>
        <v>80382644.059077978</v>
      </c>
      <c r="B13407">
        <v>191891090.91625687</v>
      </c>
    </row>
    <row r="13408" spans="1:2" x14ac:dyDescent="0.25">
      <c r="A13408">
        <f ca="1">36151.6082612858*((RANDBETWEEN(1620,2416)))</f>
        <v>65506714.169449829</v>
      </c>
      <c r="B13408">
        <v>185896317.97064069</v>
      </c>
    </row>
    <row r="13409" spans="1:2" x14ac:dyDescent="0.25">
      <c r="A13409">
        <f ca="1">31277.0649987049*((RANDBETWEEN(1620,2416)))</f>
        <v>52138867.352841005</v>
      </c>
      <c r="B13409">
        <v>181783775.72269297</v>
      </c>
    </row>
    <row r="13410" spans="1:2" x14ac:dyDescent="0.25">
      <c r="A13410">
        <f ca="1">29787.2407644668*((RANDBETWEEN(1620,2416)))</f>
        <v>66931929.997756995</v>
      </c>
      <c r="B13410">
        <v>184379424.64465824</v>
      </c>
    </row>
    <row r="13411" spans="1:2" x14ac:dyDescent="0.25">
      <c r="A13411">
        <f ca="1">29178.5606034222*((RANDBETWEEN(1620,2416)))</f>
        <v>68452903.175628558</v>
      </c>
      <c r="B13411">
        <v>167188528.93108037</v>
      </c>
    </row>
    <row r="13412" spans="1:2" x14ac:dyDescent="0.25">
      <c r="A13412">
        <f ca="1">31191.3404260543*((RANDBETWEEN(1620,2416)))</f>
        <v>70648386.065013051</v>
      </c>
      <c r="B13412">
        <v>145321902.82710746</v>
      </c>
    </row>
    <row r="13413" spans="1:2" x14ac:dyDescent="0.25">
      <c r="A13413">
        <f ca="1">31277.6267376699*((RANDBETWEEN(1620,2416)))</f>
        <v>73001980.805721536</v>
      </c>
      <c r="B13413">
        <v>143376758.60454571</v>
      </c>
    </row>
    <row r="13414" spans="1:2" x14ac:dyDescent="0.25">
      <c r="A13414">
        <f ca="1">32032.0249681578*((RANDBETWEEN(1620,2416)))</f>
        <v>77389372.32306917</v>
      </c>
      <c r="B13414">
        <v>148046673.85939664</v>
      </c>
    </row>
    <row r="13415" spans="1:2" x14ac:dyDescent="0.25">
      <c r="A13415">
        <f ca="1">32468.7120749664*((RANDBETWEEN(1620,2416)))</f>
        <v>75100131.029397383</v>
      </c>
      <c r="B13415">
        <v>198749345.41350228</v>
      </c>
    </row>
    <row r="13416" spans="1:2" x14ac:dyDescent="0.25">
      <c r="A13416">
        <f ca="1">30637.113327238*((RANDBETWEEN(1620,2416)))</f>
        <v>52297552.449595258</v>
      </c>
      <c r="B13416">
        <v>161406974.87659383</v>
      </c>
    </row>
    <row r="13417" spans="1:2" x14ac:dyDescent="0.25">
      <c r="A13417">
        <f ca="1">35998.021479389*((RANDBETWEEN(1620,2416)))</f>
        <v>73147979.646118462</v>
      </c>
      <c r="B13417">
        <v>158877088.0882526</v>
      </c>
    </row>
    <row r="13418" spans="1:2" x14ac:dyDescent="0.25">
      <c r="A13418">
        <f ca="1">33429.2353584158*((RANDBETWEEN(1620,2416)))</f>
        <v>58534591.112586096</v>
      </c>
      <c r="B13418">
        <v>157270360.97345173</v>
      </c>
    </row>
    <row r="13419" spans="1:2" x14ac:dyDescent="0.25">
      <c r="A13419">
        <f ca="1">32065.0695953864*((RANDBETWEEN(1620,2416)))</f>
        <v>56434522.487879992</v>
      </c>
      <c r="B13419">
        <v>146868125.29111516</v>
      </c>
    </row>
    <row r="13420" spans="1:2" x14ac:dyDescent="0.25">
      <c r="A13420">
        <f ca="1">31271.5361203102*((RANDBETWEEN(1620,2416)))</f>
        <v>59384647.092469089</v>
      </c>
      <c r="B13420">
        <v>145108507.50991207</v>
      </c>
    </row>
    <row r="13421" spans="1:2" x14ac:dyDescent="0.25">
      <c r="A13421">
        <f ca="1">37743.8845169923*((RANDBETWEEN(1620,2416)))</f>
        <v>86433495.543912262</v>
      </c>
      <c r="B13421">
        <v>159780085.27618992</v>
      </c>
    </row>
    <row r="13422" spans="1:2" x14ac:dyDescent="0.25">
      <c r="A13422">
        <f ca="1">31694.6124251919*((RANDBETWEEN(1620,2416)))</f>
        <v>74355560.749500096</v>
      </c>
      <c r="B13422">
        <v>193633429.60065907</v>
      </c>
    </row>
    <row r="13423" spans="1:2" x14ac:dyDescent="0.25">
      <c r="A13423">
        <f ca="1">30110.6733420049*((RANDBETWEEN(1620,2416)))</f>
        <v>49411614.954230115</v>
      </c>
      <c r="B13423">
        <v>143304201.92432106</v>
      </c>
    </row>
    <row r="13424" spans="1:2" x14ac:dyDescent="0.25">
      <c r="A13424">
        <f ca="1">33028.0322072894*((RANDBETWEEN(1620,2416)))</f>
        <v>70746044.988013878</v>
      </c>
      <c r="B13424">
        <v>156169783.97433579</v>
      </c>
    </row>
    <row r="13425" spans="1:2" x14ac:dyDescent="0.25">
      <c r="A13425">
        <f ca="1">30293.920857876*((RANDBETWEEN(1620,2416)))</f>
        <v>70403072.073703781</v>
      </c>
      <c r="B13425">
        <v>186434949.19298398</v>
      </c>
    </row>
    <row r="13426" spans="1:2" x14ac:dyDescent="0.25">
      <c r="A13426">
        <f ca="1">30151.809636036*((RANDBETWEEN(1620,2416)))</f>
        <v>65429426.91019813</v>
      </c>
      <c r="B13426">
        <v>149983414.02001119</v>
      </c>
    </row>
    <row r="13427" spans="1:2" x14ac:dyDescent="0.25">
      <c r="A13427">
        <f ca="1">32916.3933931408*((RANDBETWEEN(1620,2416)))</f>
        <v>77748521.194598541</v>
      </c>
      <c r="B13427">
        <v>202017030.12668505</v>
      </c>
    </row>
    <row r="13428" spans="1:2" x14ac:dyDescent="0.25">
      <c r="A13428">
        <f ca="1">33352.2012983021*((RANDBETWEEN(1620,2416)))</f>
        <v>73141377.447176427</v>
      </c>
      <c r="B13428">
        <v>148165718.78373936</v>
      </c>
    </row>
    <row r="13429" spans="1:2" x14ac:dyDescent="0.25">
      <c r="A13429">
        <f ca="1">32472.0969630797*((RANDBETWEEN(1620,2416)))</f>
        <v>74945599.790788054</v>
      </c>
      <c r="B13429">
        <v>147499553.35742152</v>
      </c>
    </row>
    <row r="13430" spans="1:2" x14ac:dyDescent="0.25">
      <c r="A13430">
        <f ca="1">41966.0849847414*((RANDBETWEEN(1620,2416)))</f>
        <v>75748783.3974583</v>
      </c>
      <c r="B13430">
        <v>158584472.48849156</v>
      </c>
    </row>
    <row r="13431" spans="1:2" x14ac:dyDescent="0.25">
      <c r="A13431">
        <f ca="1">33083.9904400995*((RANDBETWEEN(1620,2416)))</f>
        <v>69046288.048487678</v>
      </c>
      <c r="B13431">
        <v>161727837.1806249</v>
      </c>
    </row>
    <row r="13432" spans="1:2" x14ac:dyDescent="0.25">
      <c r="A13432">
        <f ca="1">31675.8925730336*((RANDBETWEEN(1620,2416)))</f>
        <v>64016978.890100971</v>
      </c>
      <c r="B13432">
        <v>157867088.63314936</v>
      </c>
    </row>
    <row r="13433" spans="1:2" x14ac:dyDescent="0.25">
      <c r="A13433">
        <f ca="1">41697.5492010364*((RANDBETWEEN(1620,2416)))</f>
        <v>77599139.063128769</v>
      </c>
      <c r="B13433">
        <v>168434668.66970223</v>
      </c>
    </row>
    <row r="13434" spans="1:2" x14ac:dyDescent="0.25">
      <c r="A13434">
        <f ca="1">38368.8977122395*((RANDBETWEEN(1620,2416)))</f>
        <v>79577093.855184793</v>
      </c>
      <c r="B13434">
        <v>156404894.72666517</v>
      </c>
    </row>
    <row r="13435" spans="1:2" x14ac:dyDescent="0.25">
      <c r="A13435">
        <f ca="1">30440.4255821527*((RANDBETWEEN(1620,2416)))</f>
        <v>70104300.115697697</v>
      </c>
      <c r="B13435">
        <v>156101359.58321625</v>
      </c>
    </row>
    <row r="13436" spans="1:2" x14ac:dyDescent="0.25">
      <c r="A13436">
        <f ca="1">36398.4402501247*((RANDBETWEEN(1620,2416)))</f>
        <v>71704927.292745635</v>
      </c>
      <c r="B13436">
        <v>188899565.15462428</v>
      </c>
    </row>
    <row r="13437" spans="1:2" x14ac:dyDescent="0.25">
      <c r="A13437">
        <f ca="1">34941.0718172639*((RANDBETWEEN(1620,2416)))</f>
        <v>58386531.006647982</v>
      </c>
      <c r="B13437">
        <v>143259085.49795598</v>
      </c>
    </row>
    <row r="13438" spans="1:2" x14ac:dyDescent="0.25">
      <c r="A13438">
        <f ca="1">39182.21480882*((RANDBETWEEN(1620,2416)))</f>
        <v>93802222.25231497</v>
      </c>
      <c r="B13438">
        <v>170030699.0404042</v>
      </c>
    </row>
    <row r="13439" spans="1:2" x14ac:dyDescent="0.25">
      <c r="A13439">
        <f ca="1">33181.5807496372*((RANDBETWEEN(1620,2416)))</f>
        <v>77478991.050402895</v>
      </c>
      <c r="B13439">
        <v>175911803.91083139</v>
      </c>
    </row>
    <row r="13440" spans="1:2" x14ac:dyDescent="0.25">
      <c r="A13440">
        <f ca="1">32285.0369153067*((RANDBETWEEN(1620,2416)))</f>
        <v>66055185.528717436</v>
      </c>
      <c r="B13440">
        <v>145677135.9416835</v>
      </c>
    </row>
    <row r="13441" spans="1:2" x14ac:dyDescent="0.25">
      <c r="A13441">
        <f ca="1">33105.3000965273*((RANDBETWEEN(1620,2416)))</f>
        <v>76142190.222012788</v>
      </c>
      <c r="B13441">
        <v>165829256.6020394</v>
      </c>
    </row>
    <row r="13442" spans="1:2" x14ac:dyDescent="0.25">
      <c r="A13442">
        <f ca="1">30304.761879617*((RANDBETWEEN(1620,2416)))</f>
        <v>59063980.903373517</v>
      </c>
      <c r="B13442">
        <v>180908051.19255212</v>
      </c>
    </row>
    <row r="13443" spans="1:2" x14ac:dyDescent="0.25">
      <c r="A13443">
        <f ca="1">31508.6126300134*((RANDBETWEEN(1620,2416)))</f>
        <v>63237785.548436955</v>
      </c>
      <c r="B13443">
        <v>164402989.61368048</v>
      </c>
    </row>
    <row r="13444" spans="1:2" x14ac:dyDescent="0.25">
      <c r="A13444">
        <f ca="1">37893.3099066141*((RANDBETWEEN(1620,2416)))</f>
        <v>68473211.001251698</v>
      </c>
      <c r="B13444">
        <v>173009040.07983559</v>
      </c>
    </row>
    <row r="13445" spans="1:2" x14ac:dyDescent="0.25">
      <c r="A13445">
        <f ca="1">38546.8770628769*((RANDBETWEEN(1620,2416)))</f>
        <v>87617051.563919261</v>
      </c>
      <c r="B13445">
        <v>190297463.58657765</v>
      </c>
    </row>
    <row r="13446" spans="1:2" x14ac:dyDescent="0.25">
      <c r="A13446">
        <f ca="1">31243.8422683669*((RANDBETWEEN(1620,2416)))</f>
        <v>73298053.96158886</v>
      </c>
      <c r="B13446">
        <v>157386179.38378298</v>
      </c>
    </row>
    <row r="13447" spans="1:2" x14ac:dyDescent="0.25">
      <c r="A13447">
        <f ca="1">31164.2071377268*((RANDBETWEEN(1620,2416)))</f>
        <v>56625364.36924962</v>
      </c>
      <c r="B13447">
        <v>191435874.33888918</v>
      </c>
    </row>
    <row r="13448" spans="1:2" x14ac:dyDescent="0.25">
      <c r="A13448">
        <f ca="1">31735.8556844182*((RANDBETWEEN(1620,2416)))</f>
        <v>74357109.868591815</v>
      </c>
      <c r="B13448">
        <v>176442583.76050633</v>
      </c>
    </row>
    <row r="13449" spans="1:2" x14ac:dyDescent="0.25">
      <c r="A13449">
        <f ca="1">32277.810940093*((RANDBETWEEN(1620,2416)))</f>
        <v>66589123.969411902</v>
      </c>
      <c r="B13449">
        <v>153237470.59200174</v>
      </c>
    </row>
    <row r="13450" spans="1:2" x14ac:dyDescent="0.25">
      <c r="A13450">
        <f ca="1">30849.7067616266*((RANDBETWEEN(1620,2416)))</f>
        <v>72311712.649252847</v>
      </c>
      <c r="B13450">
        <v>190648315.2355924</v>
      </c>
    </row>
    <row r="13451" spans="1:2" x14ac:dyDescent="0.25">
      <c r="A13451">
        <f ca="1">32492.8936259898*((RANDBETWEEN(1620,2416)))</f>
        <v>64595872.528467715</v>
      </c>
      <c r="B13451">
        <v>199246472.15632609</v>
      </c>
    </row>
    <row r="13452" spans="1:2" x14ac:dyDescent="0.25">
      <c r="A13452">
        <f ca="1">31015.4029270226*((RANDBETWEEN(1620,2416)))</f>
        <v>65380469.370163567</v>
      </c>
      <c r="B13452">
        <v>185820625.33969921</v>
      </c>
    </row>
    <row r="13453" spans="1:2" x14ac:dyDescent="0.25">
      <c r="A13453">
        <f ca="1">31918.3289626799*((RANDBETWEEN(1620,2416)))</f>
        <v>62719516.411665969</v>
      </c>
      <c r="B13453">
        <v>158578484.49628726</v>
      </c>
    </row>
    <row r="13454" spans="1:2" x14ac:dyDescent="0.25">
      <c r="A13454">
        <f ca="1">28537.6436976746*((RANDBETWEEN(1620,2416)))</f>
        <v>56247695.728116654</v>
      </c>
      <c r="B13454">
        <v>167857500.53684494</v>
      </c>
    </row>
    <row r="13455" spans="1:2" x14ac:dyDescent="0.25">
      <c r="A13455">
        <f ca="1">32332.4761116902*((RANDBETWEEN(1620,2416)))</f>
        <v>75884321.434136838</v>
      </c>
      <c r="B13455">
        <v>196198988.60506564</v>
      </c>
    </row>
    <row r="13456" spans="1:2" x14ac:dyDescent="0.25">
      <c r="A13456">
        <f ca="1">37247.5042445691*((RANDBETWEEN(1620,2416)))</f>
        <v>63581489.745479427</v>
      </c>
      <c r="B13456">
        <v>148556590.31933847</v>
      </c>
    </row>
    <row r="13457" spans="1:2" x14ac:dyDescent="0.25">
      <c r="A13457">
        <f ca="1">39919.9444446692*((RANDBETWEEN(1620,2416)))</f>
        <v>93532429.833859846</v>
      </c>
      <c r="B13457">
        <v>151114391.13862157</v>
      </c>
    </row>
    <row r="13458" spans="1:2" x14ac:dyDescent="0.25">
      <c r="A13458">
        <f ca="1">30147.6465956802*((RANDBETWEEN(1620,2416)))</f>
        <v>70575640.680487275</v>
      </c>
      <c r="B13458">
        <v>188999573.09530175</v>
      </c>
    </row>
    <row r="13459" spans="1:2" x14ac:dyDescent="0.25">
      <c r="A13459">
        <f ca="1">41086.5703097647*((RANDBETWEEN(1620,2416)))</f>
        <v>88623732.15816246</v>
      </c>
      <c r="B13459">
        <v>201398563.35339195</v>
      </c>
    </row>
    <row r="13460" spans="1:2" x14ac:dyDescent="0.25">
      <c r="A13460">
        <f ca="1">28253.287192019*((RANDBETWEEN(1620,2416)))</f>
        <v>62241991.684017837</v>
      </c>
      <c r="B13460">
        <v>156808878.51741099</v>
      </c>
    </row>
    <row r="13461" spans="1:2" x14ac:dyDescent="0.25">
      <c r="A13461">
        <f ca="1">30333.4863048261*((RANDBETWEEN(1620,2416)))</f>
        <v>60818640.041176341</v>
      </c>
      <c r="B13461">
        <v>179549595.16706797</v>
      </c>
    </row>
    <row r="13462" spans="1:2" x14ac:dyDescent="0.25">
      <c r="A13462">
        <f ca="1">31643.1512375122*((RANDBETWEEN(1620,2416)))</f>
        <v>59963771.595085621</v>
      </c>
      <c r="B13462">
        <v>154670705.39164436</v>
      </c>
    </row>
    <row r="13463" spans="1:2" x14ac:dyDescent="0.25">
      <c r="A13463">
        <f ca="1">37714.9837970856*((RANDBETWEEN(1620,2416)))</f>
        <v>70489304.716752961</v>
      </c>
      <c r="B13463">
        <v>167767905.40645871</v>
      </c>
    </row>
    <row r="13464" spans="1:2" x14ac:dyDescent="0.25">
      <c r="A13464">
        <f ca="1">30640.7559770183*((RANDBETWEEN(1620,2416)))</f>
        <v>63702131.676221028</v>
      </c>
      <c r="B13464">
        <v>182190727.75949788</v>
      </c>
    </row>
    <row r="13465" spans="1:2" x14ac:dyDescent="0.25">
      <c r="A13465">
        <f ca="1">29340.8904071033*((RANDBETWEEN(1620,2416)))</f>
        <v>60941029.375553511</v>
      </c>
      <c r="B13465">
        <v>148196818.80479956</v>
      </c>
    </row>
    <row r="13466" spans="1:2" x14ac:dyDescent="0.25">
      <c r="A13466">
        <f ca="1">31830.4962005364*((RANDBETWEEN(1620,2416)))</f>
        <v>76265868.89648515</v>
      </c>
      <c r="B13466">
        <v>179222141.9158389</v>
      </c>
    </row>
    <row r="13467" spans="1:2" x14ac:dyDescent="0.25">
      <c r="A13467">
        <f ca="1">33606.3949345275*((RANDBETWEEN(1620,2416)))</f>
        <v>70270971.80809699</v>
      </c>
      <c r="B13467">
        <v>190473941.28542104</v>
      </c>
    </row>
    <row r="13468" spans="1:2" x14ac:dyDescent="0.25">
      <c r="A13468">
        <f ca="1">31422.9889939582*((RANDBETWEEN(1620,2416)))</f>
        <v>51030934.126188129</v>
      </c>
      <c r="B13468">
        <v>182211534.29276416</v>
      </c>
    </row>
    <row r="13469" spans="1:2" x14ac:dyDescent="0.25">
      <c r="A13469">
        <f ca="1">35308.8009568624*((RANDBETWEEN(1620,2416)))</f>
        <v>61790401.674509116</v>
      </c>
      <c r="B13469">
        <v>152107244.90117997</v>
      </c>
    </row>
    <row r="13470" spans="1:2" x14ac:dyDescent="0.25">
      <c r="A13470">
        <f ca="1">38443.9560919438*((RANDBETWEEN(1620,2416)))</f>
        <v>66162048.434235334</v>
      </c>
      <c r="B13470">
        <v>196032996.56776851</v>
      </c>
    </row>
    <row r="13471" spans="1:2" x14ac:dyDescent="0.25">
      <c r="A13471">
        <f ca="1">41765.7089884618*((RANDBETWEEN(1620,2416)))</f>
        <v>93304593.880223706</v>
      </c>
      <c r="B13471">
        <v>172171234.02160686</v>
      </c>
    </row>
    <row r="13472" spans="1:2" x14ac:dyDescent="0.25">
      <c r="A13472">
        <f ca="1">36650.5316432405*((RANDBETWEEN(1620,2416)))</f>
        <v>64688188.350319475</v>
      </c>
      <c r="B13472">
        <v>197319428.90132448</v>
      </c>
    </row>
    <row r="13473" spans="1:2" x14ac:dyDescent="0.25">
      <c r="A13473">
        <f ca="1">33481.7744272146*((RANDBETWEEN(1620,2416)))</f>
        <v>63314035.441862866</v>
      </c>
      <c r="B13473">
        <v>150246051.76542509</v>
      </c>
    </row>
    <row r="13474" spans="1:2" x14ac:dyDescent="0.25">
      <c r="A13474">
        <f ca="1">30704.5608903179*((RANDBETWEEN(1620,2416)))</f>
        <v>54316368.214972436</v>
      </c>
      <c r="B13474">
        <v>197951332.14308566</v>
      </c>
    </row>
    <row r="13475" spans="1:2" x14ac:dyDescent="0.25">
      <c r="A13475">
        <f ca="1">36322.3918779447*((RANDBETWEEN(1620,2416)))</f>
        <v>86374647.885752484</v>
      </c>
      <c r="B13475">
        <v>148146683.69547701</v>
      </c>
    </row>
    <row r="13476" spans="1:2" x14ac:dyDescent="0.25">
      <c r="A13476">
        <f ca="1">30750.7277282037*((RANDBETWEEN(1620,2416)))</f>
        <v>65960310.976996928</v>
      </c>
      <c r="B13476">
        <v>162131899.70043832</v>
      </c>
    </row>
    <row r="13477" spans="1:2" x14ac:dyDescent="0.25">
      <c r="A13477">
        <f ca="1">36118.6772918397*((RANDBETWEEN(1620,2416)))</f>
        <v>80544650.360802427</v>
      </c>
      <c r="B13477">
        <v>146165436.66354299</v>
      </c>
    </row>
    <row r="13478" spans="1:2" x14ac:dyDescent="0.25">
      <c r="A13478">
        <f ca="1">31761.8130233161*((RANDBETWEEN(1620,2416)))</f>
        <v>68541992.504316106</v>
      </c>
      <c r="B13478">
        <v>162080086.69785643</v>
      </c>
    </row>
    <row r="13479" spans="1:2" x14ac:dyDescent="0.25">
      <c r="A13479">
        <f ca="1">37485.8186357789*((RANDBETWEEN(1620,2416)))</f>
        <v>63650920.043552622</v>
      </c>
      <c r="B13479">
        <v>153705794.86348552</v>
      </c>
    </row>
    <row r="13480" spans="1:2" x14ac:dyDescent="0.25">
      <c r="A13480">
        <f ca="1">35714.0045978009*((RANDBETWEEN(1620,2416)))</f>
        <v>60070955.733501099</v>
      </c>
      <c r="B13480">
        <v>195324952.00344989</v>
      </c>
    </row>
    <row r="13481" spans="1:2" x14ac:dyDescent="0.25">
      <c r="A13481">
        <f ca="1">32605.4162633045*((RANDBETWEEN(1620,2416)))</f>
        <v>68471374.152939364</v>
      </c>
      <c r="B13481">
        <v>172133339.48803037</v>
      </c>
    </row>
    <row r="13482" spans="1:2" x14ac:dyDescent="0.25">
      <c r="A13482">
        <f ca="1">32243.3071989036*((RANDBETWEEN(1620,2416)))</f>
        <v>76545611.290197089</v>
      </c>
      <c r="B13482">
        <v>149981054.6869601</v>
      </c>
    </row>
    <row r="13483" spans="1:2" x14ac:dyDescent="0.25">
      <c r="A13483">
        <f ca="1">37055.2734842554*((RANDBETWEEN(1620,2416)))</f>
        <v>82966757.331247732</v>
      </c>
      <c r="B13483">
        <v>199809697.95832831</v>
      </c>
    </row>
    <row r="13484" spans="1:2" x14ac:dyDescent="0.25">
      <c r="A13484">
        <f ca="1">32667.2431534867*((RANDBETWEEN(1620,2416)))</f>
        <v>62949777.556768857</v>
      </c>
      <c r="B13484">
        <v>191938169.99151528</v>
      </c>
    </row>
    <row r="13485" spans="1:2" x14ac:dyDescent="0.25">
      <c r="A13485">
        <f ca="1">35238.7788705895*((RANDBETWEEN(1620,2416)))</f>
        <v>66284143.055578768</v>
      </c>
      <c r="B13485">
        <v>157260922.12814382</v>
      </c>
    </row>
    <row r="13486" spans="1:2" x14ac:dyDescent="0.25">
      <c r="A13486">
        <f ca="1">39426.6998949234*((RANDBETWEEN(1620,2416)))</f>
        <v>80193907.586274266</v>
      </c>
      <c r="B13486">
        <v>168495430.70869792</v>
      </c>
    </row>
    <row r="13487" spans="1:2" x14ac:dyDescent="0.25">
      <c r="A13487">
        <f ca="1">30387.6566564393*((RANDBETWEEN(1620,2416)))</f>
        <v>68433002.790301234</v>
      </c>
      <c r="B13487">
        <v>201432744.10527578</v>
      </c>
    </row>
    <row r="13488" spans="1:2" x14ac:dyDescent="0.25">
      <c r="A13488">
        <f ca="1">39946.7000325817*((RANDBETWEEN(1620,2416)))</f>
        <v>75898730.061905235</v>
      </c>
      <c r="B13488">
        <v>177258428.12930095</v>
      </c>
    </row>
    <row r="13489" spans="1:2" x14ac:dyDescent="0.25">
      <c r="A13489">
        <f ca="1">37050.272651351*((RANDBETWEEN(1620,2416)))</f>
        <v>77805572.567837179</v>
      </c>
      <c r="B13489">
        <v>166614284.43771774</v>
      </c>
    </row>
    <row r="13490" spans="1:2" x14ac:dyDescent="0.25">
      <c r="A13490">
        <f ca="1">34951.7419560039*((RANDBETWEEN(1620,2416)))</f>
        <v>57006291.13024243</v>
      </c>
      <c r="B13490">
        <v>156470451.82226992</v>
      </c>
    </row>
    <row r="13491" spans="1:2" x14ac:dyDescent="0.25">
      <c r="A13491">
        <f ca="1">30775.1020734586*((RANDBETWEEN(1620,2416)))</f>
        <v>64627714.35426297</v>
      </c>
      <c r="B13491">
        <v>154906824.66623753</v>
      </c>
    </row>
    <row r="13492" spans="1:2" x14ac:dyDescent="0.25">
      <c r="A13492">
        <f ca="1">37660.676769151*((RANDBETWEEN(1620,2416)))</f>
        <v>74944746.770610482</v>
      </c>
      <c r="B13492">
        <v>172907053.40262142</v>
      </c>
    </row>
    <row r="13493" spans="1:2" x14ac:dyDescent="0.25">
      <c r="A13493">
        <f ca="1">30972.2257127291*((RANDBETWEEN(1620,2416)))</f>
        <v>65134590.673869304</v>
      </c>
      <c r="B13493">
        <v>191754978.81691769</v>
      </c>
    </row>
    <row r="13494" spans="1:2" x14ac:dyDescent="0.25">
      <c r="A13494">
        <f ca="1">30745.48173173*((RANDBETWEEN(1620,2416)))</f>
        <v>73082010.076322094</v>
      </c>
      <c r="B13494">
        <v>164500285.58082113</v>
      </c>
    </row>
    <row r="13495" spans="1:2" x14ac:dyDescent="0.25">
      <c r="A13495">
        <f ca="1">28140.0997752708*((RANDBETWEEN(1620,2416)))</f>
        <v>61176576.911438815</v>
      </c>
      <c r="B13495">
        <v>196439498.92348602</v>
      </c>
    </row>
    <row r="13496" spans="1:2" x14ac:dyDescent="0.25">
      <c r="A13496">
        <f ca="1">36341.3626459273*((RANDBETWEEN(1620,2416)))</f>
        <v>66250304.103525549</v>
      </c>
      <c r="B13496">
        <v>188908384.90877622</v>
      </c>
    </row>
    <row r="13497" spans="1:2" x14ac:dyDescent="0.25">
      <c r="A13497">
        <f ca="1">31855.4290270573*((RANDBETWEEN(1620,2416)))</f>
        <v>71228739.304500103</v>
      </c>
      <c r="B13497">
        <v>143607041.66010848</v>
      </c>
    </row>
    <row r="13498" spans="1:2" x14ac:dyDescent="0.25">
      <c r="A13498">
        <f ca="1">32170.9516353758*((RANDBETWEEN(1620,2416)))</f>
        <v>76438181.085653022</v>
      </c>
      <c r="B13498">
        <v>172126650.66627884</v>
      </c>
    </row>
    <row r="13499" spans="1:2" x14ac:dyDescent="0.25">
      <c r="A13499">
        <f ca="1">31627.2197112283*((RANDBETWEEN(1620,2416)))</f>
        <v>57371776.556168169</v>
      </c>
      <c r="B13499">
        <v>154744368.93067282</v>
      </c>
    </row>
    <row r="13500" spans="1:2" x14ac:dyDescent="0.25">
      <c r="A13500">
        <f ca="1">31896.5668493727*((RANDBETWEEN(1620,2416)))</f>
        <v>76775036.406439975</v>
      </c>
      <c r="B13500">
        <v>167432273.06644017</v>
      </c>
    </row>
    <row r="13501" spans="1:2" x14ac:dyDescent="0.25">
      <c r="A13501">
        <f ca="1">30761.2359528555*((RANDBETWEEN(1620,2416)))</f>
        <v>56508390.44539547</v>
      </c>
      <c r="B13501">
        <v>187343293.48826724</v>
      </c>
    </row>
    <row r="13502" spans="1:2" x14ac:dyDescent="0.25">
      <c r="A13502">
        <f ca="1">34341.7243541012*((RANDBETWEEN(1620,2416)))</f>
        <v>68030955.945474476</v>
      </c>
      <c r="B13502">
        <v>197742773.63224149</v>
      </c>
    </row>
    <row r="13503" spans="1:2" x14ac:dyDescent="0.25">
      <c r="A13503">
        <f ca="1">32995.907256309*((RANDBETWEEN(1620,2416)))</f>
        <v>74669738.121027321</v>
      </c>
      <c r="B13503">
        <v>166455625.28865975</v>
      </c>
    </row>
    <row r="13504" spans="1:2" x14ac:dyDescent="0.25">
      <c r="A13504">
        <f ca="1">29768.4431127264*((RANDBETWEEN(1620,2416)))</f>
        <v>56470736.584842049</v>
      </c>
      <c r="B13504">
        <v>169438308.01610273</v>
      </c>
    </row>
    <row r="13505" spans="1:2" x14ac:dyDescent="0.25">
      <c r="A13505">
        <f ca="1">33642.9879907558*((RANDBETWEEN(1620,2416)))</f>
        <v>65872970.485899813</v>
      </c>
      <c r="B13505">
        <v>155337327.38444731</v>
      </c>
    </row>
    <row r="13506" spans="1:2" x14ac:dyDescent="0.25">
      <c r="A13506">
        <f ca="1">33064.8684224701*((RANDBETWEEN(1620,2416)))</f>
        <v>56309470.923466541</v>
      </c>
      <c r="B13506">
        <v>173492715.85063559</v>
      </c>
    </row>
    <row r="13507" spans="1:2" x14ac:dyDescent="0.25">
      <c r="A13507">
        <f ca="1">27959.5509802871*((RANDBETWEEN(1620,2416)))</f>
        <v>54772760.370382369</v>
      </c>
      <c r="B13507">
        <v>175880158.45136821</v>
      </c>
    </row>
    <row r="13508" spans="1:2" x14ac:dyDescent="0.25">
      <c r="A13508">
        <f ca="1">29871.9836041726*((RANDBETWEEN(1620,2416)))</f>
        <v>63537709.126075059</v>
      </c>
      <c r="B13508">
        <v>193914448.21291646</v>
      </c>
    </row>
    <row r="13509" spans="1:2" x14ac:dyDescent="0.25">
      <c r="A13509">
        <f ca="1">33649.2958632423*((RANDBETWEEN(1620,2416)))</f>
        <v>67836980.460296556</v>
      </c>
      <c r="B13509">
        <v>143266572.11592269</v>
      </c>
    </row>
    <row r="13510" spans="1:2" x14ac:dyDescent="0.25">
      <c r="A13510">
        <f ca="1">39698.2164722338*((RANDBETWEEN(1620,2416)))</f>
        <v>66534210.807463981</v>
      </c>
      <c r="B13510">
        <v>167458826.94658256</v>
      </c>
    </row>
    <row r="13511" spans="1:2" x14ac:dyDescent="0.25">
      <c r="A13511">
        <f ca="1">33315.0204797387*((RANDBETWEEN(1620,2416)))</f>
        <v>61632787.887516655</v>
      </c>
      <c r="B13511">
        <v>165334882.86498982</v>
      </c>
    </row>
    <row r="13512" spans="1:2" x14ac:dyDescent="0.25">
      <c r="A13512">
        <f ca="1">31454.2649250033*((RANDBETWEEN(1620,2416)))</f>
        <v>66274136.196982011</v>
      </c>
      <c r="B13512">
        <v>188956030.17020532</v>
      </c>
    </row>
    <row r="13513" spans="1:2" x14ac:dyDescent="0.25">
      <c r="A13513">
        <f ca="1">33542.7947019736*((RANDBETWEEN(1620,2416)))</f>
        <v>69265871.059575558</v>
      </c>
      <c r="B13513">
        <v>154249487.24147686</v>
      </c>
    </row>
    <row r="13514" spans="1:2" x14ac:dyDescent="0.25">
      <c r="A13514">
        <f ca="1">31486.4053972749*((RANDBETWEEN(1620,2416)))</f>
        <v>58155390.768766768</v>
      </c>
      <c r="B13514">
        <v>146761355.64216745</v>
      </c>
    </row>
    <row r="13515" spans="1:2" x14ac:dyDescent="0.25">
      <c r="A13515">
        <f ca="1">30770.4922679486*((RANDBETWEEN(1620,2416)))</f>
        <v>61233279.613217659</v>
      </c>
      <c r="B13515">
        <v>172018846.48289853</v>
      </c>
    </row>
    <row r="13516" spans="1:2" x14ac:dyDescent="0.25">
      <c r="A13516">
        <f ca="1">36043.1531407946*((RANDBETWEEN(1620,2416)))</f>
        <v>84340978.34945941</v>
      </c>
      <c r="B13516">
        <v>147660590.68229896</v>
      </c>
    </row>
    <row r="13517" spans="1:2" x14ac:dyDescent="0.25">
      <c r="A13517">
        <f ca="1">36916.838445672*((RANDBETWEEN(1620,2416)))</f>
        <v>65933473.463970274</v>
      </c>
      <c r="B13517">
        <v>191646177.8666656</v>
      </c>
    </row>
    <row r="13518" spans="1:2" x14ac:dyDescent="0.25">
      <c r="A13518">
        <f ca="1">31383.909706911*((RANDBETWEEN(1620,2416)))</f>
        <v>60445410.095510542</v>
      </c>
      <c r="B13518">
        <v>149214817.58520406</v>
      </c>
    </row>
    <row r="13519" spans="1:2" x14ac:dyDescent="0.25">
      <c r="A13519">
        <f ca="1">37186.2200550209*((RANDBETWEEN(1620,2416)))</f>
        <v>79615697.137799785</v>
      </c>
      <c r="B13519">
        <v>164372070.49630776</v>
      </c>
    </row>
    <row r="13520" spans="1:2" x14ac:dyDescent="0.25">
      <c r="A13520">
        <f ca="1">32259.3974523143*((RANDBETWEEN(1620,2416)))</f>
        <v>75164396.06389223</v>
      </c>
      <c r="B13520">
        <v>175318192.88309479</v>
      </c>
    </row>
    <row r="13521" spans="1:2" x14ac:dyDescent="0.25">
      <c r="A13521">
        <f ca="1">30539.5393234948*((RANDBETWEEN(1620,2416)))</f>
        <v>58941310.894344874</v>
      </c>
      <c r="B13521">
        <v>151341656.46874794</v>
      </c>
    </row>
    <row r="13522" spans="1:2" x14ac:dyDescent="0.25">
      <c r="A13522">
        <f ca="1">37636.8867872233*((RANDBETWEEN(1620,2416)))</f>
        <v>66767837.160534151</v>
      </c>
      <c r="B13522">
        <v>202645523.03511032</v>
      </c>
    </row>
    <row r="13523" spans="1:2" x14ac:dyDescent="0.25">
      <c r="A13523">
        <f ca="1">39758.4739701763*((RANDBETWEEN(1620,2416)))</f>
        <v>86116854.619401768</v>
      </c>
      <c r="B13523">
        <v>162881130.91824475</v>
      </c>
    </row>
    <row r="13524" spans="1:2" x14ac:dyDescent="0.25">
      <c r="A13524">
        <f ca="1">35940.7637586803*((RANDBETWEEN(1620,2416)))</f>
        <v>60632068.460893601</v>
      </c>
      <c r="B13524">
        <v>201631056.66035727</v>
      </c>
    </row>
    <row r="13525" spans="1:2" x14ac:dyDescent="0.25">
      <c r="A13525">
        <f ca="1">32681.9266467004*((RANDBETWEEN(1620,2416)))</f>
        <v>64612168.980526663</v>
      </c>
      <c r="B13525">
        <v>172245443.27618682</v>
      </c>
    </row>
    <row r="13526" spans="1:2" x14ac:dyDescent="0.25">
      <c r="A13526">
        <f ca="1">31850.085409038*((RANDBETWEEN(1620,2416)))</f>
        <v>75198051.650738746</v>
      </c>
      <c r="B13526">
        <v>150677962.01946837</v>
      </c>
    </row>
    <row r="13527" spans="1:2" x14ac:dyDescent="0.25">
      <c r="A13527">
        <f ca="1">32068.359243184*((RANDBETWEEN(1620,2416)))</f>
        <v>72185876.656407207</v>
      </c>
      <c r="B13527">
        <v>145271108.46481451</v>
      </c>
    </row>
    <row r="13528" spans="1:2" x14ac:dyDescent="0.25">
      <c r="A13528">
        <f ca="1">38770.4027350206*((RANDBETWEEN(1620,2416)))</f>
        <v>68468531.230046451</v>
      </c>
      <c r="B13528">
        <v>159995800.1788089</v>
      </c>
    </row>
    <row r="13529" spans="1:2" x14ac:dyDescent="0.25">
      <c r="A13529">
        <f ca="1">39730.0033299076*((RANDBETWEEN(1620,2416)))</f>
        <v>73460776.156999156</v>
      </c>
      <c r="B13529">
        <v>160053023.11654413</v>
      </c>
    </row>
    <row r="13530" spans="1:2" x14ac:dyDescent="0.25">
      <c r="A13530">
        <f ca="1">33082.8241903083*((RANDBETWEEN(1620,2416)))</f>
        <v>66926553.336993657</v>
      </c>
      <c r="B13530">
        <v>166042254.63224143</v>
      </c>
    </row>
    <row r="13531" spans="1:2" x14ac:dyDescent="0.25">
      <c r="A13531">
        <f ca="1">37251.236604565*((RANDBETWEEN(1620,2416)))</f>
        <v>61017525.558277465</v>
      </c>
      <c r="B13531">
        <v>148013500.16732648</v>
      </c>
    </row>
    <row r="13532" spans="1:2" x14ac:dyDescent="0.25">
      <c r="A13532">
        <f ca="1">32155.2837611236*((RANDBETWEEN(1620,2416)))</f>
        <v>53699323.881076463</v>
      </c>
      <c r="B13532">
        <v>191257778.87500611</v>
      </c>
    </row>
    <row r="13533" spans="1:2" x14ac:dyDescent="0.25">
      <c r="A13533">
        <f ca="1">37919.7291090301*((RANDBETWEEN(1620,2416)))</f>
        <v>91348627.423653409</v>
      </c>
      <c r="B13533">
        <v>197712066.80964679</v>
      </c>
    </row>
    <row r="13534" spans="1:2" x14ac:dyDescent="0.25">
      <c r="A13534">
        <f ca="1">32103.4903237194*((RANDBETWEEN(1620,2416)))</f>
        <v>68958297.215349197</v>
      </c>
      <c r="B13534">
        <v>184775879.48881707</v>
      </c>
    </row>
    <row r="13535" spans="1:2" x14ac:dyDescent="0.25">
      <c r="A13535">
        <f ca="1">32026.9787774783*((RANDBETWEEN(1620,2416)))</f>
        <v>53709243.409831151</v>
      </c>
      <c r="B13535">
        <v>164476146.94419968</v>
      </c>
    </row>
    <row r="13536" spans="1:2" x14ac:dyDescent="0.25">
      <c r="A13536">
        <f ca="1">39443.7740382359*((RANDBETWEEN(1620,2416)))</f>
        <v>76915359.374559969</v>
      </c>
      <c r="B13536">
        <v>148017600.58634749</v>
      </c>
    </row>
    <row r="13537" spans="1:2" x14ac:dyDescent="0.25">
      <c r="A13537">
        <f ca="1">30945.3716751814*((RANDBETWEEN(1620,2416)))</f>
        <v>70864901.136165291</v>
      </c>
      <c r="B13537">
        <v>182936027.21426678</v>
      </c>
    </row>
    <row r="13538" spans="1:2" x14ac:dyDescent="0.25">
      <c r="A13538">
        <f ca="1">35686.8437692687*((RANDBETWEEN(1620,2416)))</f>
        <v>75584735.103311017</v>
      </c>
      <c r="B13538">
        <v>176870137.24904215</v>
      </c>
    </row>
    <row r="13539" spans="1:2" x14ac:dyDescent="0.25">
      <c r="A13539">
        <f ca="1">33745.6591560583*((RANDBETWEEN(1620,2416)))</f>
        <v>69786023.134728521</v>
      </c>
      <c r="B13539">
        <v>161981440.59829971</v>
      </c>
    </row>
    <row r="13540" spans="1:2" x14ac:dyDescent="0.25">
      <c r="A13540">
        <f ca="1">36333.5954522181*((RANDBETWEEN(1620,2416)))</f>
        <v>68016490.686552346</v>
      </c>
      <c r="B13540">
        <v>153220560.40479979</v>
      </c>
    </row>
    <row r="13541" spans="1:2" x14ac:dyDescent="0.25">
      <c r="A13541">
        <f ca="1">29526.8961971564*((RANDBETWEEN(1620,2416)))</f>
        <v>69063410.20514892</v>
      </c>
      <c r="B13541">
        <v>170072306.17380294</v>
      </c>
    </row>
    <row r="13542" spans="1:2" x14ac:dyDescent="0.25">
      <c r="A13542">
        <f ca="1">29668.0025991247*((RANDBETWEEN(1620,2416)))</f>
        <v>66693669.842832349</v>
      </c>
      <c r="B13542">
        <v>145480920.94751635</v>
      </c>
    </row>
    <row r="13543" spans="1:2" x14ac:dyDescent="0.25">
      <c r="A13543">
        <f ca="1">29164.4323744347*((RANDBETWEEN(1620,2416)))</f>
        <v>52087676.220740452</v>
      </c>
      <c r="B13543">
        <v>166573675.87639326</v>
      </c>
    </row>
    <row r="13544" spans="1:2" x14ac:dyDescent="0.25">
      <c r="A13544">
        <f ca="1">32405.0597335468*((RANDBETWEEN(1620,2416)))</f>
        <v>66203537.035636149</v>
      </c>
      <c r="B13544">
        <v>157519249.03228474</v>
      </c>
    </row>
    <row r="13545" spans="1:2" x14ac:dyDescent="0.25">
      <c r="A13545">
        <f ca="1">30531.5417718816*((RANDBETWEEN(1620,2416)))</f>
        <v>65764940.976632953</v>
      </c>
      <c r="B13545">
        <v>167033243.2917434</v>
      </c>
    </row>
    <row r="13546" spans="1:2" x14ac:dyDescent="0.25">
      <c r="A13546">
        <f ca="1">31246.6442950443*((RANDBETWEEN(1620,2416)))</f>
        <v>65867926.173953377</v>
      </c>
      <c r="B13546">
        <v>154071932.35180441</v>
      </c>
    </row>
    <row r="13547" spans="1:2" x14ac:dyDescent="0.25">
      <c r="A13547">
        <f ca="1">32262.8064763458*((RANDBETWEEN(1620,2416)))</f>
        <v>73752775.604926571</v>
      </c>
      <c r="B13547">
        <v>196926108.35955793</v>
      </c>
    </row>
    <row r="13548" spans="1:2" x14ac:dyDescent="0.25">
      <c r="A13548">
        <f ca="1">33908.2012840575*((RANDBETWEEN(1620,2416)))</f>
        <v>59339352.247100644</v>
      </c>
      <c r="B13548">
        <v>165093040.7676751</v>
      </c>
    </row>
    <row r="13549" spans="1:2" x14ac:dyDescent="0.25">
      <c r="A13549">
        <f ca="1">42361.1899665207*((RANDBETWEEN(1620,2416)))</f>
        <v>84341129.223342702</v>
      </c>
      <c r="B13549">
        <v>183966089.21990046</v>
      </c>
    </row>
    <row r="13550" spans="1:2" x14ac:dyDescent="0.25">
      <c r="A13550">
        <f ca="1">31662.3958396144*((RANDBETWEEN(1620,2416)))</f>
        <v>64274663.554417148</v>
      </c>
      <c r="B13550">
        <v>151373495.20094147</v>
      </c>
    </row>
    <row r="13551" spans="1:2" x14ac:dyDescent="0.25">
      <c r="A13551">
        <f ca="1">31970.8955309271*((RANDBETWEEN(1620,2416)))</f>
        <v>60137254.493673839</v>
      </c>
      <c r="B13551">
        <v>197672014.71711332</v>
      </c>
    </row>
    <row r="13552" spans="1:2" x14ac:dyDescent="0.25">
      <c r="A13552">
        <f ca="1">30711.9430743115*((RANDBETWEEN(1620,2416)))</f>
        <v>73340120.061455905</v>
      </c>
      <c r="B13552">
        <v>201025394.01586282</v>
      </c>
    </row>
    <row r="13553" spans="1:2" x14ac:dyDescent="0.25">
      <c r="A13553">
        <f ca="1">32745.3850596922*((RANDBETWEEN(1620,2416)))</f>
        <v>76984400.27533634</v>
      </c>
      <c r="B13553">
        <v>150525003.19386792</v>
      </c>
    </row>
    <row r="13554" spans="1:2" x14ac:dyDescent="0.25">
      <c r="A13554">
        <f ca="1">38111.0366329725*((RANDBETWEEN(1620,2416)))</f>
        <v>79690177.599545449</v>
      </c>
      <c r="B13554">
        <v>169463975.85730374</v>
      </c>
    </row>
    <row r="13555" spans="1:2" x14ac:dyDescent="0.25">
      <c r="A13555">
        <f ca="1">31916.8126427795*((RANDBETWEEN(1620,2416)))</f>
        <v>70919157.692255989</v>
      </c>
      <c r="B13555">
        <v>200400184.86175963</v>
      </c>
    </row>
    <row r="13556" spans="1:2" x14ac:dyDescent="0.25">
      <c r="A13556">
        <f ca="1">31271.6793359861*((RANDBETWEEN(1620,2416)))</f>
        <v>66045786.757602654</v>
      </c>
      <c r="B13556">
        <v>145085414.10196117</v>
      </c>
    </row>
    <row r="13557" spans="1:2" x14ac:dyDescent="0.25">
      <c r="A13557">
        <f ca="1">31650.4925544894*((RANDBETWEEN(1620,2416)))</f>
        <v>54565449.16393967</v>
      </c>
      <c r="B13557">
        <v>164543151.44132423</v>
      </c>
    </row>
    <row r="13558" spans="1:2" x14ac:dyDescent="0.25">
      <c r="A13558">
        <f ca="1">32403.0479648974*((RANDBETWEEN(1620,2416)))</f>
        <v>59167965.583902732</v>
      </c>
      <c r="B13558">
        <v>181323206.44180122</v>
      </c>
    </row>
    <row r="13559" spans="1:2" x14ac:dyDescent="0.25">
      <c r="A13559">
        <f ca="1">31929.0844479691*((RANDBETWEEN(1620,2416)))</f>
        <v>65550410.371680498</v>
      </c>
      <c r="B13559">
        <v>173834267.59816906</v>
      </c>
    </row>
    <row r="13560" spans="1:2" x14ac:dyDescent="0.25">
      <c r="A13560">
        <f ca="1">36974.5951986714*((RANDBETWEEN(1620,2416)))</f>
        <v>68550899.498336688</v>
      </c>
      <c r="B13560">
        <v>183343519.76564074</v>
      </c>
    </row>
    <row r="13561" spans="1:2" x14ac:dyDescent="0.25">
      <c r="A13561">
        <f ca="1">37381.3096040464*((RANDBETWEEN(1620,2416)))</f>
        <v>89154423.405650735</v>
      </c>
      <c r="B13561">
        <v>192166324.81288874</v>
      </c>
    </row>
    <row r="13562" spans="1:2" x14ac:dyDescent="0.25">
      <c r="A13562">
        <f ca="1">29314.380338067*((RANDBETWEEN(1620,2416)))</f>
        <v>66279813.94436948</v>
      </c>
      <c r="B13562">
        <v>156913447.39314121</v>
      </c>
    </row>
    <row r="13563" spans="1:2" x14ac:dyDescent="0.25">
      <c r="A13563">
        <f ca="1">32244.0108643274*((RANDBETWEEN(1620,2416)))</f>
        <v>76805233.878827929</v>
      </c>
      <c r="B13563">
        <v>173745080.09991553</v>
      </c>
    </row>
    <row r="13564" spans="1:2" x14ac:dyDescent="0.25">
      <c r="A13564">
        <f ca="1">32550.0245046343*((RANDBETWEEN(1620,2416)))</f>
        <v>73888555.625519946</v>
      </c>
      <c r="B13564">
        <v>146857777.04711306</v>
      </c>
    </row>
    <row r="13565" spans="1:2" x14ac:dyDescent="0.25">
      <c r="A13565">
        <f ca="1">42082.3087523983*((RANDBETWEEN(1620,2416)))</f>
        <v>90014058.421379969</v>
      </c>
      <c r="B13565">
        <v>165841495.64071429</v>
      </c>
    </row>
    <row r="13566" spans="1:2" x14ac:dyDescent="0.25">
      <c r="A13566">
        <f ca="1">42184.7218662483*((RANDBETWEEN(1620,2416)))</f>
        <v>86816157.600738972</v>
      </c>
      <c r="B13566">
        <v>171513520.75883466</v>
      </c>
    </row>
    <row r="13567" spans="1:2" x14ac:dyDescent="0.25">
      <c r="A13567">
        <f ca="1">32702.0414449675*((RANDBETWEEN(1620,2416)))</f>
        <v>53762156.13552656</v>
      </c>
      <c r="B13567">
        <v>143778967.80500546</v>
      </c>
    </row>
    <row r="13568" spans="1:2" x14ac:dyDescent="0.25">
      <c r="A13568">
        <f ca="1">30261.6836846365*((RANDBETWEEN(1620,2416)))</f>
        <v>63791629.207213804</v>
      </c>
      <c r="B13568">
        <v>159543530.0324783</v>
      </c>
    </row>
    <row r="13569" spans="1:2" x14ac:dyDescent="0.25">
      <c r="A13569">
        <f ca="1">40755.8453090743*((RANDBETWEEN(1620,2416)))</f>
        <v>97447226.133996546</v>
      </c>
      <c r="B13569">
        <v>166005424.73743436</v>
      </c>
    </row>
    <row r="13570" spans="1:2" x14ac:dyDescent="0.25">
      <c r="A13570">
        <f ca="1">29705.3369523445*((RANDBETWEEN(1620,2416)))</f>
        <v>67134061.512298524</v>
      </c>
      <c r="B13570">
        <v>147124722.36557811</v>
      </c>
    </row>
    <row r="13571" spans="1:2" x14ac:dyDescent="0.25">
      <c r="A13571">
        <f ca="1">33121.9534161171*((RANDBETWEEN(1620,2416)))</f>
        <v>58957077.080688417</v>
      </c>
      <c r="B13571">
        <v>182035596.02477318</v>
      </c>
    </row>
    <row r="13572" spans="1:2" x14ac:dyDescent="0.25">
      <c r="A13572">
        <f ca="1">30632.2116279173*((RANDBETWEEN(1620,2416)))</f>
        <v>54525336.697692908</v>
      </c>
      <c r="B13572">
        <v>187375156.92931038</v>
      </c>
    </row>
    <row r="13573" spans="1:2" x14ac:dyDescent="0.25">
      <c r="A13573">
        <f ca="1">43479.3281944371*((RANDBETWEEN(1620,2416)))</f>
        <v>102176421.2569273</v>
      </c>
      <c r="B13573">
        <v>166810107.32027376</v>
      </c>
    </row>
    <row r="13574" spans="1:2" x14ac:dyDescent="0.25">
      <c r="A13574">
        <f ca="1">31229.5302095463*((RANDBETWEEN(1620,2416)))</f>
        <v>55307498.001106516</v>
      </c>
      <c r="B13574">
        <v>153752722.71209019</v>
      </c>
    </row>
    <row r="13575" spans="1:2" x14ac:dyDescent="0.25">
      <c r="A13575">
        <f ca="1">32109.6308570453*((RANDBETWEEN(1620,2416)))</f>
        <v>72182450.166637883</v>
      </c>
      <c r="B13575">
        <v>199180782.29780659</v>
      </c>
    </row>
    <row r="13576" spans="1:2" x14ac:dyDescent="0.25">
      <c r="A13576">
        <f ca="1">30600.0269812132*((RANDBETWEEN(1620,2416)))</f>
        <v>54009047.621841334</v>
      </c>
      <c r="B13576">
        <v>161425893.53256232</v>
      </c>
    </row>
    <row r="13577" spans="1:2" x14ac:dyDescent="0.25">
      <c r="A13577">
        <f ca="1">30773.2050062833*((RANDBETWEEN(1620,2416)))</f>
        <v>71732340.86964646</v>
      </c>
      <c r="B13577">
        <v>181139184.35261923</v>
      </c>
    </row>
    <row r="13578" spans="1:2" x14ac:dyDescent="0.25">
      <c r="A13578">
        <f ca="1">31792.9168725751*((RANDBETWEEN(1620,2416)))</f>
        <v>64158106.248856619</v>
      </c>
      <c r="B13578">
        <v>192394718.29300052</v>
      </c>
    </row>
    <row r="13579" spans="1:2" x14ac:dyDescent="0.25">
      <c r="A13579">
        <f ca="1">38487.9191338607*((RANDBETWEEN(1620,2416)))</f>
        <v>67045955.131185271</v>
      </c>
      <c r="B13579">
        <v>149401834.46536085</v>
      </c>
    </row>
    <row r="13580" spans="1:2" x14ac:dyDescent="0.25">
      <c r="A13580">
        <f ca="1">37651.1426042829*((RANDBETWEEN(1620,2416)))</f>
        <v>83547885.438903689</v>
      </c>
      <c r="B13580">
        <v>178977411.40244821</v>
      </c>
    </row>
    <row r="13581" spans="1:2" x14ac:dyDescent="0.25">
      <c r="A13581">
        <f ca="1">33770.895621747*((RANDBETWEEN(1620,2416)))</f>
        <v>66190955.418624029</v>
      </c>
      <c r="B13581">
        <v>143809027.42426282</v>
      </c>
    </row>
    <row r="13582" spans="1:2" x14ac:dyDescent="0.25">
      <c r="A13582">
        <f ca="1">32683.4537992605*((RANDBETWEEN(1620,2416)))</f>
        <v>58503382.300676331</v>
      </c>
      <c r="B13582">
        <v>153868051.99803635</v>
      </c>
    </row>
    <row r="13583" spans="1:2" x14ac:dyDescent="0.25">
      <c r="A13583">
        <f ca="1">37023.744487788*((RANDBETWEEN(1620,2416)))</f>
        <v>76565103.600745678</v>
      </c>
      <c r="B13583">
        <v>175173868.10572216</v>
      </c>
    </row>
    <row r="13584" spans="1:2" x14ac:dyDescent="0.25">
      <c r="A13584">
        <f ca="1">33619.5296715015*((RANDBETWEEN(1620,2416)))</f>
        <v>68886416.296906561</v>
      </c>
      <c r="B13584">
        <v>175828159.82468933</v>
      </c>
    </row>
    <row r="13585" spans="1:2" x14ac:dyDescent="0.25">
      <c r="A13585">
        <f ca="1">38581.7784417091*((RANDBETWEEN(1620,2416)))</f>
        <v>71955016.793787479</v>
      </c>
      <c r="B13585">
        <v>157004242.03262872</v>
      </c>
    </row>
    <row r="13586" spans="1:2" x14ac:dyDescent="0.25">
      <c r="A13586">
        <f ca="1">30415.2058358483*((RANDBETWEEN(1620,2416)))</f>
        <v>68677534.777345568</v>
      </c>
      <c r="B13586">
        <v>196760321.15473026</v>
      </c>
    </row>
    <row r="13587" spans="1:2" x14ac:dyDescent="0.25">
      <c r="A13587">
        <f ca="1">30062.963620917*((RANDBETWEEN(1620,2416)))</f>
        <v>62591090.258749261</v>
      </c>
      <c r="B13587">
        <v>148570459.46435863</v>
      </c>
    </row>
    <row r="13588" spans="1:2" x14ac:dyDescent="0.25">
      <c r="A13588">
        <f ca="1">30106.2809616557*((RANDBETWEEN(1620,2416)))</f>
        <v>70358378.607389465</v>
      </c>
      <c r="B13588">
        <v>155183797.66079774</v>
      </c>
    </row>
    <row r="13589" spans="1:2" x14ac:dyDescent="0.25">
      <c r="A13589">
        <f ca="1">30134.3960708951*((RANDBETWEEN(1620,2416)))</f>
        <v>69761126.904122129</v>
      </c>
      <c r="B13589">
        <v>192700447.8376582</v>
      </c>
    </row>
    <row r="13590" spans="1:2" x14ac:dyDescent="0.25">
      <c r="A13590">
        <f ca="1">27648.7607044059*((RANDBETWEEN(1620,2416)))</f>
        <v>44984533.666068338</v>
      </c>
      <c r="B13590">
        <v>177199825.69815946</v>
      </c>
    </row>
    <row r="13591" spans="1:2" x14ac:dyDescent="0.25">
      <c r="A13591">
        <f ca="1">31498.9992342944*((RANDBETWEEN(1620,2416)))</f>
        <v>64698944.42724067</v>
      </c>
      <c r="B13591">
        <v>154749704.16953453</v>
      </c>
    </row>
    <row r="13592" spans="1:2" x14ac:dyDescent="0.25">
      <c r="A13592">
        <f ca="1">35641.2746158358*((RANDBETWEEN(1620,2416)))</f>
        <v>66827389.904692054</v>
      </c>
      <c r="B13592">
        <v>179702155.65685526</v>
      </c>
    </row>
    <row r="13593" spans="1:2" x14ac:dyDescent="0.25">
      <c r="A13593">
        <f ca="1">32240.3845103849*((RANDBETWEEN(1620,2416)))</f>
        <v>63739240.177031003</v>
      </c>
      <c r="B13593">
        <v>194948443.61223045</v>
      </c>
    </row>
    <row r="13594" spans="1:2" x14ac:dyDescent="0.25">
      <c r="A13594">
        <f ca="1">32186.7391530127*((RANDBETWEEN(1620,2416)))</f>
        <v>54910576.995039582</v>
      </c>
      <c r="B13594">
        <v>144387456.11739847</v>
      </c>
    </row>
    <row r="13595" spans="1:2" x14ac:dyDescent="0.25">
      <c r="A13595">
        <f ca="1">29555.1132522142*((RANDBETWEEN(1620,2416)))</f>
        <v>61474635.564605586</v>
      </c>
      <c r="B13595">
        <v>190164681.85135442</v>
      </c>
    </row>
    <row r="13596" spans="1:2" x14ac:dyDescent="0.25">
      <c r="A13596">
        <f ca="1">31587.1334040643*((RANDBETWEEN(1620,2416)))</f>
        <v>54898437.856263801</v>
      </c>
      <c r="B13596">
        <v>150048715.45232934</v>
      </c>
    </row>
    <row r="13597" spans="1:2" x14ac:dyDescent="0.25">
      <c r="A13597">
        <f ca="1">30326.0326304485*((RANDBETWEEN(1620,2416)))</f>
        <v>65564882.547029756</v>
      </c>
      <c r="B13597">
        <v>186268227.65757093</v>
      </c>
    </row>
    <row r="13598" spans="1:2" x14ac:dyDescent="0.25">
      <c r="A13598">
        <f ca="1">37884.9893881651*((RANDBETWEEN(1620,2416)))</f>
        <v>86983935.635227159</v>
      </c>
      <c r="B13598">
        <v>152513191.73083171</v>
      </c>
    </row>
    <row r="13599" spans="1:2" x14ac:dyDescent="0.25">
      <c r="A13599">
        <f ca="1">41609.9725977395*((RANDBETWEEN(1620,2416)))</f>
        <v>73982531.278780818</v>
      </c>
      <c r="B13599">
        <v>185657388.25221246</v>
      </c>
    </row>
    <row r="13600" spans="1:2" x14ac:dyDescent="0.25">
      <c r="A13600">
        <f ca="1">39341.6402327773*((RANDBETWEEN(1620,2416)))</f>
        <v>91469313.54120715</v>
      </c>
      <c r="B13600">
        <v>150314153.78962427</v>
      </c>
    </row>
    <row r="13601" spans="1:2" x14ac:dyDescent="0.25">
      <c r="A13601">
        <f ca="1">36581.873510466*((RANDBETWEEN(1620,2416)))</f>
        <v>71590726.459981993</v>
      </c>
      <c r="B13601">
        <v>182559813.31393152</v>
      </c>
    </row>
    <row r="13602" spans="1:2" x14ac:dyDescent="0.25">
      <c r="A13602">
        <f ca="1">34792.0350297763*((RANDBETWEEN(1620,2416)))</f>
        <v>66591955.046991765</v>
      </c>
      <c r="B13602">
        <v>183404247.62397224</v>
      </c>
    </row>
    <row r="13603" spans="1:2" x14ac:dyDescent="0.25">
      <c r="A13603">
        <f ca="1">34097.5413308525*((RANDBETWEEN(1620,2416)))</f>
        <v>61136891.606218614</v>
      </c>
      <c r="B13603">
        <v>161268773.35400113</v>
      </c>
    </row>
    <row r="13604" spans="1:2" x14ac:dyDescent="0.25">
      <c r="A13604">
        <f ca="1">27182.3490550407*((RANDBETWEEN(1620,2416)))</f>
        <v>55370445.025117934</v>
      </c>
      <c r="B13604">
        <v>157665019.41070917</v>
      </c>
    </row>
    <row r="13605" spans="1:2" x14ac:dyDescent="0.25">
      <c r="A13605">
        <f ca="1">36776.6171524184*((RANDBETWEEN(1620,2416)))</f>
        <v>77083789.551468879</v>
      </c>
      <c r="B13605">
        <v>193498618.14987743</v>
      </c>
    </row>
    <row r="13606" spans="1:2" x14ac:dyDescent="0.25">
      <c r="A13606">
        <f ca="1">31995.9829738246*((RANDBETWEEN(1620,2416)))</f>
        <v>69623258.951042369</v>
      </c>
      <c r="B13606">
        <v>188919852.80449134</v>
      </c>
    </row>
    <row r="13607" spans="1:2" x14ac:dyDescent="0.25">
      <c r="A13607">
        <f ca="1">31286.9458216049*((RANDBETWEEN(1620,2416)))</f>
        <v>70426915.0444327</v>
      </c>
      <c r="B13607">
        <v>154599020.73712832</v>
      </c>
    </row>
    <row r="13608" spans="1:2" x14ac:dyDescent="0.25">
      <c r="A13608">
        <f ca="1">29088.5132393917*((RANDBETWEEN(1620,2416)))</f>
        <v>55180909.615126096</v>
      </c>
      <c r="B13608">
        <v>171407586.93954337</v>
      </c>
    </row>
    <row r="13609" spans="1:2" x14ac:dyDescent="0.25">
      <c r="A13609">
        <f ca="1">38411.0172858494*((RANDBETWEEN(1620,2416)))</f>
        <v>69523941.287387401</v>
      </c>
      <c r="B13609">
        <v>156452263.32380754</v>
      </c>
    </row>
    <row r="13610" spans="1:2" x14ac:dyDescent="0.25">
      <c r="A13610">
        <f ca="1">30592.3050559806*((RANDBETWEEN(1620,2416)))</f>
        <v>49896049.546304427</v>
      </c>
      <c r="B13610">
        <v>146524983.88166949</v>
      </c>
    </row>
    <row r="13611" spans="1:2" x14ac:dyDescent="0.25">
      <c r="A13611">
        <f ca="1">30265.7081518025*((RANDBETWEEN(1620,2416)))</f>
        <v>56021825.788986348</v>
      </c>
      <c r="B13611">
        <v>176383238.91452301</v>
      </c>
    </row>
    <row r="13612" spans="1:2" x14ac:dyDescent="0.25">
      <c r="A13612">
        <f ca="1">32862.2756199611*((RANDBETWEEN(1620,2416)))</f>
        <v>56128766.758893602</v>
      </c>
      <c r="B13612">
        <v>201509655.94335285</v>
      </c>
    </row>
    <row r="13613" spans="1:2" x14ac:dyDescent="0.25">
      <c r="A13613">
        <f ca="1">29171.5188856422*((RANDBETWEEN(1620,2416)))</f>
        <v>47287032.113626055</v>
      </c>
      <c r="B13613">
        <v>155074892.8345491</v>
      </c>
    </row>
    <row r="13614" spans="1:2" x14ac:dyDescent="0.25">
      <c r="A13614">
        <f ca="1">28208.1270981682*((RANDBETWEEN(1620,2416)))</f>
        <v>46628034.093272112</v>
      </c>
      <c r="B13614">
        <v>178458845.04311576</v>
      </c>
    </row>
    <row r="13615" spans="1:2" x14ac:dyDescent="0.25">
      <c r="A13615">
        <f ca="1">37225.3629604076*((RANDBETWEEN(1620,2416)))</f>
        <v>75790838.987389833</v>
      </c>
      <c r="B13615">
        <v>163162993.36504441</v>
      </c>
    </row>
    <row r="13616" spans="1:2" x14ac:dyDescent="0.25">
      <c r="A13616">
        <f ca="1">30621.2132126197*((RANDBETWEEN(1620,2416)))</f>
        <v>73674638.989562973</v>
      </c>
      <c r="B13616">
        <v>165456231.85338411</v>
      </c>
    </row>
    <row r="13617" spans="1:2" x14ac:dyDescent="0.25">
      <c r="A13617">
        <f ca="1">36985.8900476486*((RANDBETWEEN(1620,2416)))</f>
        <v>72455358.603343695</v>
      </c>
      <c r="B13617">
        <v>193596327.60021558</v>
      </c>
    </row>
    <row r="13618" spans="1:2" x14ac:dyDescent="0.25">
      <c r="A13618">
        <f ca="1">31738.558841606*((RANDBETWEEN(1620,2416)))</f>
        <v>73125639.571060121</v>
      </c>
      <c r="B13618">
        <v>175521043.86528194</v>
      </c>
    </row>
    <row r="13619" spans="1:2" x14ac:dyDescent="0.25">
      <c r="A13619">
        <f ca="1">28966.1822072209*((RANDBETWEEN(1620,2416)))</f>
        <v>56570953.850702345</v>
      </c>
      <c r="B13619">
        <v>162897443.03274259</v>
      </c>
    </row>
    <row r="13620" spans="1:2" x14ac:dyDescent="0.25">
      <c r="A13620">
        <f ca="1">32438.9787770289*((RANDBETWEEN(1620,2416)))</f>
        <v>63320886.572760485</v>
      </c>
      <c r="B13620">
        <v>183198143.38449878</v>
      </c>
    </row>
    <row r="13621" spans="1:2" x14ac:dyDescent="0.25">
      <c r="A13621">
        <f ca="1">35059.104342327*((RANDBETWEEN(1620,2416)))</f>
        <v>71099863.606239185</v>
      </c>
      <c r="B13621">
        <v>180274594.27452153</v>
      </c>
    </row>
    <row r="13622" spans="1:2" x14ac:dyDescent="0.25">
      <c r="A13622">
        <f ca="1">39283.8884423249*((RANDBETWEEN(1620,2416)))</f>
        <v>88545884.549000338</v>
      </c>
      <c r="B13622">
        <v>167698448.99274042</v>
      </c>
    </row>
    <row r="13623" spans="1:2" x14ac:dyDescent="0.25">
      <c r="A13623">
        <f ca="1">36413.5170808191*((RANDBETWEEN(1620,2416)))</f>
        <v>67729141.77032347</v>
      </c>
      <c r="B13623">
        <v>151845138.86772969</v>
      </c>
    </row>
    <row r="13624" spans="1:2" x14ac:dyDescent="0.25">
      <c r="A13624">
        <f ca="1">41924.5054266756*((RANDBETWEEN(1620,2416)))</f>
        <v>84184406.896764606</v>
      </c>
      <c r="B13624">
        <v>153541235.45315862</v>
      </c>
    </row>
    <row r="13625" spans="1:2" x14ac:dyDescent="0.25">
      <c r="A13625">
        <f ca="1">33549.0811535038*((RANDBETWEEN(1620,2416)))</f>
        <v>54752100.442518227</v>
      </c>
      <c r="B13625">
        <v>178786225.20803809</v>
      </c>
    </row>
    <row r="13626" spans="1:2" x14ac:dyDescent="0.25">
      <c r="A13626">
        <f ca="1">38658.9128585958*((RANDBETWEEN(1620,2416)))</f>
        <v>87562437.624719456</v>
      </c>
      <c r="B13626">
        <v>189467216.1471768</v>
      </c>
    </row>
    <row r="13627" spans="1:2" x14ac:dyDescent="0.25">
      <c r="A13627">
        <f ca="1">33181.317347568*((RANDBETWEEN(1620,2416)))</f>
        <v>74359332.175899804</v>
      </c>
      <c r="B13627">
        <v>190134277.01622248</v>
      </c>
    </row>
    <row r="13628" spans="1:2" x14ac:dyDescent="0.25">
      <c r="A13628">
        <f ca="1">37182.2763810822*((RANDBETWEEN(1620,2416)))</f>
        <v>75777479.264645606</v>
      </c>
      <c r="B13628">
        <v>155465307.55469379</v>
      </c>
    </row>
    <row r="13629" spans="1:2" x14ac:dyDescent="0.25">
      <c r="A13629">
        <f ca="1">30017.5895172556*((RANDBETWEEN(1620,2416)))</f>
        <v>49949268.956713311</v>
      </c>
      <c r="B13629">
        <v>158191381.56293267</v>
      </c>
    </row>
    <row r="13630" spans="1:2" x14ac:dyDescent="0.25">
      <c r="A13630">
        <f ca="1">36203.4678503429*((RANDBETWEEN(1620,2416)))</f>
        <v>62269964.702589832</v>
      </c>
      <c r="B13630">
        <v>160729812.5320085</v>
      </c>
    </row>
    <row r="13631" spans="1:2" x14ac:dyDescent="0.25">
      <c r="A13631">
        <f ca="1">32431.1618159594*((RANDBETWEEN(1620,2416)))</f>
        <v>67683834.709907234</v>
      </c>
      <c r="B13631">
        <v>201279635.16437113</v>
      </c>
    </row>
    <row r="13632" spans="1:2" x14ac:dyDescent="0.25">
      <c r="A13632">
        <f ca="1">30024.4884896608*((RANDBETWEEN(1620,2416)))</f>
        <v>69476666.365075111</v>
      </c>
      <c r="B13632">
        <v>162503503.26488727</v>
      </c>
    </row>
    <row r="13633" spans="1:2" x14ac:dyDescent="0.25">
      <c r="A13633">
        <f ca="1">30947.0739115592*((RANDBETWEEN(1620,2416)))</f>
        <v>57097351.366826728</v>
      </c>
      <c r="B13633">
        <v>183299514.23611629</v>
      </c>
    </row>
    <row r="13634" spans="1:2" x14ac:dyDescent="0.25">
      <c r="A13634">
        <f ca="1">31469.6458297*((RANDBETWEEN(1620,2416)))</f>
        <v>61900793.347019926</v>
      </c>
      <c r="B13634">
        <v>161943332.17549801</v>
      </c>
    </row>
    <row r="13635" spans="1:2" x14ac:dyDescent="0.25">
      <c r="A13635">
        <f ca="1">36014.9323341816*((RANDBETWEEN(1620,2416)))</f>
        <v>81537806.804587066</v>
      </c>
      <c r="B13635">
        <v>167640022.70352355</v>
      </c>
    </row>
    <row r="13636" spans="1:2" x14ac:dyDescent="0.25">
      <c r="A13636">
        <f ca="1">33233.6129468629*((RANDBETWEEN(1620,2416)))</f>
        <v>74642694.678654</v>
      </c>
      <c r="B13636">
        <v>171120584.32244241</v>
      </c>
    </row>
    <row r="13637" spans="1:2" x14ac:dyDescent="0.25">
      <c r="A13637">
        <f ca="1">33519.7615433883*((RANDBETWEEN(1620,2416)))</f>
        <v>59397017.454884149</v>
      </c>
      <c r="B13637">
        <v>160102303.0175997</v>
      </c>
    </row>
    <row r="13638" spans="1:2" x14ac:dyDescent="0.25">
      <c r="A13638">
        <f ca="1">28050.2387513628*((RANDBETWEEN(1620,2416)))</f>
        <v>58204245.409077816</v>
      </c>
      <c r="B13638">
        <v>147250258.64592686</v>
      </c>
    </row>
    <row r="13639" spans="1:2" x14ac:dyDescent="0.25">
      <c r="A13639">
        <f ca="1">32686.1975204559*((RANDBETWEEN(1620,2416)))</f>
        <v>72792161.878055319</v>
      </c>
      <c r="B13639">
        <v>158288153.92891777</v>
      </c>
    </row>
    <row r="13640" spans="1:2" x14ac:dyDescent="0.25">
      <c r="A13640">
        <f ca="1">31651.4569029475*((RANDBETWEEN(1620,2416)))</f>
        <v>72260276.109429061</v>
      </c>
      <c r="B13640">
        <v>158001499.16818118</v>
      </c>
    </row>
    <row r="13641" spans="1:2" x14ac:dyDescent="0.25">
      <c r="A13641">
        <f ca="1">30108.649669075*((RANDBETWEEN(1620,2416)))</f>
        <v>49920141.151326351</v>
      </c>
      <c r="B13641">
        <v>144057012.91833973</v>
      </c>
    </row>
    <row r="13642" spans="1:2" x14ac:dyDescent="0.25">
      <c r="A13642">
        <f ca="1">30240.0672734811*((RANDBETWEEN(1620,2416)))</f>
        <v>57486367.886887647</v>
      </c>
      <c r="B13642">
        <v>194241283.63301656</v>
      </c>
    </row>
    <row r="13643" spans="1:2" x14ac:dyDescent="0.25">
      <c r="A13643">
        <f ca="1">31427.1505509978*((RANDBETWEEN(1620,2416)))</f>
        <v>59774440.347997725</v>
      </c>
      <c r="B13643">
        <v>159196324.72509322</v>
      </c>
    </row>
    <row r="13644" spans="1:2" x14ac:dyDescent="0.25">
      <c r="A13644">
        <f ca="1">39283.4433049061*((RANDBETWEEN(1620,2416)))</f>
        <v>88898432.19900243</v>
      </c>
      <c r="B13644">
        <v>152213638.01244873</v>
      </c>
    </row>
    <row r="13645" spans="1:2" x14ac:dyDescent="0.25">
      <c r="A13645">
        <f ca="1">33066.2945334971*((RANDBETWEEN(1620,2416)))</f>
        <v>58924136.858691849</v>
      </c>
      <c r="B13645">
        <v>174826443.55958438</v>
      </c>
    </row>
    <row r="13646" spans="1:2" x14ac:dyDescent="0.25">
      <c r="A13646">
        <f ca="1">40882.6747174622*((RANDBETWEEN(1620,2416)))</f>
        <v>95011336.043382198</v>
      </c>
      <c r="B13646">
        <v>158666338.02460271</v>
      </c>
    </row>
    <row r="13647" spans="1:2" x14ac:dyDescent="0.25">
      <c r="A13647">
        <f ca="1">32572.5428227581*((RANDBETWEEN(1620,2416)))</f>
        <v>56871659.768535599</v>
      </c>
      <c r="B13647">
        <v>191203697.69154501</v>
      </c>
    </row>
    <row r="13648" spans="1:2" x14ac:dyDescent="0.25">
      <c r="A13648">
        <f ca="1">35159.525782493*((RANDBETWEEN(1620,2416)))</f>
        <v>68314958.595383868</v>
      </c>
      <c r="B13648">
        <v>142992720.33365661</v>
      </c>
    </row>
    <row r="13649" spans="1:2" x14ac:dyDescent="0.25">
      <c r="A13649">
        <f ca="1">29025.0983194172*((RANDBETWEEN(1620,2416)))</f>
        <v>57847020.950598486</v>
      </c>
      <c r="B13649">
        <v>155475673.34279075</v>
      </c>
    </row>
    <row r="13650" spans="1:2" x14ac:dyDescent="0.25">
      <c r="A13650">
        <f ca="1">31038.4907148969*((RANDBETWEEN(1620,2416)))</f>
        <v>58724824.432584926</v>
      </c>
      <c r="B13650">
        <v>150298366.33823332</v>
      </c>
    </row>
    <row r="13651" spans="1:2" x14ac:dyDescent="0.25">
      <c r="A13651">
        <f ca="1">28782.3915194087*((RANDBETWEEN(1620,2416)))</f>
        <v>54456284.754721269</v>
      </c>
      <c r="B13651">
        <v>187796633.19629532</v>
      </c>
    </row>
    <row r="13652" spans="1:2" x14ac:dyDescent="0.25">
      <c r="A13652">
        <f ca="1">31657.5392650474*((RANDBETWEEN(1620,2416)))</f>
        <v>52868090.572629079</v>
      </c>
      <c r="B13652">
        <v>158506314.15324333</v>
      </c>
    </row>
    <row r="13653" spans="1:2" x14ac:dyDescent="0.25">
      <c r="A13653">
        <f ca="1">35071.2959667998*((RANDBETWEEN(1620,2416)))</f>
        <v>62952976.260405563</v>
      </c>
      <c r="B13653">
        <v>145121789.23306513</v>
      </c>
    </row>
    <row r="13654" spans="1:2" x14ac:dyDescent="0.25">
      <c r="A13654">
        <f ca="1">31780.078047871*((RANDBETWEEN(1620,2416)))</f>
        <v>60985969.773864359</v>
      </c>
      <c r="B13654">
        <v>176833358.07760793</v>
      </c>
    </row>
    <row r="13655" spans="1:2" x14ac:dyDescent="0.25">
      <c r="A13655">
        <f ca="1">40573.8191729227*((RANDBETWEEN(1620,2416)))</f>
        <v>77739437.535319999</v>
      </c>
      <c r="B13655">
        <v>168094292.04400098</v>
      </c>
    </row>
    <row r="13656" spans="1:2" x14ac:dyDescent="0.25">
      <c r="A13656">
        <f ca="1">33263.0089567126*((RANDBETWEEN(1620,2416)))</f>
        <v>68455272.432914555</v>
      </c>
      <c r="B13656">
        <v>175690560.95640606</v>
      </c>
    </row>
    <row r="13657" spans="1:2" x14ac:dyDescent="0.25">
      <c r="A13657">
        <f ca="1">28912.6191552795*((RANDBETWEEN(1620,2416)))</f>
        <v>56090481.161242165</v>
      </c>
      <c r="B13657">
        <v>157484502.46752554</v>
      </c>
    </row>
    <row r="13658" spans="1:2" x14ac:dyDescent="0.25">
      <c r="A13658">
        <f ca="1">32722.8277051054*((RANDBETWEEN(1620,2416)))</f>
        <v>66721845.690709896</v>
      </c>
      <c r="B13658">
        <v>171260374.61430824</v>
      </c>
    </row>
    <row r="13659" spans="1:2" x14ac:dyDescent="0.25">
      <c r="A13659">
        <f ca="1">31129.056282207*((RANDBETWEEN(1620,2416)))</f>
        <v>64592791.785579585</v>
      </c>
      <c r="B13659">
        <v>165790591.82303154</v>
      </c>
    </row>
    <row r="13660" spans="1:2" x14ac:dyDescent="0.25">
      <c r="A13660">
        <f ca="1">31117.6691429986*((RANDBETWEEN(1620,2416)))</f>
        <v>69267931.51231499</v>
      </c>
      <c r="B13660">
        <v>184754724.35385871</v>
      </c>
    </row>
    <row r="13661" spans="1:2" x14ac:dyDescent="0.25">
      <c r="A13661">
        <f ca="1">30053.8196086981*((RANDBETWEEN(1620,2416)))</f>
        <v>57042149.617309034</v>
      </c>
      <c r="B13661">
        <v>197320245.56223872</v>
      </c>
    </row>
    <row r="13662" spans="1:2" x14ac:dyDescent="0.25">
      <c r="A13662">
        <f ca="1">34402.5378803406*((RANDBETWEEN(1620,2416)))</f>
        <v>66500105.722698472</v>
      </c>
      <c r="B13662">
        <v>181366593.46138668</v>
      </c>
    </row>
    <row r="13663" spans="1:2" x14ac:dyDescent="0.25">
      <c r="A13663">
        <f ca="1">28008.6334853872*((RANDBETWEEN(1620,2416)))</f>
        <v>45878141.649064228</v>
      </c>
      <c r="B13663">
        <v>177077691.59775689</v>
      </c>
    </row>
    <row r="13664" spans="1:2" x14ac:dyDescent="0.25">
      <c r="A13664">
        <f ca="1">32709.9967025807*((RANDBETWEEN(1620,2416)))</f>
        <v>67905953.154557541</v>
      </c>
      <c r="B13664">
        <v>146074689.01554057</v>
      </c>
    </row>
    <row r="13665" spans="1:2" x14ac:dyDescent="0.25">
      <c r="A13665">
        <f ca="1">34151.2994900326*((RANDBETWEEN(1620,2416)))</f>
        <v>72503208.817339242</v>
      </c>
      <c r="B13665">
        <v>174162642.50180557</v>
      </c>
    </row>
    <row r="13666" spans="1:2" x14ac:dyDescent="0.25">
      <c r="A13666">
        <f ca="1">39805.8725803112*((RANDBETWEEN(1620,2416)))</f>
        <v>87294278.56862247</v>
      </c>
      <c r="B13666">
        <v>182673228.82228389</v>
      </c>
    </row>
    <row r="13667" spans="1:2" x14ac:dyDescent="0.25">
      <c r="A13667">
        <f ca="1">36801.8953627318*((RANDBETWEEN(1620,2416)))</f>
        <v>60833533.034595661</v>
      </c>
      <c r="B13667">
        <v>167204616.24419415</v>
      </c>
    </row>
    <row r="13668" spans="1:2" x14ac:dyDescent="0.25">
      <c r="A13668">
        <f ca="1">31811.3061736294*((RANDBETWEEN(1620,2416)))</f>
        <v>58946350.339735344</v>
      </c>
      <c r="B13668">
        <v>171456311.70085406</v>
      </c>
    </row>
    <row r="13669" spans="1:2" x14ac:dyDescent="0.25">
      <c r="A13669">
        <f ca="1">31435.2331509238*((RANDBETWEEN(1620,2416)))</f>
        <v>65542461.119676173</v>
      </c>
      <c r="B13669">
        <v>170437337.1973668</v>
      </c>
    </row>
    <row r="13670" spans="1:2" x14ac:dyDescent="0.25">
      <c r="A13670">
        <f ca="1">30919.2142789481*((RANDBETWEEN(1620,2416)))</f>
        <v>63384389.271843597</v>
      </c>
      <c r="B13670">
        <v>151182050.97271743</v>
      </c>
    </row>
    <row r="13671" spans="1:2" x14ac:dyDescent="0.25">
      <c r="A13671">
        <f ca="1">38491.6416186157*((RANDBETWEEN(1620,2416)))</f>
        <v>91225190.636119187</v>
      </c>
      <c r="B13671">
        <v>148157383.81788823</v>
      </c>
    </row>
    <row r="13672" spans="1:2" x14ac:dyDescent="0.25">
      <c r="A13672">
        <f ca="1">39634.4507108345*((RANDBETWEEN(1620,2416)))</f>
        <v>94607433.846762002</v>
      </c>
      <c r="B13672">
        <v>152149600.74652272</v>
      </c>
    </row>
    <row r="13673" spans="1:2" x14ac:dyDescent="0.25">
      <c r="A13673">
        <f ca="1">32059.0103471232*((RANDBETWEEN(1620,2416)))</f>
        <v>68349810.060066655</v>
      </c>
      <c r="B13673">
        <v>156714093.4993431</v>
      </c>
    </row>
    <row r="13674" spans="1:2" x14ac:dyDescent="0.25">
      <c r="A13674">
        <f ca="1">29204.3063613476*((RANDBETWEEN(1620,2416)))</f>
        <v>48391535.640753001</v>
      </c>
      <c r="B13674">
        <v>150282026.80306953</v>
      </c>
    </row>
    <row r="13675" spans="1:2" x14ac:dyDescent="0.25">
      <c r="A13675">
        <f ca="1">33282.1984790406*((RANDBETWEEN(1620,2416)))</f>
        <v>60906423.216644213</v>
      </c>
      <c r="B13675">
        <v>153534133.39793661</v>
      </c>
    </row>
    <row r="13676" spans="1:2" x14ac:dyDescent="0.25">
      <c r="A13676">
        <f ca="1">31229.9307427044*((RANDBETWEEN(1620,2416)))</f>
        <v>66207453.174533367</v>
      </c>
      <c r="B13676">
        <v>163599514.22889006</v>
      </c>
    </row>
    <row r="13677" spans="1:2" x14ac:dyDescent="0.25">
      <c r="A13677">
        <f ca="1">39150.0075574116*((RANDBETWEEN(1620,2416)))</f>
        <v>73249664.13991712</v>
      </c>
      <c r="B13677">
        <v>161831790.90639937</v>
      </c>
    </row>
    <row r="13678" spans="1:2" x14ac:dyDescent="0.25">
      <c r="A13678">
        <f ca="1">29213.2274745116*((RANDBETWEEN(1620,2416)))</f>
        <v>47792840.148300894</v>
      </c>
      <c r="B13678">
        <v>198281222.54559866</v>
      </c>
    </row>
    <row r="13679" spans="1:2" x14ac:dyDescent="0.25">
      <c r="A13679">
        <f ca="1">31681.6659284747*((RANDBETWEEN(1620,2416)))</f>
        <v>71125340.009425789</v>
      </c>
      <c r="B13679">
        <v>158734661.83801642</v>
      </c>
    </row>
    <row r="13680" spans="1:2" x14ac:dyDescent="0.25">
      <c r="A13680">
        <f ca="1">31824.1072846109*((RANDBETWEEN(1620,2416)))</f>
        <v>65112123.504313827</v>
      </c>
      <c r="B13680">
        <v>170839949.39822644</v>
      </c>
    </row>
    <row r="13681" spans="1:2" x14ac:dyDescent="0.25">
      <c r="A13681">
        <f ca="1">30665.1175944426*((RANDBETWEEN(1620,2416)))</f>
        <v>58171728.076657534</v>
      </c>
      <c r="B13681">
        <v>151594855.82202566</v>
      </c>
    </row>
    <row r="13682" spans="1:2" x14ac:dyDescent="0.25">
      <c r="A13682">
        <f ca="1">30982.4768049888*((RANDBETWEEN(1620,2416)))</f>
        <v>58556881.161428757</v>
      </c>
      <c r="B13682">
        <v>169008014.54613656</v>
      </c>
    </row>
    <row r="13683" spans="1:2" x14ac:dyDescent="0.25">
      <c r="A13683">
        <f ca="1">33842.2497331558*((RANDBETWEEN(1620,2416)))</f>
        <v>68056764.213376299</v>
      </c>
      <c r="B13683">
        <v>180782022.72893557</v>
      </c>
    </row>
    <row r="13684" spans="1:2" x14ac:dyDescent="0.25">
      <c r="A13684">
        <f ca="1">35769.4582917195*((RANDBETWEEN(1620,2416)))</f>
        <v>62346165.802467085</v>
      </c>
      <c r="B13684">
        <v>169030231.01109269</v>
      </c>
    </row>
    <row r="13685" spans="1:2" x14ac:dyDescent="0.25">
      <c r="A13685">
        <f ca="1">37107.6135517905*((RANDBETWEEN(1620,2416)))</f>
        <v>65717583.600220963</v>
      </c>
      <c r="B13685">
        <v>161859687.72233635</v>
      </c>
    </row>
    <row r="13686" spans="1:2" x14ac:dyDescent="0.25">
      <c r="A13686">
        <f ca="1">39392.7020856581*((RANDBETWEEN(1620,2416)))</f>
        <v>83394350.315338239</v>
      </c>
      <c r="B13686">
        <v>151639185.76644725</v>
      </c>
    </row>
    <row r="13687" spans="1:2" x14ac:dyDescent="0.25">
      <c r="A13687">
        <f ca="1">29217.570429903*((RANDBETWEEN(1620,2416)))</f>
        <v>64629265.790945545</v>
      </c>
      <c r="B13687">
        <v>175838854.15846103</v>
      </c>
    </row>
    <row r="13688" spans="1:2" x14ac:dyDescent="0.25">
      <c r="A13688">
        <f ca="1">32907.6568370633*((RANDBETWEEN(1620,2416)))</f>
        <v>64959714.596362948</v>
      </c>
      <c r="B13688">
        <v>147203326.59711415</v>
      </c>
    </row>
    <row r="13689" spans="1:2" x14ac:dyDescent="0.25">
      <c r="A13689">
        <f ca="1">38624.0825920685*((RANDBETWEEN(1620,2416)))</f>
        <v>86286200.510681078</v>
      </c>
      <c r="B13689">
        <v>153529572.27784562</v>
      </c>
    </row>
    <row r="13690" spans="1:2" x14ac:dyDescent="0.25">
      <c r="A13690">
        <f ca="1">35585.8059763178*((RANDBETWEEN(1620,2416)))</f>
        <v>69534664.877725065</v>
      </c>
      <c r="B13690">
        <v>149859588.55562162</v>
      </c>
    </row>
    <row r="13691" spans="1:2" x14ac:dyDescent="0.25">
      <c r="A13691">
        <f ca="1">29652.5142163985*((RANDBETWEEN(1620,2416)))</f>
        <v>57318309.980298333</v>
      </c>
      <c r="B13691">
        <v>198030116.31118506</v>
      </c>
    </row>
    <row r="13692" spans="1:2" x14ac:dyDescent="0.25">
      <c r="A13692">
        <f ca="1">30431.3446984406*((RANDBETWEEN(1620,2416)))</f>
        <v>68896564.397269547</v>
      </c>
      <c r="B13692">
        <v>197126857.18388709</v>
      </c>
    </row>
    <row r="13693" spans="1:2" x14ac:dyDescent="0.25">
      <c r="A13693">
        <f ca="1">32346.3870963529*((RANDBETWEEN(1620,2416)))</f>
        <v>65016238.063669249</v>
      </c>
      <c r="B13693">
        <v>157690226.32395843</v>
      </c>
    </row>
    <row r="13694" spans="1:2" x14ac:dyDescent="0.25">
      <c r="A13694">
        <f ca="1">29728.9691935651*((RANDBETWEEN(1620,2416)))</f>
        <v>70606301.83471708</v>
      </c>
      <c r="B13694">
        <v>144747767.93691671</v>
      </c>
    </row>
    <row r="13695" spans="1:2" x14ac:dyDescent="0.25">
      <c r="A13695">
        <f ca="1">37933.7727806816*((RANDBETWEEN(1620,2416)))</f>
        <v>76208949.516389251</v>
      </c>
      <c r="B13695">
        <v>163555790.7192468</v>
      </c>
    </row>
    <row r="13696" spans="1:2" x14ac:dyDescent="0.25">
      <c r="A13696">
        <f ca="1">33086.4063719764*((RANDBETWEEN(1620,2416)))</f>
        <v>63095776.951358981</v>
      </c>
      <c r="B13696">
        <v>148012572.02406025</v>
      </c>
    </row>
    <row r="13697" spans="1:2" x14ac:dyDescent="0.25">
      <c r="A13697">
        <f ca="1">30600.2784128713*((RANDBETWEEN(1620,2416)))</f>
        <v>50062055.483457401</v>
      </c>
      <c r="B13697">
        <v>169349470.23580635</v>
      </c>
    </row>
    <row r="13698" spans="1:2" x14ac:dyDescent="0.25">
      <c r="A13698">
        <f ca="1">33006.0840945186*((RANDBETWEEN(1620,2416)))</f>
        <v>75682950.828731179</v>
      </c>
      <c r="B13698">
        <v>147586744.1189962</v>
      </c>
    </row>
    <row r="13699" spans="1:2" x14ac:dyDescent="0.25">
      <c r="A13699">
        <f ca="1">38318.5677089244*((RANDBETWEEN(1620,2416)))</f>
        <v>73456694.298007995</v>
      </c>
      <c r="B13699">
        <v>192606359.187962</v>
      </c>
    </row>
    <row r="13700" spans="1:2" x14ac:dyDescent="0.25">
      <c r="A13700">
        <f ca="1">31254.753788885*((RANDBETWEEN(1620,2416)))</f>
        <v>56977416.157137334</v>
      </c>
      <c r="B13700">
        <v>185253536.0533126</v>
      </c>
    </row>
    <row r="13701" spans="1:2" x14ac:dyDescent="0.25">
      <c r="A13701">
        <f ca="1">31128.1162460361*((RANDBETWEEN(1620,2416)))</f>
        <v>51828313.549650133</v>
      </c>
      <c r="B13701">
        <v>200333410.75809321</v>
      </c>
    </row>
    <row r="13702" spans="1:2" x14ac:dyDescent="0.25">
      <c r="A13702">
        <f ca="1">35709.4417603248*((RANDBETWEEN(1620,2416)))</f>
        <v>65205440.654353008</v>
      </c>
      <c r="B13702">
        <v>186014669.38912126</v>
      </c>
    </row>
    <row r="13703" spans="1:2" x14ac:dyDescent="0.25">
      <c r="A13703">
        <f ca="1">35890.2627803387*((RANDBETWEEN(1620,2416)))</f>
        <v>64064119.062904619</v>
      </c>
      <c r="B13703">
        <v>165906544.3166337</v>
      </c>
    </row>
    <row r="13704" spans="1:2" x14ac:dyDescent="0.25">
      <c r="A13704">
        <f ca="1">39388.1173516065*((RANDBETWEEN(1620,2416)))</f>
        <v>80351759.397277191</v>
      </c>
      <c r="B13704">
        <v>183940561.81336734</v>
      </c>
    </row>
    <row r="13705" spans="1:2" x14ac:dyDescent="0.25">
      <c r="A13705">
        <f ca="1">40161.1861262305*((RANDBETWEEN(1620,2416)))</f>
        <v>90282346.411766157</v>
      </c>
      <c r="B13705">
        <v>181594688.68668929</v>
      </c>
    </row>
    <row r="13706" spans="1:2" x14ac:dyDescent="0.25">
      <c r="A13706">
        <f ca="1">36704.441019415*((RANDBETWEEN(1620,2416)))</f>
        <v>67939920.326937199</v>
      </c>
      <c r="B13706">
        <v>166854712.04945964</v>
      </c>
    </row>
    <row r="13707" spans="1:2" x14ac:dyDescent="0.25">
      <c r="A13707">
        <f ca="1">31512.7488667393*((RANDBETWEEN(1620,2416)))</f>
        <v>72794449.882167786</v>
      </c>
      <c r="B13707">
        <v>146754818.74308416</v>
      </c>
    </row>
    <row r="13708" spans="1:2" x14ac:dyDescent="0.25">
      <c r="A13708">
        <f ca="1">30882.3897014483*((RANDBETWEEN(1620,2416)))</f>
        <v>64698606.424534239</v>
      </c>
      <c r="B13708">
        <v>157533954.35523766</v>
      </c>
    </row>
    <row r="13709" spans="1:2" x14ac:dyDescent="0.25">
      <c r="A13709">
        <f ca="1">32443.6477142225*((RANDBETWEEN(1620,2416)))</f>
        <v>67093463.473012097</v>
      </c>
      <c r="B13709">
        <v>161923397.63483599</v>
      </c>
    </row>
    <row r="13710" spans="1:2" x14ac:dyDescent="0.25">
      <c r="A13710">
        <f ca="1">32833.4541197974*((RANDBETWEEN(1620,2416)))</f>
        <v>53715530.939988591</v>
      </c>
      <c r="B13710">
        <v>168622121.60022476</v>
      </c>
    </row>
    <row r="13711" spans="1:2" x14ac:dyDescent="0.25">
      <c r="A13711">
        <f ca="1">33341.8897617099*((RANDBETWEEN(1620,2416)))</f>
        <v>56981289.602762178</v>
      </c>
      <c r="B13711">
        <v>184941926.71352169</v>
      </c>
    </row>
    <row r="13712" spans="1:2" x14ac:dyDescent="0.25">
      <c r="A13712">
        <f ca="1">30993.9990188085*((RANDBETWEEN(1620,2416)))</f>
        <v>59136550.127886705</v>
      </c>
      <c r="B13712">
        <v>156019087.25237969</v>
      </c>
    </row>
    <row r="13713" spans="1:2" x14ac:dyDescent="0.25">
      <c r="A13713">
        <f ca="1">31941.4323410423*((RANDBETWEEN(1620,2416)))</f>
        <v>70207268.285610944</v>
      </c>
      <c r="B13713">
        <v>154058153.59565938</v>
      </c>
    </row>
    <row r="13714" spans="1:2" x14ac:dyDescent="0.25">
      <c r="A13714">
        <f ca="1">35917.1274980763*((RANDBETWEEN(1620,2416)))</f>
        <v>79233183.260756418</v>
      </c>
      <c r="B13714">
        <v>195578183.49629304</v>
      </c>
    </row>
    <row r="13715" spans="1:2" x14ac:dyDescent="0.25">
      <c r="A13715">
        <f ca="1">30218.9257558909*((RANDBETWEEN(1620,2416)))</f>
        <v>69563967.090060785</v>
      </c>
      <c r="B13715">
        <v>189733485.16419959</v>
      </c>
    </row>
    <row r="13716" spans="1:2" x14ac:dyDescent="0.25">
      <c r="A13716">
        <f ca="1">38388.9873727153*((RANDBETWEEN(1620,2416)))</f>
        <v>81768543.103883609</v>
      </c>
      <c r="B13716">
        <v>196966435.24616498</v>
      </c>
    </row>
    <row r="13717" spans="1:2" x14ac:dyDescent="0.25">
      <c r="A13717">
        <f ca="1">32301.5957382155*((RANDBETWEEN(1620,2416)))</f>
        <v>67187319.135488287</v>
      </c>
      <c r="B13717">
        <v>165300883.11795411</v>
      </c>
    </row>
    <row r="13718" spans="1:2" x14ac:dyDescent="0.25">
      <c r="A13718">
        <f ca="1">40642.4065255136*((RANDBETWEEN(1620,2416)))</f>
        <v>91201560.243252486</v>
      </c>
      <c r="B13718">
        <v>200283210.86209932</v>
      </c>
    </row>
    <row r="13719" spans="1:2" x14ac:dyDescent="0.25">
      <c r="A13719">
        <f ca="1">39528.4466213835*((RANDBETWEEN(1620,2416)))</f>
        <v>88662305.771763161</v>
      </c>
      <c r="B13719">
        <v>176145449.22958907</v>
      </c>
    </row>
    <row r="13720" spans="1:2" x14ac:dyDescent="0.25">
      <c r="A13720">
        <f ca="1">30234.4309590951*((RANDBETWEEN(1620,2416)))</f>
        <v>52426503.283070967</v>
      </c>
      <c r="B13720">
        <v>149019211.36921704</v>
      </c>
    </row>
    <row r="13721" spans="1:2" x14ac:dyDescent="0.25">
      <c r="A13721">
        <f ca="1">36819.16367036*((RANDBETWEEN(1620,2416)))</f>
        <v>84426342.296135515</v>
      </c>
      <c r="B13721">
        <v>169833864.08119377</v>
      </c>
    </row>
    <row r="13722" spans="1:2" x14ac:dyDescent="0.25">
      <c r="A13722">
        <f ca="1">42166.9288346712*((RANDBETWEEN(1620,2416)))</f>
        <v>82436345.871782213</v>
      </c>
      <c r="B13722">
        <v>169313349.96091312</v>
      </c>
    </row>
    <row r="13723" spans="1:2" x14ac:dyDescent="0.25">
      <c r="A13723">
        <f ca="1">34616.5172701995*((RANDBETWEEN(1620,2416)))</f>
        <v>64075173.467139311</v>
      </c>
      <c r="B13723">
        <v>162141965.00776422</v>
      </c>
    </row>
    <row r="13724" spans="1:2" x14ac:dyDescent="0.25">
      <c r="A13724">
        <f ca="1">32934.6869564253*((RANDBETWEEN(1620,2416)))</f>
        <v>71962290.999789298</v>
      </c>
      <c r="B13724">
        <v>160864654.60343876</v>
      </c>
    </row>
    <row r="13725" spans="1:2" x14ac:dyDescent="0.25">
      <c r="A13725">
        <f ca="1">33876.512842017*((RANDBETWEEN(1620,2416)))</f>
        <v>61248735.218366802</v>
      </c>
      <c r="B13725">
        <v>193792958.66923308</v>
      </c>
    </row>
    <row r="13726" spans="1:2" x14ac:dyDescent="0.25">
      <c r="A13726">
        <f ca="1">36452.0858963648*((RANDBETWEEN(1620,2416)))</f>
        <v>82381714.125784367</v>
      </c>
      <c r="B13726">
        <v>180871139.16965783</v>
      </c>
    </row>
    <row r="13727" spans="1:2" x14ac:dyDescent="0.25">
      <c r="A13727">
        <f ca="1">31635.589944374*((RANDBETWEEN(1620,2416)))</f>
        <v>67130721.861961573</v>
      </c>
      <c r="B13727">
        <v>161408752.76805228</v>
      </c>
    </row>
    <row r="13728" spans="1:2" x14ac:dyDescent="0.25">
      <c r="A13728">
        <f ca="1">31020.8838998943*((RANDBETWEEN(1620,2416)))</f>
        <v>55837591.01980982</v>
      </c>
      <c r="B13728">
        <v>144090249.65313527</v>
      </c>
    </row>
    <row r="13729" spans="1:2" x14ac:dyDescent="0.25">
      <c r="A13729">
        <f ca="1">33941.5063598684*((RANDBETWEEN(1620,2416)))</f>
        <v>69783737.075889364</v>
      </c>
      <c r="B13729">
        <v>189872702.0802277</v>
      </c>
    </row>
    <row r="13730" spans="1:2" x14ac:dyDescent="0.25">
      <c r="A13730">
        <f ca="1">31626.5840309619*((RANDBETWEEN(1620,2416)))</f>
        <v>58825446.29758919</v>
      </c>
      <c r="B13730">
        <v>199253394.48508161</v>
      </c>
    </row>
    <row r="13731" spans="1:2" x14ac:dyDescent="0.25">
      <c r="A13731">
        <f ca="1">32672.0646672556*((RANDBETWEEN(1620,2416)))</f>
        <v>69852874.258592501</v>
      </c>
      <c r="B13731">
        <v>148283390.15758881</v>
      </c>
    </row>
    <row r="13732" spans="1:2" x14ac:dyDescent="0.25">
      <c r="A13732">
        <f ca="1">38760.6375604344*((RANDBETWEEN(1620,2416)))</f>
        <v>85118360.082713857</v>
      </c>
      <c r="B13732">
        <v>152262291.54605365</v>
      </c>
    </row>
    <row r="13733" spans="1:2" x14ac:dyDescent="0.25">
      <c r="A13733">
        <f ca="1">29468.7259091535*((RANDBETWEEN(1620,2416)))</f>
        <v>70459723.648785904</v>
      </c>
      <c r="B13733">
        <v>185417192.40865731</v>
      </c>
    </row>
    <row r="13734" spans="1:2" x14ac:dyDescent="0.25">
      <c r="A13734">
        <f ca="1">31549.1794477107*((RANDBETWEEN(1620,2416)))</f>
        <v>52876424.754363142</v>
      </c>
      <c r="B13734">
        <v>163286860.61188412</v>
      </c>
    </row>
    <row r="13735" spans="1:2" x14ac:dyDescent="0.25">
      <c r="A13735">
        <f ca="1">31784.4364846081*((RANDBETWEEN(1620,2416)))</f>
        <v>55908823.776425578</v>
      </c>
      <c r="B13735">
        <v>146408409.80175999</v>
      </c>
    </row>
    <row r="13736" spans="1:2" x14ac:dyDescent="0.25">
      <c r="A13736">
        <f ca="1">30528.4704557917*((RANDBETWEEN(1620,2416)))</f>
        <v>54707019.056778736</v>
      </c>
      <c r="B13736">
        <v>153048096.29874891</v>
      </c>
    </row>
    <row r="13737" spans="1:2" x14ac:dyDescent="0.25">
      <c r="A13737">
        <f ca="1">35641.9150595824*((RANDBETWEEN(1620,2416)))</f>
        <v>71996668.420356378</v>
      </c>
      <c r="B13737">
        <v>177801717.63912427</v>
      </c>
    </row>
    <row r="13738" spans="1:2" x14ac:dyDescent="0.25">
      <c r="A13738">
        <f ca="1">33277.7254160466*((RANDBETWEEN(1620,2416)))</f>
        <v>66954783.537085719</v>
      </c>
      <c r="B13738">
        <v>188223315.32309291</v>
      </c>
    </row>
    <row r="13739" spans="1:2" x14ac:dyDescent="0.25">
      <c r="A13739">
        <f ca="1">35288.4777138009*((RANDBETWEEN(1620,2416)))</f>
        <v>60766758.623165116</v>
      </c>
      <c r="B13739">
        <v>168484707.20532054</v>
      </c>
    </row>
    <row r="13740" spans="1:2" x14ac:dyDescent="0.25">
      <c r="A13740">
        <f ca="1">28633.8519418636*((RANDBETWEEN(1620,2416)))</f>
        <v>59214805.815773912</v>
      </c>
      <c r="B13740">
        <v>181164878.66256636</v>
      </c>
    </row>
    <row r="13741" spans="1:2" x14ac:dyDescent="0.25">
      <c r="A13741">
        <f ca="1">30162.6734423718*((RANDBETWEEN(1620,2416)))</f>
        <v>58123471.723450437</v>
      </c>
      <c r="B13741">
        <v>160536213.38598967</v>
      </c>
    </row>
    <row r="13742" spans="1:2" x14ac:dyDescent="0.25">
      <c r="A13742">
        <f ca="1">42214.2333678778*((RANDBETWEEN(1620,2416)))</f>
        <v>100047733.0818705</v>
      </c>
      <c r="B13742">
        <v>181228724.15519649</v>
      </c>
    </row>
    <row r="13743" spans="1:2" x14ac:dyDescent="0.25">
      <c r="A13743">
        <f ca="1">33670.2192038595*((RANDBETWEEN(1620,2416)))</f>
        <v>56734319.358503252</v>
      </c>
      <c r="B13743">
        <v>203577042.58590099</v>
      </c>
    </row>
    <row r="13744" spans="1:2" x14ac:dyDescent="0.25">
      <c r="A13744">
        <f ca="1">30959.4666446109*((RANDBETWEEN(1620,2416)))</f>
        <v>59349297.557719007</v>
      </c>
      <c r="B13744">
        <v>150699144.76355821</v>
      </c>
    </row>
    <row r="13745" spans="1:2" x14ac:dyDescent="0.25">
      <c r="A13745">
        <f ca="1">39136.7277199149*((RANDBETWEEN(1620,2416)))</f>
        <v>69663375.341448516</v>
      </c>
      <c r="B13745">
        <v>150347615.86047897</v>
      </c>
    </row>
    <row r="13746" spans="1:2" x14ac:dyDescent="0.25">
      <c r="A13746">
        <f ca="1">34499.5895589287*((RANDBETWEEN(1620,2416)))</f>
        <v>58304306.354589567</v>
      </c>
      <c r="B13746">
        <v>150793416.50605753</v>
      </c>
    </row>
    <row r="13747" spans="1:2" x14ac:dyDescent="0.25">
      <c r="A13747">
        <f ca="1">31564.4362615267*((RANDBETWEEN(1620,2416)))</f>
        <v>67358506.982098028</v>
      </c>
      <c r="B13747">
        <v>188705394.21154135</v>
      </c>
    </row>
    <row r="13748" spans="1:2" x14ac:dyDescent="0.25">
      <c r="A13748">
        <f ca="1">36540.2641613693*((RANDBETWEEN(1620,2416)))</f>
        <v>81411708.551530823</v>
      </c>
      <c r="B13748">
        <v>146201797.0173153</v>
      </c>
    </row>
    <row r="13749" spans="1:2" x14ac:dyDescent="0.25">
      <c r="A13749">
        <f ca="1">29835.78965936*((RANDBETWEEN(1620,2416)))</f>
        <v>63848589.871030368</v>
      </c>
      <c r="B13749">
        <v>167484962.19427812</v>
      </c>
    </row>
    <row r="13750" spans="1:2" x14ac:dyDescent="0.25">
      <c r="A13750">
        <f ca="1">34656.3013214174*((RANDBETWEEN(1620,2416)))</f>
        <v>60336620.600587666</v>
      </c>
      <c r="B13750">
        <v>152716402.90341237</v>
      </c>
    </row>
    <row r="13751" spans="1:2" x14ac:dyDescent="0.25">
      <c r="A13751">
        <f ca="1">37179.5816267341*((RANDBETWEEN(1620,2416)))</f>
        <v>66254014.458840229</v>
      </c>
      <c r="B13751">
        <v>162778825.93812135</v>
      </c>
    </row>
    <row r="13752" spans="1:2" x14ac:dyDescent="0.25">
      <c r="A13752">
        <f ca="1">33250.4971072339*((RANDBETWEEN(1620,2416)))</f>
        <v>79501938.583396211</v>
      </c>
      <c r="B13752">
        <v>195045872.44844392</v>
      </c>
    </row>
    <row r="13753" spans="1:2" x14ac:dyDescent="0.25">
      <c r="A13753">
        <f ca="1">27593.1188618921*((RANDBETWEEN(1620,2416)))</f>
        <v>45859763.548464663</v>
      </c>
      <c r="B13753">
        <v>153474117.14274827</v>
      </c>
    </row>
    <row r="13754" spans="1:2" x14ac:dyDescent="0.25">
      <c r="A13754">
        <f ca="1">39215.3201492987*((RANDBETWEEN(1620,2416)))</f>
        <v>88195255.015772715</v>
      </c>
      <c r="B13754">
        <v>164019798.20155698</v>
      </c>
    </row>
    <row r="13755" spans="1:2" x14ac:dyDescent="0.25">
      <c r="A13755">
        <f ca="1">30776.7558223115*((RANDBETWEEN(1620,2416)))</f>
        <v>60076227.365152016</v>
      </c>
      <c r="B13755">
        <v>149258591.41747525</v>
      </c>
    </row>
    <row r="13756" spans="1:2" x14ac:dyDescent="0.25">
      <c r="A13756">
        <f ca="1">33345.7647069365*((RANDBETWEEN(1620,2416)))</f>
        <v>62056468.119608812</v>
      </c>
      <c r="B13756">
        <v>146409153.11862451</v>
      </c>
    </row>
    <row r="13757" spans="1:2" x14ac:dyDescent="0.25">
      <c r="A13757">
        <f ca="1">39456.3098897503*((RANDBETWEEN(1620,2416)))</f>
        <v>65773668.58621376</v>
      </c>
      <c r="B13757">
        <v>166504024.21561283</v>
      </c>
    </row>
    <row r="13758" spans="1:2" x14ac:dyDescent="0.25">
      <c r="A13758">
        <f ca="1">30976.768400273*((RANDBETWEEN(1620,2416)))</f>
        <v>74808895.686659321</v>
      </c>
      <c r="B13758">
        <v>168018556.19409439</v>
      </c>
    </row>
    <row r="13759" spans="1:2" x14ac:dyDescent="0.25">
      <c r="A13759">
        <f ca="1">29414.4351565438*((RANDBETWEEN(1620,2416)))</f>
        <v>48327916.962201387</v>
      </c>
      <c r="B13759">
        <v>155757569.59247479</v>
      </c>
    </row>
    <row r="13760" spans="1:2" x14ac:dyDescent="0.25">
      <c r="A13760">
        <f ca="1">40229.5384374654*((RANDBETWEEN(1620,2416)))</f>
        <v>95223317.481480584</v>
      </c>
      <c r="B13760">
        <v>174353301.21443117</v>
      </c>
    </row>
    <row r="13761" spans="1:2" x14ac:dyDescent="0.25">
      <c r="A13761">
        <f ca="1">32337.4683013259*((RANDBETWEEN(1620,2416)))</f>
        <v>60471065.723479338</v>
      </c>
      <c r="B13761">
        <v>149711074.10631636</v>
      </c>
    </row>
    <row r="13762" spans="1:2" x14ac:dyDescent="0.25">
      <c r="A13762">
        <f ca="1">30923.7638401926*((RANDBETWEEN(1620,2416)))</f>
        <v>55817393.731547646</v>
      </c>
      <c r="B13762">
        <v>180440531.49195349</v>
      </c>
    </row>
    <row r="13763" spans="1:2" x14ac:dyDescent="0.25">
      <c r="A13763">
        <f ca="1">39220.8775931757*((RANDBETWEEN(1620,2416)))</f>
        <v>70205370.891784474</v>
      </c>
      <c r="B13763">
        <v>146152610.57353604</v>
      </c>
    </row>
    <row r="13764" spans="1:2" x14ac:dyDescent="0.25">
      <c r="A13764">
        <f ca="1">31894.0024688228*((RANDBETWEEN(1620,2416)))</f>
        <v>69273773.362283096</v>
      </c>
      <c r="B13764">
        <v>145160148.58598778</v>
      </c>
    </row>
    <row r="13765" spans="1:2" x14ac:dyDescent="0.25">
      <c r="A13765">
        <f ca="1">29707.7448394814*((RANDBETWEEN(1620,2416)))</f>
        <v>62178309.949034497</v>
      </c>
      <c r="B13765">
        <v>168058788.61194393</v>
      </c>
    </row>
    <row r="13766" spans="1:2" x14ac:dyDescent="0.25">
      <c r="A13766">
        <f ca="1">32656.4854145402*((RANDBETWEEN(1620,2416)))</f>
        <v>54536330.642282195</v>
      </c>
      <c r="B13766">
        <v>146652170.59303135</v>
      </c>
    </row>
    <row r="13767" spans="1:2" x14ac:dyDescent="0.25">
      <c r="A13767">
        <f ca="1">37464.2311624451*((RANDBETWEEN(1620,2416)))</f>
        <v>65862118.383578405</v>
      </c>
      <c r="B13767">
        <v>159023002.72588065</v>
      </c>
    </row>
    <row r="13768" spans="1:2" x14ac:dyDescent="0.25">
      <c r="A13768">
        <f ca="1">30097.4930079477*((RANDBETWEEN(1620,2416)))</f>
        <v>70036866.229494229</v>
      </c>
      <c r="B13768">
        <v>150220965.96155545</v>
      </c>
    </row>
    <row r="13769" spans="1:2" x14ac:dyDescent="0.25">
      <c r="A13769">
        <f ca="1">35763.4521259766*((RANDBETWEEN(1620,2416)))</f>
        <v>66162386.433056802</v>
      </c>
      <c r="B13769">
        <v>160908489.45383948</v>
      </c>
    </row>
    <row r="13770" spans="1:2" x14ac:dyDescent="0.25">
      <c r="A13770">
        <f ca="1">37357.83824734*((RANDBETWEEN(1620,2416)))</f>
        <v>75911127.318594933</v>
      </c>
      <c r="B13770">
        <v>147906127.90404835</v>
      </c>
    </row>
    <row r="13771" spans="1:2" x14ac:dyDescent="0.25">
      <c r="A13771">
        <f ca="1">33194.2751407308*((RANDBETWEEN(1620,2416)))</f>
        <v>67085630.059416965</v>
      </c>
      <c r="B13771">
        <v>167576685.93237138</v>
      </c>
    </row>
    <row r="13772" spans="1:2" x14ac:dyDescent="0.25">
      <c r="A13772">
        <f ca="1">30315.2680182698*((RANDBETWEEN(1620,2416)))</f>
        <v>68239668.309125274</v>
      </c>
      <c r="B13772">
        <v>146551160.37871504</v>
      </c>
    </row>
    <row r="13773" spans="1:2" x14ac:dyDescent="0.25">
      <c r="A13773">
        <f ca="1">33749.1831017415*((RANDBETWEEN(1620,2416)))</f>
        <v>81166785.359688282</v>
      </c>
      <c r="B13773">
        <v>161919936.00008774</v>
      </c>
    </row>
    <row r="13774" spans="1:2" x14ac:dyDescent="0.25">
      <c r="A13774">
        <f ca="1">41735.6329674085*((RANDBETWEEN(1620,2416)))</f>
        <v>75624966.936944216</v>
      </c>
      <c r="B13774">
        <v>190247128.56807834</v>
      </c>
    </row>
    <row r="13775" spans="1:2" x14ac:dyDescent="0.25">
      <c r="A13775">
        <f ca="1">42028.5061078292*((RANDBETWEEN(1620,2416)))</f>
        <v>80400532.184277326</v>
      </c>
      <c r="B13775">
        <v>189956870.32854256</v>
      </c>
    </row>
    <row r="13776" spans="1:2" x14ac:dyDescent="0.25">
      <c r="A13776">
        <f ca="1">34913.7768720811*((RANDBETWEEN(1620,2416)))</f>
        <v>67697813.35496527</v>
      </c>
      <c r="B13776">
        <v>185094753.03785086</v>
      </c>
    </row>
    <row r="13777" spans="1:2" x14ac:dyDescent="0.25">
      <c r="A13777">
        <f ca="1">34417.141647105*((RANDBETWEEN(1620,2416)))</f>
        <v>75235871.64057143</v>
      </c>
      <c r="B13777">
        <v>180899821.94061729</v>
      </c>
    </row>
    <row r="13778" spans="1:2" x14ac:dyDescent="0.25">
      <c r="A13778">
        <f ca="1">30226.1156227168*((RANDBETWEEN(1620,2416)))</f>
        <v>59726804.47048834</v>
      </c>
      <c r="B13778">
        <v>191206630.26843143</v>
      </c>
    </row>
    <row r="13779" spans="1:2" x14ac:dyDescent="0.25">
      <c r="A13779">
        <f ca="1">35024.1808113164*((RANDBETWEEN(1620,2416)))</f>
        <v>66020580.829331346</v>
      </c>
      <c r="B13779">
        <v>147793670.93006068</v>
      </c>
    </row>
    <row r="13780" spans="1:2" x14ac:dyDescent="0.25">
      <c r="A13780">
        <f ca="1">32899.1507010427*((RANDBETWEEN(1620,2416)))</f>
        <v>70338384.198829353</v>
      </c>
      <c r="B13780">
        <v>150997850.81699395</v>
      </c>
    </row>
    <row r="13781" spans="1:2" x14ac:dyDescent="0.25">
      <c r="A13781">
        <f ca="1">27713.5708703588*((RANDBETWEEN(1620,2416)))</f>
        <v>51990658.952793032</v>
      </c>
      <c r="B13781">
        <v>156213325.39386827</v>
      </c>
    </row>
    <row r="13782" spans="1:2" x14ac:dyDescent="0.25">
      <c r="A13782">
        <f ca="1">40329.7943320272*((RANDBETWEEN(1620,2416)))</f>
        <v>73843853.421941862</v>
      </c>
      <c r="B13782">
        <v>171667476.40470681</v>
      </c>
    </row>
    <row r="13783" spans="1:2" x14ac:dyDescent="0.25">
      <c r="A13783">
        <f ca="1">41578.3251963011*((RANDBETWEEN(1620,2416)))</f>
        <v>96461714.455418453</v>
      </c>
      <c r="B13783">
        <v>169222570.12737855</v>
      </c>
    </row>
    <row r="13784" spans="1:2" x14ac:dyDescent="0.25">
      <c r="A13784">
        <f ca="1">30598.8017407826*((RANDBETWEEN(1620,2416)))</f>
        <v>61167004.679824434</v>
      </c>
      <c r="B13784">
        <v>193021898.88876137</v>
      </c>
    </row>
    <row r="13785" spans="1:2" x14ac:dyDescent="0.25">
      <c r="A13785">
        <f ca="1">32442.7932164947*((RANDBETWEEN(1620,2416)))</f>
        <v>75461937.021566674</v>
      </c>
      <c r="B13785">
        <v>146152816.72018793</v>
      </c>
    </row>
    <row r="13786" spans="1:2" x14ac:dyDescent="0.25">
      <c r="A13786">
        <f ca="1">40087.4199375296*((RANDBETWEEN(1620,2416)))</f>
        <v>82259385.711810678</v>
      </c>
      <c r="B13786">
        <v>168172599.67404741</v>
      </c>
    </row>
    <row r="13787" spans="1:2" x14ac:dyDescent="0.25">
      <c r="A13787">
        <f ca="1">29314.6920186716*((RANDBETWEEN(1620,2416)))</f>
        <v>57339537.588521585</v>
      </c>
      <c r="B13787">
        <v>157344000.77560925</v>
      </c>
    </row>
    <row r="13788" spans="1:2" x14ac:dyDescent="0.25">
      <c r="A13788">
        <f ca="1">39016.6772046222*((RANDBETWEEN(1620,2416)))</f>
        <v>90245574.374291241</v>
      </c>
      <c r="B13788">
        <v>175379309.31636018</v>
      </c>
    </row>
    <row r="13789" spans="1:2" x14ac:dyDescent="0.25">
      <c r="A13789">
        <f ca="1">35813.744609355*((RANDBETWEEN(1620,2416)))</f>
        <v>63569396.681605145</v>
      </c>
      <c r="B13789">
        <v>156389296.04715627</v>
      </c>
    </row>
    <row r="13790" spans="1:2" x14ac:dyDescent="0.25">
      <c r="A13790">
        <f ca="1">36935.0949863855*((RANDBETWEEN(1620,2416)))</f>
        <v>77305153.806504786</v>
      </c>
      <c r="B13790">
        <v>152147156.78351325</v>
      </c>
    </row>
    <row r="13791" spans="1:2" x14ac:dyDescent="0.25">
      <c r="A13791">
        <f ca="1">34355.8233600507*((RANDBETWEEN(1620,2416)))</f>
        <v>59298151.11944747</v>
      </c>
      <c r="B13791">
        <v>164482783.85950097</v>
      </c>
    </row>
    <row r="13792" spans="1:2" x14ac:dyDescent="0.25">
      <c r="A13792">
        <f ca="1">29859.806345664*((RANDBETWEEN(1620,2416)))</f>
        <v>61093163.783228464</v>
      </c>
      <c r="B13792">
        <v>145569708.06117862</v>
      </c>
    </row>
    <row r="13793" spans="1:2" x14ac:dyDescent="0.25">
      <c r="A13793">
        <f ca="1">36966.3405519609*((RANDBETWEEN(1620,2416)))</f>
        <v>65541321.798626728</v>
      </c>
      <c r="B13793">
        <v>165599760.73464769</v>
      </c>
    </row>
    <row r="13794" spans="1:2" x14ac:dyDescent="0.25">
      <c r="A13794">
        <f ca="1">34885.0287768786*((RANDBETWEEN(1620,2416)))</f>
        <v>62234891.337951384</v>
      </c>
      <c r="B13794">
        <v>153163935.21543333</v>
      </c>
    </row>
    <row r="13795" spans="1:2" x14ac:dyDescent="0.25">
      <c r="A13795">
        <f ca="1">33126.3298777316*((RANDBETWEEN(1620,2416)))</f>
        <v>63006279.427445516</v>
      </c>
      <c r="B13795">
        <v>165967266.03920883</v>
      </c>
    </row>
    <row r="13796" spans="1:2" x14ac:dyDescent="0.25">
      <c r="A13796">
        <f ca="1">30137.6562551111*((RANDBETWEEN(1620,2416)))</f>
        <v>53102550.321505807</v>
      </c>
      <c r="B13796">
        <v>151259214.18992645</v>
      </c>
    </row>
    <row r="13797" spans="1:2" x14ac:dyDescent="0.25">
      <c r="A13797">
        <f ca="1">32178.0269851623*((RANDBETWEEN(1620,2416)))</f>
        <v>55571452.603375271</v>
      </c>
      <c r="B13797">
        <v>173155012.25538394</v>
      </c>
    </row>
    <row r="13798" spans="1:2" x14ac:dyDescent="0.25">
      <c r="A13798">
        <f ca="1">30066.8316934805*((RANDBETWEEN(1620,2416)))</f>
        <v>60975534.674378358</v>
      </c>
      <c r="B13798">
        <v>192550860.72577491</v>
      </c>
    </row>
    <row r="13799" spans="1:2" x14ac:dyDescent="0.25">
      <c r="A13799">
        <f ca="1">31941.9743472309*((RANDBETWEEN(1620,2416)))</f>
        <v>53758342.826389566</v>
      </c>
      <c r="B13799">
        <v>155965775.4731409</v>
      </c>
    </row>
    <row r="13800" spans="1:2" x14ac:dyDescent="0.25">
      <c r="A13800">
        <f ca="1">39107.5192483055*((RANDBETWEEN(1620,2416)))</f>
        <v>70667287.281688035</v>
      </c>
      <c r="B13800">
        <v>174557318.60719019</v>
      </c>
    </row>
    <row r="13801" spans="1:2" x14ac:dyDescent="0.25">
      <c r="A13801">
        <f ca="1">36899.3216576956*((RANDBETWEEN(1620,2416)))</f>
        <v>69887315.219675556</v>
      </c>
      <c r="B13801">
        <v>190228164.99715701</v>
      </c>
    </row>
    <row r="13802" spans="1:2" x14ac:dyDescent="0.25">
      <c r="A13802">
        <f ca="1">29527.2435326729*((RANDBETWEEN(1620,2416)))</f>
        <v>60442267.511381418</v>
      </c>
      <c r="B13802">
        <v>176567094.22194204</v>
      </c>
    </row>
    <row r="13803" spans="1:2" x14ac:dyDescent="0.25">
      <c r="A13803">
        <f ca="1">33311.2127450546*((RANDBETWEEN(1620,2416)))</f>
        <v>66289313.362658642</v>
      </c>
      <c r="B13803">
        <v>188617621.35934585</v>
      </c>
    </row>
    <row r="13804" spans="1:2" x14ac:dyDescent="0.25">
      <c r="A13804">
        <f ca="1">32585.4856995134*((RANDBETWEEN(1620,2416)))</f>
        <v>57708895.173838191</v>
      </c>
      <c r="B13804">
        <v>187093764.29163444</v>
      </c>
    </row>
    <row r="13805" spans="1:2" x14ac:dyDescent="0.25">
      <c r="A13805">
        <f ca="1">29803.9181588176*((RANDBETWEEN(1620,2416)))</f>
        <v>57968620.81890022</v>
      </c>
      <c r="B13805">
        <v>148427908.99853691</v>
      </c>
    </row>
    <row r="13806" spans="1:2" x14ac:dyDescent="0.25">
      <c r="A13806">
        <f ca="1">32640.4981480225*((RANDBETWEEN(1620,2416)))</f>
        <v>58067446.205332108</v>
      </c>
      <c r="B13806">
        <v>153760705.29909933</v>
      </c>
    </row>
    <row r="13807" spans="1:2" x14ac:dyDescent="0.25">
      <c r="A13807">
        <f ca="1">34160.8183917982*((RANDBETWEEN(1620,2416)))</f>
        <v>62582619.293774478</v>
      </c>
      <c r="B13807">
        <v>180007956.72669944</v>
      </c>
    </row>
    <row r="13808" spans="1:2" x14ac:dyDescent="0.25">
      <c r="A13808">
        <f ca="1">30510.71104741*((RANDBETWEEN(1620,2416)))</f>
        <v>70845871.052086025</v>
      </c>
      <c r="B13808">
        <v>173699864.65786868</v>
      </c>
    </row>
    <row r="13809" spans="1:2" x14ac:dyDescent="0.25">
      <c r="A13809">
        <f ca="1">31671.6984497351*((RANDBETWEEN(1620,2416)))</f>
        <v>58497627.036660761</v>
      </c>
      <c r="B13809">
        <v>183167646.09774247</v>
      </c>
    </row>
    <row r="13810" spans="1:2" x14ac:dyDescent="0.25">
      <c r="A13810">
        <f ca="1">40511.92114498*((RANDBETWEEN(1620,2416)))</f>
        <v>68181563.287001356</v>
      </c>
      <c r="B13810">
        <v>167767076.64688417</v>
      </c>
    </row>
    <row r="13811" spans="1:2" x14ac:dyDescent="0.25">
      <c r="A13811">
        <f ca="1">29647.7951759236*((RANDBETWEEN(1620,2416)))</f>
        <v>69286897.3261334</v>
      </c>
      <c r="B13811">
        <v>179934728.39193878</v>
      </c>
    </row>
    <row r="13812" spans="1:2" x14ac:dyDescent="0.25">
      <c r="A13812">
        <f ca="1">30705.1071156995*((RANDBETWEEN(1620,2416)))</f>
        <v>63129700.22987818</v>
      </c>
      <c r="B13812">
        <v>145527659.87591267</v>
      </c>
    </row>
    <row r="13813" spans="1:2" x14ac:dyDescent="0.25">
      <c r="A13813">
        <f ca="1">31330.111392701*((RANDBETWEEN(1620,2416)))</f>
        <v>65918554.370242923</v>
      </c>
      <c r="B13813">
        <v>152963211.04698664</v>
      </c>
    </row>
    <row r="13814" spans="1:2" x14ac:dyDescent="0.25">
      <c r="A13814">
        <f ca="1">29961.355820059*((RANDBETWEEN(1620,2416)))</f>
        <v>67353127.883492664</v>
      </c>
      <c r="B13814">
        <v>174831896.37576321</v>
      </c>
    </row>
    <row r="13815" spans="1:2" x14ac:dyDescent="0.25">
      <c r="A13815">
        <f ca="1">28953.2970858378*((RANDBETWEEN(1620,2416)))</f>
        <v>56198349.643611155</v>
      </c>
      <c r="B13815">
        <v>183341680.75053388</v>
      </c>
    </row>
    <row r="13816" spans="1:2" x14ac:dyDescent="0.25">
      <c r="A13816">
        <f ca="1">32625.8085562153*((RANDBETWEEN(1620,2416)))</f>
        <v>56279519.759471312</v>
      </c>
      <c r="B13816">
        <v>158763598.52345863</v>
      </c>
    </row>
    <row r="13817" spans="1:2" x14ac:dyDescent="0.25">
      <c r="A13817">
        <f ca="1">31632.4659830494*((RANDBETWEEN(1620,2416)))</f>
        <v>69844484.890573055</v>
      </c>
      <c r="B13817">
        <v>188639520.32353324</v>
      </c>
    </row>
    <row r="13818" spans="1:2" x14ac:dyDescent="0.25">
      <c r="A13818">
        <f ca="1">40391.369869761*((RANDBETWEEN(1620,2416)))</f>
        <v>77712995.629420236</v>
      </c>
      <c r="B13818">
        <v>146180919.94237322</v>
      </c>
    </row>
    <row r="13819" spans="1:2" x14ac:dyDescent="0.25">
      <c r="A13819">
        <f ca="1">33539.8380458771*((RANDBETWEEN(1620,2416)))</f>
        <v>54368077.472366847</v>
      </c>
      <c r="B13819">
        <v>167399059.16497791</v>
      </c>
    </row>
    <row r="13820" spans="1:2" x14ac:dyDescent="0.25">
      <c r="A13820">
        <f ca="1">36759.8790168672*((RANDBETWEEN(1620,2416)))</f>
        <v>64587107.432635657</v>
      </c>
      <c r="B13820">
        <v>145873373.16810775</v>
      </c>
    </row>
    <row r="13821" spans="1:2" x14ac:dyDescent="0.25">
      <c r="A13821">
        <f ca="1">32918.2509671018*((RANDBETWEEN(1620,2416)))</f>
        <v>69885446.803157046</v>
      </c>
      <c r="B13821">
        <v>170211667.8530457</v>
      </c>
    </row>
    <row r="13822" spans="1:2" x14ac:dyDescent="0.25">
      <c r="A13822">
        <f ca="1">33361.4025534372*((RANDBETWEEN(1620,2416)))</f>
        <v>56947914.158717319</v>
      </c>
      <c r="B13822">
        <v>166729267.90120921</v>
      </c>
    </row>
    <row r="13823" spans="1:2" x14ac:dyDescent="0.25">
      <c r="A13823">
        <f ca="1">28924.5446363205*((RANDBETWEEN(1620,2416)))</f>
        <v>48130442.274837241</v>
      </c>
      <c r="B13823">
        <v>170165656.52507928</v>
      </c>
    </row>
    <row r="13824" spans="1:2" x14ac:dyDescent="0.25">
      <c r="A13824">
        <f ca="1">33861.920832214*((RANDBETWEEN(1620,2416)))</f>
        <v>68875146.972723246</v>
      </c>
      <c r="B13824">
        <v>151679642.76257604</v>
      </c>
    </row>
    <row r="13825" spans="1:2" x14ac:dyDescent="0.25">
      <c r="A13825">
        <f ca="1">38317.0046243146*((RANDBETWEEN(1620,2416)))</f>
        <v>77783519.38735874</v>
      </c>
      <c r="B13825">
        <v>164581368.89570469</v>
      </c>
    </row>
    <row r="13826" spans="1:2" x14ac:dyDescent="0.25">
      <c r="A13826">
        <f ca="1">35222.044329118*((RANDBETWEEN(1620,2416)))</f>
        <v>77770273.878692627</v>
      </c>
      <c r="B13826">
        <v>155744422.3809728</v>
      </c>
    </row>
    <row r="13827" spans="1:2" x14ac:dyDescent="0.25">
      <c r="A13827">
        <f ca="1">37451.2148870122*((RANDBETWEEN(1620,2416)))</f>
        <v>79246770.700917825</v>
      </c>
      <c r="B13827">
        <v>154171987.41793197</v>
      </c>
    </row>
    <row r="13828" spans="1:2" x14ac:dyDescent="0.25">
      <c r="A13828">
        <f ca="1">36428.6444971835*((RANDBETWEEN(1620,2416)))</f>
        <v>59487976.463900611</v>
      </c>
      <c r="B13828">
        <v>146495446.68370542</v>
      </c>
    </row>
    <row r="13829" spans="1:2" x14ac:dyDescent="0.25">
      <c r="A13829">
        <f ca="1">36757.3160347297*((RANDBETWEEN(1620,2416)))</f>
        <v>86379692.681614682</v>
      </c>
      <c r="B13829">
        <v>147649485.07599896</v>
      </c>
    </row>
    <row r="13830" spans="1:2" x14ac:dyDescent="0.25">
      <c r="A13830">
        <f ca="1">36385.655125794*((RANDBETWEEN(1620,2416)))</f>
        <v>66440206.259699896</v>
      </c>
      <c r="B13830">
        <v>164212510.33030081</v>
      </c>
    </row>
    <row r="13831" spans="1:2" x14ac:dyDescent="0.25">
      <c r="A13831">
        <f ca="1">41110.7281345663*((RANDBETWEEN(1620,2416)))</f>
        <v>74985968.117448896</v>
      </c>
      <c r="B13831">
        <v>149010281.74777523</v>
      </c>
    </row>
    <row r="13832" spans="1:2" x14ac:dyDescent="0.25">
      <c r="A13832">
        <f ca="1">32613.8058030284*((RANDBETWEEN(1620,2416)))</f>
        <v>71293779.485420063</v>
      </c>
      <c r="B13832">
        <v>159706364.86379051</v>
      </c>
    </row>
    <row r="13833" spans="1:2" x14ac:dyDescent="0.25">
      <c r="A13833">
        <f ca="1">32382.3501627142*((RANDBETWEEN(1620,2416)))</f>
        <v>62530318.164201088</v>
      </c>
      <c r="B13833">
        <v>185236267.50610295</v>
      </c>
    </row>
    <row r="13834" spans="1:2" x14ac:dyDescent="0.25">
      <c r="A13834">
        <f ca="1">39950.4057866626*((RANDBETWEEN(1620,2416)))</f>
        <v>77104283.168258861</v>
      </c>
      <c r="B13834">
        <v>163787933.30789158</v>
      </c>
    </row>
    <row r="13835" spans="1:2" x14ac:dyDescent="0.25">
      <c r="A13835">
        <f ca="1">36147.4624258227*((RANDBETWEEN(1620,2416)))</f>
        <v>64631662.817370981</v>
      </c>
      <c r="B13835">
        <v>149222946.12606069</v>
      </c>
    </row>
    <row r="13836" spans="1:2" x14ac:dyDescent="0.25">
      <c r="A13836">
        <f ca="1">34400.1973869201*((RANDBETWEEN(1620,2416)))</f>
        <v>63777965.955349915</v>
      </c>
      <c r="B13836">
        <v>170988254.20007062</v>
      </c>
    </row>
    <row r="13837" spans="1:2" x14ac:dyDescent="0.25">
      <c r="A13837">
        <f ca="1">32203.8200499075*((RANDBETWEEN(1620,2416)))</f>
        <v>66597499.863208741</v>
      </c>
      <c r="B13837">
        <v>150833705.49984694</v>
      </c>
    </row>
    <row r="13838" spans="1:2" x14ac:dyDescent="0.25">
      <c r="A13838">
        <f ca="1">29333.9397499287*((RANDBETWEEN(1620,2416)))</f>
        <v>60955926.80035188</v>
      </c>
      <c r="B13838">
        <v>148337549.24064717</v>
      </c>
    </row>
    <row r="13839" spans="1:2" x14ac:dyDescent="0.25">
      <c r="A13839">
        <f ca="1">32443.5334670417*((RANDBETWEEN(1620,2416)))</f>
        <v>70856677.092018992</v>
      </c>
      <c r="B13839">
        <v>190696078.37844422</v>
      </c>
    </row>
    <row r="13840" spans="1:2" x14ac:dyDescent="0.25">
      <c r="A13840">
        <f ca="1">29085.107986574*((RANDBETWEEN(1620,2416)))</f>
        <v>64830705.702073552</v>
      </c>
      <c r="B13840">
        <v>194250471.97414416</v>
      </c>
    </row>
    <row r="13841" spans="1:2" x14ac:dyDescent="0.25">
      <c r="A13841">
        <f ca="1">38047.0429431945*((RANDBETWEEN(1620,2416)))</f>
        <v>68332489.125977337</v>
      </c>
      <c r="B13841">
        <v>179480358.15179798</v>
      </c>
    </row>
    <row r="13842" spans="1:2" x14ac:dyDescent="0.25">
      <c r="A13842">
        <f ca="1">32552.6105192714*((RANDBETWEEN(1620,2416)))</f>
        <v>63738011.3967335</v>
      </c>
      <c r="B13842">
        <v>171106343.44849005</v>
      </c>
    </row>
    <row r="13843" spans="1:2" x14ac:dyDescent="0.25">
      <c r="A13843">
        <f ca="1">33778.6392525879*((RANDBETWEEN(1620,2416)))</f>
        <v>62085138.946256571</v>
      </c>
      <c r="B13843">
        <v>202007154.0366728</v>
      </c>
    </row>
    <row r="13844" spans="1:2" x14ac:dyDescent="0.25">
      <c r="A13844">
        <f ca="1">32841.8734051401*((RANDBETWEEN(1620,2416)))</f>
        <v>74025582.655185893</v>
      </c>
      <c r="B13844">
        <v>175367907.63905776</v>
      </c>
    </row>
    <row r="13845" spans="1:2" x14ac:dyDescent="0.25">
      <c r="A13845">
        <f ca="1">36710.7334840978*((RANDBETWEEN(1620,2416)))</f>
        <v>81094010.266371965</v>
      </c>
      <c r="B13845">
        <v>148149156.08942837</v>
      </c>
    </row>
    <row r="13846" spans="1:2" x14ac:dyDescent="0.25">
      <c r="A13846">
        <f ca="1">30044.8022134544*((RANDBETWEEN(1620,2416)))</f>
        <v>69673896.33300066</v>
      </c>
      <c r="B13846">
        <v>163974734.81323266</v>
      </c>
    </row>
    <row r="13847" spans="1:2" x14ac:dyDescent="0.25">
      <c r="A13847">
        <f ca="1">29589.9519403286*((RANDBETWEEN(1620,2416)))</f>
        <v>57374916.812297076</v>
      </c>
      <c r="B13847">
        <v>171786352.91133833</v>
      </c>
    </row>
    <row r="13848" spans="1:2" x14ac:dyDescent="0.25">
      <c r="A13848">
        <f ca="1">40902.0132104925*((RANDBETWEEN(1620,2416)))</f>
        <v>67202007.70483914</v>
      </c>
      <c r="B13848">
        <v>144670051.13607076</v>
      </c>
    </row>
    <row r="13849" spans="1:2" x14ac:dyDescent="0.25">
      <c r="A13849">
        <f ca="1">31866.6428202*((RANDBETWEEN(1620,2416)))</f>
        <v>63095952.783995971</v>
      </c>
      <c r="B13849">
        <v>145920099.03682601</v>
      </c>
    </row>
    <row r="13850" spans="1:2" x14ac:dyDescent="0.25">
      <c r="A13850">
        <f ca="1">31187.9057728537*((RANDBETWEEN(1620,2416)))</f>
        <v>72730196.262294769</v>
      </c>
      <c r="B13850">
        <v>179865191.54611856</v>
      </c>
    </row>
    <row r="13851" spans="1:2" x14ac:dyDescent="0.25">
      <c r="A13851">
        <f ca="1">31941.7426454295*((RANDBETWEEN(1620,2416)))</f>
        <v>68834455.400900617</v>
      </c>
      <c r="B13851">
        <v>170503901.63960817</v>
      </c>
    </row>
    <row r="13852" spans="1:2" x14ac:dyDescent="0.25">
      <c r="A13852">
        <f ca="1">34528.4646016422*((RANDBETWEEN(1620,2416)))</f>
        <v>66985221.327185936</v>
      </c>
      <c r="B13852">
        <v>164524468.27478707</v>
      </c>
    </row>
    <row r="13853" spans="1:2" x14ac:dyDescent="0.25">
      <c r="A13853">
        <f ca="1">29298.1462994119*((RANDBETWEEN(1620,2416)))</f>
        <v>56955596.40605665</v>
      </c>
      <c r="B13853">
        <v>172288185.46992618</v>
      </c>
    </row>
    <row r="13854" spans="1:2" x14ac:dyDescent="0.25">
      <c r="A13854">
        <f ca="1">38942.5166496391*((RANDBETWEEN(1620,2416)))</f>
        <v>69551334.736255392</v>
      </c>
      <c r="B13854">
        <v>188550394.37985903</v>
      </c>
    </row>
    <row r="13855" spans="1:2" x14ac:dyDescent="0.25">
      <c r="A13855">
        <f ca="1">32642.1520502327*((RANDBETWEEN(1620,2416)))</f>
        <v>56013932.918199278</v>
      </c>
      <c r="B13855">
        <v>192433670.15853542</v>
      </c>
    </row>
    <row r="13856" spans="1:2" x14ac:dyDescent="0.25">
      <c r="A13856">
        <f ca="1">32358.063591575*((RANDBETWEEN(1620,2416)))</f>
        <v>55105782.296452217</v>
      </c>
      <c r="B13856">
        <v>163088582.38256118</v>
      </c>
    </row>
    <row r="13857" spans="1:2" x14ac:dyDescent="0.25">
      <c r="A13857">
        <f ca="1">37833.4131661539*((RANDBETWEEN(1620,2416)))</f>
        <v>78769166.211932361</v>
      </c>
      <c r="B13857">
        <v>184789012.73940164</v>
      </c>
    </row>
    <row r="13858" spans="1:2" x14ac:dyDescent="0.25">
      <c r="A13858">
        <f ca="1">31117.4581706471*((RANDBETWEEN(1620,2416)))</f>
        <v>59123170.524229541</v>
      </c>
      <c r="B13858">
        <v>157332692.95705041</v>
      </c>
    </row>
    <row r="13859" spans="1:2" x14ac:dyDescent="0.25">
      <c r="A13859">
        <f ca="1">32004.6310805035*((RANDBETWEEN(1620,2416)))</f>
        <v>65513479.821790755</v>
      </c>
      <c r="B13859">
        <v>184884959.19939724</v>
      </c>
    </row>
    <row r="13860" spans="1:2" x14ac:dyDescent="0.25">
      <c r="A13860">
        <f ca="1">34766.7865345301*((RANDBETWEEN(1620,2416)))</f>
        <v>62510682.189085163</v>
      </c>
      <c r="B13860">
        <v>163689138.94389141</v>
      </c>
    </row>
    <row r="13861" spans="1:2" x14ac:dyDescent="0.25">
      <c r="A13861">
        <f ca="1">32173.3340169078*((RANDBETWEEN(1620,2416)))</f>
        <v>59585014.599313274</v>
      </c>
      <c r="B13861">
        <v>163035601.2589052</v>
      </c>
    </row>
    <row r="13862" spans="1:2" x14ac:dyDescent="0.25">
      <c r="A13862">
        <f ca="1">29553.0319401766*((RANDBETWEEN(1620,2416)))</f>
        <v>63361700.479738526</v>
      </c>
      <c r="B13862">
        <v>170774210.78364873</v>
      </c>
    </row>
    <row r="13863" spans="1:2" x14ac:dyDescent="0.25">
      <c r="A13863">
        <f ca="1">31197.1706083787*((RANDBETWEEN(1620,2416)))</f>
        <v>52504838.133901343</v>
      </c>
      <c r="B13863">
        <v>146618572.03538227</v>
      </c>
    </row>
    <row r="13864" spans="1:2" x14ac:dyDescent="0.25">
      <c r="A13864">
        <f ca="1">30058.0941579744*((RANDBETWEEN(1620,2416)))</f>
        <v>63993682.462327577</v>
      </c>
      <c r="B13864">
        <v>200705732.32486755</v>
      </c>
    </row>
    <row r="13865" spans="1:2" x14ac:dyDescent="0.25">
      <c r="A13865">
        <f ca="1">32608.9649349778*((RANDBETWEEN(1620,2416)))</f>
        <v>67109249.836184397</v>
      </c>
      <c r="B13865">
        <v>155740949.42799926</v>
      </c>
    </row>
    <row r="13866" spans="1:2" x14ac:dyDescent="0.25">
      <c r="A13866">
        <f ca="1">35592.2313614843*((RANDBETWEEN(1620,2416)))</f>
        <v>80367258.414231479</v>
      </c>
      <c r="B13866">
        <v>161500722.53136167</v>
      </c>
    </row>
    <row r="13867" spans="1:2" x14ac:dyDescent="0.25">
      <c r="A13867">
        <f ca="1">32854.774453267*((RANDBETWEEN(1620,2416)))</f>
        <v>53618991.907731771</v>
      </c>
      <c r="B13867">
        <v>158613175.30418342</v>
      </c>
    </row>
    <row r="13868" spans="1:2" x14ac:dyDescent="0.25">
      <c r="A13868">
        <f ca="1">32892.650988673*((RANDBETWEEN(1620,2416)))</f>
        <v>78448972.607985198</v>
      </c>
      <c r="B13868">
        <v>200817313.70231935</v>
      </c>
    </row>
    <row r="13869" spans="1:2" x14ac:dyDescent="0.25">
      <c r="A13869">
        <f ca="1">31641.3459132915*((RANDBETWEEN(1620,2416)))</f>
        <v>59770502.430207722</v>
      </c>
      <c r="B13869">
        <v>150353663.15156096</v>
      </c>
    </row>
    <row r="13870" spans="1:2" x14ac:dyDescent="0.25">
      <c r="A13870">
        <f ca="1">36063.4553368857*((RANDBETWEEN(1620,2416)))</f>
        <v>58675241.833113074</v>
      </c>
      <c r="B13870">
        <v>154029500.51617241</v>
      </c>
    </row>
    <row r="13871" spans="1:2" x14ac:dyDescent="0.25">
      <c r="A13871">
        <f ca="1">32208.3929243328*((RANDBETWEEN(1620,2416)))</f>
        <v>58715900.301058613</v>
      </c>
      <c r="B13871">
        <v>145238455.83610538</v>
      </c>
    </row>
    <row r="13872" spans="1:2" x14ac:dyDescent="0.25">
      <c r="A13872">
        <f ca="1">37156.5228683562*((RANDBETWEEN(1620,2416)))</f>
        <v>75167645.762684628</v>
      </c>
      <c r="B13872">
        <v>185174641.61587653</v>
      </c>
    </row>
    <row r="13873" spans="1:2" x14ac:dyDescent="0.25">
      <c r="A13873">
        <f ca="1">31483.4850659964*((RANDBETWEEN(1620,2416)))</f>
        <v>55505384.171351604</v>
      </c>
      <c r="B13873">
        <v>168931528.18028808</v>
      </c>
    </row>
    <row r="13874" spans="1:2" x14ac:dyDescent="0.25">
      <c r="A13874">
        <f ca="1">31696.4629803133*((RANDBETWEEN(1620,2416)))</f>
        <v>51348270.028107613</v>
      </c>
      <c r="B13874">
        <v>151092978.29999679</v>
      </c>
    </row>
    <row r="13875" spans="1:2" x14ac:dyDescent="0.25">
      <c r="A13875">
        <f ca="1">31263.9477631974*((RANDBETWEEN(1620,2416)))</f>
        <v>53242503.040725172</v>
      </c>
      <c r="B13875">
        <v>151571656.81172121</v>
      </c>
    </row>
    <row r="13876" spans="1:2" x14ac:dyDescent="0.25">
      <c r="A13876">
        <f ca="1">28861.6550180777*((RANDBETWEEN(1620,2416)))</f>
        <v>54866006.189365745</v>
      </c>
      <c r="B13876">
        <v>148145236.12141037</v>
      </c>
    </row>
    <row r="13877" spans="1:2" x14ac:dyDescent="0.25">
      <c r="A13877">
        <f ca="1">32301.3945324441*((RANDBETWEEN(1620,2416)))</f>
        <v>77329538.510671288</v>
      </c>
      <c r="B13877">
        <v>163307226.87383488</v>
      </c>
    </row>
    <row r="13878" spans="1:2" x14ac:dyDescent="0.25">
      <c r="A13878">
        <f ca="1">31973.4339710988*((RANDBETWEEN(1620,2416)))</f>
        <v>58447437.299168669</v>
      </c>
      <c r="B13878">
        <v>167872324.37903625</v>
      </c>
    </row>
    <row r="13879" spans="1:2" x14ac:dyDescent="0.25">
      <c r="A13879">
        <f ca="1">35493.787642369*((RANDBETWEEN(1620,2416)))</f>
        <v>68999923.176765338</v>
      </c>
      <c r="B13879">
        <v>149398704.95160112</v>
      </c>
    </row>
    <row r="13880" spans="1:2" x14ac:dyDescent="0.25">
      <c r="A13880">
        <f ca="1">30304.3310831842*((RANDBETWEEN(1620,2416)))</f>
        <v>62608748.017858647</v>
      </c>
      <c r="B13880">
        <v>144967011.33610791</v>
      </c>
    </row>
    <row r="13881" spans="1:2" x14ac:dyDescent="0.25">
      <c r="A13881">
        <f ca="1">30062.3565000041*((RANDBETWEEN(1620,2416)))</f>
        <v>67369740.916509181</v>
      </c>
      <c r="B13881">
        <v>182237496.43944997</v>
      </c>
    </row>
    <row r="13882" spans="1:2" x14ac:dyDescent="0.25">
      <c r="A13882">
        <f ca="1">31981.132643786*((RANDBETWEEN(1620,2416)))</f>
        <v>57342170.830308296</v>
      </c>
      <c r="B13882">
        <v>153838797.98098296</v>
      </c>
    </row>
    <row r="13883" spans="1:2" x14ac:dyDescent="0.25">
      <c r="A13883">
        <f ca="1">29037.5163381598*((RANDBETWEEN(1620,2416)))</f>
        <v>50815653.591779582</v>
      </c>
      <c r="B13883">
        <v>170453743.58551303</v>
      </c>
    </row>
    <row r="13884" spans="1:2" x14ac:dyDescent="0.25">
      <c r="A13884">
        <f ca="1">37360.4870348042*((RANDBETWEEN(1620,2416)))</f>
        <v>74907776.504782513</v>
      </c>
      <c r="B13884">
        <v>144000033.89209247</v>
      </c>
    </row>
    <row r="13885" spans="1:2" x14ac:dyDescent="0.25">
      <c r="A13885">
        <f ca="1">31244.4858888823*((RANDBETWEEN(1620,2416)))</f>
        <v>65925865.225541569</v>
      </c>
      <c r="B13885">
        <v>145842029.45625052</v>
      </c>
    </row>
    <row r="13886" spans="1:2" x14ac:dyDescent="0.25">
      <c r="A13886">
        <f ca="1">36639.6266077369*((RANDBETWEEN(1620,2416)))</f>
        <v>66977237.438943043</v>
      </c>
      <c r="B13886">
        <v>144864517.72051039</v>
      </c>
    </row>
    <row r="13887" spans="1:2" x14ac:dyDescent="0.25">
      <c r="A13887">
        <f ca="1">42504.7559607955*((RANDBETWEEN(1620,2416)))</f>
        <v>102691490.40128203</v>
      </c>
      <c r="B13887">
        <v>154022178.13400131</v>
      </c>
    </row>
    <row r="13888" spans="1:2" x14ac:dyDescent="0.25">
      <c r="A13888">
        <f ca="1">32279.963698278*((RANDBETWEEN(1620,2416)))</f>
        <v>76503513.964918748</v>
      </c>
      <c r="B13888">
        <v>200231910.996387</v>
      </c>
    </row>
    <row r="13889" spans="1:2" x14ac:dyDescent="0.25">
      <c r="A13889">
        <f ca="1">33734.8926993061*((RANDBETWEEN(1620,2416)))</f>
        <v>65445691.836653844</v>
      </c>
      <c r="B13889">
        <v>149015988.64753473</v>
      </c>
    </row>
    <row r="13890" spans="1:2" x14ac:dyDescent="0.25">
      <c r="A13890">
        <f ca="1">30163.5289295174*((RANDBETWEEN(1620,2416)))</f>
        <v>54837295.593862563</v>
      </c>
      <c r="B13890">
        <v>154984933.24324185</v>
      </c>
    </row>
    <row r="13891" spans="1:2" x14ac:dyDescent="0.25">
      <c r="A13891">
        <f ca="1">31124.7614632436*((RANDBETWEEN(1620,2416)))</f>
        <v>55962321.110912018</v>
      </c>
      <c r="B13891">
        <v>174339235.48040947</v>
      </c>
    </row>
    <row r="13892" spans="1:2" x14ac:dyDescent="0.25">
      <c r="A13892">
        <f ca="1">31694.4841535349*((RANDBETWEEN(1620,2416)))</f>
        <v>68365002.319174796</v>
      </c>
      <c r="B13892">
        <v>180692491.54307678</v>
      </c>
    </row>
    <row r="13893" spans="1:2" x14ac:dyDescent="0.25">
      <c r="A13893">
        <f ca="1">30291.0056548367*((RANDBETWEEN(1620,2416)))</f>
        <v>51979365.703699708</v>
      </c>
      <c r="B13893">
        <v>188197565.43617728</v>
      </c>
    </row>
    <row r="13894" spans="1:2" x14ac:dyDescent="0.25">
      <c r="A13894">
        <f ca="1">32095.8394688383*((RANDBETWEEN(1620,2416)))</f>
        <v>70707134.349850819</v>
      </c>
      <c r="B13894">
        <v>160796590.59157199</v>
      </c>
    </row>
    <row r="13895" spans="1:2" x14ac:dyDescent="0.25">
      <c r="A13895">
        <f ca="1">30718.4310808709*((RANDBETWEEN(1620,2416)))</f>
        <v>61068240.988771439</v>
      </c>
      <c r="B13895">
        <v>173582628.81408444</v>
      </c>
    </row>
    <row r="13896" spans="1:2" x14ac:dyDescent="0.25">
      <c r="A13896">
        <f ca="1">37344.6339342514*((RANDBETWEEN(1620,2416)))</f>
        <v>64830284.509860374</v>
      </c>
      <c r="B13896">
        <v>171455831.96666369</v>
      </c>
    </row>
    <row r="13897" spans="1:2" x14ac:dyDescent="0.25">
      <c r="A13897">
        <f ca="1">32383.7722716444*((RANDBETWEEN(1620,2416)))</f>
        <v>64832312.087832011</v>
      </c>
      <c r="B13897">
        <v>179197462.16670412</v>
      </c>
    </row>
    <row r="13898" spans="1:2" x14ac:dyDescent="0.25">
      <c r="A13898">
        <f ca="1">41703.5649289377*((RANDBETWEEN(1620,2416)))</f>
        <v>91747842.843663037</v>
      </c>
      <c r="B13898">
        <v>160487819.05210713</v>
      </c>
    </row>
    <row r="13899" spans="1:2" x14ac:dyDescent="0.25">
      <c r="A13899">
        <f ca="1">35623.9856441468*((RANDBETWEEN(1620,2416)))</f>
        <v>69787387.876883671</v>
      </c>
      <c r="B13899">
        <v>165789550.2822271</v>
      </c>
    </row>
    <row r="13900" spans="1:2" x14ac:dyDescent="0.25">
      <c r="A13900">
        <f ca="1">37363.6741786507*((RANDBETWEEN(1620,2416)))</f>
        <v>81228627.664386556</v>
      </c>
      <c r="B13900">
        <v>145869067.95453835</v>
      </c>
    </row>
    <row r="13901" spans="1:2" x14ac:dyDescent="0.25">
      <c r="A13901">
        <f ca="1">34165.8847717875*((RANDBETWEEN(1620,2416)))</f>
        <v>77249065.46901153</v>
      </c>
      <c r="B13901">
        <v>184072583.02462417</v>
      </c>
    </row>
    <row r="13902" spans="1:2" x14ac:dyDescent="0.25">
      <c r="A13902">
        <f ca="1">34633.5998301887*((RANDBETWEEN(1620,2416)))</f>
        <v>74947110.03252843</v>
      </c>
      <c r="B13902">
        <v>143910026.51352236</v>
      </c>
    </row>
    <row r="13903" spans="1:2" x14ac:dyDescent="0.25">
      <c r="A13903">
        <f ca="1">31402.251889885*((RANDBETWEEN(1620,2416)))</f>
        <v>51593899.855081022</v>
      </c>
      <c r="B13903">
        <v>154275883.08713934</v>
      </c>
    </row>
    <row r="13904" spans="1:2" x14ac:dyDescent="0.25">
      <c r="A13904">
        <f ca="1">30085.2468892141*((RANDBETWEEN(1620,2416)))</f>
        <v>60501431.494209535</v>
      </c>
      <c r="B13904">
        <v>202358168.12205562</v>
      </c>
    </row>
    <row r="13905" spans="1:2" x14ac:dyDescent="0.25">
      <c r="A13905">
        <f ca="1">28287.3170771535*((RANDBETWEEN(1620,2416)))</f>
        <v>57112093.178772949</v>
      </c>
      <c r="B13905">
        <v>162833474.42966408</v>
      </c>
    </row>
    <row r="13906" spans="1:2" x14ac:dyDescent="0.25">
      <c r="A13906">
        <f ca="1">34510.8660229774*((RANDBETWEEN(1620,2416)))</f>
        <v>74163851.083378509</v>
      </c>
      <c r="B13906">
        <v>191200635.07361385</v>
      </c>
    </row>
    <row r="13907" spans="1:2" x14ac:dyDescent="0.25">
      <c r="A13907">
        <f ca="1">38438.5194850565*((RANDBETWEEN(1620,2416)))</f>
        <v>62462594.163216829</v>
      </c>
      <c r="B13907">
        <v>149002209.26704791</v>
      </c>
    </row>
    <row r="13908" spans="1:2" x14ac:dyDescent="0.25">
      <c r="A13908">
        <f ca="1">31801.1592974676*((RANDBETWEEN(1620,2416)))</f>
        <v>56065443.841435365</v>
      </c>
      <c r="B13908">
        <v>146512298.20072725</v>
      </c>
    </row>
    <row r="13909" spans="1:2" x14ac:dyDescent="0.25">
      <c r="A13909">
        <f ca="1">29738.1159641762*((RANDBETWEEN(1620,2416)))</f>
        <v>49870820.471923411</v>
      </c>
      <c r="B13909">
        <v>150552166.49353012</v>
      </c>
    </row>
    <row r="13910" spans="1:2" x14ac:dyDescent="0.25">
      <c r="A13910">
        <f ca="1">40987.3424175153*((RANDBETWEEN(1620,2416)))</f>
        <v>96976052.159841195</v>
      </c>
      <c r="B13910">
        <v>198849842.45678532</v>
      </c>
    </row>
    <row r="13911" spans="1:2" x14ac:dyDescent="0.25">
      <c r="A13911">
        <f ca="1">38406.6730939648*((RANDBETWEEN(1620,2416)))</f>
        <v>74739385.840855405</v>
      </c>
      <c r="B13911">
        <v>156150087.93989262</v>
      </c>
    </row>
    <row r="13912" spans="1:2" x14ac:dyDescent="0.25">
      <c r="A13912">
        <f ca="1">38570.9276274152*((RANDBETWEEN(1620,2416)))</f>
        <v>86476019.74066481</v>
      </c>
      <c r="B13912">
        <v>173773366.86066806</v>
      </c>
    </row>
    <row r="13913" spans="1:2" x14ac:dyDescent="0.25">
      <c r="A13913">
        <f ca="1">31792.5834573028*((RANDBETWEEN(1620,2416)))</f>
        <v>58275805.47723604</v>
      </c>
      <c r="B13913">
        <v>186402974.48614943</v>
      </c>
    </row>
    <row r="13914" spans="1:2" x14ac:dyDescent="0.25">
      <c r="A13914">
        <f ca="1">34121.4963741487*((RANDBETWEEN(1620,2416)))</f>
        <v>59132553.216399625</v>
      </c>
      <c r="B13914">
        <v>145324275.15477732</v>
      </c>
    </row>
    <row r="13915" spans="1:2" x14ac:dyDescent="0.25">
      <c r="A13915">
        <f ca="1">32132.0576290451*((RANDBETWEEN(1620,2416)))</f>
        <v>72586318.18401286</v>
      </c>
      <c r="B13915">
        <v>185896451.17625219</v>
      </c>
    </row>
    <row r="13916" spans="1:2" x14ac:dyDescent="0.25">
      <c r="A13916">
        <f ca="1">31565.4756797465*((RANDBETWEEN(1620,2416)))</f>
        <v>54734534.828680493</v>
      </c>
      <c r="B13916">
        <v>157787678.45856559</v>
      </c>
    </row>
    <row r="13917" spans="1:2" x14ac:dyDescent="0.25">
      <c r="A13917">
        <f ca="1">31760.547340887*((RANDBETWEEN(1620,2416)))</f>
        <v>72032921.369131804</v>
      </c>
      <c r="B13917">
        <v>180994302.16610745</v>
      </c>
    </row>
    <row r="13918" spans="1:2" x14ac:dyDescent="0.25">
      <c r="A13918">
        <f ca="1">31872.1150203813*((RANDBETWEEN(1620,2416)))</f>
        <v>61258205.069172822</v>
      </c>
      <c r="B13918">
        <v>172903008.01841325</v>
      </c>
    </row>
    <row r="13919" spans="1:2" x14ac:dyDescent="0.25">
      <c r="A13919">
        <f ca="1">28178.1006298666*((RANDBETWEEN(1620,2416)))</f>
        <v>54468268.517532088</v>
      </c>
      <c r="B13919">
        <v>168308049.08891881</v>
      </c>
    </row>
    <row r="13920" spans="1:2" x14ac:dyDescent="0.25">
      <c r="A13920">
        <f ca="1">39015.0857037967*((RANDBETWEEN(1620,2416)))</f>
        <v>89305531.175990641</v>
      </c>
      <c r="B13920">
        <v>144191557.17928159</v>
      </c>
    </row>
    <row r="13921" spans="1:2" x14ac:dyDescent="0.25">
      <c r="A13921">
        <f ca="1">29863.1116440839*((RANDBETWEEN(1620,2416)))</f>
        <v>69491460.795783162</v>
      </c>
      <c r="B13921">
        <v>185083834.09744105</v>
      </c>
    </row>
    <row r="13922" spans="1:2" x14ac:dyDescent="0.25">
      <c r="A13922">
        <f ca="1">29641.9124069486*((RANDBETWEEN(1620,2416)))</f>
        <v>63700469.762532599</v>
      </c>
      <c r="B13922">
        <v>176465283.10951546</v>
      </c>
    </row>
    <row r="13923" spans="1:2" x14ac:dyDescent="0.25">
      <c r="A13923">
        <f ca="1">32959.3144475303*((RANDBETWEEN(1620,2416)))</f>
        <v>54877258.555137947</v>
      </c>
      <c r="B13923">
        <v>148093023.984743</v>
      </c>
    </row>
    <row r="13924" spans="1:2" x14ac:dyDescent="0.25">
      <c r="A13924">
        <f ca="1">35179.2308499833*((RANDBETWEEN(1620,2416)))</f>
        <v>84711587.886759877</v>
      </c>
      <c r="B13924">
        <v>196685289.13050899</v>
      </c>
    </row>
    <row r="13925" spans="1:2" x14ac:dyDescent="0.25">
      <c r="A13925">
        <f ca="1">35905.737111148*((RANDBETWEEN(1620,2416)))</f>
        <v>71919191.433629423</v>
      </c>
      <c r="B13925">
        <v>153056018.11856669</v>
      </c>
    </row>
    <row r="13926" spans="1:2" x14ac:dyDescent="0.25">
      <c r="A13926">
        <f ca="1">40343.2141769687*((RANDBETWEEN(1620,2416)))</f>
        <v>90288113.328055963</v>
      </c>
      <c r="B13926">
        <v>194913273.42239729</v>
      </c>
    </row>
    <row r="13927" spans="1:2" x14ac:dyDescent="0.25">
      <c r="A13927">
        <f ca="1">38588.2183038663*((RANDBETWEEN(1620,2416)))</f>
        <v>71658321.390279666</v>
      </c>
      <c r="B13927">
        <v>162577228.66893667</v>
      </c>
    </row>
    <row r="13928" spans="1:2" x14ac:dyDescent="0.25">
      <c r="A13928">
        <f ca="1">35562.8292300996*((RANDBETWEEN(1620,2416)))</f>
        <v>63337398.85880737</v>
      </c>
      <c r="B13928">
        <v>165164544.74688715</v>
      </c>
    </row>
    <row r="13929" spans="1:2" x14ac:dyDescent="0.25">
      <c r="A13929">
        <f ca="1">30162.2558564692*((RANDBETWEEN(1620,2416)))</f>
        <v>52241027.14340464</v>
      </c>
      <c r="B13929">
        <v>185190725.30729207</v>
      </c>
    </row>
    <row r="13930" spans="1:2" x14ac:dyDescent="0.25">
      <c r="A13930">
        <f ca="1">36623.5660397662*((RANDBETWEEN(1620,2416)))</f>
        <v>66838008.02257333</v>
      </c>
      <c r="B13930">
        <v>175704634.22281963</v>
      </c>
    </row>
    <row r="13931" spans="1:2" x14ac:dyDescent="0.25">
      <c r="A13931">
        <f ca="1">39416.0680422783*((RANDBETWEEN(1620,2416)))</f>
        <v>80014618.125825018</v>
      </c>
      <c r="B13931">
        <v>202601861.01908156</v>
      </c>
    </row>
    <row r="13932" spans="1:2" x14ac:dyDescent="0.25">
      <c r="A13932">
        <f ca="1">33602.5742943644*((RANDBETWEEN(1620,2416)))</f>
        <v>65760237.894071072</v>
      </c>
      <c r="B13932">
        <v>174561627.022066</v>
      </c>
    </row>
    <row r="13933" spans="1:2" x14ac:dyDescent="0.25">
      <c r="A13933">
        <f ca="1">29204.9295150012*((RANDBETWEEN(1620,2416)))</f>
        <v>61563991.417622462</v>
      </c>
      <c r="B13933">
        <v>188040604.80086011</v>
      </c>
    </row>
    <row r="13934" spans="1:2" x14ac:dyDescent="0.25">
      <c r="A13934">
        <f ca="1">34577.0152986711*((RANDBETWEEN(1620,2416)))</f>
        <v>59783659.451402366</v>
      </c>
      <c r="B13934">
        <v>149317055.87154311</v>
      </c>
    </row>
    <row r="13935" spans="1:2" x14ac:dyDescent="0.25">
      <c r="A13935">
        <f ca="1">32301.4841061164*((RANDBETWEEN(1620,2416)))</f>
        <v>76974436.624875292</v>
      </c>
      <c r="B13935">
        <v>180877520.5964399</v>
      </c>
    </row>
    <row r="13936" spans="1:2" x14ac:dyDescent="0.25">
      <c r="A13936">
        <f ca="1">39723.8751816899*((RANDBETWEEN(1620,2416)))</f>
        <v>85684398.766905159</v>
      </c>
      <c r="B13936">
        <v>175327822.70092303</v>
      </c>
    </row>
    <row r="13937" spans="1:2" x14ac:dyDescent="0.25">
      <c r="A13937">
        <f ca="1">30127.0087356292*((RANDBETWEEN(1620,2416)))</f>
        <v>63929512.537005074</v>
      </c>
      <c r="B13937">
        <v>148644429.24590427</v>
      </c>
    </row>
    <row r="13938" spans="1:2" x14ac:dyDescent="0.25">
      <c r="A13938">
        <f ca="1">32262.2073098389*((RANDBETWEEN(1620,2416)))</f>
        <v>70783282.837786615</v>
      </c>
      <c r="B13938">
        <v>193301890.33925214</v>
      </c>
    </row>
    <row r="13939" spans="1:2" x14ac:dyDescent="0.25">
      <c r="A13939">
        <f ca="1">33043.2603458519*((RANDBETWEEN(1620,2416)))</f>
        <v>74116032.955745876</v>
      </c>
      <c r="B13939">
        <v>178582261.0557012</v>
      </c>
    </row>
    <row r="13940" spans="1:2" x14ac:dyDescent="0.25">
      <c r="A13940">
        <f ca="1">31218.2560304804*((RANDBETWEEN(1620,2416)))</f>
        <v>56973317.255626701</v>
      </c>
      <c r="B13940">
        <v>157275113.01445359</v>
      </c>
    </row>
    <row r="13941" spans="1:2" x14ac:dyDescent="0.25">
      <c r="A13941">
        <f ca="1">30378.713294235*((RANDBETWEEN(1620,2416)))</f>
        <v>54772820.069505692</v>
      </c>
      <c r="B13941">
        <v>187827521.2581788</v>
      </c>
    </row>
    <row r="13942" spans="1:2" x14ac:dyDescent="0.25">
      <c r="A13942">
        <f ca="1">31983.1884283184*((RANDBETWEEN(1620,2416)))</f>
        <v>61119873.086516544</v>
      </c>
      <c r="B13942">
        <v>198618183.53393096</v>
      </c>
    </row>
    <row r="13943" spans="1:2" x14ac:dyDescent="0.25">
      <c r="A13943">
        <f ca="1">30763.4324707917*((RANDBETWEEN(1620,2416)))</f>
        <v>55804866.502016149</v>
      </c>
      <c r="B13943">
        <v>185335683.47497767</v>
      </c>
    </row>
    <row r="13944" spans="1:2" x14ac:dyDescent="0.25">
      <c r="A13944">
        <f ca="1">31776.9308733237*((RANDBETWEEN(1620,2416)))</f>
        <v>55228305.857836626</v>
      </c>
      <c r="B13944">
        <v>187300149.68079215</v>
      </c>
    </row>
    <row r="13945" spans="1:2" x14ac:dyDescent="0.25">
      <c r="A13945">
        <f ca="1">31080.4398485144*((RANDBETWEEN(1620,2416)))</f>
        <v>53116471.701111093</v>
      </c>
      <c r="B13945">
        <v>173429456.08060265</v>
      </c>
    </row>
    <row r="13946" spans="1:2" x14ac:dyDescent="0.25">
      <c r="A13946">
        <f ca="1">39603.7717241634*((RANDBETWEEN(1620,2416)))</f>
        <v>73148166.374529824</v>
      </c>
      <c r="B13946">
        <v>155752465.92989111</v>
      </c>
    </row>
    <row r="13947" spans="1:2" x14ac:dyDescent="0.25">
      <c r="A13947">
        <f ca="1">33124.2323194323*((RANDBETWEEN(1620,2416)))</f>
        <v>58398021.579159111</v>
      </c>
      <c r="B13947">
        <v>154714578.29694176</v>
      </c>
    </row>
    <row r="13948" spans="1:2" x14ac:dyDescent="0.25">
      <c r="A13948">
        <f ca="1">31335.9162840365*((RANDBETWEEN(1620,2416)))</f>
        <v>70317796.141377926</v>
      </c>
      <c r="B13948">
        <v>195529213.52017802</v>
      </c>
    </row>
    <row r="13949" spans="1:2" x14ac:dyDescent="0.25">
      <c r="A13949">
        <f ca="1">29438.399906162*((RANDBETWEEN(1620,2416)))</f>
        <v>65264932.591961183</v>
      </c>
      <c r="B13949">
        <v>152266550.10317689</v>
      </c>
    </row>
    <row r="13950" spans="1:2" x14ac:dyDescent="0.25">
      <c r="A13950">
        <f ca="1">28459.2500366528*((RANDBETWEEN(1620,2416)))</f>
        <v>51881212.816818118</v>
      </c>
      <c r="B13950">
        <v>194588769.22312158</v>
      </c>
    </row>
    <row r="13951" spans="1:2" x14ac:dyDescent="0.25">
      <c r="A13951">
        <f ca="1">31600.5044196194*((RANDBETWEEN(1620,2416)))</f>
        <v>58429332.671876363</v>
      </c>
      <c r="B13951">
        <v>186132671.47420374</v>
      </c>
    </row>
    <row r="13952" spans="1:2" x14ac:dyDescent="0.25">
      <c r="A13952">
        <f ca="1">30276.5755711305*((RANDBETWEEN(1620,2416)))</f>
        <v>50016902.843507633</v>
      </c>
      <c r="B13952">
        <v>148050203.46128255</v>
      </c>
    </row>
    <row r="13953" spans="1:2" x14ac:dyDescent="0.25">
      <c r="A13953">
        <f ca="1">30600.8092740543*((RANDBETWEEN(1620,2416)))</f>
        <v>69402635.433555186</v>
      </c>
      <c r="B13953">
        <v>152970017.57279724</v>
      </c>
    </row>
    <row r="13954" spans="1:2" x14ac:dyDescent="0.25">
      <c r="A13954">
        <f ca="1">35605.4371538642*((RANDBETWEEN(1620,2416)))</f>
        <v>78901648.73296313</v>
      </c>
      <c r="B13954">
        <v>193337965.16825932</v>
      </c>
    </row>
    <row r="13955" spans="1:2" x14ac:dyDescent="0.25">
      <c r="A13955">
        <f ca="1">35280.3196317189*((RANDBETWEEN(1620,2416)))</f>
        <v>60294066.25060755</v>
      </c>
      <c r="B13955">
        <v>197928960.27479693</v>
      </c>
    </row>
    <row r="13956" spans="1:2" x14ac:dyDescent="0.25">
      <c r="A13956">
        <f ca="1">31542.2441061875*((RANDBETWEEN(1620,2416)))</f>
        <v>74818203.019876853</v>
      </c>
      <c r="B13956">
        <v>183897299.08345026</v>
      </c>
    </row>
    <row r="13957" spans="1:2" x14ac:dyDescent="0.25">
      <c r="A13957">
        <f ca="1">34932.9724026996*((RANDBETWEEN(1620,2416)))</f>
        <v>56626348.264776103</v>
      </c>
      <c r="B13957">
        <v>180007571.29742259</v>
      </c>
    </row>
    <row r="13958" spans="1:2" x14ac:dyDescent="0.25">
      <c r="A13958">
        <f ca="1">30171.6695763189*((RANDBETWEEN(1620,2416)))</f>
        <v>49119478.070247188</v>
      </c>
      <c r="B13958">
        <v>159530834.83495691</v>
      </c>
    </row>
    <row r="13959" spans="1:2" x14ac:dyDescent="0.25">
      <c r="A13959">
        <f ca="1">30906.4432734718*((RANDBETWEEN(1620,2416)))</f>
        <v>74484528.28906706</v>
      </c>
      <c r="B13959">
        <v>143766482.18965778</v>
      </c>
    </row>
    <row r="13960" spans="1:2" x14ac:dyDescent="0.25">
      <c r="A13960">
        <f ca="1">41414.7611345055*((RANDBETWEEN(1620,2416)))</f>
        <v>69328310.139162138</v>
      </c>
      <c r="B13960">
        <v>191830805.90410563</v>
      </c>
    </row>
    <row r="13961" spans="1:2" x14ac:dyDescent="0.25">
      <c r="A13961">
        <f ca="1">34874.7524710783*((RANDBETWEEN(1620,2416)))</f>
        <v>83664531.178116724</v>
      </c>
      <c r="B13961">
        <v>159853694.92341483</v>
      </c>
    </row>
    <row r="13962" spans="1:2" x14ac:dyDescent="0.25">
      <c r="A13962">
        <f ca="1">40765.6610451259*((RANDBETWEEN(1620,2416)))</f>
        <v>72644407.982414275</v>
      </c>
      <c r="B13962">
        <v>199217671.60329822</v>
      </c>
    </row>
    <row r="13963" spans="1:2" x14ac:dyDescent="0.25">
      <c r="A13963">
        <f ca="1">30361.3584260848*((RANDBETWEEN(1620,2416)))</f>
        <v>51341057.098509319</v>
      </c>
      <c r="B13963">
        <v>164261749.58535862</v>
      </c>
    </row>
    <row r="13964" spans="1:2" x14ac:dyDescent="0.25">
      <c r="A13964">
        <f ca="1">31355.201538992*((RANDBETWEEN(1620,2416)))</f>
        <v>74844866.073573798</v>
      </c>
      <c r="B13964">
        <v>147261966.74530792</v>
      </c>
    </row>
    <row r="13965" spans="1:2" x14ac:dyDescent="0.25">
      <c r="A13965">
        <f ca="1">38071.7998377715*((RANDBETWEEN(1620,2416)))</f>
        <v>74811086.681221053</v>
      </c>
      <c r="B13965">
        <v>164349736.08101049</v>
      </c>
    </row>
    <row r="13966" spans="1:2" x14ac:dyDescent="0.25">
      <c r="A13966">
        <f ca="1">42456.5022210517*((RANDBETWEEN(1620,2416)))</f>
        <v>75105552.429040477</v>
      </c>
      <c r="B13966">
        <v>169852459.06770974</v>
      </c>
    </row>
    <row r="13967" spans="1:2" x14ac:dyDescent="0.25">
      <c r="A13967">
        <f ca="1">26991.3588470947*((RANDBETWEEN(1620,2416)))</f>
        <v>63834563.673378915</v>
      </c>
      <c r="B13967">
        <v>148207261.19175994</v>
      </c>
    </row>
    <row r="13968" spans="1:2" x14ac:dyDescent="0.25">
      <c r="A13968">
        <f ca="1">38891.1930289269*((RANDBETWEEN(1620,2416)))</f>
        <v>67165090.360956728</v>
      </c>
      <c r="B13968">
        <v>201663663.97116822</v>
      </c>
    </row>
    <row r="13969" spans="1:2" x14ac:dyDescent="0.25">
      <c r="A13969">
        <f ca="1">30462.7391282946*((RANDBETWEEN(1620,2416)))</f>
        <v>56569306.561242998</v>
      </c>
      <c r="B13969">
        <v>151602269.25100201</v>
      </c>
    </row>
    <row r="13970" spans="1:2" x14ac:dyDescent="0.25">
      <c r="A13970">
        <f ca="1">37702.2603976944*((RANDBETWEEN(1620,2416)))</f>
        <v>78910831.012374401</v>
      </c>
      <c r="B13970">
        <v>179554608.37647033</v>
      </c>
    </row>
    <row r="13971" spans="1:2" x14ac:dyDescent="0.25">
      <c r="A13971">
        <f ca="1">29865.1205706646*((RANDBETWEEN(1620,2416)))</f>
        <v>52383421.480945632</v>
      </c>
      <c r="B13971">
        <v>151891277.29452679</v>
      </c>
    </row>
    <row r="13972" spans="1:2" x14ac:dyDescent="0.25">
      <c r="A13972">
        <f ca="1">28998.4696571192*((RANDBETWEEN(1620,2416)))</f>
        <v>58228927.071495265</v>
      </c>
      <c r="B13972">
        <v>194921232.83279645</v>
      </c>
    </row>
    <row r="13973" spans="1:2" x14ac:dyDescent="0.25">
      <c r="A13973">
        <f ca="1">30492.8149010908*((RANDBETWEEN(1620,2416)))</f>
        <v>68852776.04666312</v>
      </c>
      <c r="B13973">
        <v>142921305.55881226</v>
      </c>
    </row>
    <row r="13974" spans="1:2" x14ac:dyDescent="0.25">
      <c r="A13974">
        <f ca="1">40726.831299249*((RANDBETWEEN(1620,2416)))</f>
        <v>93793892.482170522</v>
      </c>
      <c r="B13974">
        <v>186667793.3737416</v>
      </c>
    </row>
    <row r="13975" spans="1:2" x14ac:dyDescent="0.25">
      <c r="A13975">
        <f ca="1">34585.265669011*((RANDBETWEEN(1620,2416)))</f>
        <v>65262396.317423828</v>
      </c>
      <c r="B13975">
        <v>150563279.09385768</v>
      </c>
    </row>
    <row r="13976" spans="1:2" x14ac:dyDescent="0.25">
      <c r="A13976">
        <f ca="1">38008.3547543668*((RANDBETWEEN(1620,2416)))</f>
        <v>83086263.493045881</v>
      </c>
      <c r="B13976">
        <v>168055974.05360824</v>
      </c>
    </row>
    <row r="13977" spans="1:2" x14ac:dyDescent="0.25">
      <c r="A13977">
        <f ca="1">28753.53418837*((RANDBETWEEN(1620,2416)))</f>
        <v>63257775.214414112</v>
      </c>
      <c r="B13977">
        <v>157983477.17708537</v>
      </c>
    </row>
    <row r="13978" spans="1:2" x14ac:dyDescent="0.25">
      <c r="A13978">
        <f ca="1">38365.067579419*((RANDBETWEEN(1620,2416)))</f>
        <v>72279787.319625363</v>
      </c>
      <c r="B13978">
        <v>150598816.38478214</v>
      </c>
    </row>
    <row r="13979" spans="1:2" x14ac:dyDescent="0.25">
      <c r="A13979">
        <f ca="1">38512.1055091418*((RANDBETWEEN(1620,2416)))</f>
        <v>76176944.697082445</v>
      </c>
      <c r="B13979">
        <v>175216796.29519877</v>
      </c>
    </row>
    <row r="13980" spans="1:2" x14ac:dyDescent="0.25">
      <c r="A13980">
        <f ca="1">32385.0310359749*((RANDBETWEEN(1620,2416)))</f>
        <v>76299133.120756984</v>
      </c>
      <c r="B13980">
        <v>144494756.04682857</v>
      </c>
    </row>
    <row r="13981" spans="1:2" x14ac:dyDescent="0.25">
      <c r="A13981">
        <f ca="1">32284.124534941*((RANDBETWEEN(1620,2416)))</f>
        <v>62372928.601506002</v>
      </c>
      <c r="B13981">
        <v>158735704.86606115</v>
      </c>
    </row>
    <row r="13982" spans="1:2" x14ac:dyDescent="0.25">
      <c r="A13982">
        <f ca="1">29827.4660756134*((RANDBETWEEN(1620,2416)))</f>
        <v>71466608.717169717</v>
      </c>
      <c r="B13982">
        <v>148071911.05059582</v>
      </c>
    </row>
    <row r="13983" spans="1:2" x14ac:dyDescent="0.25">
      <c r="A13983">
        <f ca="1">33502.7294843143*((RANDBETWEEN(1620,2416)))</f>
        <v>60237907.612797037</v>
      </c>
      <c r="B13983">
        <v>202420789.3160634</v>
      </c>
    </row>
    <row r="13984" spans="1:2" x14ac:dyDescent="0.25">
      <c r="A13984">
        <f ca="1">40001.5712017908*((RANDBETWEEN(1620,2416)))</f>
        <v>89083499.06638819</v>
      </c>
      <c r="B13984">
        <v>188912170.74402779</v>
      </c>
    </row>
    <row r="13985" spans="1:2" x14ac:dyDescent="0.25">
      <c r="A13985">
        <f ca="1">32134.3028077996*((RANDBETWEEN(1620,2416)))</f>
        <v>61697861.390975319</v>
      </c>
      <c r="B13985">
        <v>154278835.19151103</v>
      </c>
    </row>
    <row r="13986" spans="1:2" x14ac:dyDescent="0.25">
      <c r="A13986">
        <f ca="1">31778.1404999696*((RANDBETWEEN(1620,2416)))</f>
        <v>72295269.637430772</v>
      </c>
      <c r="B13986">
        <v>203209414.31321636</v>
      </c>
    </row>
    <row r="13987" spans="1:2" x14ac:dyDescent="0.25">
      <c r="A13987">
        <f ca="1">35191.5802876772*((RANDBETWEEN(1620,2416)))</f>
        <v>65209998.273065768</v>
      </c>
      <c r="B13987">
        <v>202366204.58294973</v>
      </c>
    </row>
    <row r="13988" spans="1:2" x14ac:dyDescent="0.25">
      <c r="A13988">
        <f ca="1">31073.1002668324*((RANDBETWEEN(1620,2416)))</f>
        <v>50400568.632802151</v>
      </c>
      <c r="B13988">
        <v>175568538.40298185</v>
      </c>
    </row>
    <row r="13989" spans="1:2" x14ac:dyDescent="0.25">
      <c r="A13989">
        <f ca="1">35543.9260173221*((RANDBETWEEN(1620,2416)))</f>
        <v>69204023.955726147</v>
      </c>
      <c r="B13989">
        <v>161097441.80855253</v>
      </c>
    </row>
    <row r="13990" spans="1:2" x14ac:dyDescent="0.25">
      <c r="A13990">
        <f ca="1">31138.384973393*((RANDBETWEEN(1620,2416)))</f>
        <v>71618285.438803986</v>
      </c>
      <c r="B13990">
        <v>164907846.50554574</v>
      </c>
    </row>
    <row r="13991" spans="1:2" x14ac:dyDescent="0.25">
      <c r="A13991">
        <f ca="1">27914.5335945963*((RANDBETWEEN(1620,2416)))</f>
        <v>58648435.082246915</v>
      </c>
      <c r="B13991">
        <v>201162712.67407244</v>
      </c>
    </row>
    <row r="13992" spans="1:2" x14ac:dyDescent="0.25">
      <c r="A13992">
        <f ca="1">30224.5013695822*((RANDBETWEEN(1620,2416)))</f>
        <v>66191657.999384984</v>
      </c>
      <c r="B13992">
        <v>145066980.01178735</v>
      </c>
    </row>
    <row r="13993" spans="1:2" x14ac:dyDescent="0.25">
      <c r="A13993">
        <f ca="1">30074.1186043298*((RANDBETWEEN(1620,2416)))</f>
        <v>58343790.092399865</v>
      </c>
      <c r="B13993">
        <v>163752767.66376337</v>
      </c>
    </row>
    <row r="13994" spans="1:2" x14ac:dyDescent="0.25">
      <c r="A13994">
        <f ca="1">33420.9242629031*((RANDBETWEEN(1620,2416)))</f>
        <v>78338646.472244933</v>
      </c>
      <c r="B13994">
        <v>184548396.91021445</v>
      </c>
    </row>
    <row r="13995" spans="1:2" x14ac:dyDescent="0.25">
      <c r="A13995">
        <f ca="1">36443.777533869*((RANDBETWEEN(1620,2416)))</f>
        <v>87282847.193616331</v>
      </c>
      <c r="B13995">
        <v>157290408.75830314</v>
      </c>
    </row>
    <row r="13996" spans="1:2" x14ac:dyDescent="0.25">
      <c r="A13996">
        <f ca="1">30625.6383985306*((RANDBETWEEN(1620,2416)))</f>
        <v>69367070.972671896</v>
      </c>
      <c r="B13996">
        <v>181643209.27443075</v>
      </c>
    </row>
    <row r="13997" spans="1:2" x14ac:dyDescent="0.25">
      <c r="A13997">
        <f ca="1">33332.0595120004*((RANDBETWEEN(1620,2416)))</f>
        <v>62397615.40646483</v>
      </c>
      <c r="B13997">
        <v>189870780.86848155</v>
      </c>
    </row>
    <row r="13998" spans="1:2" x14ac:dyDescent="0.25">
      <c r="A13998">
        <f ca="1">29447.7964633027*((RANDBETWEEN(1620,2416)))</f>
        <v>62517671.891591609</v>
      </c>
      <c r="B13998">
        <v>166959250.40439415</v>
      </c>
    </row>
    <row r="13999" spans="1:2" x14ac:dyDescent="0.25">
      <c r="A13999">
        <f ca="1">41351.7888832179*((RANDBETWEEN(1620,2416)))</f>
        <v>72944555.589996397</v>
      </c>
      <c r="B13999">
        <v>158309798.68067837</v>
      </c>
    </row>
    <row r="14000" spans="1:2" x14ac:dyDescent="0.25">
      <c r="A14000">
        <f ca="1">32883.1111579903*((RANDBETWEEN(1620,2416)))</f>
        <v>79116765.446124583</v>
      </c>
      <c r="B14000">
        <v>178067938.61355597</v>
      </c>
    </row>
    <row r="14001" spans="1:2" x14ac:dyDescent="0.25">
      <c r="A14001">
        <f ca="1">33507.4349586446*((RANDBETWEEN(1620,2416)))</f>
        <v>77804263.973972797</v>
      </c>
      <c r="B14001">
        <v>200418483.35065851</v>
      </c>
    </row>
    <row r="14002" spans="1:2" x14ac:dyDescent="0.25">
      <c r="A14002">
        <f ca="1">28194.2508594474*((RANDBETWEEN(1620,2416)))</f>
        <v>52695054.856307112</v>
      </c>
      <c r="B14002">
        <v>148240215.90243712</v>
      </c>
    </row>
    <row r="14003" spans="1:2" x14ac:dyDescent="0.25">
      <c r="A14003">
        <f ca="1">40449.8339513827*((RANDBETWEEN(1620,2416)))</f>
        <v>77744580.854557544</v>
      </c>
      <c r="B14003">
        <v>168981782.84331</v>
      </c>
    </row>
    <row r="14004" spans="1:2" x14ac:dyDescent="0.25">
      <c r="A14004">
        <f ca="1">30411.3971140732*((RANDBETWEEN(1620,2416)))</f>
        <v>51304026.931441493</v>
      </c>
      <c r="B14004">
        <v>174885419.72529608</v>
      </c>
    </row>
    <row r="14005" spans="1:2" x14ac:dyDescent="0.25">
      <c r="A14005">
        <f ca="1">34386.0504855399*((RANDBETWEEN(1620,2416)))</f>
        <v>58318741.623475619</v>
      </c>
      <c r="B14005">
        <v>185540483.07814115</v>
      </c>
    </row>
    <row r="14006" spans="1:2" x14ac:dyDescent="0.25">
      <c r="A14006">
        <f ca="1">36962.4088677057*((RANDBETWEEN(1620,2416)))</f>
        <v>74294441.824088499</v>
      </c>
      <c r="B14006">
        <v>198471107.63758662</v>
      </c>
    </row>
    <row r="14007" spans="1:2" x14ac:dyDescent="0.25">
      <c r="A14007">
        <f ca="1">30851.3501056145*((RANDBETWEEN(1620,2416)))</f>
        <v>61425038.060278438</v>
      </c>
      <c r="B14007">
        <v>167677647.80087149</v>
      </c>
    </row>
    <row r="14008" spans="1:2" x14ac:dyDescent="0.25">
      <c r="A14008">
        <f ca="1">36543.0379506158*((RANDBETWEEN(1620,2416)))</f>
        <v>83354669.56535463</v>
      </c>
      <c r="B14008">
        <v>182913557.73873198</v>
      </c>
    </row>
    <row r="14009" spans="1:2" x14ac:dyDescent="0.25">
      <c r="A14009">
        <f ca="1">30060.804857358*((RANDBETWEEN(1620,2416)))</f>
        <v>64119696.760744534</v>
      </c>
      <c r="B14009">
        <v>147433689.61051688</v>
      </c>
    </row>
    <row r="14010" spans="1:2" x14ac:dyDescent="0.25">
      <c r="A14010">
        <f ca="1">35365.1161696629*((RANDBETWEEN(1620,2416)))</f>
        <v>59767046.326730236</v>
      </c>
      <c r="B14010">
        <v>184776096.26757663</v>
      </c>
    </row>
    <row r="14011" spans="1:2" x14ac:dyDescent="0.25">
      <c r="A14011">
        <f ca="1">29844.3175865655*((RANDBETWEEN(1620,2416)))</f>
        <v>65687343.008030675</v>
      </c>
      <c r="B14011">
        <v>182953612.37054926</v>
      </c>
    </row>
    <row r="14012" spans="1:2" x14ac:dyDescent="0.25">
      <c r="A14012">
        <f ca="1">37071.5256826825*((RANDBETWEEN(1620,2416)))</f>
        <v>87637086.713861421</v>
      </c>
      <c r="B14012">
        <v>198087171.15270805</v>
      </c>
    </row>
    <row r="14013" spans="1:2" x14ac:dyDescent="0.25">
      <c r="A14013">
        <f ca="1">34668.561702027*((RANDBETWEEN(1620,2416)))</f>
        <v>66320958.53597758</v>
      </c>
      <c r="B14013">
        <v>144446003.70786622</v>
      </c>
    </row>
    <row r="14014" spans="1:2" x14ac:dyDescent="0.25">
      <c r="A14014">
        <f ca="1">28923.5679110083*((RANDBETWEEN(1620,2416)))</f>
        <v>68780244.492377788</v>
      </c>
      <c r="B14014">
        <v>171221233.92449218</v>
      </c>
    </row>
    <row r="14015" spans="1:2" x14ac:dyDescent="0.25">
      <c r="A14015">
        <f ca="1">34144.7300372857*((RANDBETWEEN(1620,2416)))</f>
        <v>64192092.470097058</v>
      </c>
      <c r="B14015">
        <v>187446213.35376349</v>
      </c>
    </row>
    <row r="14016" spans="1:2" x14ac:dyDescent="0.25">
      <c r="A14016">
        <f ca="1">31006.3861748339*((RANDBETWEEN(1620,2416)))</f>
        <v>65795551.46299763</v>
      </c>
      <c r="B14016">
        <v>148609820.99717993</v>
      </c>
    </row>
    <row r="14017" spans="1:2" x14ac:dyDescent="0.25">
      <c r="A14017">
        <f ca="1">30908.9855769211*((RANDBETWEEN(1620,2416)))</f>
        <v>68957946.822110936</v>
      </c>
      <c r="B14017">
        <v>169754365.98184016</v>
      </c>
    </row>
    <row r="14018" spans="1:2" x14ac:dyDescent="0.25">
      <c r="A14018">
        <f ca="1">37534.4416918018*((RANDBETWEEN(1620,2416)))</f>
        <v>79347809.736468971</v>
      </c>
      <c r="B14018">
        <v>154545029.40782487</v>
      </c>
    </row>
    <row r="14019" spans="1:2" x14ac:dyDescent="0.25">
      <c r="A14019">
        <f ca="1">41860.397671886*((RANDBETWEEN(1620,2416)))</f>
        <v>92302176.866508663</v>
      </c>
      <c r="B14019">
        <v>169929672.26455092</v>
      </c>
    </row>
    <row r="14020" spans="1:2" x14ac:dyDescent="0.25">
      <c r="A14020">
        <f ca="1">32779.0711646584*((RANDBETWEEN(1620,2416)))</f>
        <v>68213247.093654081</v>
      </c>
      <c r="B14020">
        <v>198229948.08911073</v>
      </c>
    </row>
    <row r="14021" spans="1:2" x14ac:dyDescent="0.25">
      <c r="A14021">
        <f ca="1">34310.8271641592*((RANDBETWEEN(1620,2416)))</f>
        <v>79978538.119655013</v>
      </c>
      <c r="B14021">
        <v>172053859.6825805</v>
      </c>
    </row>
    <row r="14022" spans="1:2" x14ac:dyDescent="0.25">
      <c r="A14022">
        <f ca="1">29103.750961329*((RANDBETWEEN(1620,2416)))</f>
        <v>58760473.190923207</v>
      </c>
      <c r="B14022">
        <v>199909393.67750323</v>
      </c>
    </row>
    <row r="14023" spans="1:2" x14ac:dyDescent="0.25">
      <c r="A14023">
        <f ca="1">38335.7996953868*((RANDBETWEEN(1620,2416)))</f>
        <v>83993737.132592499</v>
      </c>
      <c r="B14023">
        <v>165295241.57357252</v>
      </c>
    </row>
    <row r="14024" spans="1:2" x14ac:dyDescent="0.25">
      <c r="A14024">
        <f ca="1">31375.0590032745*((RANDBETWEEN(1620,2416)))</f>
        <v>57102607.385959648</v>
      </c>
      <c r="B14024">
        <v>147651392.78392887</v>
      </c>
    </row>
    <row r="14025" spans="1:2" x14ac:dyDescent="0.25">
      <c r="A14025">
        <f ca="1">30701.8219451973*((RANDBETWEEN(1620,2416)))</f>
        <v>57504512.503354557</v>
      </c>
      <c r="B14025">
        <v>200214784.55487913</v>
      </c>
    </row>
    <row r="14026" spans="1:2" x14ac:dyDescent="0.25">
      <c r="A14026">
        <f ca="1">29602.7378937347*((RANDBETWEEN(1620,2416)))</f>
        <v>64119530.277829334</v>
      </c>
      <c r="B14026">
        <v>168014340.26250604</v>
      </c>
    </row>
    <row r="14027" spans="1:2" x14ac:dyDescent="0.25">
      <c r="A14027">
        <f ca="1">34173.9089995846*((RANDBETWEEN(1620,2416)))</f>
        <v>64862079.281211644</v>
      </c>
      <c r="B14027">
        <v>185108711.85439169</v>
      </c>
    </row>
    <row r="14028" spans="1:2" x14ac:dyDescent="0.25">
      <c r="A14028">
        <f ca="1">30419.7844754869*((RANDBETWEEN(1620,2416)))</f>
        <v>49371310.203715205</v>
      </c>
      <c r="B14028">
        <v>148673345.23147553</v>
      </c>
    </row>
    <row r="14029" spans="1:2" x14ac:dyDescent="0.25">
      <c r="A14029">
        <f ca="1">33489.6943870213*((RANDBETWEEN(1620,2416)))</f>
        <v>77160255.867697045</v>
      </c>
      <c r="B14029">
        <v>184923894.2997196</v>
      </c>
    </row>
    <row r="14030" spans="1:2" x14ac:dyDescent="0.25">
      <c r="A14030">
        <f ca="1">28615.5717854893*((RANDBETWEEN(1620,2416)))</f>
        <v>46929537.728202514</v>
      </c>
      <c r="B14030">
        <v>168519423.8834098</v>
      </c>
    </row>
    <row r="14031" spans="1:2" x14ac:dyDescent="0.25">
      <c r="A14031">
        <f ca="1">32127.7929023496*((RANDBETWEEN(1620,2416)))</f>
        <v>62777707.331191026</v>
      </c>
      <c r="B14031">
        <v>155747178.87801173</v>
      </c>
    </row>
    <row r="14032" spans="1:2" x14ac:dyDescent="0.25">
      <c r="A14032">
        <f ca="1">37871.8111806478*((RANDBETWEEN(1620,2416)))</f>
        <v>72335159.355037302</v>
      </c>
      <c r="B14032">
        <v>189679559.05790675</v>
      </c>
    </row>
    <row r="14033" spans="1:2" x14ac:dyDescent="0.25">
      <c r="A14033">
        <f ca="1">29579.4766834296*((RANDBETWEEN(1620,2416)))</f>
        <v>57916615.3461551</v>
      </c>
      <c r="B14033">
        <v>168710055.28090471</v>
      </c>
    </row>
    <row r="14034" spans="1:2" x14ac:dyDescent="0.25">
      <c r="A14034">
        <f ca="1">29360.4640765095*((RANDBETWEEN(1620,2416)))</f>
        <v>68527323.154573172</v>
      </c>
      <c r="B14034">
        <v>186166315.40203336</v>
      </c>
    </row>
    <row r="14035" spans="1:2" x14ac:dyDescent="0.25">
      <c r="A14035">
        <f ca="1">29416.7407075644*((RANDBETWEEN(1620,2416)))</f>
        <v>66099416.369897291</v>
      </c>
      <c r="B14035">
        <v>182712358.05803555</v>
      </c>
    </row>
    <row r="14036" spans="1:2" x14ac:dyDescent="0.25">
      <c r="A14036">
        <f ca="1">38803.7194357363*((RANDBETWEEN(1620,2416)))</f>
        <v>73183814.855798617</v>
      </c>
      <c r="B14036">
        <v>171819715.58392954</v>
      </c>
    </row>
    <row r="14037" spans="1:2" x14ac:dyDescent="0.25">
      <c r="A14037">
        <f ca="1">31174.6918472279*((RANDBETWEEN(1620,2416)))</f>
        <v>61445317.630886234</v>
      </c>
      <c r="B14037">
        <v>185346547.91634333</v>
      </c>
    </row>
    <row r="14038" spans="1:2" x14ac:dyDescent="0.25">
      <c r="A14038">
        <f ca="1">29851.8629652806*((RANDBETWEEN(1620,2416)))</f>
        <v>52091500.874414682</v>
      </c>
      <c r="B14038">
        <v>199099005.86546513</v>
      </c>
    </row>
    <row r="14039" spans="1:2" x14ac:dyDescent="0.25">
      <c r="A14039">
        <f ca="1">31287.4127794445*((RANDBETWEEN(1620,2416)))</f>
        <v>64545932.56399399</v>
      </c>
      <c r="B14039">
        <v>187379531.12711179</v>
      </c>
    </row>
    <row r="14040" spans="1:2" x14ac:dyDescent="0.25">
      <c r="A14040">
        <f ca="1">31372.6440014775*((RANDBETWEEN(1620,2416)))</f>
        <v>51639372.026432037</v>
      </c>
      <c r="B14040">
        <v>170195541.88131091</v>
      </c>
    </row>
    <row r="14041" spans="1:2" x14ac:dyDescent="0.25">
      <c r="A14041">
        <f ca="1">30560.7757326729*((RANDBETWEEN(1620,2416)))</f>
        <v>68945110.052910089</v>
      </c>
      <c r="B14041">
        <v>194587847.3135272</v>
      </c>
    </row>
    <row r="14042" spans="1:2" x14ac:dyDescent="0.25">
      <c r="A14042">
        <f ca="1">35993.0386174676*((RANDBETWEEN(1620,2416)))</f>
        <v>65687295.476878427</v>
      </c>
      <c r="B14042">
        <v>156472805.42463374</v>
      </c>
    </row>
    <row r="14043" spans="1:2" x14ac:dyDescent="0.25">
      <c r="A14043">
        <f ca="1">39284.5594941984*((RANDBETWEEN(1620,2416)))</f>
        <v>66115913.628735974</v>
      </c>
      <c r="B14043">
        <v>147984762.64785749</v>
      </c>
    </row>
    <row r="14044" spans="1:2" x14ac:dyDescent="0.25">
      <c r="A14044">
        <f ca="1">33188.6522164964*((RANDBETWEEN(1620,2416)))</f>
        <v>55358671.897115976</v>
      </c>
      <c r="B14044">
        <v>145499695.69584221</v>
      </c>
    </row>
    <row r="14045" spans="1:2" x14ac:dyDescent="0.25">
      <c r="A14045">
        <f ca="1">32277.4564722397*((RANDBETWEEN(1620,2416)))</f>
        <v>63134704.859700851</v>
      </c>
      <c r="B14045">
        <v>203502488.41481236</v>
      </c>
    </row>
    <row r="14046" spans="1:2" x14ac:dyDescent="0.25">
      <c r="A14046">
        <f ca="1">32400.8705945924*((RANDBETWEEN(1620,2416)))</f>
        <v>60913636.717833757</v>
      </c>
      <c r="B14046">
        <v>152098012.3721486</v>
      </c>
    </row>
    <row r="14047" spans="1:2" x14ac:dyDescent="0.25">
      <c r="A14047">
        <f ca="1">35732.547301642*((RANDBETWEEN(1620,2416)))</f>
        <v>68535025.724549323</v>
      </c>
      <c r="B14047">
        <v>172517285.15044266</v>
      </c>
    </row>
    <row r="14048" spans="1:2" x14ac:dyDescent="0.25">
      <c r="A14048">
        <f ca="1">41918.6578683268*((RANDBETWEEN(1620,2416)))</f>
        <v>83837315.736653596</v>
      </c>
      <c r="B14048">
        <v>198094000.80498505</v>
      </c>
    </row>
    <row r="14049" spans="1:2" x14ac:dyDescent="0.25">
      <c r="A14049">
        <f ca="1">35838.8847882667*((RANDBETWEEN(1620,2416)))</f>
        <v>60603554.176959045</v>
      </c>
      <c r="B14049">
        <v>191346178.0259226</v>
      </c>
    </row>
    <row r="14050" spans="1:2" x14ac:dyDescent="0.25">
      <c r="A14050">
        <f ca="1">35118.6893020758*((RANDBETWEEN(1620,2416)))</f>
        <v>79649187.337107956</v>
      </c>
      <c r="B14050">
        <v>151508157.43266302</v>
      </c>
    </row>
    <row r="14051" spans="1:2" x14ac:dyDescent="0.25">
      <c r="A14051">
        <f ca="1">39451.4077906617*((RANDBETWEEN(1620,2416)))</f>
        <v>83281921.846086919</v>
      </c>
      <c r="B14051">
        <v>171224728.20173571</v>
      </c>
    </row>
    <row r="14052" spans="1:2" x14ac:dyDescent="0.25">
      <c r="A14052">
        <f ca="1">31718.0839256782*((RANDBETWEEN(1620,2416)))</f>
        <v>68955114.4544245</v>
      </c>
      <c r="B14052">
        <v>146898346.12968996</v>
      </c>
    </row>
    <row r="14053" spans="1:2" x14ac:dyDescent="0.25">
      <c r="A14053">
        <f ca="1">32121.2252059236*((RANDBETWEEN(1620,2416)))</f>
        <v>75806091.485979706</v>
      </c>
      <c r="B14053">
        <v>146191422.48476404</v>
      </c>
    </row>
    <row r="14054" spans="1:2" x14ac:dyDescent="0.25">
      <c r="A14054">
        <f ca="1">34022.0801880908*((RANDBETWEEN(1620,2416)))</f>
        <v>81857124.932546362</v>
      </c>
      <c r="B14054">
        <v>173610942.29437718</v>
      </c>
    </row>
    <row r="14055" spans="1:2" x14ac:dyDescent="0.25">
      <c r="A14055">
        <f ca="1">39577.6662434678*((RANDBETWEEN(1620,2416)))</f>
        <v>79867730.479317948</v>
      </c>
      <c r="B14055">
        <v>189707154.74864894</v>
      </c>
    </row>
    <row r="14056" spans="1:2" x14ac:dyDescent="0.25">
      <c r="A14056">
        <f ca="1">37202.9862240582*((RANDBETWEEN(1620,2416)))</f>
        <v>69271960.349196374</v>
      </c>
      <c r="B14056">
        <v>191288009.8527047</v>
      </c>
    </row>
    <row r="14057" spans="1:2" x14ac:dyDescent="0.25">
      <c r="A14057">
        <f ca="1">31618.0695437255*((RANDBETWEEN(1620,2416)))</f>
        <v>62793486.113838866</v>
      </c>
      <c r="B14057">
        <v>180249280.19421041</v>
      </c>
    </row>
    <row r="14058" spans="1:2" x14ac:dyDescent="0.25">
      <c r="A14058">
        <f ca="1">29849.3979309296*((RANDBETWEEN(1620,2416)))</f>
        <v>55758675.334976479</v>
      </c>
      <c r="B14058">
        <v>181450198.29962328</v>
      </c>
    </row>
    <row r="14059" spans="1:2" x14ac:dyDescent="0.25">
      <c r="A14059">
        <f ca="1">38242.8763334047*((RANDBETWEEN(1620,2416)))</f>
        <v>79812882.907815665</v>
      </c>
      <c r="B14059">
        <v>166535446.46067497</v>
      </c>
    </row>
    <row r="14060" spans="1:2" x14ac:dyDescent="0.25">
      <c r="A14060">
        <f ca="1">31783.822389573*((RANDBETWEEN(1620,2416)))</f>
        <v>76694363.426039711</v>
      </c>
      <c r="B14060">
        <v>177810569.82450813</v>
      </c>
    </row>
    <row r="14061" spans="1:2" x14ac:dyDescent="0.25">
      <c r="A14061">
        <f ca="1">32106.3936267222*((RANDBETWEEN(1620,2416)))</f>
        <v>72560449.59639214</v>
      </c>
      <c r="B14061">
        <v>157733016.80618417</v>
      </c>
    </row>
    <row r="14062" spans="1:2" x14ac:dyDescent="0.25">
      <c r="A14062">
        <f ca="1">38572.1953070408*((RANDBETWEEN(1620,2416)))</f>
        <v>78764422.816977292</v>
      </c>
      <c r="B14062">
        <v>155163693.19271976</v>
      </c>
    </row>
    <row r="14063" spans="1:2" x14ac:dyDescent="0.25">
      <c r="A14063">
        <f ca="1">29696.3653952088*((RANDBETWEEN(1620,2416)))</f>
        <v>58175179.809214041</v>
      </c>
      <c r="B14063">
        <v>166878533.72819355</v>
      </c>
    </row>
    <row r="14064" spans="1:2" x14ac:dyDescent="0.25">
      <c r="A14064">
        <f ca="1">32288.3427334092*((RANDBETWEEN(1620,2416)))</f>
        <v>65545335.74882064</v>
      </c>
      <c r="B14064">
        <v>157830634.07583448</v>
      </c>
    </row>
    <row r="14065" spans="1:2" x14ac:dyDescent="0.25">
      <c r="A14065">
        <f ca="1">33085.4668576932*((RANDBETWEEN(1620,2416)))</f>
        <v>75104009.766963616</v>
      </c>
      <c r="B14065">
        <v>149180832.6021466</v>
      </c>
    </row>
    <row r="14066" spans="1:2" x14ac:dyDescent="0.25">
      <c r="A14066">
        <f ca="1">40719.2109291475*((RANDBETWEEN(1620,2416)))</f>
        <v>66575909.869156152</v>
      </c>
      <c r="B14066">
        <v>157731542.67465484</v>
      </c>
    </row>
    <row r="14067" spans="1:2" x14ac:dyDescent="0.25">
      <c r="A14067">
        <f ca="1">32868.897911063*((RANDBETWEEN(1620,2416)))</f>
        <v>53379090.207566373</v>
      </c>
      <c r="B14067">
        <v>146719780.72484326</v>
      </c>
    </row>
    <row r="14068" spans="1:2" x14ac:dyDescent="0.25">
      <c r="A14068">
        <f ca="1">38410.755424641*((RANDBETWEEN(1620,2416)))</f>
        <v>83773857.581141949</v>
      </c>
      <c r="B14068">
        <v>161851171.16972122</v>
      </c>
    </row>
    <row r="14069" spans="1:2" x14ac:dyDescent="0.25">
      <c r="A14069">
        <f ca="1">31225.2387156546*((RANDBETWEEN(1620,2416)))</f>
        <v>51646544.835692659</v>
      </c>
      <c r="B14069">
        <v>148265905.74752906</v>
      </c>
    </row>
    <row r="14070" spans="1:2" x14ac:dyDescent="0.25">
      <c r="A14070">
        <f ca="1">30952.913978067*((RANDBETWEEN(1620,2416)))</f>
        <v>55715245.160520628</v>
      </c>
      <c r="B14070">
        <v>177199016.56097576</v>
      </c>
    </row>
    <row r="14071" spans="1:2" x14ac:dyDescent="0.25">
      <c r="A14071">
        <f ca="1">32563.4658606661*((RANDBETWEEN(1620,2416)))</f>
        <v>78608206.587647915</v>
      </c>
      <c r="B14071">
        <v>181647312.91626754</v>
      </c>
    </row>
    <row r="14072" spans="1:2" x14ac:dyDescent="0.25">
      <c r="A14072">
        <f ca="1">30048.76377158*((RANDBETWEEN(1620,2416)))</f>
        <v>54568555.00918933</v>
      </c>
      <c r="B14072">
        <v>144883208.07090795</v>
      </c>
    </row>
    <row r="14073" spans="1:2" x14ac:dyDescent="0.25">
      <c r="A14073">
        <f ca="1">40843.3165085984*((RANDBETWEEN(1620,2416)))</f>
        <v>83034462.461980462</v>
      </c>
      <c r="B14073">
        <v>143886971.92714298</v>
      </c>
    </row>
    <row r="14074" spans="1:2" x14ac:dyDescent="0.25">
      <c r="A14074">
        <f ca="1">31661.3633433748*((RANDBETWEEN(1620,2416)))</f>
        <v>52684508.603375681</v>
      </c>
      <c r="B14074">
        <v>149934470.83045769</v>
      </c>
    </row>
    <row r="14075" spans="1:2" x14ac:dyDescent="0.25">
      <c r="A14075">
        <f ca="1">28815.3232698463*((RANDBETWEEN(1620,2416)))</f>
        <v>47487652.748706765</v>
      </c>
      <c r="B14075">
        <v>142952357.54784995</v>
      </c>
    </row>
    <row r="14076" spans="1:2" x14ac:dyDescent="0.25">
      <c r="A14076">
        <f ca="1">40314.6414478853*((RANDBETWEEN(1620,2416)))</f>
        <v>66156326.615979761</v>
      </c>
      <c r="B14076">
        <v>164844732.54908285</v>
      </c>
    </row>
    <row r="14077" spans="1:2" x14ac:dyDescent="0.25">
      <c r="A14077">
        <f ca="1">36898.9870617091*((RANDBETWEEN(1620,2416)))</f>
        <v>63171065.849646002</v>
      </c>
      <c r="B14077">
        <v>184907008.68760151</v>
      </c>
    </row>
    <row r="14078" spans="1:2" x14ac:dyDescent="0.25">
      <c r="A14078">
        <f ca="1">34316.1032383543*((RANDBETWEEN(1620,2416)))</f>
        <v>67499775.069842875</v>
      </c>
      <c r="B14078">
        <v>164400291.23868886</v>
      </c>
    </row>
    <row r="14079" spans="1:2" x14ac:dyDescent="0.25">
      <c r="A14079">
        <f ca="1">30987.5636002055*((RANDBETWEEN(1620,2416)))</f>
        <v>63276604.871619634</v>
      </c>
      <c r="B14079">
        <v>148497065.98109871</v>
      </c>
    </row>
    <row r="14080" spans="1:2" x14ac:dyDescent="0.25">
      <c r="A14080">
        <f ca="1">30878.3408553108*((RANDBETWEEN(1620,2416)))</f>
        <v>60181886.327000745</v>
      </c>
      <c r="B14080">
        <v>143512550.83902973</v>
      </c>
    </row>
    <row r="14081" spans="1:2" x14ac:dyDescent="0.25">
      <c r="A14081">
        <f ca="1">34483.7644765732*((RANDBETWEEN(1620,2416)))</f>
        <v>81623070.516048878</v>
      </c>
      <c r="B14081">
        <v>177833136.87897769</v>
      </c>
    </row>
    <row r="14082" spans="1:2" x14ac:dyDescent="0.25">
      <c r="A14082">
        <f ca="1">29608.2823043544*((RANDBETWEEN(1620,2416)))</f>
        <v>61407577.499231033</v>
      </c>
      <c r="B14082">
        <v>150699158.30500826</v>
      </c>
    </row>
    <row r="14083" spans="1:2" x14ac:dyDescent="0.25">
      <c r="A14083">
        <f ca="1">30740.3326635575*((RANDBETWEEN(1620,2416)))</f>
        <v>54717792.141132347</v>
      </c>
      <c r="B14083">
        <v>180128828.47679022</v>
      </c>
    </row>
    <row r="14084" spans="1:2" x14ac:dyDescent="0.25">
      <c r="A14084">
        <f ca="1">38608.8770341104*((RANDBETWEEN(1620,2416)))</f>
        <v>82584387.975962192</v>
      </c>
      <c r="B14084">
        <v>145973037.6154477</v>
      </c>
    </row>
    <row r="14085" spans="1:2" x14ac:dyDescent="0.25">
      <c r="A14085">
        <f ca="1">31797.8718135869*((RANDBETWEEN(1620,2416)))</f>
        <v>57681339.469846606</v>
      </c>
      <c r="B14085">
        <v>200903259.06585032</v>
      </c>
    </row>
    <row r="14086" spans="1:2" x14ac:dyDescent="0.25">
      <c r="A14086">
        <f ca="1">30022.9186528054*((RANDBETWEEN(1620,2416)))</f>
        <v>68272117.016479701</v>
      </c>
      <c r="B14086">
        <v>175456037.61383104</v>
      </c>
    </row>
    <row r="14087" spans="1:2" x14ac:dyDescent="0.25">
      <c r="A14087">
        <f ca="1">29376.8893014101*((RANDBETWEEN(1620,2416)))</f>
        <v>52173355.399304301</v>
      </c>
      <c r="B14087">
        <v>162390319.1068165</v>
      </c>
    </row>
    <row r="14088" spans="1:2" x14ac:dyDescent="0.25">
      <c r="A14088">
        <f ca="1">36657.6374858256*((RANDBETWEEN(1620,2416)))</f>
        <v>81673216.318419635</v>
      </c>
      <c r="B14088">
        <v>176877335.93065634</v>
      </c>
    </row>
    <row r="14089" spans="1:2" x14ac:dyDescent="0.25">
      <c r="A14089">
        <f ca="1">41134.3126896364*((RANDBETWEEN(1620,2416)))</f>
        <v>78114059.797619447</v>
      </c>
      <c r="B14089">
        <v>157710107.27991247</v>
      </c>
    </row>
    <row r="14090" spans="1:2" x14ac:dyDescent="0.25">
      <c r="A14090">
        <f ca="1">40873.74974879*((RANDBETWEEN(1620,2416)))</f>
        <v>72183042.056363225</v>
      </c>
      <c r="B14090">
        <v>153743908.34349856</v>
      </c>
    </row>
    <row r="14091" spans="1:2" x14ac:dyDescent="0.25">
      <c r="A14091">
        <f ca="1">31621.8926120914*((RANDBETWEEN(1620,2416)))</f>
        <v>74469557.101475149</v>
      </c>
      <c r="B14091">
        <v>169698788.99245492</v>
      </c>
    </row>
    <row r="14092" spans="1:2" x14ac:dyDescent="0.25">
      <c r="A14092">
        <f ca="1">29889.3319603597*((RANDBETWEEN(1620,2416)))</f>
        <v>66922214.259245284</v>
      </c>
      <c r="B14092">
        <v>164147588.0720098</v>
      </c>
    </row>
    <row r="14093" spans="1:2" x14ac:dyDescent="0.25">
      <c r="A14093">
        <f ca="1">41517.3118789028*((RANDBETWEEN(1620,2416)))</f>
        <v>90092566.777219117</v>
      </c>
      <c r="B14093">
        <v>183489773.90783244</v>
      </c>
    </row>
    <row r="14094" spans="1:2" x14ac:dyDescent="0.25">
      <c r="A14094">
        <f ca="1">38161.7414042486*((RANDBETWEEN(1620,2416)))</f>
        <v>73728484.393008277</v>
      </c>
      <c r="B14094">
        <v>145270455.56199968</v>
      </c>
    </row>
    <row r="14095" spans="1:2" x14ac:dyDescent="0.25">
      <c r="A14095">
        <f ca="1">32661.6937186272*((RANDBETWEEN(1620,2416)))</f>
        <v>62808437.020920061</v>
      </c>
      <c r="B14095">
        <v>162150930.00630167</v>
      </c>
    </row>
    <row r="14096" spans="1:2" x14ac:dyDescent="0.25">
      <c r="A14096">
        <f ca="1">34753.9338655641*((RANDBETWEEN(1620,2416)))</f>
        <v>77709796.123401418</v>
      </c>
      <c r="B14096">
        <v>145713129.49942595</v>
      </c>
    </row>
    <row r="14097" spans="1:2" x14ac:dyDescent="0.25">
      <c r="A14097">
        <f ca="1">28590.3582255975*((RANDBETWEEN(1620,2416)))</f>
        <v>52863572.359129801</v>
      </c>
      <c r="B14097">
        <v>148768740.8994413</v>
      </c>
    </row>
    <row r="14098" spans="1:2" x14ac:dyDescent="0.25">
      <c r="A14098">
        <f ca="1">30298.0800950877*((RANDBETWEEN(1620,2416)))</f>
        <v>60414371.709604867</v>
      </c>
      <c r="B14098">
        <v>161558972.88306743</v>
      </c>
    </row>
    <row r="14099" spans="1:2" x14ac:dyDescent="0.25">
      <c r="A14099">
        <f ca="1">36425.1193463568*((RANDBETWEEN(1620,2416)))</f>
        <v>79953136.965253264</v>
      </c>
      <c r="B14099">
        <v>162031935.68929851</v>
      </c>
    </row>
    <row r="14100" spans="1:2" x14ac:dyDescent="0.25">
      <c r="A14100">
        <f ca="1">40126.4876591231*((RANDBETWEEN(1620,2416)))</f>
        <v>71665906.959193781</v>
      </c>
      <c r="B14100">
        <v>165873798.66562772</v>
      </c>
    </row>
    <row r="14101" spans="1:2" x14ac:dyDescent="0.25">
      <c r="A14101">
        <f ca="1">31490.9321401575*((RANDBETWEEN(1620,2416)))</f>
        <v>54164403.281070843</v>
      </c>
      <c r="B14101">
        <v>149973737.25264639</v>
      </c>
    </row>
    <row r="14102" spans="1:2" x14ac:dyDescent="0.25">
      <c r="A14102">
        <f ca="1">40106.9901964978*((RANDBETWEEN(1620,2416)))</f>
        <v>80976013.206728965</v>
      </c>
      <c r="B14102">
        <v>175107949.03881693</v>
      </c>
    </row>
    <row r="14103" spans="1:2" x14ac:dyDescent="0.25">
      <c r="A14103">
        <f ca="1">34692.2243213632*((RANDBETWEEN(1620,2416)))</f>
        <v>57172785.681606546</v>
      </c>
      <c r="B14103">
        <v>160203169.04817224</v>
      </c>
    </row>
    <row r="14104" spans="1:2" x14ac:dyDescent="0.25">
      <c r="A14104">
        <f ca="1">31324.3063377575*((RANDBETWEEN(1620,2416)))</f>
        <v>56039184.038248204</v>
      </c>
      <c r="B14104">
        <v>167061447.61525622</v>
      </c>
    </row>
    <row r="14105" spans="1:2" x14ac:dyDescent="0.25">
      <c r="A14105">
        <f ca="1">30684.9669768833*((RANDBETWEEN(1620,2416)))</f>
        <v>50292660.875111662</v>
      </c>
      <c r="B14105">
        <v>156805140.2384609</v>
      </c>
    </row>
    <row r="14106" spans="1:2" x14ac:dyDescent="0.25">
      <c r="A14106">
        <f ca="1">33309.0777349342*((RANDBETWEEN(1620,2416)))</f>
        <v>54493651.17435243</v>
      </c>
      <c r="B14106">
        <v>175643406.96927467</v>
      </c>
    </row>
    <row r="14107" spans="1:2" x14ac:dyDescent="0.25">
      <c r="A14107">
        <f ca="1">31259.1411167977*((RANDBETWEEN(1620,2416)))</f>
        <v>71489655.734116375</v>
      </c>
      <c r="B14107">
        <v>152983727.32179558</v>
      </c>
    </row>
    <row r="14108" spans="1:2" x14ac:dyDescent="0.25">
      <c r="A14108">
        <f ca="1">33292.1800476769*((RANDBETWEEN(1620,2416)))</f>
        <v>58727405.604102023</v>
      </c>
      <c r="B14108">
        <v>150470051.09585047</v>
      </c>
    </row>
    <row r="14109" spans="1:2" x14ac:dyDescent="0.25">
      <c r="A14109">
        <f ca="1">34817.6841898463*((RANDBETWEEN(1620,2416)))</f>
        <v>66223235.329087652</v>
      </c>
      <c r="B14109">
        <v>175672189.08907288</v>
      </c>
    </row>
    <row r="14110" spans="1:2" x14ac:dyDescent="0.25">
      <c r="A14110">
        <f ca="1">31428.1251795391*((RANDBETWEEN(1620,2416)))</f>
        <v>69707581.648217827</v>
      </c>
      <c r="B14110">
        <v>186890423.92409074</v>
      </c>
    </row>
    <row r="14111" spans="1:2" x14ac:dyDescent="0.25">
      <c r="A14111">
        <f ca="1">31243.3350239845*((RANDBETWEEN(1620,2416)))</f>
        <v>73640540.651531413</v>
      </c>
      <c r="B14111">
        <v>146899645.66758204</v>
      </c>
    </row>
    <row r="14112" spans="1:2" x14ac:dyDescent="0.25">
      <c r="A14112">
        <f ca="1">33442.508778394*((RANDBETWEEN(1620,2416)))</f>
        <v>60965693.503012307</v>
      </c>
      <c r="B14112">
        <v>154349040.42039472</v>
      </c>
    </row>
    <row r="14113" spans="1:2" x14ac:dyDescent="0.25">
      <c r="A14113">
        <f ca="1">30698.1990234406*((RANDBETWEEN(1620,2416)))</f>
        <v>70882141.545124322</v>
      </c>
      <c r="B14113">
        <v>203463752.13870972</v>
      </c>
    </row>
    <row r="14114" spans="1:2" x14ac:dyDescent="0.25">
      <c r="A14114">
        <f ca="1">34575.4627425015*((RANDBETWEEN(1620,2416)))</f>
        <v>78105970.335310832</v>
      </c>
      <c r="B14114">
        <v>154938586.61617219</v>
      </c>
    </row>
    <row r="14115" spans="1:2" x14ac:dyDescent="0.25">
      <c r="A14115">
        <f ca="1">27470.474874546*((RANDBETWEEN(1620,2416)))</f>
        <v>44859285.470133625</v>
      </c>
      <c r="B14115">
        <v>158352909.31577399</v>
      </c>
    </row>
    <row r="14116" spans="1:2" x14ac:dyDescent="0.25">
      <c r="A14116">
        <f ca="1">32031.5689119865*((RANDBETWEEN(1620,2416)))</f>
        <v>57432603.05919186</v>
      </c>
      <c r="B14116">
        <v>171471987.73603263</v>
      </c>
    </row>
    <row r="14117" spans="1:2" x14ac:dyDescent="0.25">
      <c r="A14117">
        <f ca="1">41177.9753952335*((RANDBETWEEN(1620,2416)))</f>
        <v>90879791.697280288</v>
      </c>
      <c r="B14117">
        <v>163994520.14125746</v>
      </c>
    </row>
    <row r="14118" spans="1:2" x14ac:dyDescent="0.25">
      <c r="A14118">
        <f ca="1">34058.9558686341*((RANDBETWEEN(1620,2416)))</f>
        <v>62668478.798286796</v>
      </c>
      <c r="B14118">
        <v>186285518.23517737</v>
      </c>
    </row>
    <row r="14119" spans="1:2" x14ac:dyDescent="0.25">
      <c r="A14119">
        <f ca="1">28354.5600880227*((RANDBETWEEN(1620,2416)))</f>
        <v>48571361.430782832</v>
      </c>
      <c r="B14119">
        <v>143563155.07691526</v>
      </c>
    </row>
    <row r="14120" spans="1:2" x14ac:dyDescent="0.25">
      <c r="A14120">
        <f ca="1">37509.6390688264*((RANDBETWEEN(1620,2416)))</f>
        <v>74831729.942308605</v>
      </c>
      <c r="B14120">
        <v>158694556.53759843</v>
      </c>
    </row>
    <row r="14121" spans="1:2" x14ac:dyDescent="0.25">
      <c r="A14121">
        <f ca="1">31614.4316933956*((RANDBETWEEN(1620,2416)))</f>
        <v>57000820.343192205</v>
      </c>
      <c r="B14121">
        <v>155326048.49408528</v>
      </c>
    </row>
    <row r="14122" spans="1:2" x14ac:dyDescent="0.25">
      <c r="A14122">
        <f ca="1">27398.7794291327*((RANDBETWEEN(1620,2416)))</f>
        <v>64441929.217320114</v>
      </c>
      <c r="B14122">
        <v>143704952.74237728</v>
      </c>
    </row>
    <row r="14123" spans="1:2" x14ac:dyDescent="0.25">
      <c r="A14123">
        <f ca="1">35893.0338375341*((RANDBETWEEN(1620,2416)))</f>
        <v>61089943.591482989</v>
      </c>
      <c r="B14123">
        <v>188719609.44052479</v>
      </c>
    </row>
    <row r="14124" spans="1:2" x14ac:dyDescent="0.25">
      <c r="A14124">
        <f ca="1">30592.1619418006*((RANDBETWEEN(1620,2416)))</f>
        <v>67394532.757786617</v>
      </c>
      <c r="B14124">
        <v>189873392.87331086</v>
      </c>
    </row>
    <row r="14125" spans="1:2" x14ac:dyDescent="0.25">
      <c r="A14125">
        <f ca="1">30171.5629460951*((RANDBETWEEN(1620,2416)))</f>
        <v>60976728.714058153</v>
      </c>
      <c r="B14125">
        <v>184834616.18826145</v>
      </c>
    </row>
    <row r="14126" spans="1:2" x14ac:dyDescent="0.25">
      <c r="A14126">
        <f ca="1">30861.4313305284*((RANDBETWEEN(1620,2416)))</f>
        <v>69376497.631027848</v>
      </c>
      <c r="B14126">
        <v>152655968.26615217</v>
      </c>
    </row>
    <row r="14127" spans="1:2" x14ac:dyDescent="0.25">
      <c r="A14127">
        <f ca="1">33870.3746294388*((RANDBETWEEN(1620,2416)))</f>
        <v>79426028.506034091</v>
      </c>
      <c r="B14127">
        <v>165981890.58044562</v>
      </c>
    </row>
    <row r="14128" spans="1:2" x14ac:dyDescent="0.25">
      <c r="A14128">
        <f ca="1">29354.384122358*((RANDBETWEEN(1620,2416)))</f>
        <v>66605097.573630325</v>
      </c>
      <c r="B14128">
        <v>152601072.53344187</v>
      </c>
    </row>
    <row r="14129" spans="1:2" x14ac:dyDescent="0.25">
      <c r="A14129">
        <f ca="1">38937.4374986998*((RANDBETWEEN(1620,2416)))</f>
        <v>83403991.122214884</v>
      </c>
      <c r="B14129">
        <v>195231775.93525118</v>
      </c>
    </row>
    <row r="14130" spans="1:2" x14ac:dyDescent="0.25">
      <c r="A14130">
        <f ca="1">40056.9363041291*((RANDBETWEEN(1620,2416)))</f>
        <v>78191139.665660009</v>
      </c>
      <c r="B14130">
        <v>146138339.31533208</v>
      </c>
    </row>
    <row r="14131" spans="1:2" x14ac:dyDescent="0.25">
      <c r="A14131">
        <f ca="1">27366.812598686*((RANDBETWEEN(1620,2416)))</f>
        <v>63983607.855727978</v>
      </c>
      <c r="B14131">
        <v>179842228.16209805</v>
      </c>
    </row>
    <row r="14132" spans="1:2" x14ac:dyDescent="0.25">
      <c r="A14132">
        <f ca="1">35496.8614387204*((RANDBETWEEN(1620,2416)))</f>
        <v>82778680.875095889</v>
      </c>
      <c r="B14132">
        <v>177933922.20743936</v>
      </c>
    </row>
    <row r="14133" spans="1:2" x14ac:dyDescent="0.25">
      <c r="A14133">
        <f ca="1">31457.6185104334*((RANDBETWEEN(1620,2416)))</f>
        <v>66186829.345951907</v>
      </c>
      <c r="B14133">
        <v>156826319.69409612</v>
      </c>
    </row>
    <row r="14134" spans="1:2" x14ac:dyDescent="0.25">
      <c r="A14134">
        <f ca="1">29910.6368452807*((RANDBETWEEN(1620,2416)))</f>
        <v>57787350.385082237</v>
      </c>
      <c r="B14134">
        <v>164258126.15934721</v>
      </c>
    </row>
    <row r="14135" spans="1:2" x14ac:dyDescent="0.25">
      <c r="A14135">
        <f ca="1">38551.7608781589*((RANDBETWEEN(1620,2416)))</f>
        <v>80650283.75710839</v>
      </c>
      <c r="B14135">
        <v>160613560.00149626</v>
      </c>
    </row>
    <row r="14136" spans="1:2" x14ac:dyDescent="0.25">
      <c r="A14136">
        <f ca="1">29952.1196112134*((RANDBETWEEN(1620,2416)))</f>
        <v>68141072.115510449</v>
      </c>
      <c r="B14136">
        <v>155175208.78871453</v>
      </c>
    </row>
    <row r="14137" spans="1:2" x14ac:dyDescent="0.25">
      <c r="A14137">
        <f ca="1">34964.2948195839*((RANDBETWEEN(1620,2416)))</f>
        <v>66502088.746848516</v>
      </c>
      <c r="B14137">
        <v>146463357.65172306</v>
      </c>
    </row>
    <row r="14138" spans="1:2" x14ac:dyDescent="0.25">
      <c r="A14138">
        <f ca="1">27484.3442311786*((RANDBETWEEN(1620,2416)))</f>
        <v>53566986.906567007</v>
      </c>
      <c r="B14138">
        <v>155460140.06019041</v>
      </c>
    </row>
    <row r="14139" spans="1:2" x14ac:dyDescent="0.25">
      <c r="A14139">
        <f ca="1">31341.2305406001*((RANDBETWEEN(1620,2416)))</f>
        <v>72837019.776354685</v>
      </c>
      <c r="B14139">
        <v>170405397.78619325</v>
      </c>
    </row>
    <row r="14140" spans="1:2" x14ac:dyDescent="0.25">
      <c r="A14140">
        <f ca="1">35943.4032845831*((RANDBETWEEN(1620,2416)))</f>
        <v>74798222.235217348</v>
      </c>
      <c r="B14140">
        <v>193175380.00451431</v>
      </c>
    </row>
    <row r="14141" spans="1:2" x14ac:dyDescent="0.25">
      <c r="A14141">
        <f ca="1">28771.9660630896*((RANDBETWEEN(1620,2416)))</f>
        <v>68534823.162279487</v>
      </c>
      <c r="B14141">
        <v>193347815.39321786</v>
      </c>
    </row>
    <row r="14142" spans="1:2" x14ac:dyDescent="0.25">
      <c r="A14142">
        <f ca="1">37354.4968052976*((RANDBETWEEN(1620,2416)))</f>
        <v>88268675.950918406</v>
      </c>
      <c r="B14142">
        <v>177636635.46029657</v>
      </c>
    </row>
    <row r="14143" spans="1:2" x14ac:dyDescent="0.25">
      <c r="A14143">
        <f ca="1">37046.7270897654*((RANDBETWEEN(1620,2416)))</f>
        <v>63016482.779690951</v>
      </c>
      <c r="B14143">
        <v>202360436.58772832</v>
      </c>
    </row>
    <row r="14144" spans="1:2" x14ac:dyDescent="0.25">
      <c r="A14144">
        <f ca="1">32679.5863120541*((RANDBETWEEN(1620,2416)))</f>
        <v>69705557.603611425</v>
      </c>
      <c r="B14144">
        <v>180057950.66761762</v>
      </c>
    </row>
    <row r="14145" spans="1:2" x14ac:dyDescent="0.25">
      <c r="A14145">
        <f ca="1">39162.4501623628*((RANDBETWEEN(1620,2416)))</f>
        <v>80909622.035441533</v>
      </c>
      <c r="B14145">
        <v>159384149.3201699</v>
      </c>
    </row>
    <row r="14146" spans="1:2" x14ac:dyDescent="0.25">
      <c r="A14146">
        <f ca="1">37536.8658264169*((RANDBETWEEN(1620,2416)))</f>
        <v>73647330.751430035</v>
      </c>
      <c r="B14146">
        <v>184965784.54094106</v>
      </c>
    </row>
    <row r="14147" spans="1:2" x14ac:dyDescent="0.25">
      <c r="A14147">
        <f ca="1">30331.6941047834*((RANDBETWEEN(1620,2416)))</f>
        <v>71158154.369821832</v>
      </c>
      <c r="B14147">
        <v>188900305.50373134</v>
      </c>
    </row>
    <row r="14148" spans="1:2" x14ac:dyDescent="0.25">
      <c r="A14148">
        <f ca="1">30347.4874021934*((RANDBETWEEN(1620,2416)))</f>
        <v>67887329.318706572</v>
      </c>
      <c r="B14148">
        <v>192996947.68236881</v>
      </c>
    </row>
    <row r="14149" spans="1:2" x14ac:dyDescent="0.25">
      <c r="A14149">
        <f ca="1">32069.2492704802*((RANDBETWEEN(1620,2416)))</f>
        <v>53587715.530972458</v>
      </c>
      <c r="B14149">
        <v>143476503.57205063</v>
      </c>
    </row>
    <row r="14150" spans="1:2" x14ac:dyDescent="0.25">
      <c r="A14150">
        <f ca="1">30314.2697531915*((RANDBETWEEN(1620,2416)))</f>
        <v>59567540.065021239</v>
      </c>
      <c r="B14150">
        <v>201306805.21268058</v>
      </c>
    </row>
    <row r="14151" spans="1:2" x14ac:dyDescent="0.25">
      <c r="A14151">
        <f ca="1">30740.7145003203*((RANDBETWEEN(1620,2416)))</f>
        <v>57731061.831601664</v>
      </c>
      <c r="B14151">
        <v>145004882.04459649</v>
      </c>
    </row>
    <row r="14152" spans="1:2" x14ac:dyDescent="0.25">
      <c r="A14152">
        <f ca="1">38412.4029742772*((RANDBETWEEN(1620,2416)))</f>
        <v>71908018.367846891</v>
      </c>
      <c r="B14152">
        <v>176140970.77546373</v>
      </c>
    </row>
    <row r="14153" spans="1:2" x14ac:dyDescent="0.25">
      <c r="A14153">
        <f ca="1">34595.4337548707*((RANDBETWEEN(1620,2416)))</f>
        <v>68049218.195830584</v>
      </c>
      <c r="B14153">
        <v>172809113.89946839</v>
      </c>
    </row>
    <row r="14154" spans="1:2" x14ac:dyDescent="0.25">
      <c r="A14154">
        <f ca="1">34006.9769973912*((RANDBETWEEN(1620,2416)))</f>
        <v>64579249.318045802</v>
      </c>
      <c r="B14154">
        <v>170018749.44773322</v>
      </c>
    </row>
    <row r="14155" spans="1:2" x14ac:dyDescent="0.25">
      <c r="A14155">
        <f ca="1">30183.0500470531*((RANDBETWEEN(1620,2416)))</f>
        <v>67036554.15450494</v>
      </c>
      <c r="B14155">
        <v>148028483.0596461</v>
      </c>
    </row>
    <row r="14156" spans="1:2" x14ac:dyDescent="0.25">
      <c r="A14156">
        <f ca="1">33207.7418292117*((RANDBETWEEN(1620,2416)))</f>
        <v>67677377.847933441</v>
      </c>
      <c r="B14156">
        <v>157686183.5154869</v>
      </c>
    </row>
    <row r="14157" spans="1:2" x14ac:dyDescent="0.25">
      <c r="A14157">
        <f ca="1">27767.1614209277*((RANDBETWEEN(1620,2416)))</f>
        <v>60921152.157515332</v>
      </c>
      <c r="B14157">
        <v>174727612.54188055</v>
      </c>
    </row>
    <row r="14158" spans="1:2" x14ac:dyDescent="0.25">
      <c r="A14158">
        <f ca="1">32189.0390014477*((RANDBETWEEN(1620,2416)))</f>
        <v>70397428.296166047</v>
      </c>
      <c r="B14158">
        <v>150705344.64680439</v>
      </c>
    </row>
    <row r="14159" spans="1:2" x14ac:dyDescent="0.25">
      <c r="A14159">
        <f ca="1">33344.8447603715*((RANDBETWEEN(1620,2416)))</f>
        <v>56319442.80026754</v>
      </c>
      <c r="B14159">
        <v>156000940.16722125</v>
      </c>
    </row>
    <row r="14160" spans="1:2" x14ac:dyDescent="0.25">
      <c r="A14160">
        <f ca="1">31308.23902291*((RANDBETWEEN(1620,2416)))</f>
        <v>52034293.256076396</v>
      </c>
      <c r="B14160">
        <v>145717847.42230779</v>
      </c>
    </row>
    <row r="14161" spans="1:2" x14ac:dyDescent="0.25">
      <c r="A14161">
        <f ca="1">34662.0671476117*((RANDBETWEEN(1620,2416)))</f>
        <v>74142161.628741339</v>
      </c>
      <c r="B14161">
        <v>195328958.85499629</v>
      </c>
    </row>
    <row r="14162" spans="1:2" x14ac:dyDescent="0.25">
      <c r="A14162">
        <f ca="1">29203.3012484679*((RANDBETWEEN(1620,2416)))</f>
        <v>48886326.289935246</v>
      </c>
      <c r="B14162">
        <v>197450272.66392261</v>
      </c>
    </row>
    <row r="14163" spans="1:2" x14ac:dyDescent="0.25">
      <c r="A14163">
        <f ca="1">32411.4651001089*((RANDBETWEEN(1620,2416)))</f>
        <v>72407213.033643365</v>
      </c>
      <c r="B14163">
        <v>157576206.95476466</v>
      </c>
    </row>
    <row r="14164" spans="1:2" x14ac:dyDescent="0.25">
      <c r="A14164">
        <f ca="1">31688.235609679*((RANDBETWEEN(1620,2416)))</f>
        <v>68129706.560809776</v>
      </c>
      <c r="B14164">
        <v>203181154.93763298</v>
      </c>
    </row>
    <row r="14165" spans="1:2" x14ac:dyDescent="0.25">
      <c r="A14165">
        <f ca="1">31067.8683487547*((RANDBETWEEN(1620,2416)))</f>
        <v>61110497.042000413</v>
      </c>
      <c r="B14165">
        <v>146237093.93480587</v>
      </c>
    </row>
    <row r="14166" spans="1:2" x14ac:dyDescent="0.25">
      <c r="A14166">
        <f ca="1">34906.0421770312*((RANDBETWEEN(1620,2416)))</f>
        <v>72360225.432985753</v>
      </c>
      <c r="B14166">
        <v>184193328.81682098</v>
      </c>
    </row>
    <row r="14167" spans="1:2" x14ac:dyDescent="0.25">
      <c r="A14167">
        <f ca="1">30854.0324815974*((RANDBETWEEN(1620,2416)))</f>
        <v>70285485.993078798</v>
      </c>
      <c r="B14167">
        <v>193819711.07467896</v>
      </c>
    </row>
    <row r="14168" spans="1:2" x14ac:dyDescent="0.25">
      <c r="A14168">
        <f ca="1">35074.6245036131*((RANDBETWEEN(1620,2416)))</f>
        <v>74989547.188724771</v>
      </c>
      <c r="B14168">
        <v>144370788.37441543</v>
      </c>
    </row>
    <row r="14169" spans="1:2" x14ac:dyDescent="0.25">
      <c r="A14169">
        <f ca="1">33022.7590178886*((RANDBETWEEN(1620,2416)))</f>
        <v>66078540.794795163</v>
      </c>
      <c r="B14169">
        <v>200167869.24806038</v>
      </c>
    </row>
    <row r="14170" spans="1:2" x14ac:dyDescent="0.25">
      <c r="A14170">
        <f ca="1">29487.731169184*((RANDBETWEEN(1620,2416)))</f>
        <v>54788204.512343787</v>
      </c>
      <c r="B14170">
        <v>152644728.98082045</v>
      </c>
    </row>
    <row r="14171" spans="1:2" x14ac:dyDescent="0.25">
      <c r="A14171">
        <f ca="1">36045.8914798759*((RANDBETWEEN(1620,2416)))</f>
        <v>82184632.574116975</v>
      </c>
      <c r="B14171">
        <v>150176918.37330469</v>
      </c>
    </row>
    <row r="14172" spans="1:2" x14ac:dyDescent="0.25">
      <c r="A14172">
        <f ca="1">32135.040386188*((RANDBETWEEN(1620,2416)))</f>
        <v>58999934.149041228</v>
      </c>
      <c r="B14172">
        <v>177816206.72538075</v>
      </c>
    </row>
    <row r="14173" spans="1:2" x14ac:dyDescent="0.25">
      <c r="A14173">
        <f ca="1">31929.697953983*((RANDBETWEEN(1620,2416)))</f>
        <v>63891325.605919912</v>
      </c>
      <c r="B14173">
        <v>185624527.4197351</v>
      </c>
    </row>
    <row r="14174" spans="1:2" x14ac:dyDescent="0.25">
      <c r="A14174">
        <f ca="1">36951.0437761858*((RANDBETWEEN(1620,2416)))</f>
        <v>84137526.67837508</v>
      </c>
      <c r="B14174">
        <v>145965196.19311729</v>
      </c>
    </row>
    <row r="14175" spans="1:2" x14ac:dyDescent="0.25">
      <c r="A14175">
        <f ca="1">37066.4893527267*((RANDBETWEEN(1620,2416)))</f>
        <v>88811308.489133075</v>
      </c>
      <c r="B14175">
        <v>192122550.46779561</v>
      </c>
    </row>
    <row r="14176" spans="1:2" x14ac:dyDescent="0.25">
      <c r="A14176">
        <f ca="1">30956.9834128783*((RANDBETWEEN(1620,2416)))</f>
        <v>73677620.522650436</v>
      </c>
      <c r="B14176">
        <v>200607994.80202436</v>
      </c>
    </row>
    <row r="14177" spans="1:2" x14ac:dyDescent="0.25">
      <c r="A14177">
        <f ca="1">41669.5321745839*((RANDBETWEEN(1620,2416)))</f>
        <v>72421646.919426829</v>
      </c>
      <c r="B14177">
        <v>152000284.28618407</v>
      </c>
    </row>
    <row r="14178" spans="1:2" x14ac:dyDescent="0.25">
      <c r="A14178">
        <f ca="1">39910.3455630134*((RANDBETWEEN(1620,2416)))</f>
        <v>87922491.275318444</v>
      </c>
      <c r="B14178">
        <v>149245078.20165384</v>
      </c>
    </row>
    <row r="14179" spans="1:2" x14ac:dyDescent="0.25">
      <c r="A14179">
        <f ca="1">30887.3428068764*((RANDBETWEEN(1620,2416)))</f>
        <v>56462062.650970064</v>
      </c>
      <c r="B14179">
        <v>143161849.19808707</v>
      </c>
    </row>
    <row r="14180" spans="1:2" x14ac:dyDescent="0.25">
      <c r="A14180">
        <f ca="1">31433.6241338357*((RANDBETWEEN(1620,2416)))</f>
        <v>67173654.774006963</v>
      </c>
      <c r="B14180">
        <v>169253652.65361652</v>
      </c>
    </row>
    <row r="14181" spans="1:2" x14ac:dyDescent="0.25">
      <c r="A14181">
        <f ca="1">31070.1065625744*((RANDBETWEEN(1620,2416)))</f>
        <v>51265675.828247741</v>
      </c>
      <c r="B14181">
        <v>151706327.14257896</v>
      </c>
    </row>
    <row r="14182" spans="1:2" x14ac:dyDescent="0.25">
      <c r="A14182">
        <f ca="1">30680.7477938983*((RANDBETWEEN(1620,2416)))</f>
        <v>65718161.774530113</v>
      </c>
      <c r="B14182">
        <v>195362703.2398383</v>
      </c>
    </row>
    <row r="14183" spans="1:2" x14ac:dyDescent="0.25">
      <c r="A14183">
        <f ca="1">30212.6841377373*((RANDBETWEEN(1620,2416)))</f>
        <v>49458163.93347609</v>
      </c>
      <c r="B14183">
        <v>160895309.26940411</v>
      </c>
    </row>
    <row r="14184" spans="1:2" x14ac:dyDescent="0.25">
      <c r="A14184">
        <f ca="1">31207.7877257084*((RANDBETWEEN(1620,2416)))</f>
        <v>62634029.965496711</v>
      </c>
      <c r="B14184">
        <v>152547027.37072194</v>
      </c>
    </row>
    <row r="14185" spans="1:2" x14ac:dyDescent="0.25">
      <c r="A14185">
        <f ca="1">30410.9934674524*((RANDBETWEEN(1620,2416)))</f>
        <v>52732662.672562547</v>
      </c>
      <c r="B14185">
        <v>158984626.45728263</v>
      </c>
    </row>
    <row r="14186" spans="1:2" x14ac:dyDescent="0.25">
      <c r="A14186">
        <f ca="1">33524.5049949106*((RANDBETWEEN(1620,2416)))</f>
        <v>68121794.149658382</v>
      </c>
      <c r="B14186">
        <v>185268812.50062767</v>
      </c>
    </row>
    <row r="14187" spans="1:2" x14ac:dyDescent="0.25">
      <c r="A14187">
        <f ca="1">29647.8879597162*((RANDBETWEEN(1620,2416)))</f>
        <v>65225353.511375546</v>
      </c>
      <c r="B14187">
        <v>147248352.94491726</v>
      </c>
    </row>
    <row r="14188" spans="1:2" x14ac:dyDescent="0.25">
      <c r="A14188">
        <f ca="1">38666.3953433534*((RANDBETWEEN(1620,2416)))</f>
        <v>66622199.176597938</v>
      </c>
      <c r="B14188">
        <v>199326678.05255938</v>
      </c>
    </row>
    <row r="14189" spans="1:2" x14ac:dyDescent="0.25">
      <c r="A14189">
        <f ca="1">31781.8193777598*((RANDBETWEEN(1620,2416)))</f>
        <v>69030111.68849431</v>
      </c>
      <c r="B14189">
        <v>148640304.13505524</v>
      </c>
    </row>
    <row r="14190" spans="1:2" x14ac:dyDescent="0.25">
      <c r="A14190">
        <f ca="1">31561.4091265504*((RANDBETWEEN(1620,2416)))</f>
        <v>74421802.720405787</v>
      </c>
      <c r="B14190">
        <v>167077899.2205916</v>
      </c>
    </row>
    <row r="14191" spans="1:2" x14ac:dyDescent="0.25">
      <c r="A14191">
        <f ca="1">37987.231719385*((RANDBETWEEN(1620,2416)))</f>
        <v>91283317.821682274</v>
      </c>
      <c r="B14191">
        <v>152842874.99914846</v>
      </c>
    </row>
    <row r="14192" spans="1:2" x14ac:dyDescent="0.25">
      <c r="A14192">
        <f ca="1">34901.1467796391*((RANDBETWEEN(1620,2416)))</f>
        <v>67498817.871822014</v>
      </c>
      <c r="B14192">
        <v>152924164.5328843</v>
      </c>
    </row>
    <row r="14193" spans="1:2" x14ac:dyDescent="0.25">
      <c r="A14193">
        <f ca="1">30472.3585474216*((RANDBETWEEN(1620,2416)))</f>
        <v>72920354.003979906</v>
      </c>
      <c r="B14193">
        <v>156287642.03550181</v>
      </c>
    </row>
    <row r="14194" spans="1:2" x14ac:dyDescent="0.25">
      <c r="A14194">
        <f ca="1">29945.5277288588*((RANDBETWEEN(1620,2416)))</f>
        <v>54560751.521980718</v>
      </c>
      <c r="B14194">
        <v>165076930.15243912</v>
      </c>
    </row>
    <row r="14195" spans="1:2" x14ac:dyDescent="0.25">
      <c r="A14195">
        <f ca="1">34268.6547488399*((RANDBETWEEN(1620,2416)))</f>
        <v>77138741.83963871</v>
      </c>
      <c r="B14195">
        <v>156796999.12608257</v>
      </c>
    </row>
    <row r="14196" spans="1:2" x14ac:dyDescent="0.25">
      <c r="A14196">
        <f ca="1">29440.0618482776*((RANDBETWEEN(1620,2416)))</f>
        <v>68683664.292031676</v>
      </c>
      <c r="B14196">
        <v>176409170.27635464</v>
      </c>
    </row>
    <row r="14197" spans="1:2" x14ac:dyDescent="0.25">
      <c r="A14197">
        <f ca="1">28301.294393137*((RANDBETWEEN(1620,2416)))</f>
        <v>49640470.365562357</v>
      </c>
      <c r="B14197">
        <v>186771609.7789878</v>
      </c>
    </row>
    <row r="14198" spans="1:2" x14ac:dyDescent="0.25">
      <c r="A14198">
        <f ca="1">29714.4928177947*((RANDBETWEEN(1620,2416)))</f>
        <v>53723803.014572881</v>
      </c>
      <c r="B14198">
        <v>172205913.53030628</v>
      </c>
    </row>
    <row r="14199" spans="1:2" x14ac:dyDescent="0.25">
      <c r="A14199">
        <f ca="1">31233.9725749428*((RANDBETWEEN(1620,2416)))</f>
        <v>65903682.133129343</v>
      </c>
      <c r="B14199">
        <v>171384949.24396831</v>
      </c>
    </row>
    <row r="14200" spans="1:2" x14ac:dyDescent="0.25">
      <c r="A14200">
        <f ca="1">37157.8111020948*((RANDBETWEEN(1620,2416)))</f>
        <v>82824760.946569309</v>
      </c>
      <c r="B14200">
        <v>146429283.83619732</v>
      </c>
    </row>
    <row r="14201" spans="1:2" x14ac:dyDescent="0.25">
      <c r="A14201">
        <f ca="1">34502.2107737618*((RANDBETWEEN(1620,2416)))</f>
        <v>73110184.62960121</v>
      </c>
      <c r="B14201">
        <v>178172757.74912584</v>
      </c>
    </row>
    <row r="14202" spans="1:2" x14ac:dyDescent="0.25">
      <c r="A14202">
        <f ca="1">40146.4264774308*((RANDBETWEEN(1620,2416)))</f>
        <v>90329459.574219316</v>
      </c>
      <c r="B14202">
        <v>145817351.60938326</v>
      </c>
    </row>
    <row r="14203" spans="1:2" x14ac:dyDescent="0.25">
      <c r="A14203">
        <f ca="1">32522.5565666681*((RANDBETWEEN(1620,2416)))</f>
        <v>64849977.793936118</v>
      </c>
      <c r="B14203">
        <v>143333270.19834185</v>
      </c>
    </row>
    <row r="14204" spans="1:2" x14ac:dyDescent="0.25">
      <c r="A14204">
        <f ca="1">30454.9362156964*((RANDBETWEEN(1620,2416)))</f>
        <v>59173941.067098193</v>
      </c>
      <c r="B14204">
        <v>145085254.37783825</v>
      </c>
    </row>
    <row r="14205" spans="1:2" x14ac:dyDescent="0.25">
      <c r="A14205">
        <f ca="1">35831.046115381*((RANDBETWEEN(1620,2416)))</f>
        <v>64030079.408185855</v>
      </c>
      <c r="B14205">
        <v>158091546.88515216</v>
      </c>
    </row>
    <row r="14206" spans="1:2" x14ac:dyDescent="0.25">
      <c r="A14206">
        <f ca="1">31797.2671180677*((RANDBETWEEN(1620,2416)))</f>
        <v>51606964.532623902</v>
      </c>
      <c r="B14206">
        <v>186504905.82355434</v>
      </c>
    </row>
    <row r="14207" spans="1:2" x14ac:dyDescent="0.25">
      <c r="A14207">
        <f ca="1">32008.8804041956*((RANDBETWEEN(1620,2416)))</f>
        <v>54959247.654003814</v>
      </c>
      <c r="B14207">
        <v>144498724.49201578</v>
      </c>
    </row>
    <row r="14208" spans="1:2" x14ac:dyDescent="0.25">
      <c r="A14208">
        <f ca="1">33240.5340310575*((RANDBETWEEN(1620,2416)))</f>
        <v>73760745.014916673</v>
      </c>
      <c r="B14208">
        <v>145127992.98995709</v>
      </c>
    </row>
    <row r="14209" spans="1:2" x14ac:dyDescent="0.25">
      <c r="A14209">
        <f ca="1">33395.6832847436*((RANDBETWEEN(1620,2416)))</f>
        <v>75908388.106222138</v>
      </c>
      <c r="B14209">
        <v>179224678.85885653</v>
      </c>
    </row>
    <row r="14210" spans="1:2" x14ac:dyDescent="0.25">
      <c r="A14210">
        <f ca="1">31610.5706504328*((RANDBETWEEN(1620,2416)))</f>
        <v>58922103.692406826</v>
      </c>
      <c r="B14210">
        <v>198321717.60404357</v>
      </c>
    </row>
    <row r="14211" spans="1:2" x14ac:dyDescent="0.25">
      <c r="A14211">
        <f ca="1">39279.2979200809*((RANDBETWEEN(1620,2416)))</f>
        <v>68345978.38094078</v>
      </c>
      <c r="B14211">
        <v>142986617.12252349</v>
      </c>
    </row>
    <row r="14212" spans="1:2" x14ac:dyDescent="0.25">
      <c r="A14212">
        <f ca="1">33089.6984631449*((RANDBETWEEN(1620,2416)))</f>
        <v>75841588.877528101</v>
      </c>
      <c r="B14212">
        <v>164439765.56820554</v>
      </c>
    </row>
    <row r="14213" spans="1:2" x14ac:dyDescent="0.25">
      <c r="A14213">
        <f ca="1">35547.8078308624*((RANDBETWEEN(1620,2416)))</f>
        <v>83963922.096496925</v>
      </c>
      <c r="B14213">
        <v>180915620.28836519</v>
      </c>
    </row>
    <row r="14214" spans="1:2" x14ac:dyDescent="0.25">
      <c r="A14214">
        <f ca="1">31142.3881643242*((RANDBETWEEN(1620,2416)))</f>
        <v>73527178.455969393</v>
      </c>
      <c r="B14214">
        <v>148817273.81975362</v>
      </c>
    </row>
    <row r="14215" spans="1:2" x14ac:dyDescent="0.25">
      <c r="A14215">
        <f ca="1">39771.5733153112*((RANDBETWEEN(1620,2416)))</f>
        <v>95213146.516854987</v>
      </c>
      <c r="B14215">
        <v>153895906.14863306</v>
      </c>
    </row>
    <row r="14216" spans="1:2" x14ac:dyDescent="0.25">
      <c r="A14216">
        <f ca="1">41341.3616528325*((RANDBETWEEN(1620,2416)))</f>
        <v>70900435.234607801</v>
      </c>
      <c r="B14216">
        <v>153615083.01019287</v>
      </c>
    </row>
    <row r="14217" spans="1:2" x14ac:dyDescent="0.25">
      <c r="A14217">
        <f ca="1">30312.0013538076*((RANDBETWEEN(1620,2416)))</f>
        <v>55440650.476114154</v>
      </c>
      <c r="B14217">
        <v>165499745.14690763</v>
      </c>
    </row>
    <row r="14218" spans="1:2" x14ac:dyDescent="0.25">
      <c r="A14218">
        <f ca="1">35941.7032882212*((RANDBETWEEN(1620,2416)))</f>
        <v>76699594.817064062</v>
      </c>
      <c r="B14218">
        <v>165076536.19170085</v>
      </c>
    </row>
    <row r="14219" spans="1:2" x14ac:dyDescent="0.25">
      <c r="A14219">
        <f ca="1">30816.4023990478*((RANDBETWEEN(1620,2416)))</f>
        <v>65793019.121967129</v>
      </c>
      <c r="B14219">
        <v>143771520.46399018</v>
      </c>
    </row>
    <row r="14220" spans="1:2" x14ac:dyDescent="0.25">
      <c r="A14220">
        <f ca="1">32676.6532702306*((RANDBETWEEN(1620,2416)))</f>
        <v>59046712.459306687</v>
      </c>
      <c r="B14220">
        <v>186653769.46537095</v>
      </c>
    </row>
    <row r="14221" spans="1:2" x14ac:dyDescent="0.25">
      <c r="A14221">
        <f ca="1">36203.4150780502*((RANDBETWEEN(1620,2416)))</f>
        <v>64876519.819865949</v>
      </c>
      <c r="B14221">
        <v>181514157.67708459</v>
      </c>
    </row>
    <row r="14222" spans="1:2" x14ac:dyDescent="0.25">
      <c r="A14222">
        <f ca="1">31795.3853579899*((RANDBETWEEN(1620,2416)))</f>
        <v>66992876.949284635</v>
      </c>
      <c r="B14222">
        <v>147052690.02491105</v>
      </c>
    </row>
    <row r="14223" spans="1:2" x14ac:dyDescent="0.25">
      <c r="A14223">
        <f ca="1">33911.6795384014*((RANDBETWEEN(1620,2416)))</f>
        <v>57751590.253897525</v>
      </c>
      <c r="B14223">
        <v>193530889.19572818</v>
      </c>
    </row>
    <row r="14224" spans="1:2" x14ac:dyDescent="0.25">
      <c r="A14224">
        <f ca="1">40855.8776093538*((RANDBETWEEN(1620,2416)))</f>
        <v>94499644.910435274</v>
      </c>
      <c r="B14224">
        <v>166585273.77606064</v>
      </c>
    </row>
    <row r="14225" spans="1:2" x14ac:dyDescent="0.25">
      <c r="A14225">
        <f ca="1">32596.5292264578*((RANDBETWEEN(1620,2416)))</f>
        <v>56457188.620224886</v>
      </c>
      <c r="B14225">
        <v>169032722.79086077</v>
      </c>
    </row>
    <row r="14226" spans="1:2" x14ac:dyDescent="0.25">
      <c r="A14226">
        <f ca="1">30683.4689455842*((RANDBETWEEN(1620,2416)))</f>
        <v>70541295.105898142</v>
      </c>
      <c r="B14226">
        <v>146592916.73884881</v>
      </c>
    </row>
    <row r="14227" spans="1:2" x14ac:dyDescent="0.25">
      <c r="A14227">
        <f ca="1">35175.4533712527*((RANDBETWEEN(1620,2416)))</f>
        <v>67994151.366631567</v>
      </c>
      <c r="B14227">
        <v>145554625.82642907</v>
      </c>
    </row>
    <row r="14228" spans="1:2" x14ac:dyDescent="0.25">
      <c r="A14228">
        <f ca="1">37495.2518563433*((RANDBETWEEN(1620,2416)))</f>
        <v>73190731.62358208</v>
      </c>
      <c r="B14228">
        <v>184844884.76827613</v>
      </c>
    </row>
    <row r="14229" spans="1:2" x14ac:dyDescent="0.25">
      <c r="A14229">
        <f ca="1">31715.0565431845*((RANDBETWEEN(1620,2416)))</f>
        <v>66569903.684144251</v>
      </c>
      <c r="B14229">
        <v>147414292.16102207</v>
      </c>
    </row>
    <row r="14230" spans="1:2" x14ac:dyDescent="0.25">
      <c r="A14230">
        <f ca="1">29552.9192923968*((RANDBETWEEN(1620,2416)))</f>
        <v>55795911.624045216</v>
      </c>
      <c r="B14230">
        <v>151721222.15079632</v>
      </c>
    </row>
    <row r="14231" spans="1:2" x14ac:dyDescent="0.25">
      <c r="A14231">
        <f ca="1">28955.7052143987*((RANDBETWEEN(1620,2416)))</f>
        <v>69001445.525912106</v>
      </c>
      <c r="B14231">
        <v>165652637.88203698</v>
      </c>
    </row>
    <row r="14232" spans="1:2" x14ac:dyDescent="0.25">
      <c r="A14232">
        <f ca="1">40018.7073328621*((RANDBETWEEN(1620,2416)))</f>
        <v>80757751.397715718</v>
      </c>
      <c r="B14232">
        <v>176789782.78805128</v>
      </c>
    </row>
    <row r="14233" spans="1:2" x14ac:dyDescent="0.25">
      <c r="A14233">
        <f ca="1">31540.0704592263*((RANDBETWEEN(1620,2416)))</f>
        <v>69230454.658001721</v>
      </c>
      <c r="B14233">
        <v>170552792.05915537</v>
      </c>
    </row>
    <row r="14234" spans="1:2" x14ac:dyDescent="0.25">
      <c r="A14234">
        <f ca="1">32499.1577710263*((RANDBETWEEN(1620,2416)))</f>
        <v>60253438.507482819</v>
      </c>
      <c r="B14234">
        <v>162221505.41038921</v>
      </c>
    </row>
    <row r="14235" spans="1:2" x14ac:dyDescent="0.25">
      <c r="A14235">
        <f ca="1">31226.1060884646*((RANDBETWEEN(1620,2416)))</f>
        <v>69446859.940745339</v>
      </c>
      <c r="B14235">
        <v>145124402.79986483</v>
      </c>
    </row>
    <row r="14236" spans="1:2" x14ac:dyDescent="0.25">
      <c r="A14236">
        <f ca="1">38471.9171232921*((RANDBETWEEN(1620,2416)))</f>
        <v>82791565.6493247</v>
      </c>
      <c r="B14236">
        <v>158701551.25911295</v>
      </c>
    </row>
    <row r="14237" spans="1:2" x14ac:dyDescent="0.25">
      <c r="A14237">
        <f ca="1">28607.0583565903*((RANDBETWEEN(1620,2416)))</f>
        <v>57872079.055382229</v>
      </c>
      <c r="B14237">
        <v>145504119.08469164</v>
      </c>
    </row>
    <row r="14238" spans="1:2" x14ac:dyDescent="0.25">
      <c r="A14238">
        <f ca="1">34450.9482414948*((RANDBETWEEN(1620,2416)))</f>
        <v>78617063.88709113</v>
      </c>
      <c r="B14238">
        <v>177926395.65128547</v>
      </c>
    </row>
    <row r="14239" spans="1:2" x14ac:dyDescent="0.25">
      <c r="A14239">
        <f ca="1">31467.6207395803*((RANDBETWEEN(1620,2416)))</f>
        <v>59788479.405202694</v>
      </c>
      <c r="B14239">
        <v>162238126.0686157</v>
      </c>
    </row>
    <row r="14240" spans="1:2" x14ac:dyDescent="0.25">
      <c r="A14240">
        <f ca="1">29701.5170123546*((RANDBETWEEN(1620,2416)))</f>
        <v>49750040.995694004</v>
      </c>
      <c r="B14240">
        <v>154568580.34126127</v>
      </c>
    </row>
    <row r="14241" spans="1:2" x14ac:dyDescent="0.25">
      <c r="A14241">
        <f ca="1">33432.7153131959*((RANDBETWEEN(1620,2416)))</f>
        <v>61449330.745654114</v>
      </c>
      <c r="B14241">
        <v>191451543.09107667</v>
      </c>
    </row>
    <row r="14242" spans="1:2" x14ac:dyDescent="0.25">
      <c r="A14242">
        <f ca="1">36079.4397094229*((RANDBETWEEN(1620,2416)))</f>
        <v>70968257.908434898</v>
      </c>
      <c r="B14242">
        <v>145960213.62276477</v>
      </c>
    </row>
    <row r="14243" spans="1:2" x14ac:dyDescent="0.25">
      <c r="A14243">
        <f ca="1">38036.8840316537*((RANDBETWEEN(1620,2416)))</f>
        <v>84517956.318334579</v>
      </c>
      <c r="B14243">
        <v>182901016.64524284</v>
      </c>
    </row>
    <row r="14244" spans="1:2" x14ac:dyDescent="0.25">
      <c r="A14244">
        <f ca="1">33192.1356964007*((RANDBETWEEN(1620,2416)))</f>
        <v>79495164.992879748</v>
      </c>
      <c r="B14244">
        <v>156724748.30445123</v>
      </c>
    </row>
    <row r="14245" spans="1:2" x14ac:dyDescent="0.25">
      <c r="A14245">
        <f ca="1">30563.0289630885*((RANDBETWEEN(1620,2416)))</f>
        <v>73290143.453486234</v>
      </c>
      <c r="B14245">
        <v>172623090.35954994</v>
      </c>
    </row>
    <row r="14246" spans="1:2" x14ac:dyDescent="0.25">
      <c r="A14246">
        <f ca="1">40558.4015650221*((RANDBETWEEN(1620,2416)))</f>
        <v>84239800.050550863</v>
      </c>
      <c r="B14246">
        <v>161940617.0794774</v>
      </c>
    </row>
    <row r="14247" spans="1:2" x14ac:dyDescent="0.25">
      <c r="A14247">
        <f ca="1">42845.7152260749*((RANDBETWEEN(1620,2416)))</f>
        <v>91946904.875156745</v>
      </c>
      <c r="B14247">
        <v>177026208.40696675</v>
      </c>
    </row>
    <row r="14248" spans="1:2" x14ac:dyDescent="0.25">
      <c r="A14248">
        <f ca="1">39593.2046637587*((RANDBETWEEN(1620,2416)))</f>
        <v>81759967.630661666</v>
      </c>
      <c r="B14248">
        <v>158756357.94930279</v>
      </c>
    </row>
    <row r="14249" spans="1:2" x14ac:dyDescent="0.25">
      <c r="A14249">
        <f ca="1">32448.9262189825*((RANDBETWEEN(1620,2416)))</f>
        <v>56850518.735657416</v>
      </c>
      <c r="B14249">
        <v>171579262.43478128</v>
      </c>
    </row>
    <row r="14250" spans="1:2" x14ac:dyDescent="0.25">
      <c r="A14250">
        <f ca="1">34511.9332431575*((RANDBETWEEN(1620,2416)))</f>
        <v>69299961.952260301</v>
      </c>
      <c r="B14250">
        <v>168618025.77165076</v>
      </c>
    </row>
    <row r="14251" spans="1:2" x14ac:dyDescent="0.25">
      <c r="A14251">
        <f ca="1">33577.1605607495*((RANDBETWEEN(1620,2416)))</f>
        <v>74574873.605424657</v>
      </c>
      <c r="B14251">
        <v>147412599.0974673</v>
      </c>
    </row>
    <row r="14252" spans="1:2" x14ac:dyDescent="0.25">
      <c r="A14252">
        <f ca="1">38597.1036492373*((RANDBETWEEN(1620,2416)))</f>
        <v>75573128.945206568</v>
      </c>
      <c r="B14252">
        <v>147369013.74052098</v>
      </c>
    </row>
    <row r="14253" spans="1:2" x14ac:dyDescent="0.25">
      <c r="A14253">
        <f ca="1">29054.0513173258*((RANDBETWEEN(1620,2416)))</f>
        <v>48752698.110472664</v>
      </c>
      <c r="B14253">
        <v>151424229.28961396</v>
      </c>
    </row>
    <row r="14254" spans="1:2" x14ac:dyDescent="0.25">
      <c r="A14254">
        <f ca="1">40318.0175228124*((RANDBETWEEN(1620,2416)))</f>
        <v>89949497.093394443</v>
      </c>
      <c r="B14254">
        <v>152580391.79627961</v>
      </c>
    </row>
    <row r="14255" spans="1:2" x14ac:dyDescent="0.25">
      <c r="A14255">
        <f ca="1">35294.4754762562*((RANDBETWEEN(1620,2416)))</f>
        <v>70977190.182751134</v>
      </c>
      <c r="B14255">
        <v>156863922.93910298</v>
      </c>
    </row>
    <row r="14256" spans="1:2" x14ac:dyDescent="0.25">
      <c r="A14256">
        <f ca="1">29405.1560788526*((RANDBETWEEN(1620,2416)))</f>
        <v>53311547.97095985</v>
      </c>
      <c r="B14256">
        <v>154457929.64978608</v>
      </c>
    </row>
    <row r="14257" spans="1:2" x14ac:dyDescent="0.25">
      <c r="A14257">
        <f ca="1">36017.8690695887*((RANDBETWEEN(1620,2416)))</f>
        <v>60041787.739004336</v>
      </c>
      <c r="B14257">
        <v>143080257.9029932</v>
      </c>
    </row>
    <row r="14258" spans="1:2" x14ac:dyDescent="0.25">
      <c r="A14258">
        <f ca="1">30688.912833955*((RANDBETWEEN(1620,2416)))</f>
        <v>51833573.77655004</v>
      </c>
      <c r="B14258">
        <v>162257982.36815205</v>
      </c>
    </row>
    <row r="14259" spans="1:2" x14ac:dyDescent="0.25">
      <c r="A14259">
        <f ca="1">35916.1631135762*((RANDBETWEEN(1620,2416)))</f>
        <v>69030865.504293382</v>
      </c>
      <c r="B14259">
        <v>189999647.19393665</v>
      </c>
    </row>
    <row r="14260" spans="1:2" x14ac:dyDescent="0.25">
      <c r="A14260">
        <f ca="1">29221.8734592233*((RANDBETWEEN(1620,2416)))</f>
        <v>61044493.656317532</v>
      </c>
      <c r="B14260">
        <v>201383656.0765453</v>
      </c>
    </row>
    <row r="14261" spans="1:2" x14ac:dyDescent="0.25">
      <c r="A14261">
        <f ca="1">28158.103275852*((RANDBETWEEN(1620,2416)))</f>
        <v>49023257.803258307</v>
      </c>
      <c r="B14261">
        <v>149343064.06878912</v>
      </c>
    </row>
    <row r="14262" spans="1:2" x14ac:dyDescent="0.25">
      <c r="A14262">
        <f ca="1">39816.3906436965*((RANDBETWEEN(1620,2416)))</f>
        <v>81981948.335371032</v>
      </c>
      <c r="B14262">
        <v>162286461.82646605</v>
      </c>
    </row>
    <row r="14263" spans="1:2" x14ac:dyDescent="0.25">
      <c r="A14263">
        <f ca="1">35062.208802729*((RANDBETWEEN(1620,2416)))</f>
        <v>77662792.49804464</v>
      </c>
      <c r="B14263">
        <v>171754466.01734394</v>
      </c>
    </row>
    <row r="14264" spans="1:2" x14ac:dyDescent="0.25">
      <c r="A14264">
        <f ca="1">32957.1512544356*((RANDBETWEEN(1620,2416)))</f>
        <v>65123330.878764749</v>
      </c>
      <c r="B14264">
        <v>153200094.65842646</v>
      </c>
    </row>
    <row r="14265" spans="1:2" x14ac:dyDescent="0.25">
      <c r="A14265">
        <f ca="1">38170.2048967606*((RANDBETWEEN(1620,2416)))</f>
        <v>70233177.010039583</v>
      </c>
      <c r="B14265">
        <v>200950725.12159717</v>
      </c>
    </row>
    <row r="14266" spans="1:2" x14ac:dyDescent="0.25">
      <c r="A14266">
        <f ca="1">38335.0804040067*((RANDBETWEEN(1620,2416)))</f>
        <v>74523396.305389091</v>
      </c>
      <c r="B14266">
        <v>153539065.89606804</v>
      </c>
    </row>
    <row r="14267" spans="1:2" x14ac:dyDescent="0.25">
      <c r="A14267">
        <f ca="1">30832.3512137153*((RANDBETWEEN(1620,2416)))</f>
        <v>65857902.19249592</v>
      </c>
      <c r="B14267">
        <v>171742870.37283835</v>
      </c>
    </row>
    <row r="14268" spans="1:2" x14ac:dyDescent="0.25">
      <c r="A14268">
        <f ca="1">39365.159257744*((RANDBETWEEN(1620,2416)))</f>
        <v>88492878.011408433</v>
      </c>
      <c r="B14268">
        <v>172212534.97295484</v>
      </c>
    </row>
    <row r="14269" spans="1:2" x14ac:dyDescent="0.25">
      <c r="A14269">
        <f ca="1">37326.877851727*((RANDBETWEEN(1620,2416)))</f>
        <v>79132981.045661286</v>
      </c>
      <c r="B14269">
        <v>186636288.58032387</v>
      </c>
    </row>
    <row r="14270" spans="1:2" x14ac:dyDescent="0.25">
      <c r="A14270">
        <f ca="1">32199.2195265959*((RANDBETWEEN(1620,2416)))</f>
        <v>72899033.008213058</v>
      </c>
      <c r="B14270">
        <v>169901498.32218128</v>
      </c>
    </row>
    <row r="14271" spans="1:2" x14ac:dyDescent="0.25">
      <c r="A14271">
        <f ca="1">28933.4533282399*((RANDBETWEEN(1620,2416)))</f>
        <v>60123716.016082592</v>
      </c>
      <c r="B14271">
        <v>172113693.97545543</v>
      </c>
    </row>
    <row r="14272" spans="1:2" x14ac:dyDescent="0.25">
      <c r="A14272">
        <f ca="1">37314.0847082044*((RANDBETWEEN(1620,2416)))</f>
        <v>62426463.716825925</v>
      </c>
      <c r="B14272">
        <v>147147805.36884069</v>
      </c>
    </row>
    <row r="14273" spans="1:2" x14ac:dyDescent="0.25">
      <c r="A14273">
        <f ca="1">34628.3970419617*((RANDBETWEEN(1620,2416)))</f>
        <v>81619131.827903822</v>
      </c>
      <c r="B14273">
        <v>155706153.53732526</v>
      </c>
    </row>
    <row r="14274" spans="1:2" x14ac:dyDescent="0.25">
      <c r="A14274">
        <f ca="1">37939.6186070419*((RANDBETWEEN(1620,2416)))</f>
        <v>76789788.060652867</v>
      </c>
      <c r="B14274">
        <v>175604393.07723385</v>
      </c>
    </row>
    <row r="14275" spans="1:2" x14ac:dyDescent="0.25">
      <c r="A14275">
        <f ca="1">39414.0651018246*((RANDBETWEEN(1620,2416)))</f>
        <v>68659301.407378495</v>
      </c>
      <c r="B14275">
        <v>165336784.24495548</v>
      </c>
    </row>
    <row r="14276" spans="1:2" x14ac:dyDescent="0.25">
      <c r="A14276">
        <f ca="1">31502.5588841874*((RANDBETWEEN(1620,2416)))</f>
        <v>56137559.931621984</v>
      </c>
      <c r="B14276">
        <v>174887402.83630145</v>
      </c>
    </row>
    <row r="14277" spans="1:2" x14ac:dyDescent="0.25">
      <c r="A14277">
        <f ca="1">32622.9569226611*((RANDBETWEEN(1620,2416)))</f>
        <v>72553456.195998371</v>
      </c>
      <c r="B14277">
        <v>156110147.59573132</v>
      </c>
    </row>
    <row r="14278" spans="1:2" x14ac:dyDescent="0.25">
      <c r="A14278">
        <f ca="1">33522.2920036297*((RANDBETWEEN(1620,2416)))</f>
        <v>59636157.474457249</v>
      </c>
      <c r="B14278">
        <v>149095713.03007555</v>
      </c>
    </row>
    <row r="14279" spans="1:2" x14ac:dyDescent="0.25">
      <c r="A14279">
        <f ca="1">37390.4475358158*((RANDBETWEEN(1620,2416)))</f>
        <v>79716434.146359354</v>
      </c>
      <c r="B14279">
        <v>195869507.74395984</v>
      </c>
    </row>
    <row r="14280" spans="1:2" x14ac:dyDescent="0.25">
      <c r="A14280">
        <f ca="1">32373.3444192988*((RANDBETWEEN(1620,2416)))</f>
        <v>60311540.653153703</v>
      </c>
      <c r="B14280">
        <v>187751732.79429269</v>
      </c>
    </row>
    <row r="14281" spans="1:2" x14ac:dyDescent="0.25">
      <c r="A14281">
        <f ca="1">29645.8324638176*((RANDBETWEEN(1620,2416)))</f>
        <v>70201331.274320036</v>
      </c>
      <c r="B14281">
        <v>174424040.38165966</v>
      </c>
    </row>
    <row r="14282" spans="1:2" x14ac:dyDescent="0.25">
      <c r="A14282">
        <f ca="1">31224.3669201014*((RANDBETWEEN(1620,2416)))</f>
        <v>62885874.97708416</v>
      </c>
      <c r="B14282">
        <v>184434977.12325022</v>
      </c>
    </row>
    <row r="14283" spans="1:2" x14ac:dyDescent="0.25">
      <c r="A14283">
        <f ca="1">39586.3959425347*((RANDBETWEEN(1620,2416)))</f>
        <v>81547975.64162156</v>
      </c>
      <c r="B14283">
        <v>167417438.685188</v>
      </c>
    </row>
    <row r="14284" spans="1:2" x14ac:dyDescent="0.25">
      <c r="A14284">
        <f ca="1">27323.0485640869*((RANDBETWEEN(1620,2416)))</f>
        <v>55083265.905199207</v>
      </c>
      <c r="B14284">
        <v>158268818.05498701</v>
      </c>
    </row>
    <row r="14285" spans="1:2" x14ac:dyDescent="0.25">
      <c r="A14285">
        <f ca="1">34870.228672316*((RANDBETWEEN(1620,2416)))</f>
        <v>81282503.035168558</v>
      </c>
      <c r="B14285">
        <v>175245916.88306209</v>
      </c>
    </row>
    <row r="14286" spans="1:2" x14ac:dyDescent="0.25">
      <c r="A14286">
        <f ca="1">39886.5503174327*((RANDBETWEEN(1620,2416)))</f>
        <v>76701836.26042302</v>
      </c>
      <c r="B14286">
        <v>203228654.359763</v>
      </c>
    </row>
    <row r="14287" spans="1:2" x14ac:dyDescent="0.25">
      <c r="A14287">
        <f ca="1">31111.7805905746*((RANDBETWEEN(1620,2416)))</f>
        <v>65272515.679025546</v>
      </c>
      <c r="B14287">
        <v>155450433.69462919</v>
      </c>
    </row>
    <row r="14288" spans="1:2" x14ac:dyDescent="0.25">
      <c r="A14288">
        <f ca="1">29377.0951493075*((RANDBETWEEN(1620,2416)))</f>
        <v>69741223.884456053</v>
      </c>
      <c r="B14288">
        <v>153892274.6308912</v>
      </c>
    </row>
    <row r="14289" spans="1:2" x14ac:dyDescent="0.25">
      <c r="A14289">
        <f ca="1">31478.1490921629*((RANDBETWEEN(1620,2416)))</f>
        <v>57164318.75136774</v>
      </c>
      <c r="B14289">
        <v>149044473.96532956</v>
      </c>
    </row>
    <row r="14290" spans="1:2" x14ac:dyDescent="0.25">
      <c r="A14290">
        <f ca="1">31930.7466800469*((RANDBETWEEN(1620,2416)))</f>
        <v>60476834.212008767</v>
      </c>
      <c r="B14290">
        <v>187061792.37248477</v>
      </c>
    </row>
    <row r="14291" spans="1:2" x14ac:dyDescent="0.25">
      <c r="A14291">
        <f ca="1">34160.7755068317*((RANDBETWEEN(1620,2416)))</f>
        <v>73650631.992729202</v>
      </c>
      <c r="B14291">
        <v>187421805.04231453</v>
      </c>
    </row>
    <row r="14292" spans="1:2" x14ac:dyDescent="0.25">
      <c r="A14292">
        <f ca="1">30618.0060460803*((RANDBETWEEN(1620,2416)))</f>
        <v>50458473.963940367</v>
      </c>
      <c r="B14292">
        <v>165504100.43153664</v>
      </c>
    </row>
    <row r="14293" spans="1:2" x14ac:dyDescent="0.25">
      <c r="A14293">
        <f ca="1">36584.5186380511*((RANDBETWEEN(1620,2416)))</f>
        <v>65339950.287559278</v>
      </c>
      <c r="B14293">
        <v>160634285.0575721</v>
      </c>
    </row>
    <row r="14294" spans="1:2" x14ac:dyDescent="0.25">
      <c r="A14294">
        <f ca="1">31302.3240926882*((RANDBETWEEN(1620,2416)))</f>
        <v>65202741.085069507</v>
      </c>
      <c r="B14294">
        <v>171039348.14612126</v>
      </c>
    </row>
    <row r="14295" spans="1:2" x14ac:dyDescent="0.25">
      <c r="A14295">
        <f ca="1">29979.7586179347*((RANDBETWEEN(1620,2416)))</f>
        <v>70092675.6487315</v>
      </c>
      <c r="B14295">
        <v>193134471.54120755</v>
      </c>
    </row>
    <row r="14296" spans="1:2" x14ac:dyDescent="0.25">
      <c r="A14296">
        <f ca="1">38337.5949030603*((RANDBETWEEN(1620,2416)))</f>
        <v>79972222.967783779</v>
      </c>
      <c r="B14296">
        <v>174461928.46188235</v>
      </c>
    </row>
    <row r="14297" spans="1:2" x14ac:dyDescent="0.25">
      <c r="A14297">
        <f ca="1">31377.9513405082*((RANDBETWEEN(1620,2416)))</f>
        <v>62379367.264930315</v>
      </c>
      <c r="B14297">
        <v>154675948.59027243</v>
      </c>
    </row>
    <row r="14298" spans="1:2" x14ac:dyDescent="0.25">
      <c r="A14298">
        <f ca="1">33755.5668486862*((RANDBETWEEN(1620,2416)))</f>
        <v>72371935.323583245</v>
      </c>
      <c r="B14298">
        <v>191547020.37504235</v>
      </c>
    </row>
    <row r="14299" spans="1:2" x14ac:dyDescent="0.25">
      <c r="A14299">
        <f ca="1">33534.5416816844*((RANDBETWEEN(1620,2416)))</f>
        <v>76861169.534420744</v>
      </c>
      <c r="B14299">
        <v>158454912.90470457</v>
      </c>
    </row>
    <row r="14300" spans="1:2" x14ac:dyDescent="0.25">
      <c r="A14300">
        <f ca="1">32580.7844336916*((RANDBETWEEN(1620,2416)))</f>
        <v>61870909.639580384</v>
      </c>
      <c r="B14300">
        <v>160310979.17881757</v>
      </c>
    </row>
    <row r="14301" spans="1:2" x14ac:dyDescent="0.25">
      <c r="A14301">
        <f ca="1">30821.7143155258*((RANDBETWEEN(1620,2416)))</f>
        <v>57698249.198664285</v>
      </c>
      <c r="B14301">
        <v>160970941.83720899</v>
      </c>
    </row>
    <row r="14302" spans="1:2" x14ac:dyDescent="0.25">
      <c r="A14302">
        <f ca="1">37947.5080500152*((RANDBETWEEN(1620,2416)))</f>
        <v>83180937.64563334</v>
      </c>
      <c r="B14302">
        <v>156243665.7057001</v>
      </c>
    </row>
    <row r="14303" spans="1:2" x14ac:dyDescent="0.25">
      <c r="A14303">
        <f ca="1">28920.5584527427*((RANDBETWEEN(1620,2416)))</f>
        <v>57927878.580843717</v>
      </c>
      <c r="B14303">
        <v>149484140.39519739</v>
      </c>
    </row>
    <row r="14304" spans="1:2" x14ac:dyDescent="0.25">
      <c r="A14304">
        <f ca="1">33121.6890934326*((RANDBETWEEN(1620,2416)))</f>
        <v>60115865.704580173</v>
      </c>
      <c r="B14304">
        <v>147231939.86685029</v>
      </c>
    </row>
    <row r="14305" spans="1:2" x14ac:dyDescent="0.25">
      <c r="A14305">
        <f ca="1">32742.8761530666*((RANDBETWEEN(1620,2416)))</f>
        <v>60934492.520856895</v>
      </c>
      <c r="B14305">
        <v>167493841.35132131</v>
      </c>
    </row>
    <row r="14306" spans="1:2" x14ac:dyDescent="0.25">
      <c r="A14306">
        <f ca="1">32046.2555385805*((RANDBETWEEN(1620,2416)))</f>
        <v>72360445.006114766</v>
      </c>
      <c r="B14306">
        <v>170125301.2623719</v>
      </c>
    </row>
    <row r="14307" spans="1:2" x14ac:dyDescent="0.25">
      <c r="A14307">
        <f ca="1">30748.6431299662*((RANDBETWEEN(1620,2416)))</f>
        <v>62665734.698871054</v>
      </c>
      <c r="B14307">
        <v>146091128.98873293</v>
      </c>
    </row>
    <row r="14308" spans="1:2" x14ac:dyDescent="0.25">
      <c r="A14308">
        <f ca="1">35161.1049570634*((RANDBETWEEN(1620,2416)))</f>
        <v>81468280.185515955</v>
      </c>
      <c r="B14308">
        <v>186472821.92316192</v>
      </c>
    </row>
    <row r="14309" spans="1:2" x14ac:dyDescent="0.25">
      <c r="A14309">
        <f ca="1">32867.0969445208*((RANDBETWEEN(1620,2416)))</f>
        <v>61132800.316808611</v>
      </c>
      <c r="B14309">
        <v>153775728.88554877</v>
      </c>
    </row>
    <row r="14310" spans="1:2" x14ac:dyDescent="0.25">
      <c r="A14310">
        <f ca="1">33092.5059436262*((RANDBETWEEN(1620,2416)))</f>
        <v>57283127.788416952</v>
      </c>
      <c r="B14310">
        <v>160630437.19635889</v>
      </c>
    </row>
    <row r="14311" spans="1:2" x14ac:dyDescent="0.25">
      <c r="A14311">
        <f ca="1">30683.5106165659*((RANDBETWEEN(1620,2416)))</f>
        <v>52069917.516312331</v>
      </c>
      <c r="B14311">
        <v>159503521.38090765</v>
      </c>
    </row>
    <row r="14312" spans="1:2" x14ac:dyDescent="0.25">
      <c r="A14312">
        <f ca="1">31501.5190267294*((RANDBETWEEN(1620,2416)))</f>
        <v>72800010.470771626</v>
      </c>
      <c r="B14312">
        <v>154833415.43025512</v>
      </c>
    </row>
    <row r="14313" spans="1:2" x14ac:dyDescent="0.25">
      <c r="A14313">
        <f ca="1">31349.6007632347*((RANDBETWEEN(1620,2416)))</f>
        <v>75176342.630236924</v>
      </c>
      <c r="B14313">
        <v>149709716.68316409</v>
      </c>
    </row>
    <row r="14314" spans="1:2" x14ac:dyDescent="0.25">
      <c r="A14314">
        <f ca="1">30051.6446778032*((RANDBETWEEN(1620,2416)))</f>
        <v>69960228.809925839</v>
      </c>
      <c r="B14314">
        <v>153011270.14782771</v>
      </c>
    </row>
    <row r="14315" spans="1:2" x14ac:dyDescent="0.25">
      <c r="A14315">
        <f ca="1">30429.0919609041*((RANDBETWEEN(1620,2416)))</f>
        <v>59854023.887098387</v>
      </c>
      <c r="B14315">
        <v>183962982.94637632</v>
      </c>
    </row>
    <row r="14316" spans="1:2" x14ac:dyDescent="0.25">
      <c r="A14316">
        <f ca="1">33083.4250864832*((RANDBETWEEN(1620,2416)))</f>
        <v>68085688.827982411</v>
      </c>
      <c r="B14316">
        <v>169156469.05721453</v>
      </c>
    </row>
    <row r="14317" spans="1:2" x14ac:dyDescent="0.25">
      <c r="A14317">
        <f ca="1">37542.645420334*((RANDBETWEEN(1620,2416)))</f>
        <v>81129656.753341734</v>
      </c>
      <c r="B14317">
        <v>173254323.69073951</v>
      </c>
    </row>
    <row r="14318" spans="1:2" x14ac:dyDescent="0.25">
      <c r="A14318">
        <f ca="1">34078.4093335346*((RANDBETWEEN(1620,2416)))</f>
        <v>70065209.589747146</v>
      </c>
      <c r="B14318">
        <v>176945933.36784038</v>
      </c>
    </row>
    <row r="14319" spans="1:2" x14ac:dyDescent="0.25">
      <c r="A14319">
        <f ca="1">27746.9500216944*((RANDBETWEEN(1620,2416)))</f>
        <v>66453945.301958002</v>
      </c>
      <c r="B14319">
        <v>143098555.21833017</v>
      </c>
    </row>
    <row r="14320" spans="1:2" x14ac:dyDescent="0.25">
      <c r="A14320">
        <f ca="1">37109.0131395186*((RANDBETWEEN(1620,2416)))</f>
        <v>79821487.263104573</v>
      </c>
      <c r="B14320">
        <v>198809452.84804508</v>
      </c>
    </row>
    <row r="14321" spans="1:2" x14ac:dyDescent="0.25">
      <c r="A14321">
        <f ca="1">36693.2778826911*((RANDBETWEEN(1620,2416)))</f>
        <v>85495337.46667026</v>
      </c>
      <c r="B14321">
        <v>145706343.29996541</v>
      </c>
    </row>
    <row r="14322" spans="1:2" x14ac:dyDescent="0.25">
      <c r="A14322">
        <f ca="1">32040.7123207768*((RANDBETWEEN(1620,2416)))</f>
        <v>69496305.023764968</v>
      </c>
      <c r="B14322">
        <v>183122190.74557883</v>
      </c>
    </row>
    <row r="14323" spans="1:2" x14ac:dyDescent="0.25">
      <c r="A14323">
        <f ca="1">34909.6602031444*((RANDBETWEEN(1620,2416)))</f>
        <v>77185258.709152266</v>
      </c>
      <c r="B14323">
        <v>170532385.23918691</v>
      </c>
    </row>
    <row r="14324" spans="1:2" x14ac:dyDescent="0.25">
      <c r="A14324">
        <f ca="1">32289.2996551705*((RANDBETWEEN(1620,2416)))</f>
        <v>65288963.902754843</v>
      </c>
      <c r="B14324">
        <v>171653462.69704479</v>
      </c>
    </row>
    <row r="14325" spans="1:2" x14ac:dyDescent="0.25">
      <c r="A14325">
        <f ca="1">31761.3681884936*((RANDBETWEEN(1620,2416)))</f>
        <v>57456315.052984945</v>
      </c>
      <c r="B14325">
        <v>152895918.7891801</v>
      </c>
    </row>
    <row r="14326" spans="1:2" x14ac:dyDescent="0.25">
      <c r="A14326">
        <f ca="1">33626.8490454999*((RANDBETWEEN(1620,2416)))</f>
        <v>69473070.128002718</v>
      </c>
      <c r="B14326">
        <v>159706095.32271314</v>
      </c>
    </row>
    <row r="14327" spans="1:2" x14ac:dyDescent="0.25">
      <c r="A14327">
        <f ca="1">33970.9942326058*((RANDBETWEEN(1620,2416)))</f>
        <v>67364481.563257352</v>
      </c>
      <c r="B14327">
        <v>201035794.22131318</v>
      </c>
    </row>
    <row r="14328" spans="1:2" x14ac:dyDescent="0.25">
      <c r="A14328">
        <f ca="1">34038.0412435686*((RANDBETWEEN(1620,2416)))</f>
        <v>61234436.197179928</v>
      </c>
      <c r="B14328">
        <v>187421590.38282511</v>
      </c>
    </row>
    <row r="14329" spans="1:2" x14ac:dyDescent="0.25">
      <c r="A14329">
        <f ca="1">31770.8779633431*((RANDBETWEEN(1620,2416)))</f>
        <v>70436036.444731712</v>
      </c>
      <c r="B14329">
        <v>173799664.413158</v>
      </c>
    </row>
    <row r="14330" spans="1:2" x14ac:dyDescent="0.25">
      <c r="A14330">
        <f ca="1">33778.5846005823*((RANDBETWEEN(1620,2416)))</f>
        <v>55464435.914156109</v>
      </c>
      <c r="B14330">
        <v>151563797.6088585</v>
      </c>
    </row>
    <row r="14331" spans="1:2" x14ac:dyDescent="0.25">
      <c r="A14331">
        <f ca="1">34335.965538382*((RANDBETWEEN(1620,2416)))</f>
        <v>62731809.038623951</v>
      </c>
      <c r="B14331">
        <v>182065675.78758621</v>
      </c>
    </row>
    <row r="14332" spans="1:2" x14ac:dyDescent="0.25">
      <c r="A14332">
        <f ca="1">33221.2969410445*((RANDBETWEEN(1620,2416)))</f>
        <v>69665059.685370311</v>
      </c>
      <c r="B14332">
        <v>202474117.83107048</v>
      </c>
    </row>
    <row r="14333" spans="1:2" x14ac:dyDescent="0.25">
      <c r="A14333">
        <f ca="1">29945.7028427949*((RANDBETWEEN(1620,2416)))</f>
        <v>49110952.662183709</v>
      </c>
      <c r="B14333">
        <v>153303204.49512821</v>
      </c>
    </row>
    <row r="14334" spans="1:2" x14ac:dyDescent="0.25">
      <c r="A14334">
        <f ca="1">33697.3281361048*((RANDBETWEEN(1620,2416)))</f>
        <v>79222418.44798243</v>
      </c>
      <c r="B14334">
        <v>153635468.36426505</v>
      </c>
    </row>
    <row r="14335" spans="1:2" x14ac:dyDescent="0.25">
      <c r="A14335">
        <f ca="1">30106.5900129953*((RANDBETWEEN(1620,2416)))</f>
        <v>59069129.605496839</v>
      </c>
      <c r="B14335">
        <v>159888704.27223036</v>
      </c>
    </row>
    <row r="14336" spans="1:2" x14ac:dyDescent="0.25">
      <c r="A14336">
        <f ca="1">31980.8762828769*((RANDBETWEEN(1620,2416)))</f>
        <v>73875824.213445604</v>
      </c>
      <c r="B14336">
        <v>152776363.25558987</v>
      </c>
    </row>
    <row r="14337" spans="1:2" x14ac:dyDescent="0.25">
      <c r="A14337">
        <f ca="1">28702.296386234*((RANDBETWEEN(1620,2416)))</f>
        <v>63259861.235259764</v>
      </c>
      <c r="B14337">
        <v>170032334.57477233</v>
      </c>
    </row>
    <row r="14338" spans="1:2" x14ac:dyDescent="0.25">
      <c r="A14338">
        <f ca="1">37052.4682695353*((RANDBETWEEN(1620,2416)))</f>
        <v>87814349.798798561</v>
      </c>
      <c r="B14338">
        <v>190539438.72972575</v>
      </c>
    </row>
    <row r="14339" spans="1:2" x14ac:dyDescent="0.25">
      <c r="A14339">
        <f ca="1">30229.0408549395*((RANDBETWEEN(1620,2416)))</f>
        <v>52538073.005884863</v>
      </c>
      <c r="B14339">
        <v>146711868.76045451</v>
      </c>
    </row>
    <row r="14340" spans="1:2" x14ac:dyDescent="0.25">
      <c r="A14340">
        <f ca="1">31511.8964954544*((RANDBETWEEN(1620,2416)))</f>
        <v>62803209.715440527</v>
      </c>
      <c r="B14340">
        <v>148011028.43410712</v>
      </c>
    </row>
    <row r="14341" spans="1:2" x14ac:dyDescent="0.25">
      <c r="A14341">
        <f ca="1">32122.7084493907*((RANDBETWEEN(1620,2416)))</f>
        <v>68549859.830999792</v>
      </c>
      <c r="B14341">
        <v>186911928.10238868</v>
      </c>
    </row>
    <row r="14342" spans="1:2" x14ac:dyDescent="0.25">
      <c r="A14342">
        <f ca="1">31379.3491691906*((RANDBETWEEN(1620,2416)))</f>
        <v>59401107.977277756</v>
      </c>
      <c r="B14342">
        <v>160624029.13970351</v>
      </c>
    </row>
    <row r="14343" spans="1:2" x14ac:dyDescent="0.25">
      <c r="A14343">
        <f ca="1">30874.9004149362*((RANDBETWEEN(1620,2416)))</f>
        <v>71660643.863066852</v>
      </c>
      <c r="B14343">
        <v>150142305.08308998</v>
      </c>
    </row>
    <row r="14344" spans="1:2" x14ac:dyDescent="0.25">
      <c r="A14344">
        <f ca="1">30535.5471332648*((RANDBETWEEN(1620,2416)))</f>
        <v>72277640.064437762</v>
      </c>
      <c r="B14344">
        <v>166507756.02615651</v>
      </c>
    </row>
    <row r="14345" spans="1:2" x14ac:dyDescent="0.25">
      <c r="A14345">
        <f ca="1">33254.2696755976*((RANDBETWEEN(1620,2416)))</f>
        <v>78313805.086032435</v>
      </c>
      <c r="B14345">
        <v>161331289.26211053</v>
      </c>
    </row>
    <row r="14346" spans="1:2" x14ac:dyDescent="0.25">
      <c r="A14346">
        <f ca="1">32490.4548402592*((RANDBETWEEN(1620,2416)))</f>
        <v>71154096.100167751</v>
      </c>
      <c r="B14346">
        <v>161424761.85186297</v>
      </c>
    </row>
    <row r="14347" spans="1:2" x14ac:dyDescent="0.25">
      <c r="A14347">
        <f ca="1">31947.1137678136*((RANDBETWEEN(1620,2416)))</f>
        <v>54054516.49514059</v>
      </c>
      <c r="B14347">
        <v>158593599.76926702</v>
      </c>
    </row>
    <row r="14348" spans="1:2" x14ac:dyDescent="0.25">
      <c r="A14348">
        <f ca="1">29459.5174889132*((RANDBETWEEN(1620,2416)))</f>
        <v>65930400.140187666</v>
      </c>
      <c r="B14348">
        <v>146582226.68176278</v>
      </c>
    </row>
    <row r="14349" spans="1:2" x14ac:dyDescent="0.25">
      <c r="A14349">
        <f ca="1">31877.2166474786*((RANDBETWEEN(1620,2416)))</f>
        <v>54478163.250540972</v>
      </c>
      <c r="B14349">
        <v>178305285.7268782</v>
      </c>
    </row>
    <row r="14350" spans="1:2" x14ac:dyDescent="0.25">
      <c r="A14350">
        <f ca="1">29740.6738637337*((RANDBETWEEN(1620,2416)))</f>
        <v>56388317.645639047</v>
      </c>
      <c r="B14350">
        <v>146120498.01601857</v>
      </c>
    </row>
    <row r="14351" spans="1:2" x14ac:dyDescent="0.25">
      <c r="A14351">
        <f ca="1">30759.5540555479*((RANDBETWEEN(1620,2416)))</f>
        <v>64994937.719372623</v>
      </c>
      <c r="B14351">
        <v>154524893.32799354</v>
      </c>
    </row>
    <row r="14352" spans="1:2" x14ac:dyDescent="0.25">
      <c r="A14352">
        <f ca="1">38211.2869399983*((RANDBETWEEN(1620,2416)))</f>
        <v>68589260.057297006</v>
      </c>
      <c r="B14352">
        <v>185046567.14585376</v>
      </c>
    </row>
    <row r="14353" spans="1:2" x14ac:dyDescent="0.25">
      <c r="A14353">
        <f ca="1">39344.8624668904*((RANDBETWEEN(1620,2416)))</f>
        <v>77037240.710171312</v>
      </c>
      <c r="B14353">
        <v>148073289.2750861</v>
      </c>
    </row>
    <row r="14354" spans="1:2" x14ac:dyDescent="0.25">
      <c r="A14354">
        <f ca="1">36316.2703641304*((RANDBETWEEN(1620,2416)))</f>
        <v>73903610.191005453</v>
      </c>
      <c r="B14354">
        <v>143456621.33012962</v>
      </c>
    </row>
    <row r="14355" spans="1:2" x14ac:dyDescent="0.25">
      <c r="A14355">
        <f ca="1">39772.844345228*((RANDBETWEEN(1620,2416)))</f>
        <v>91716179.060095698</v>
      </c>
      <c r="B14355">
        <v>166261643.10497484</v>
      </c>
    </row>
    <row r="14356" spans="1:2" x14ac:dyDescent="0.25">
      <c r="A14356">
        <f ca="1">37217.3891520546*((RANDBETWEEN(1620,2416)))</f>
        <v>75551299.97867091</v>
      </c>
      <c r="B14356">
        <v>200720001.87803531</v>
      </c>
    </row>
    <row r="14357" spans="1:2" x14ac:dyDescent="0.25">
      <c r="A14357">
        <f ca="1">36502.2767896903*((RANDBETWEEN(1620,2416)))</f>
        <v>75304197.017131165</v>
      </c>
      <c r="B14357">
        <v>151725274.45364013</v>
      </c>
    </row>
    <row r="14358" spans="1:2" x14ac:dyDescent="0.25">
      <c r="A14358">
        <f ca="1">33497.3921604008*((RANDBETWEEN(1620,2416)))</f>
        <v>56476603.182435714</v>
      </c>
      <c r="B14358">
        <v>184585695.21107867</v>
      </c>
    </row>
    <row r="14359" spans="1:2" x14ac:dyDescent="0.25">
      <c r="A14359">
        <f ca="1">31052.8260583113*((RANDBETWEEN(1620,2416)))</f>
        <v>73533092.106081128</v>
      </c>
      <c r="B14359">
        <v>185030757.03198302</v>
      </c>
    </row>
    <row r="14360" spans="1:2" x14ac:dyDescent="0.25">
      <c r="A14360">
        <f ca="1">35912.8940154833*((RANDBETWEEN(1620,2416)))</f>
        <v>68593627.569573045</v>
      </c>
      <c r="B14360">
        <v>189112238.49898419</v>
      </c>
    </row>
    <row r="14361" spans="1:2" x14ac:dyDescent="0.25">
      <c r="A14361">
        <f ca="1">33210.5156469414*((RANDBETWEEN(1620,2416)))</f>
        <v>69144293.576931968</v>
      </c>
      <c r="B14361">
        <v>181044728.56329951</v>
      </c>
    </row>
    <row r="14362" spans="1:2" x14ac:dyDescent="0.25">
      <c r="A14362">
        <f ca="1">32817.2775320258*((RANDBETWEEN(1620,2416)))</f>
        <v>70852502.19164364</v>
      </c>
      <c r="B14362">
        <v>146741092.96949083</v>
      </c>
    </row>
    <row r="14363" spans="1:2" x14ac:dyDescent="0.25">
      <c r="A14363">
        <f ca="1">32427.1694297572*((RANDBETWEEN(1620,2416)))</f>
        <v>74517635.349581942</v>
      </c>
      <c r="B14363">
        <v>170688205.27040857</v>
      </c>
    </row>
    <row r="14364" spans="1:2" x14ac:dyDescent="0.25">
      <c r="A14364">
        <f ca="1">39850.7243206703*((RANDBETWEEN(1620,2416)))</f>
        <v>78625479.084682584</v>
      </c>
      <c r="B14364">
        <v>171121431.14520964</v>
      </c>
    </row>
    <row r="14365" spans="1:2" x14ac:dyDescent="0.25">
      <c r="A14365">
        <f ca="1">33042.9477324923*((RANDBETWEEN(1620,2416)))</f>
        <v>71141466.468055934</v>
      </c>
      <c r="B14365">
        <v>161843370.48958537</v>
      </c>
    </row>
    <row r="14366" spans="1:2" x14ac:dyDescent="0.25">
      <c r="A14366">
        <f ca="1">31133.3020380981*((RANDBETWEEN(1620,2416)))</f>
        <v>61675071.337472357</v>
      </c>
      <c r="B14366">
        <v>169979508.2259804</v>
      </c>
    </row>
    <row r="14367" spans="1:2" x14ac:dyDescent="0.25">
      <c r="A14367">
        <f ca="1">29688.6519945541*((RANDBETWEEN(1620,2416)))</f>
        <v>48926898.487025134</v>
      </c>
      <c r="B14367">
        <v>171930132.54064143</v>
      </c>
    </row>
    <row r="14368" spans="1:2" x14ac:dyDescent="0.25">
      <c r="A14368">
        <f ca="1">31074.6947310586*((RANDBETWEEN(1620,2416)))</f>
        <v>53355250.853227563</v>
      </c>
      <c r="B14368">
        <v>184644116.48915139</v>
      </c>
    </row>
    <row r="14369" spans="1:2" x14ac:dyDescent="0.25">
      <c r="A14369">
        <f ca="1">38897.9598977054*((RANDBETWEEN(1620,2416)))</f>
        <v>74178409.524924219</v>
      </c>
      <c r="B14369">
        <v>147449527.72527385</v>
      </c>
    </row>
    <row r="14370" spans="1:2" x14ac:dyDescent="0.25">
      <c r="A14370">
        <f ca="1">38308.9171128873*((RANDBETWEEN(1620,2416)))</f>
        <v>89681174.96126911</v>
      </c>
      <c r="B14370">
        <v>198656985.69182742</v>
      </c>
    </row>
    <row r="14371" spans="1:2" x14ac:dyDescent="0.25">
      <c r="A14371">
        <f ca="1">31869.4527221975*((RANDBETWEEN(1620,2416)))</f>
        <v>60711307.435786262</v>
      </c>
      <c r="B14371">
        <v>165230759.45936131</v>
      </c>
    </row>
    <row r="14372" spans="1:2" x14ac:dyDescent="0.25">
      <c r="A14372">
        <f ca="1">38132.5813689242*((RANDBETWEEN(1620,2416)))</f>
        <v>64100869.281161569</v>
      </c>
      <c r="B14372">
        <v>188604672.18611395</v>
      </c>
    </row>
    <row r="14373" spans="1:2" x14ac:dyDescent="0.25">
      <c r="A14373">
        <f ca="1">40523.0674510326*((RANDBETWEEN(1620,2416)))</f>
        <v>87246164.222073123</v>
      </c>
      <c r="B14373">
        <v>194893769.87658</v>
      </c>
    </row>
    <row r="14374" spans="1:2" x14ac:dyDescent="0.25">
      <c r="A14374">
        <f ca="1">30878.32592922*((RANDBETWEEN(1620,2416)))</f>
        <v>60336248.865695842</v>
      </c>
      <c r="B14374">
        <v>154693449.97007042</v>
      </c>
    </row>
    <row r="14375" spans="1:2" x14ac:dyDescent="0.25">
      <c r="A14375">
        <f ca="1">32172.6609035813*((RANDBETWEEN(1620,2416)))</f>
        <v>52216228.646512412</v>
      </c>
      <c r="B14375">
        <v>188262109.24107334</v>
      </c>
    </row>
    <row r="14376" spans="1:2" x14ac:dyDescent="0.25">
      <c r="A14376">
        <f ca="1">32335.5953955321*((RANDBETWEEN(1620,2416)))</f>
        <v>64994546.745019473</v>
      </c>
      <c r="B14376">
        <v>153117526.21758503</v>
      </c>
    </row>
    <row r="14377" spans="1:2" x14ac:dyDescent="0.25">
      <c r="A14377">
        <f ca="1">30456.1115487679*((RANDBETWEEN(1620,2416)))</f>
        <v>49917566.828430586</v>
      </c>
      <c r="B14377">
        <v>185733571.79523209</v>
      </c>
    </row>
    <row r="14378" spans="1:2" x14ac:dyDescent="0.25">
      <c r="A14378">
        <f ca="1">29745.5652636665*((RANDBETWEEN(1620,2416)))</f>
        <v>68504036.802223921</v>
      </c>
      <c r="B14378">
        <v>186907228.69300917</v>
      </c>
    </row>
    <row r="14379" spans="1:2" x14ac:dyDescent="0.25">
      <c r="A14379">
        <f ca="1">28459.8021608327*((RANDBETWEEN(1620,2416)))</f>
        <v>51512241.911107264</v>
      </c>
      <c r="B14379">
        <v>147377084.81843424</v>
      </c>
    </row>
    <row r="14380" spans="1:2" x14ac:dyDescent="0.25">
      <c r="A14380">
        <f ca="1">35750.2055979256*((RANDBETWEEN(1620,2416)))</f>
        <v>65673127.683389269</v>
      </c>
      <c r="B14380">
        <v>154216536.74094391</v>
      </c>
    </row>
    <row r="14381" spans="1:2" x14ac:dyDescent="0.25">
      <c r="A14381">
        <f ca="1">33072.5538844358*((RANDBETWEEN(1620,2416)))</f>
        <v>72428893.006914347</v>
      </c>
      <c r="B14381">
        <v>165543758.8655557</v>
      </c>
    </row>
    <row r="14382" spans="1:2" x14ac:dyDescent="0.25">
      <c r="A14382">
        <f ca="1">31729.3514332744*((RANDBETWEEN(1620,2416)))</f>
        <v>62602010.377850361</v>
      </c>
      <c r="B14382">
        <v>146447508.94755864</v>
      </c>
    </row>
    <row r="14383" spans="1:2" x14ac:dyDescent="0.25">
      <c r="A14383">
        <f ca="1">33910.6668900792*((RANDBETWEEN(1620,2416)))</f>
        <v>77553695.177611083</v>
      </c>
      <c r="B14383">
        <v>155572900.73664796</v>
      </c>
    </row>
    <row r="14384" spans="1:2" x14ac:dyDescent="0.25">
      <c r="A14384">
        <f ca="1">29929.4056017933*((RANDBETWEEN(1620,2416)))</f>
        <v>50281401.411012724</v>
      </c>
      <c r="B14384">
        <v>145979426.74174404</v>
      </c>
    </row>
    <row r="14385" spans="1:2" x14ac:dyDescent="0.25">
      <c r="A14385">
        <f ca="1">38423.3962863191*((RANDBETWEEN(1620,2416)))</f>
        <v>86183677.870213762</v>
      </c>
      <c r="B14385">
        <v>202296873.58451933</v>
      </c>
    </row>
    <row r="14386" spans="1:2" x14ac:dyDescent="0.25">
      <c r="A14386">
        <f ca="1">34741.0517306832*((RANDBETWEEN(1620,2416)))</f>
        <v>63819312.029265016</v>
      </c>
      <c r="B14386">
        <v>152834083.4881084</v>
      </c>
    </row>
    <row r="14387" spans="1:2" x14ac:dyDescent="0.25">
      <c r="A14387">
        <f ca="1">38775.4231322586*((RANDBETWEEN(1620,2416)))</f>
        <v>84607973.274588272</v>
      </c>
      <c r="B14387">
        <v>145858059.84379888</v>
      </c>
    </row>
    <row r="14388" spans="1:2" x14ac:dyDescent="0.25">
      <c r="A14388">
        <f ca="1">33006.7394827648*((RANDBETWEEN(1620,2416)))</f>
        <v>58851016.497769706</v>
      </c>
      <c r="B14388">
        <v>193374130.32786894</v>
      </c>
    </row>
    <row r="14389" spans="1:2" x14ac:dyDescent="0.25">
      <c r="A14389">
        <f ca="1">29096.0921845717*((RANDBETWEEN(1620,2416)))</f>
        <v>57959415.631666735</v>
      </c>
      <c r="B14389">
        <v>143851213.67446071</v>
      </c>
    </row>
    <row r="14390" spans="1:2" x14ac:dyDescent="0.25">
      <c r="A14390">
        <f ca="1">31024.0279102493*((RANDBETWEEN(1620,2416)))</f>
        <v>56929091.215307452</v>
      </c>
      <c r="B14390">
        <v>150464290.08873254</v>
      </c>
    </row>
    <row r="14391" spans="1:2" x14ac:dyDescent="0.25">
      <c r="A14391">
        <f ca="1">32004.1199325682*((RANDBETWEEN(1620,2416)))</f>
        <v>60999852.591474935</v>
      </c>
      <c r="B14391">
        <v>182001108.57725123</v>
      </c>
    </row>
    <row r="14392" spans="1:2" x14ac:dyDescent="0.25">
      <c r="A14392">
        <f ca="1">34320.5611409506*((RANDBETWEEN(1620,2416)))</f>
        <v>58104710.011629283</v>
      </c>
      <c r="B14392">
        <v>152650428.84954819</v>
      </c>
    </row>
    <row r="14393" spans="1:2" x14ac:dyDescent="0.25">
      <c r="A14393">
        <f ca="1">37045.1318357621*((RANDBETWEEN(1620,2416)))</f>
        <v>71534149.574856639</v>
      </c>
      <c r="B14393">
        <v>195739541.98857561</v>
      </c>
    </row>
    <row r="14394" spans="1:2" x14ac:dyDescent="0.25">
      <c r="A14394">
        <f ca="1">35027.320195237*((RANDBETWEEN(1620,2416)))</f>
        <v>78986607.040259495</v>
      </c>
      <c r="B14394">
        <v>163587625.5386095</v>
      </c>
    </row>
    <row r="14395" spans="1:2" x14ac:dyDescent="0.25">
      <c r="A14395">
        <f ca="1">34607.3304402157*((RANDBETWEEN(1620,2416)))</f>
        <v>67138221.054018542</v>
      </c>
      <c r="B14395">
        <v>172475581.04275727</v>
      </c>
    </row>
    <row r="14396" spans="1:2" x14ac:dyDescent="0.25">
      <c r="A14396">
        <f ca="1">31629.6694239576*((RANDBETWEEN(1620,2416)))</f>
        <v>60222890.583215348</v>
      </c>
      <c r="B14396">
        <v>178052423.62470168</v>
      </c>
    </row>
    <row r="14397" spans="1:2" x14ac:dyDescent="0.25">
      <c r="A14397">
        <f ca="1">39251.4459349411*((RANDBETWEEN(1620,2416)))</f>
        <v>88394256.245487288</v>
      </c>
      <c r="B14397">
        <v>200316700.08466405</v>
      </c>
    </row>
    <row r="14398" spans="1:2" x14ac:dyDescent="0.25">
      <c r="A14398">
        <f ca="1">36408.2159088918*((RANDBETWEEN(1620,2416)))</f>
        <v>76129579.465492696</v>
      </c>
      <c r="B14398">
        <v>168254523.0901297</v>
      </c>
    </row>
    <row r="14399" spans="1:2" x14ac:dyDescent="0.25">
      <c r="A14399">
        <f ca="1">36409.5960824189*((RANDBETWEEN(1620,2416)))</f>
        <v>78134993.192871064</v>
      </c>
      <c r="B14399">
        <v>185314801.79549932</v>
      </c>
    </row>
    <row r="14400" spans="1:2" x14ac:dyDescent="0.25">
      <c r="A14400">
        <f ca="1">28990.871437022*((RANDBETWEEN(1620,2416)))</f>
        <v>48936590.985693134</v>
      </c>
      <c r="B14400">
        <v>185992126.53784499</v>
      </c>
    </row>
    <row r="14401" spans="1:2" x14ac:dyDescent="0.25">
      <c r="A14401">
        <f ca="1">37356.2480884679*((RANDBETWEEN(1620,2416)))</f>
        <v>81025702.103886813</v>
      </c>
      <c r="B14401">
        <v>159451889.57469445</v>
      </c>
    </row>
    <row r="14402" spans="1:2" x14ac:dyDescent="0.25">
      <c r="A14402">
        <f ca="1">40177.5159113884*((RANDBETWEEN(1620,2416)))</f>
        <v>81359469.720561489</v>
      </c>
      <c r="B14402">
        <v>190224238.68229514</v>
      </c>
    </row>
    <row r="14403" spans="1:2" x14ac:dyDescent="0.25">
      <c r="A14403">
        <f ca="1">41092.1585218192*((RANDBETWEEN(1620,2416)))</f>
        <v>86827730.95660387</v>
      </c>
      <c r="B14403">
        <v>189999022.77170482</v>
      </c>
    </row>
    <row r="14404" spans="1:2" x14ac:dyDescent="0.25">
      <c r="A14404">
        <f ca="1">32271.2396280706*((RANDBETWEEN(1620,2416)))</f>
        <v>62993459.753993869</v>
      </c>
      <c r="B14404">
        <v>170398614.46699345</v>
      </c>
    </row>
    <row r="14405" spans="1:2" x14ac:dyDescent="0.25">
      <c r="A14405">
        <f ca="1">30695.4818130291*((RANDBETWEEN(1620,2416)))</f>
        <v>71244213.288040459</v>
      </c>
      <c r="B14405">
        <v>193829682.99481612</v>
      </c>
    </row>
    <row r="14406" spans="1:2" x14ac:dyDescent="0.25">
      <c r="A14406">
        <f ca="1">33202.0566973202*((RANDBETWEEN(1620,2416)))</f>
        <v>76132316.006955177</v>
      </c>
      <c r="B14406">
        <v>176425635.43414494</v>
      </c>
    </row>
    <row r="14407" spans="1:2" x14ac:dyDescent="0.25">
      <c r="A14407">
        <f ca="1">38182.2698737969*((RANDBETWEEN(1620,2416)))</f>
        <v>77700919.193176776</v>
      </c>
      <c r="B14407">
        <v>166527078.03660393</v>
      </c>
    </row>
    <row r="14408" spans="1:2" x14ac:dyDescent="0.25">
      <c r="A14408">
        <f ca="1">30850.686554909*((RANDBETWEEN(1620,2416)))</f>
        <v>57783335.917344555</v>
      </c>
      <c r="B14408">
        <v>176683391.01137587</v>
      </c>
    </row>
    <row r="14409" spans="1:2" x14ac:dyDescent="0.25">
      <c r="A14409">
        <f ca="1">39448.2779275836*((RANDBETWEEN(1620,2416)))</f>
        <v>78659866.18760173</v>
      </c>
      <c r="B14409">
        <v>186928062.65870899</v>
      </c>
    </row>
    <row r="14410" spans="1:2" x14ac:dyDescent="0.25">
      <c r="A14410">
        <f ca="1">29907.6890126214*((RANDBETWEEN(1620,2416)))</f>
        <v>64032362.176022455</v>
      </c>
      <c r="B14410">
        <v>154380167.42360377</v>
      </c>
    </row>
    <row r="14411" spans="1:2" x14ac:dyDescent="0.25">
      <c r="A14411">
        <f ca="1">31250.2972412845*((RANDBETWEEN(1620,2416)))</f>
        <v>71844433.357712984</v>
      </c>
      <c r="B14411">
        <v>159316424.3655636</v>
      </c>
    </row>
    <row r="14412" spans="1:2" x14ac:dyDescent="0.25">
      <c r="A14412">
        <f ca="1">34679.9347961994*((RANDBETWEEN(1620,2416)))</f>
        <v>62666642.176732264</v>
      </c>
      <c r="B14412">
        <v>149436955.52724975</v>
      </c>
    </row>
    <row r="14413" spans="1:2" x14ac:dyDescent="0.25">
      <c r="A14413">
        <f ca="1">28857.4113794859*((RANDBETWEEN(1620,2416)))</f>
        <v>48336164.060638964</v>
      </c>
      <c r="B14413">
        <v>143479346.49524775</v>
      </c>
    </row>
    <row r="14414" spans="1:2" x14ac:dyDescent="0.25">
      <c r="A14414">
        <f ca="1">31277.4808634149*((RANDBETWEEN(1620,2416)))</f>
        <v>70718384.232180998</v>
      </c>
      <c r="B14414">
        <v>156658441.80770487</v>
      </c>
    </row>
    <row r="14415" spans="1:2" x14ac:dyDescent="0.25">
      <c r="A14415">
        <f ca="1">39185.3179021999*((RANDBETWEEN(1620,2416)))</f>
        <v>89930304.585548699</v>
      </c>
      <c r="B14415">
        <v>150055249.90123108</v>
      </c>
    </row>
    <row r="14416" spans="1:2" x14ac:dyDescent="0.25">
      <c r="A14416">
        <f ca="1">31815.84601904*((RANDBETWEEN(1620,2416)))</f>
        <v>75339923.373086691</v>
      </c>
      <c r="B14416">
        <v>170454752.9657563</v>
      </c>
    </row>
    <row r="14417" spans="1:2" x14ac:dyDescent="0.25">
      <c r="A14417">
        <f ca="1">33748.9463099343*((RANDBETWEEN(1620,2416)))</f>
        <v>73505205.063036948</v>
      </c>
      <c r="B14417">
        <v>167359658.32878962</v>
      </c>
    </row>
    <row r="14418" spans="1:2" x14ac:dyDescent="0.25">
      <c r="A14418">
        <f ca="1">30849.6329449353*((RANDBETWEEN(1620,2416)))</f>
        <v>73113630.079496682</v>
      </c>
      <c r="B14418">
        <v>164622638.42021316</v>
      </c>
    </row>
    <row r="14419" spans="1:2" x14ac:dyDescent="0.25">
      <c r="A14419">
        <f ca="1">33283.0061464357*((RANDBETWEEN(1620,2416)))</f>
        <v>63071296.64749565</v>
      </c>
      <c r="B14419">
        <v>171001857.92061177</v>
      </c>
    </row>
    <row r="14420" spans="1:2" x14ac:dyDescent="0.25">
      <c r="A14420">
        <f ca="1">32758.3728204045*((RANDBETWEEN(1620,2416)))</f>
        <v>75049432.131546795</v>
      </c>
      <c r="B14420">
        <v>186997433.31730548</v>
      </c>
    </row>
    <row r="14421" spans="1:2" x14ac:dyDescent="0.25">
      <c r="A14421">
        <f ca="1">30669.1877234304*((RANDBETWEEN(1620,2416)))</f>
        <v>71919245.211444288</v>
      </c>
      <c r="B14421">
        <v>179871090.32066217</v>
      </c>
    </row>
    <row r="14422" spans="1:2" x14ac:dyDescent="0.25">
      <c r="A14422">
        <f ca="1">38968.5811010844*((RANDBETWEEN(1620,2416)))</f>
        <v>87913118.964046508</v>
      </c>
      <c r="B14422">
        <v>188145503.21417308</v>
      </c>
    </row>
    <row r="14423" spans="1:2" x14ac:dyDescent="0.25">
      <c r="A14423">
        <f ca="1">33890.0382384259*((RANDBETWEEN(1620,2416)))</f>
        <v>79201019.363201246</v>
      </c>
      <c r="B14423">
        <v>162664224.59073943</v>
      </c>
    </row>
    <row r="14424" spans="1:2" x14ac:dyDescent="0.25">
      <c r="A14424">
        <f ca="1">31506.2781509978*((RANDBETWEEN(1620,2416)))</f>
        <v>73850715.985938728</v>
      </c>
      <c r="B14424">
        <v>167691791.39238939</v>
      </c>
    </row>
    <row r="14425" spans="1:2" x14ac:dyDescent="0.25">
      <c r="A14425">
        <f ca="1">39486.233640688*((RANDBETWEEN(1620,2416)))</f>
        <v>82960576.879085541</v>
      </c>
      <c r="B14425">
        <v>158798161.606316</v>
      </c>
    </row>
    <row r="14426" spans="1:2" x14ac:dyDescent="0.25">
      <c r="A14426">
        <f ca="1">33372.7778094087*((RANDBETWEEN(1620,2416)))</f>
        <v>70216324.51099591</v>
      </c>
      <c r="B14426">
        <v>158625415.90427098</v>
      </c>
    </row>
    <row r="14427" spans="1:2" x14ac:dyDescent="0.25">
      <c r="A14427">
        <f ca="1">34271.1105853287*((RANDBETWEEN(1620,2416)))</f>
        <v>63504367.914614014</v>
      </c>
      <c r="B14427">
        <v>193346454.23186219</v>
      </c>
    </row>
    <row r="14428" spans="1:2" x14ac:dyDescent="0.25">
      <c r="A14428">
        <f ca="1">30795.1113983609*((RANDBETWEEN(1620,2416)))</f>
        <v>53121567.162172474</v>
      </c>
      <c r="B14428">
        <v>152339138.31634897</v>
      </c>
    </row>
    <row r="14429" spans="1:2" x14ac:dyDescent="0.25">
      <c r="A14429">
        <f ca="1">33069.3333681172*((RANDBETWEEN(1620,2416)))</f>
        <v>67196885.404014096</v>
      </c>
      <c r="B14429">
        <v>201221367.42519033</v>
      </c>
    </row>
    <row r="14430" spans="1:2" x14ac:dyDescent="0.25">
      <c r="A14430">
        <f ca="1">41322.2873632359*((RANDBETWEEN(1620,2416)))</f>
        <v>74504084.115914285</v>
      </c>
      <c r="B14430">
        <v>160087718.54136801</v>
      </c>
    </row>
    <row r="14431" spans="1:2" x14ac:dyDescent="0.25">
      <c r="A14431">
        <f ca="1">31317.4376943301*((RANDBETWEEN(1620,2416)))</f>
        <v>65703984.28270445</v>
      </c>
      <c r="B14431">
        <v>147005452.79338124</v>
      </c>
    </row>
    <row r="14432" spans="1:2" x14ac:dyDescent="0.25">
      <c r="A14432">
        <f ca="1">33890.3793340033*((RANDBETWEEN(1620,2416)))</f>
        <v>80998006.608267993</v>
      </c>
      <c r="B14432">
        <v>179970187.12943858</v>
      </c>
    </row>
    <row r="14433" spans="1:2" x14ac:dyDescent="0.25">
      <c r="A14433">
        <f ca="1">30641.9609262473*((RANDBETWEEN(1620,2416)))</f>
        <v>58434219.486353658</v>
      </c>
      <c r="B14433">
        <v>161606205.18420184</v>
      </c>
    </row>
    <row r="14434" spans="1:2" x14ac:dyDescent="0.25">
      <c r="A14434">
        <f ca="1">37007.2815250398*((RANDBETWEEN(1620,2416)))</f>
        <v>72016169.847727433</v>
      </c>
      <c r="B14434">
        <v>145653182.87454009</v>
      </c>
    </row>
    <row r="14435" spans="1:2" x14ac:dyDescent="0.25">
      <c r="A14435">
        <f ca="1">32857.8533631704*((RANDBETWEEN(1620,2416)))</f>
        <v>78628843.098066777</v>
      </c>
      <c r="B14435">
        <v>150744483.09244227</v>
      </c>
    </row>
    <row r="14436" spans="1:2" x14ac:dyDescent="0.25">
      <c r="A14436">
        <f ca="1">33615.9122539745*((RANDBETWEEN(1620,2416)))</f>
        <v>66761201.736393332</v>
      </c>
      <c r="B14436">
        <v>185207916.34899539</v>
      </c>
    </row>
    <row r="14437" spans="1:2" x14ac:dyDescent="0.25">
      <c r="A14437">
        <f ca="1">29512.5020178001*((RANDBETWEEN(1620,2416)))</f>
        <v>67701679.628833383</v>
      </c>
      <c r="B14437">
        <v>184672061.27365223</v>
      </c>
    </row>
    <row r="14438" spans="1:2" x14ac:dyDescent="0.25">
      <c r="A14438">
        <f ca="1">45596.0979240312*((RANDBETWEEN(1620,2416)))</f>
        <v>88410833.874696568</v>
      </c>
      <c r="B14438">
        <v>159917648.23122519</v>
      </c>
    </row>
    <row r="14439" spans="1:2" x14ac:dyDescent="0.25">
      <c r="A14439">
        <f ca="1">37133.8881726359*((RANDBETWEEN(1620,2416)))</f>
        <v>88230118.298182994</v>
      </c>
      <c r="B14439">
        <v>170942452.82485473</v>
      </c>
    </row>
    <row r="14440" spans="1:2" x14ac:dyDescent="0.25">
      <c r="A14440">
        <f ca="1">40521.3343870414*((RANDBETWEEN(1620,2416)))</f>
        <v>85094802.212786943</v>
      </c>
      <c r="B14440">
        <v>145225850.91602275</v>
      </c>
    </row>
    <row r="14441" spans="1:2" x14ac:dyDescent="0.25">
      <c r="A14441">
        <f ca="1">31455.3413340152*((RANDBETWEEN(1620,2416)))</f>
        <v>70554330.612196177</v>
      </c>
      <c r="B14441">
        <v>162467089.81745601</v>
      </c>
    </row>
    <row r="14442" spans="1:2" x14ac:dyDescent="0.25">
      <c r="A14442">
        <f ca="1">34752.759003813*((RANDBETWEEN(1620,2416)))</f>
        <v>57654827.187325805</v>
      </c>
      <c r="B14442">
        <v>156962832.90486646</v>
      </c>
    </row>
    <row r="14443" spans="1:2" x14ac:dyDescent="0.25">
      <c r="A14443">
        <f ca="1">36618.9693045271*((RANDBETWEEN(1620,2416)))</f>
        <v>74849173.258453354</v>
      </c>
      <c r="B14443">
        <v>166146047.57847267</v>
      </c>
    </row>
    <row r="14444" spans="1:2" x14ac:dyDescent="0.25">
      <c r="A14444">
        <f ca="1">36746.598481114*((RANDBETWEEN(1620,2416)))</f>
        <v>80989503.052375317</v>
      </c>
      <c r="B14444">
        <v>154538620.96517825</v>
      </c>
    </row>
    <row r="14445" spans="1:2" x14ac:dyDescent="0.25">
      <c r="A14445">
        <f ca="1">34382.1244501532*((RANDBETWEEN(1620,2416)))</f>
        <v>59721750.169916168</v>
      </c>
      <c r="B14445">
        <v>183072019.82905644</v>
      </c>
    </row>
    <row r="14446" spans="1:2" x14ac:dyDescent="0.25">
      <c r="A14446">
        <f ca="1">40999.5852828034*((RANDBETWEEN(1620,2416)))</f>
        <v>91675072.692348421</v>
      </c>
      <c r="B14446">
        <v>160539238.52179855</v>
      </c>
    </row>
    <row r="14447" spans="1:2" x14ac:dyDescent="0.25">
      <c r="A14447">
        <f ca="1">37002.1289526272*((RANDBETWEEN(1620,2416)))</f>
        <v>77926483.574232951</v>
      </c>
      <c r="B14447">
        <v>162723370.43341261</v>
      </c>
    </row>
    <row r="14448" spans="1:2" x14ac:dyDescent="0.25">
      <c r="A14448">
        <f ca="1">31465.8813118762*((RANDBETWEEN(1620,2416)))</f>
        <v>59659310.967317231</v>
      </c>
      <c r="B14448">
        <v>145332499.27818692</v>
      </c>
    </row>
    <row r="14449" spans="1:2" x14ac:dyDescent="0.25">
      <c r="A14449">
        <f ca="1">31626.3176565241*((RANDBETWEEN(1620,2416)))</f>
        <v>65561356.50197456</v>
      </c>
      <c r="B14449">
        <v>148924096.09494689</v>
      </c>
    </row>
    <row r="14450" spans="1:2" x14ac:dyDescent="0.25">
      <c r="A14450">
        <f ca="1">34524.8665390622*((RANDBETWEEN(1620,2416)))</f>
        <v>75609457.720546186</v>
      </c>
      <c r="B14450">
        <v>167239786.42460459</v>
      </c>
    </row>
    <row r="14451" spans="1:2" x14ac:dyDescent="0.25">
      <c r="A14451">
        <f ca="1">31371.3453775729*((RANDBETWEEN(1620,2416)))</f>
        <v>67009193.72649572</v>
      </c>
      <c r="B14451">
        <v>191424752.67017204</v>
      </c>
    </row>
    <row r="14452" spans="1:2" x14ac:dyDescent="0.25">
      <c r="A14452">
        <f ca="1">34011.0833913675*((RANDBETWEEN(1620,2416)))</f>
        <v>81014400.638237461</v>
      </c>
      <c r="B14452">
        <v>194648901.41948843</v>
      </c>
    </row>
    <row r="14453" spans="1:2" x14ac:dyDescent="0.25">
      <c r="A14453">
        <f ca="1">31348.9980393325*((RANDBETWEEN(1620,2416)))</f>
        <v>66020989.870834306</v>
      </c>
      <c r="B14453">
        <v>147677368.98838031</v>
      </c>
    </row>
    <row r="14454" spans="1:2" x14ac:dyDescent="0.25">
      <c r="A14454">
        <f ca="1">31237.7649410683*((RANDBETWEEN(1620,2416)))</f>
        <v>63037809.65107578</v>
      </c>
      <c r="B14454">
        <v>180368959.99599099</v>
      </c>
    </row>
    <row r="14455" spans="1:2" x14ac:dyDescent="0.25">
      <c r="A14455">
        <f ca="1">30288.700373601*((RANDBETWEEN(1620,2416)))</f>
        <v>60395668.544960298</v>
      </c>
      <c r="B14455">
        <v>163330389.91348869</v>
      </c>
    </row>
    <row r="14456" spans="1:2" x14ac:dyDescent="0.25">
      <c r="A14456">
        <f ca="1">38493.9368521352*((RANDBETWEEN(1620,2416)))</f>
        <v>89921836.486587852</v>
      </c>
      <c r="B14456">
        <v>166742955.05194241</v>
      </c>
    </row>
    <row r="14457" spans="1:2" x14ac:dyDescent="0.25">
      <c r="A14457">
        <f ca="1">32130.2352476927*((RANDBETWEEN(1620,2416)))</f>
        <v>77144694.829710275</v>
      </c>
      <c r="B14457">
        <v>166129525.44367811</v>
      </c>
    </row>
    <row r="14458" spans="1:2" x14ac:dyDescent="0.25">
      <c r="A14458">
        <f ca="1">31862.5757618925*((RANDBETWEEN(1620,2416)))</f>
        <v>73029023.646257654</v>
      </c>
      <c r="B14458">
        <v>160783628.05451366</v>
      </c>
    </row>
    <row r="14459" spans="1:2" x14ac:dyDescent="0.25">
      <c r="A14459">
        <f ca="1">32917.542640421*((RANDBETWEEN(1620,2416)))</f>
        <v>66098425.621965297</v>
      </c>
      <c r="B14459">
        <v>164071431.85445863</v>
      </c>
    </row>
    <row r="14460" spans="1:2" x14ac:dyDescent="0.25">
      <c r="A14460">
        <f ca="1">35484.3118316714*((RANDBETWEEN(1620,2416)))</f>
        <v>79520342.814775527</v>
      </c>
      <c r="B14460">
        <v>169432281.73757738</v>
      </c>
    </row>
    <row r="14461" spans="1:2" x14ac:dyDescent="0.25">
      <c r="A14461">
        <f ca="1">33782.5205733928*((RANDBETWEEN(1620,2416)))</f>
        <v>65234047.227221541</v>
      </c>
      <c r="B14461">
        <v>173787328.91034698</v>
      </c>
    </row>
    <row r="14462" spans="1:2" x14ac:dyDescent="0.25">
      <c r="A14462">
        <f ca="1">31348.8399626721*((RANDBETWEEN(1620,2416)))</f>
        <v>71005122.515452266</v>
      </c>
      <c r="B14462">
        <v>174276874.21930176</v>
      </c>
    </row>
    <row r="14463" spans="1:2" x14ac:dyDescent="0.25">
      <c r="A14463">
        <f ca="1">32665.9630670403*((RANDBETWEEN(1620,2416)))</f>
        <v>68696520.329985723</v>
      </c>
      <c r="B14463">
        <v>165937647.13566482</v>
      </c>
    </row>
    <row r="14464" spans="1:2" x14ac:dyDescent="0.25">
      <c r="A14464">
        <f ca="1">33418.8036235755*((RANDBETWEEN(1620,2416)))</f>
        <v>56845384.963702008</v>
      </c>
      <c r="B14464">
        <v>202487508.77894071</v>
      </c>
    </row>
    <row r="14465" spans="1:2" x14ac:dyDescent="0.25">
      <c r="A14465">
        <f ca="1">42873.5639717125*((RANDBETWEEN(1620,2416)))</f>
        <v>90849082.056058839</v>
      </c>
      <c r="B14465">
        <v>186466816.36203045</v>
      </c>
    </row>
    <row r="14466" spans="1:2" x14ac:dyDescent="0.25">
      <c r="A14466">
        <f ca="1">29939.1833279864*((RANDBETWEEN(1620,2416)))</f>
        <v>49429591.674505547</v>
      </c>
      <c r="B14466">
        <v>175145713.98327488</v>
      </c>
    </row>
    <row r="14467" spans="1:2" x14ac:dyDescent="0.25">
      <c r="A14467">
        <f ca="1">30475.9350413451*((RANDBETWEEN(1620,2416)))</f>
        <v>67839431.402034298</v>
      </c>
      <c r="B14467">
        <v>150100284.13973492</v>
      </c>
    </row>
    <row r="14468" spans="1:2" x14ac:dyDescent="0.25">
      <c r="A14468">
        <f ca="1">31668.7437106329*((RANDBETWEEN(1620,2416)))</f>
        <v>64794249.631954812</v>
      </c>
      <c r="B14468">
        <v>153313201.81748307</v>
      </c>
    </row>
    <row r="14469" spans="1:2" x14ac:dyDescent="0.25">
      <c r="A14469">
        <f ca="1">32132.1592153889*((RANDBETWEEN(1620,2416)))</f>
        <v>55620767.601838253</v>
      </c>
      <c r="B14469">
        <v>154616023.87095335</v>
      </c>
    </row>
    <row r="14470" spans="1:2" x14ac:dyDescent="0.25">
      <c r="A14470">
        <f ca="1">38334.1325012728*((RANDBETWEEN(1620,2416)))</f>
        <v>88130170.620426223</v>
      </c>
      <c r="B14470">
        <v>162697705.94136411</v>
      </c>
    </row>
    <row r="14471" spans="1:2" x14ac:dyDescent="0.25">
      <c r="A14471">
        <f ca="1">29766.3782593748*((RANDBETWEEN(1620,2416)))</f>
        <v>66617154.544480808</v>
      </c>
      <c r="B14471">
        <v>191319089.00031328</v>
      </c>
    </row>
    <row r="14472" spans="1:2" x14ac:dyDescent="0.25">
      <c r="A14472">
        <f ca="1">37829.9441091264*((RANDBETWEEN(1620,2416)))</f>
        <v>75546398.385925442</v>
      </c>
      <c r="B14472">
        <v>187162503.51094937</v>
      </c>
    </row>
    <row r="14473" spans="1:2" x14ac:dyDescent="0.25">
      <c r="A14473">
        <f ca="1">37325.8951361488*((RANDBETWEEN(1620,2416)))</f>
        <v>63677977.102269866</v>
      </c>
      <c r="B14473">
        <v>202313833.42836851</v>
      </c>
    </row>
    <row r="14474" spans="1:2" x14ac:dyDescent="0.25">
      <c r="A14474">
        <f ca="1">31596.5558932352*((RANDBETWEEN(1620,2416)))</f>
        <v>75673751.364298195</v>
      </c>
      <c r="B14474">
        <v>161851693.16630971</v>
      </c>
    </row>
    <row r="14475" spans="1:2" x14ac:dyDescent="0.25">
      <c r="A14475">
        <f ca="1">35754.4062587659*((RANDBETWEEN(1620,2416)))</f>
        <v>77765833.612815753</v>
      </c>
      <c r="B14475">
        <v>150205651.08870846</v>
      </c>
    </row>
    <row r="14476" spans="1:2" x14ac:dyDescent="0.25">
      <c r="A14476">
        <f ca="1">30168.1666900256*((RANDBETWEEN(1620,2416)))</f>
        <v>65374417.217285432</v>
      </c>
      <c r="B14476">
        <v>157716712.63619733</v>
      </c>
    </row>
    <row r="14477" spans="1:2" x14ac:dyDescent="0.25">
      <c r="A14477">
        <f ca="1">36292.7928272967*((RANDBETWEEN(1620,2416)))</f>
        <v>68920013.579036415</v>
      </c>
      <c r="B14477">
        <v>198122021.66788644</v>
      </c>
    </row>
    <row r="14478" spans="1:2" x14ac:dyDescent="0.25">
      <c r="A14478">
        <f ca="1">29777.9063295151*((RANDBETWEEN(1620,2416)))</f>
        <v>71705198.441472501</v>
      </c>
      <c r="B14478">
        <v>175786857.75972861</v>
      </c>
    </row>
    <row r="14479" spans="1:2" x14ac:dyDescent="0.25">
      <c r="A14479">
        <f ca="1">35890.2482107719*((RANDBETWEEN(1620,2416)))</f>
        <v>69806532.769951284</v>
      </c>
      <c r="B14479">
        <v>176050128.40274799</v>
      </c>
    </row>
    <row r="14480" spans="1:2" x14ac:dyDescent="0.25">
      <c r="A14480">
        <f ca="1">40373.8706402298*((RANDBETWEEN(1620,2416)))</f>
        <v>91729434.094602212</v>
      </c>
      <c r="B14480">
        <v>171525846.64532799</v>
      </c>
    </row>
    <row r="14481" spans="1:2" x14ac:dyDescent="0.25">
      <c r="A14481">
        <f ca="1">31551.5666992706*((RANDBETWEEN(1620,2416)))</f>
        <v>74745661.510572165</v>
      </c>
      <c r="B14481">
        <v>149234924.12040439</v>
      </c>
    </row>
    <row r="14482" spans="1:2" x14ac:dyDescent="0.25">
      <c r="A14482">
        <f ca="1">35024.5091721883*((RANDBETWEEN(1620,2416)))</f>
        <v>57159998.969011232</v>
      </c>
      <c r="B14482">
        <v>159209539.07187992</v>
      </c>
    </row>
    <row r="14483" spans="1:2" x14ac:dyDescent="0.25">
      <c r="A14483">
        <f ca="1">32849.7902811666*((RANDBETWEEN(1620,2416)))</f>
        <v>58045579.426821381</v>
      </c>
      <c r="B14483">
        <v>162057793.26168489</v>
      </c>
    </row>
    <row r="14484" spans="1:2" x14ac:dyDescent="0.25">
      <c r="A14484">
        <f ca="1">35284.3511798616*((RANDBETWEEN(1620,2416)))</f>
        <v>82671234.814415812</v>
      </c>
      <c r="B14484">
        <v>161292759.98573798</v>
      </c>
    </row>
    <row r="14485" spans="1:2" x14ac:dyDescent="0.25">
      <c r="A14485">
        <f ca="1">32344.414367261*((RANDBETWEEN(1620,2416)))</f>
        <v>71125367.193606883</v>
      </c>
      <c r="B14485">
        <v>154222543.16281241</v>
      </c>
    </row>
    <row r="14486" spans="1:2" x14ac:dyDescent="0.25">
      <c r="A14486">
        <f ca="1">34418.4718716771*((RANDBETWEEN(1620,2416)))</f>
        <v>66083465.993620053</v>
      </c>
      <c r="B14486">
        <v>149918564.87843579</v>
      </c>
    </row>
    <row r="14487" spans="1:2" x14ac:dyDescent="0.25">
      <c r="A14487">
        <f ca="1">36348.7724424426*((RANDBETWEEN(1620,2416)))</f>
        <v>87418797.724074483</v>
      </c>
      <c r="B14487">
        <v>188665525.34074748</v>
      </c>
    </row>
    <row r="14488" spans="1:2" x14ac:dyDescent="0.25">
      <c r="A14488">
        <f ca="1">32286.251153826*((RANDBETWEEN(1620,2416)))</f>
        <v>58825549.602271006</v>
      </c>
      <c r="B14488">
        <v>187965758.31615022</v>
      </c>
    </row>
    <row r="14489" spans="1:2" x14ac:dyDescent="0.25">
      <c r="A14489">
        <f ca="1">34747.6964867626*((RANDBETWEEN(1620,2416)))</f>
        <v>81135871.296590641</v>
      </c>
      <c r="B14489">
        <v>176343883.48881245</v>
      </c>
    </row>
    <row r="14490" spans="1:2" x14ac:dyDescent="0.25">
      <c r="A14490">
        <f ca="1">31438.5224829884*((RANDBETWEEN(1620,2416)))</f>
        <v>72025655.008526519</v>
      </c>
      <c r="B14490">
        <v>160135972.82123739</v>
      </c>
    </row>
    <row r="14491" spans="1:2" x14ac:dyDescent="0.25">
      <c r="A14491">
        <f ca="1">34380.0679027417*((RANDBETWEEN(1620,2416)))</f>
        <v>74845407.824268728</v>
      </c>
      <c r="B14491">
        <v>196223071.35537741</v>
      </c>
    </row>
    <row r="14492" spans="1:2" x14ac:dyDescent="0.25">
      <c r="A14492">
        <f ca="1">39282.7019554502*((RANDBETWEEN(1620,2416)))</f>
        <v>92825024.72072877</v>
      </c>
      <c r="B14492">
        <v>160749121.84295622</v>
      </c>
    </row>
    <row r="14493" spans="1:2" x14ac:dyDescent="0.25">
      <c r="A14493">
        <f ca="1">30590.5070173491*((RANDBETWEEN(1620,2416)))</f>
        <v>51514413.817215949</v>
      </c>
      <c r="B14493">
        <v>161211708.29782307</v>
      </c>
    </row>
    <row r="14494" spans="1:2" x14ac:dyDescent="0.25">
      <c r="A14494">
        <f ca="1">40010.3141687316*((RANDBETWEEN(1620,2416)))</f>
        <v>66737204.033444226</v>
      </c>
      <c r="B14494">
        <v>163308048.42851818</v>
      </c>
    </row>
    <row r="14495" spans="1:2" x14ac:dyDescent="0.25">
      <c r="A14495">
        <f ca="1">35588.5782068462*((RANDBETWEEN(1620,2416)))</f>
        <v>61532651.719637126</v>
      </c>
      <c r="B14495">
        <v>169541228.15658879</v>
      </c>
    </row>
    <row r="14496" spans="1:2" x14ac:dyDescent="0.25">
      <c r="A14496">
        <f ca="1">29464.6175710123*((RANDBETWEEN(1620,2416)))</f>
        <v>53183634.715677112</v>
      </c>
      <c r="B14496">
        <v>154756430.15673965</v>
      </c>
    </row>
    <row r="14497" spans="1:2" x14ac:dyDescent="0.25">
      <c r="A14497">
        <f ca="1">29065.9856352026*((RANDBETWEEN(1620,2416)))</f>
        <v>62520935.101320744</v>
      </c>
      <c r="B14497">
        <v>189905150.65266427</v>
      </c>
    </row>
    <row r="14498" spans="1:2" x14ac:dyDescent="0.25">
      <c r="A14498">
        <f ca="1">37029.0903512198*((RANDBETWEEN(1620,2416)))</f>
        <v>84167122.368322715</v>
      </c>
      <c r="B14498">
        <v>172869767.81978363</v>
      </c>
    </row>
    <row r="14499" spans="1:2" x14ac:dyDescent="0.25">
      <c r="A14499">
        <f ca="1">40448.2899649796*((RANDBETWEEN(1620,2416)))</f>
        <v>65768919.483056799</v>
      </c>
      <c r="B14499">
        <v>170203582.8222405</v>
      </c>
    </row>
    <row r="14500" spans="1:2" x14ac:dyDescent="0.25">
      <c r="A14500">
        <f ca="1">32030.0721491749*((RANDBETWEEN(1620,2416)))</f>
        <v>65629617.833659403</v>
      </c>
      <c r="B14500">
        <v>146081423.1468485</v>
      </c>
    </row>
    <row r="14501" spans="1:2" x14ac:dyDescent="0.25">
      <c r="A14501">
        <f ca="1">31556.5404789037*((RANDBETWEEN(1620,2416)))</f>
        <v>55697293.945264973</v>
      </c>
      <c r="B14501">
        <v>147550610.7495518</v>
      </c>
    </row>
    <row r="14502" spans="1:2" x14ac:dyDescent="0.25">
      <c r="A14502">
        <f ca="1">30556.1631705556*((RANDBETWEEN(1620,2416)))</f>
        <v>61662337.278181158</v>
      </c>
      <c r="B14502">
        <v>148453948.71019006</v>
      </c>
    </row>
    <row r="14503" spans="1:2" x14ac:dyDescent="0.25">
      <c r="A14503">
        <f ca="1">31220.4534470654*((RANDBETWEEN(1620,2416)))</f>
        <v>72806097.438556552</v>
      </c>
      <c r="B14503">
        <v>178784034.04314426</v>
      </c>
    </row>
    <row r="14504" spans="1:2" x14ac:dyDescent="0.25">
      <c r="A14504">
        <f ca="1">31304.8666527813*((RANDBETWEEN(1620,2416)))</f>
        <v>57757478.974381581</v>
      </c>
      <c r="B14504">
        <v>149694896.52150983</v>
      </c>
    </row>
    <row r="14505" spans="1:2" x14ac:dyDescent="0.25">
      <c r="A14505">
        <f ca="1">32555.5281916028*((RANDBETWEEN(1620,2416)))</f>
        <v>76277602.552925408</v>
      </c>
      <c r="B14505">
        <v>175629044.56374446</v>
      </c>
    </row>
    <row r="14506" spans="1:2" x14ac:dyDescent="0.25">
      <c r="A14506">
        <f ca="1">28175.7355875552*((RANDBETWEEN(1620,2416)))</f>
        <v>51787002.009926431</v>
      </c>
      <c r="B14506">
        <v>194016888.90056199</v>
      </c>
    </row>
    <row r="14507" spans="1:2" x14ac:dyDescent="0.25">
      <c r="A14507">
        <f ca="1">31409.6080324317*((RANDBETWEEN(1620,2416)))</f>
        <v>57102667.402960815</v>
      </c>
      <c r="B14507">
        <v>157311720.20245028</v>
      </c>
    </row>
    <row r="14508" spans="1:2" x14ac:dyDescent="0.25">
      <c r="A14508">
        <f ca="1">31746.8523681025*((RANDBETWEEN(1620,2416)))</f>
        <v>73303482.117948577</v>
      </c>
      <c r="B14508">
        <v>144614089.37756065</v>
      </c>
    </row>
    <row r="14509" spans="1:2" x14ac:dyDescent="0.25">
      <c r="A14509">
        <f ca="1">30435.451950163*((RANDBETWEEN(1620,2416)))</f>
        <v>64310109.970694512</v>
      </c>
      <c r="B14509">
        <v>195830658.81978399</v>
      </c>
    </row>
    <row r="14510" spans="1:2" x14ac:dyDescent="0.25">
      <c r="A14510">
        <f ca="1">32331.4244580896*((RANDBETWEEN(1620,2416)))</f>
        <v>72842699.304075763</v>
      </c>
      <c r="B14510">
        <v>180067778.61448652</v>
      </c>
    </row>
    <row r="14511" spans="1:2" x14ac:dyDescent="0.25">
      <c r="A14511">
        <f ca="1">36137.7859137614*((RANDBETWEEN(1620,2416)))</f>
        <v>80514987.015860558</v>
      </c>
      <c r="B14511">
        <v>158132791.85342306</v>
      </c>
    </row>
    <row r="14512" spans="1:2" x14ac:dyDescent="0.25">
      <c r="A14512">
        <f ca="1">28525.7880213442*((RANDBETWEEN(1620,2416)))</f>
        <v>66522137.665774591</v>
      </c>
      <c r="B14512">
        <v>151143542.4695133</v>
      </c>
    </row>
    <row r="14513" spans="1:2" x14ac:dyDescent="0.25">
      <c r="A14513">
        <f ca="1">38083.3049709154*((RANDBETWEEN(1620,2416)))</f>
        <v>66988533.44384025</v>
      </c>
      <c r="B14513">
        <v>159633185.40391412</v>
      </c>
    </row>
    <row r="14514" spans="1:2" x14ac:dyDescent="0.25">
      <c r="A14514">
        <f ca="1">35042.022950238*((RANDBETWEEN(1620,2416)))</f>
        <v>58520178.326897599</v>
      </c>
      <c r="B14514">
        <v>153048633.17720804</v>
      </c>
    </row>
    <row r="14515" spans="1:2" x14ac:dyDescent="0.25">
      <c r="A14515">
        <f ca="1">31966.6545342472*((RANDBETWEEN(1620,2416)))</f>
        <v>72052839.320193112</v>
      </c>
      <c r="B14515">
        <v>143653481.4697445</v>
      </c>
    </row>
    <row r="14516" spans="1:2" x14ac:dyDescent="0.25">
      <c r="A14516">
        <f ca="1">29802.2719314248*((RANDBETWEEN(1620,2416)))</f>
        <v>68098191.363305658</v>
      </c>
      <c r="B14516">
        <v>183689057.66222805</v>
      </c>
    </row>
    <row r="14517" spans="1:2" x14ac:dyDescent="0.25">
      <c r="A14517">
        <f ca="1">33615.5797811769*((RANDBETWEEN(1620,2416)))</f>
        <v>60037425.48918198</v>
      </c>
      <c r="B14517">
        <v>162647726.83370548</v>
      </c>
    </row>
    <row r="14518" spans="1:2" x14ac:dyDescent="0.25">
      <c r="A14518">
        <f ca="1">29584.1819624491*((RANDBETWEEN(1620,2416)))</f>
        <v>54937825.904268056</v>
      </c>
      <c r="B14518">
        <v>150606675.05762342</v>
      </c>
    </row>
    <row r="14519" spans="1:2" x14ac:dyDescent="0.25">
      <c r="A14519">
        <f ca="1">32144.0353325352*((RANDBETWEEN(1620,2416)))</f>
        <v>71777630.89755109</v>
      </c>
      <c r="B14519">
        <v>184493845.36501199</v>
      </c>
    </row>
    <row r="14520" spans="1:2" x14ac:dyDescent="0.25">
      <c r="A14520">
        <f ca="1">33191.8055116064*((RANDBETWEEN(1620,2416)))</f>
        <v>67213406.161003053</v>
      </c>
      <c r="B14520">
        <v>158952641.56132483</v>
      </c>
    </row>
    <row r="14521" spans="1:2" x14ac:dyDescent="0.25">
      <c r="A14521">
        <f ca="1">30465.5794001186*((RANDBETWEEN(1620,2416)))</f>
        <v>59864863.521233082</v>
      </c>
      <c r="B14521">
        <v>148736635.63316843</v>
      </c>
    </row>
    <row r="14522" spans="1:2" x14ac:dyDescent="0.25">
      <c r="A14522">
        <f ca="1">30894.0652251592*((RANDBETWEEN(1620,2416)))</f>
        <v>66391346.168867156</v>
      </c>
      <c r="B14522">
        <v>164294300.67284486</v>
      </c>
    </row>
    <row r="14523" spans="1:2" x14ac:dyDescent="0.25">
      <c r="A14523">
        <f ca="1">34731.5361004943*((RANDBETWEEN(1620,2416)))</f>
        <v>66892938.529551961</v>
      </c>
      <c r="B14523">
        <v>184990943.83592504</v>
      </c>
    </row>
    <row r="14524" spans="1:2" x14ac:dyDescent="0.25">
      <c r="A14524">
        <f ca="1">33660.5251028748*((RANDBETWEEN(1620,2416)))</f>
        <v>76106447.25759989</v>
      </c>
      <c r="B14524">
        <v>149336219.37708044</v>
      </c>
    </row>
    <row r="14525" spans="1:2" x14ac:dyDescent="0.25">
      <c r="A14525">
        <f ca="1">36887.8095726658*((RANDBETWEEN(1620,2416)))</f>
        <v>87165894.020209283</v>
      </c>
      <c r="B14525">
        <v>145537814.20706645</v>
      </c>
    </row>
    <row r="14526" spans="1:2" x14ac:dyDescent="0.25">
      <c r="A14526">
        <f ca="1">30548.8872967161*((RANDBETWEEN(1620,2416)))</f>
        <v>56820930.371891923</v>
      </c>
      <c r="B14526">
        <v>161365591.73292261</v>
      </c>
    </row>
    <row r="14527" spans="1:2" x14ac:dyDescent="0.25">
      <c r="A14527">
        <f ca="1">37202.3500024423*((RANDBETWEEN(1620,2416)))</f>
        <v>71986547.254725948</v>
      </c>
      <c r="B14527">
        <v>187544002.474554</v>
      </c>
    </row>
    <row r="14528" spans="1:2" x14ac:dyDescent="0.25">
      <c r="A14528">
        <f ca="1">29572.8629844529*((RANDBETWEEN(1620,2416)))</f>
        <v>57814947.134605475</v>
      </c>
      <c r="B14528">
        <v>159682829.40448731</v>
      </c>
    </row>
    <row r="14529" spans="1:2" x14ac:dyDescent="0.25">
      <c r="A14529">
        <f ca="1">40269.1884677187*((RANDBETWEEN(1620,2416)))</f>
        <v>71638886.28407152</v>
      </c>
      <c r="B14529">
        <v>183532546.25521293</v>
      </c>
    </row>
    <row r="14530" spans="1:2" x14ac:dyDescent="0.25">
      <c r="A14530">
        <f ca="1">33997.9310140248*((RANDBETWEEN(1620,2416)))</f>
        <v>68573826.855287924</v>
      </c>
      <c r="B14530">
        <v>167607418.6900014</v>
      </c>
    </row>
    <row r="14531" spans="1:2" x14ac:dyDescent="0.25">
      <c r="A14531">
        <f ca="1">33864.8281180258*((RANDBETWEEN(1620,2416)))</f>
        <v>72369137.688221171</v>
      </c>
      <c r="B14531">
        <v>182788680.62286535</v>
      </c>
    </row>
    <row r="14532" spans="1:2" x14ac:dyDescent="0.25">
      <c r="A14532">
        <f ca="1">38888.7524464677*((RANDBETWEEN(1620,2416)))</f>
        <v>84038594.036816806</v>
      </c>
      <c r="B14532">
        <v>179514555.24596512</v>
      </c>
    </row>
    <row r="14533" spans="1:2" x14ac:dyDescent="0.25">
      <c r="A14533">
        <f ca="1">40137.3940573582*((RANDBETWEEN(1620,2416)))</f>
        <v>71564973.604269639</v>
      </c>
      <c r="B14533">
        <v>190158724.15889165</v>
      </c>
    </row>
    <row r="14534" spans="1:2" x14ac:dyDescent="0.25">
      <c r="A14534">
        <f ca="1">31429.3604883846*((RANDBETWEEN(1620,2416)))</f>
        <v>57735735.21716246</v>
      </c>
      <c r="B14534">
        <v>159778222.64958599</v>
      </c>
    </row>
    <row r="14535" spans="1:2" x14ac:dyDescent="0.25">
      <c r="A14535">
        <f ca="1">32778.1299528626*((RANDBETWEEN(1620,2416)))</f>
        <v>68866851.03096424</v>
      </c>
      <c r="B14535">
        <v>187975249.2206561</v>
      </c>
    </row>
    <row r="14536" spans="1:2" x14ac:dyDescent="0.25">
      <c r="A14536">
        <f ca="1">32339.7732484362*((RANDBETWEEN(1620,2416)))</f>
        <v>67040349.944008246</v>
      </c>
      <c r="B14536">
        <v>182742896.30311084</v>
      </c>
    </row>
    <row r="14537" spans="1:2" x14ac:dyDescent="0.25">
      <c r="A14537">
        <f ca="1">34445.593946613*((RANDBETWEEN(1620,2416)))</f>
        <v>76744783.313053697</v>
      </c>
      <c r="B14537">
        <v>192175943.64107499</v>
      </c>
    </row>
    <row r="14538" spans="1:2" x14ac:dyDescent="0.25">
      <c r="A14538">
        <f ca="1">37452.1918771169*((RANDBETWEEN(1620,2416)))</f>
        <v>72207825.939081341</v>
      </c>
      <c r="B14538">
        <v>199594249.56059927</v>
      </c>
    </row>
    <row r="14539" spans="1:2" x14ac:dyDescent="0.25">
      <c r="A14539">
        <f ca="1">32570.7880459947*((RANDBETWEEN(1620,2416)))</f>
        <v>78235032.886479244</v>
      </c>
      <c r="B14539">
        <v>188236802.95761409</v>
      </c>
    </row>
    <row r="14540" spans="1:2" x14ac:dyDescent="0.25">
      <c r="A14540">
        <f ca="1">32185.8329838143*((RANDBETWEEN(1620,2416)))</f>
        <v>57065481.880302675</v>
      </c>
      <c r="B14540">
        <v>186666750.48641187</v>
      </c>
    </row>
    <row r="14541" spans="1:2" x14ac:dyDescent="0.25">
      <c r="A14541">
        <f ca="1">34131.7449332076*((RANDBETWEEN(1620,2416)))</f>
        <v>64611393.158561975</v>
      </c>
      <c r="B14541">
        <v>167152135.54214728</v>
      </c>
    </row>
    <row r="14542" spans="1:2" x14ac:dyDescent="0.25">
      <c r="A14542">
        <f ca="1">30547.1204482642*((RANDBETWEEN(1620,2416)))</f>
        <v>52846518.375497065</v>
      </c>
      <c r="B14542">
        <v>172001488.55784559</v>
      </c>
    </row>
    <row r="14543" spans="1:2" x14ac:dyDescent="0.25">
      <c r="A14543">
        <f ca="1">41219.5037789363*((RANDBETWEEN(1620,2416)))</f>
        <v>74648521.343653604</v>
      </c>
      <c r="B14543">
        <v>190024952.82008991</v>
      </c>
    </row>
    <row r="14544" spans="1:2" x14ac:dyDescent="0.25">
      <c r="A14544">
        <f ca="1">29335.4196643882*((RANDBETWEEN(1620,2416)))</f>
        <v>63481848.153736018</v>
      </c>
      <c r="B14544">
        <v>158818062.38249016</v>
      </c>
    </row>
    <row r="14545" spans="1:2" x14ac:dyDescent="0.25">
      <c r="A14545">
        <f ca="1">35139.3783574013*((RANDBETWEEN(1620,2416)))</f>
        <v>73687276.415470481</v>
      </c>
      <c r="B14545">
        <v>165957633.44638449</v>
      </c>
    </row>
    <row r="14546" spans="1:2" x14ac:dyDescent="0.25">
      <c r="A14546">
        <f ca="1">30432.6906386885*((RANDBETWEEN(1620,2416)))</f>
        <v>66921486.714475982</v>
      </c>
      <c r="B14546">
        <v>155182566.86797878</v>
      </c>
    </row>
    <row r="14547" spans="1:2" x14ac:dyDescent="0.25">
      <c r="A14547">
        <f ca="1">32141.4934627224*((RANDBETWEEN(1620,2416)))</f>
        <v>72639775.225752577</v>
      </c>
      <c r="B14547">
        <v>145315468.01432863</v>
      </c>
    </row>
    <row r="14548" spans="1:2" x14ac:dyDescent="0.25">
      <c r="A14548">
        <f ca="1">31261.3211733127*((RANDBETWEEN(1620,2416)))</f>
        <v>62960300.843051724</v>
      </c>
      <c r="B14548">
        <v>184036456.44391575</v>
      </c>
    </row>
    <row r="14549" spans="1:2" x14ac:dyDescent="0.25">
      <c r="A14549">
        <f ca="1">29852.396959464*((RANDBETWEEN(1620,2416)))</f>
        <v>62690033.614874542</v>
      </c>
      <c r="B14549">
        <v>155326393.62222987</v>
      </c>
    </row>
    <row r="14550" spans="1:2" x14ac:dyDescent="0.25">
      <c r="A14550">
        <f ca="1">29411.700079326*((RANDBETWEEN(1620,2416)))</f>
        <v>50911652.837313332</v>
      </c>
      <c r="B14550">
        <v>143478030.85118222</v>
      </c>
    </row>
    <row r="14551" spans="1:2" x14ac:dyDescent="0.25">
      <c r="A14551">
        <f ca="1">34548.5880046922*((RANDBETWEEN(1620,2416)))</f>
        <v>79219912.294759229</v>
      </c>
      <c r="B14551">
        <v>164389488.79762766</v>
      </c>
    </row>
    <row r="14552" spans="1:2" x14ac:dyDescent="0.25">
      <c r="A14552">
        <f ca="1">32262.9330637991*((RANDBETWEEN(1620,2416)))</f>
        <v>65042073.056618929</v>
      </c>
      <c r="B14552">
        <v>163763092.53177494</v>
      </c>
    </row>
    <row r="14553" spans="1:2" x14ac:dyDescent="0.25">
      <c r="A14553">
        <f ca="1">34725.9141573398*((RANDBETWEEN(1620,2416)))</f>
        <v>83411645.805930302</v>
      </c>
      <c r="B14553">
        <v>165495769.2657679</v>
      </c>
    </row>
    <row r="14554" spans="1:2" x14ac:dyDescent="0.25">
      <c r="A14554">
        <f ca="1">28553.2526923289*((RANDBETWEEN(1620,2416)))</f>
        <v>52223899.174269535</v>
      </c>
      <c r="B14554">
        <v>190569594.78515553</v>
      </c>
    </row>
    <row r="14555" spans="1:2" x14ac:dyDescent="0.25">
      <c r="A14555">
        <f ca="1">36922.9331965181*((RANDBETWEEN(1620,2416)))</f>
        <v>84959669.285188198</v>
      </c>
      <c r="B14555">
        <v>158861837.72413728</v>
      </c>
    </row>
    <row r="14556" spans="1:2" x14ac:dyDescent="0.25">
      <c r="A14556">
        <f ca="1">37735.2371605169*((RANDBETWEEN(1620,2416)))</f>
        <v>86262752.148941547</v>
      </c>
      <c r="B14556">
        <v>181657609.73540422</v>
      </c>
    </row>
    <row r="14557" spans="1:2" x14ac:dyDescent="0.25">
      <c r="A14557">
        <f ca="1">41185.0843765377*((RANDBETWEEN(1620,2416)))</f>
        <v>73185894.937107548</v>
      </c>
      <c r="B14557">
        <v>172994180.55555272</v>
      </c>
    </row>
    <row r="14558" spans="1:2" x14ac:dyDescent="0.25">
      <c r="A14558">
        <f ca="1">39623.7152050383*((RANDBETWEEN(1620,2416)))</f>
        <v>78058718.953925401</v>
      </c>
      <c r="B14558">
        <v>155117244.78899819</v>
      </c>
    </row>
    <row r="14559" spans="1:2" x14ac:dyDescent="0.25">
      <c r="A14559">
        <f ca="1">40718.2001169965*((RANDBETWEEN(1620,2416)))</f>
        <v>84368110.642416716</v>
      </c>
      <c r="B14559">
        <v>192669578.68308255</v>
      </c>
    </row>
    <row r="14560" spans="1:2" x14ac:dyDescent="0.25">
      <c r="A14560">
        <f ca="1">31271.3190763194*((RANDBETWEEN(1620,2416)))</f>
        <v>67327149.971315756</v>
      </c>
      <c r="B14560">
        <v>179615987.2274887</v>
      </c>
    </row>
    <row r="14561" spans="1:2" x14ac:dyDescent="0.25">
      <c r="A14561">
        <f ca="1">35586.770010041*((RANDBETWEEN(1620,2416)))</f>
        <v>59358732.376748376</v>
      </c>
      <c r="B14561">
        <v>149892865.94625029</v>
      </c>
    </row>
    <row r="14562" spans="1:2" x14ac:dyDescent="0.25">
      <c r="A14562">
        <f ca="1">31777.2415032311*((RANDBETWEEN(1620,2416)))</f>
        <v>55673727.113660865</v>
      </c>
      <c r="B14562">
        <v>157333634.11984667</v>
      </c>
    </row>
    <row r="14563" spans="1:2" x14ac:dyDescent="0.25">
      <c r="A14563">
        <f ca="1">32504.8110844179*((RANDBETWEEN(1620,2416)))</f>
        <v>65627213.579439707</v>
      </c>
      <c r="B14563">
        <v>148865459.38665277</v>
      </c>
    </row>
    <row r="14564" spans="1:2" x14ac:dyDescent="0.25">
      <c r="A14564">
        <f ca="1">29224.5163322692*((RANDBETWEEN(1620,2416)))</f>
        <v>49243310.019873604</v>
      </c>
      <c r="B14564">
        <v>143699241.96038926</v>
      </c>
    </row>
    <row r="14565" spans="1:2" x14ac:dyDescent="0.25">
      <c r="A14565">
        <f ca="1">34959.5866516369*((RANDBETWEEN(1620,2416)))</f>
        <v>70478526.689699948</v>
      </c>
      <c r="B14565">
        <v>162672275.03154179</v>
      </c>
    </row>
    <row r="14566" spans="1:2" x14ac:dyDescent="0.25">
      <c r="A14566">
        <f ca="1">38452.0608550409*((RANDBETWEEN(1620,2416)))</f>
        <v>79441957.726514563</v>
      </c>
      <c r="B14566">
        <v>156083895.75915247</v>
      </c>
    </row>
    <row r="14567" spans="1:2" x14ac:dyDescent="0.25">
      <c r="A14567">
        <f ca="1">29947.0657159398*((RANDBETWEEN(1620,2416)))</f>
        <v>56659848.33455801</v>
      </c>
      <c r="B14567">
        <v>198423985.29297823</v>
      </c>
    </row>
    <row r="14568" spans="1:2" x14ac:dyDescent="0.25">
      <c r="A14568">
        <f ca="1">30013.3076672174*((RANDBETWEEN(1620,2416)))</f>
        <v>71131539.171305299</v>
      </c>
      <c r="B14568">
        <v>150079706.62700972</v>
      </c>
    </row>
    <row r="14569" spans="1:2" x14ac:dyDescent="0.25">
      <c r="A14569">
        <f ca="1">32372.592147369*((RANDBETWEEN(1620,2416)))</f>
        <v>59500824.366864197</v>
      </c>
      <c r="B14569">
        <v>159549846.35183793</v>
      </c>
    </row>
    <row r="14570" spans="1:2" x14ac:dyDescent="0.25">
      <c r="A14570">
        <f ca="1">29408.2722896068*((RANDBETWEEN(1620,2416)))</f>
        <v>53905363.106849208</v>
      </c>
      <c r="B14570">
        <v>144185811.1851089</v>
      </c>
    </row>
    <row r="14571" spans="1:2" x14ac:dyDescent="0.25">
      <c r="A14571">
        <f ca="1">39380.0693434568*((RANDBETWEEN(1620,2416)))</f>
        <v>66000996.219633527</v>
      </c>
      <c r="B14571">
        <v>164918522.11848599</v>
      </c>
    </row>
    <row r="14572" spans="1:2" x14ac:dyDescent="0.25">
      <c r="A14572">
        <f ca="1">33796.3680009136*((RANDBETWEEN(1620,2416)))</f>
        <v>60427905.985633545</v>
      </c>
      <c r="B14572">
        <v>197379841.01528484</v>
      </c>
    </row>
    <row r="14573" spans="1:2" x14ac:dyDescent="0.25">
      <c r="A14573">
        <f ca="1">26904.7845663002*((RANDBETWEEN(1620,2416)))</f>
        <v>55423856.206578359</v>
      </c>
      <c r="B14573">
        <v>158550730.46067241</v>
      </c>
    </row>
    <row r="14574" spans="1:2" x14ac:dyDescent="0.25">
      <c r="A14574">
        <f ca="1">40920.5055581866*((RANDBETWEEN(1620,2416)))</f>
        <v>94730970.367201924</v>
      </c>
      <c r="B14574">
        <v>143225598.81878579</v>
      </c>
    </row>
    <row r="14575" spans="1:2" x14ac:dyDescent="0.25">
      <c r="A14575">
        <f ca="1">32482.9554303894*((RANDBETWEEN(1620,2416)))</f>
        <v>70228149.640501902</v>
      </c>
      <c r="B14575">
        <v>174710368.05598018</v>
      </c>
    </row>
    <row r="14576" spans="1:2" x14ac:dyDescent="0.25">
      <c r="A14576">
        <f ca="1">30919.2393407758*((RANDBETWEEN(1620,2416)))</f>
        <v>67342103.284209758</v>
      </c>
      <c r="B14576">
        <v>147587939.45345849</v>
      </c>
    </row>
    <row r="14577" spans="1:2" x14ac:dyDescent="0.25">
      <c r="A14577">
        <f ca="1">36211.1779357121*((RANDBETWEEN(1620,2416)))</f>
        <v>61957325.448003374</v>
      </c>
      <c r="B14577">
        <v>151361703.13301635</v>
      </c>
    </row>
    <row r="14578" spans="1:2" x14ac:dyDescent="0.25">
      <c r="A14578">
        <f ca="1">35782.0468120853*((RANDBETWEEN(1620,2416)))</f>
        <v>84946579.131890476</v>
      </c>
      <c r="B14578">
        <v>144098597.27890772</v>
      </c>
    </row>
    <row r="14579" spans="1:2" x14ac:dyDescent="0.25">
      <c r="A14579">
        <f ca="1">31622.3018663322*((RANDBETWEEN(1620,2416)))</f>
        <v>62991625.317733742</v>
      </c>
      <c r="B14579">
        <v>166123022.76632422</v>
      </c>
    </row>
    <row r="14580" spans="1:2" x14ac:dyDescent="0.25">
      <c r="A14580">
        <f ca="1">33213.2588472434*((RANDBETWEEN(1620,2416)))</f>
        <v>60481344.360830165</v>
      </c>
      <c r="B14580">
        <v>197322114.62352365</v>
      </c>
    </row>
    <row r="14581" spans="1:2" x14ac:dyDescent="0.25">
      <c r="A14581">
        <f ca="1">28711.2430507915*((RANDBETWEEN(1620,2416)))</f>
        <v>67586266.141563207</v>
      </c>
      <c r="B14581">
        <v>155995664.91856205</v>
      </c>
    </row>
    <row r="14582" spans="1:2" x14ac:dyDescent="0.25">
      <c r="A14582">
        <f ca="1">35866.1513748699*((RANDBETWEEN(1620,2416)))</f>
        <v>73453878.015733585</v>
      </c>
      <c r="B14582">
        <v>185639439.32413921</v>
      </c>
    </row>
    <row r="14583" spans="1:2" x14ac:dyDescent="0.25">
      <c r="A14583">
        <f ca="1">33922.4205478452*((RANDBETWEEN(1620,2416)))</f>
        <v>55056088.549152829</v>
      </c>
      <c r="B14583">
        <v>202324649.60291258</v>
      </c>
    </row>
    <row r="14584" spans="1:2" x14ac:dyDescent="0.25">
      <c r="A14584">
        <f ca="1">34500.8343769189*((RANDBETWEEN(1620,2416)))</f>
        <v>82422493.326459318</v>
      </c>
      <c r="B14584">
        <v>201360326.27569062</v>
      </c>
    </row>
    <row r="14585" spans="1:2" x14ac:dyDescent="0.25">
      <c r="A14585">
        <f ca="1">31090.6944923872*((RANDBETWEEN(1620,2416)))</f>
        <v>63549379.542439438</v>
      </c>
      <c r="B14585">
        <v>177627418.780884</v>
      </c>
    </row>
    <row r="14586" spans="1:2" x14ac:dyDescent="0.25">
      <c r="A14586">
        <f ca="1">39235.9457182242*((RANDBETWEEN(1620,2416)))</f>
        <v>94244741.615174502</v>
      </c>
      <c r="B14586">
        <v>146277958.89653116</v>
      </c>
    </row>
    <row r="14587" spans="1:2" x14ac:dyDescent="0.25">
      <c r="A14587">
        <f ca="1">32687.0392211508*((RANDBETWEEN(1620,2416)))</f>
        <v>59719220.657042585</v>
      </c>
      <c r="B14587">
        <v>156974437.13783374</v>
      </c>
    </row>
    <row r="14588" spans="1:2" x14ac:dyDescent="0.25">
      <c r="A14588">
        <f ca="1">30304.6901344275*((RANDBETWEEN(1620,2416)))</f>
        <v>56215200.199362934</v>
      </c>
      <c r="B14588">
        <v>191967173.24102342</v>
      </c>
    </row>
    <row r="14589" spans="1:2" x14ac:dyDescent="0.25">
      <c r="A14589">
        <f ca="1">34250.9469560798*((RANDBETWEEN(1620,2416)))</f>
        <v>58774624.976632878</v>
      </c>
      <c r="B14589">
        <v>148931307.6955702</v>
      </c>
    </row>
    <row r="14590" spans="1:2" x14ac:dyDescent="0.25">
      <c r="A14590">
        <f ca="1">35760.3935630332*((RANDBETWEEN(1620,2416)))</f>
        <v>64726312.349090047</v>
      </c>
      <c r="B14590">
        <v>166699498.98275754</v>
      </c>
    </row>
    <row r="14591" spans="1:2" x14ac:dyDescent="0.25">
      <c r="A14591">
        <f ca="1">31434.1796293194*((RANDBETWEEN(1620,2416)))</f>
        <v>73713151.230753884</v>
      </c>
      <c r="B14591">
        <v>154446735.72490567</v>
      </c>
    </row>
    <row r="14592" spans="1:2" x14ac:dyDescent="0.25">
      <c r="A14592">
        <f ca="1">38555.7614209005*((RANDBETWEEN(1620,2416)))</f>
        <v>73140279.415448263</v>
      </c>
      <c r="B14592">
        <v>153901152.85283324</v>
      </c>
    </row>
    <row r="14593" spans="1:2" x14ac:dyDescent="0.25">
      <c r="A14593">
        <f ca="1">36519.9294004182*((RANDBETWEEN(1620,2416)))</f>
        <v>62010840.121910155</v>
      </c>
      <c r="B14593">
        <v>160408001.14047405</v>
      </c>
    </row>
    <row r="14594" spans="1:2" x14ac:dyDescent="0.25">
      <c r="A14594">
        <f ca="1">32635.5008166405*((RANDBETWEEN(1620,2416)))</f>
        <v>61942180.549983658</v>
      </c>
      <c r="B14594">
        <v>154871529.88440496</v>
      </c>
    </row>
    <row r="14595" spans="1:2" x14ac:dyDescent="0.25">
      <c r="A14595">
        <f ca="1">40638.9782160659*((RANDBETWEEN(1620,2416)))</f>
        <v>82253291.909317359</v>
      </c>
      <c r="B14595">
        <v>154500760.04521444</v>
      </c>
    </row>
    <row r="14596" spans="1:2" x14ac:dyDescent="0.25">
      <c r="A14596">
        <f ca="1">30662.0598785597*((RANDBETWEEN(1620,2416)))</f>
        <v>67732490.27173847</v>
      </c>
      <c r="B14596">
        <v>166609896.88782409</v>
      </c>
    </row>
    <row r="14597" spans="1:2" x14ac:dyDescent="0.25">
      <c r="A14597">
        <f ca="1">31047.143577252*((RANDBETWEEN(1620,2416)))</f>
        <v>61256014.277918197</v>
      </c>
      <c r="B14597">
        <v>201279997.09796429</v>
      </c>
    </row>
    <row r="14598" spans="1:2" x14ac:dyDescent="0.25">
      <c r="A14598">
        <f ca="1">30409.9089993774*((RANDBETWEEN(1620,2416)))</f>
        <v>73470340.142495796</v>
      </c>
      <c r="B14598">
        <v>170571338.35330451</v>
      </c>
    </row>
    <row r="14599" spans="1:2" x14ac:dyDescent="0.25">
      <c r="A14599">
        <f ca="1">28454.5106101457*((RANDBETWEEN(1620,2416)))</f>
        <v>55998476.880766705</v>
      </c>
      <c r="B14599">
        <v>156004759.50221866</v>
      </c>
    </row>
    <row r="14600" spans="1:2" x14ac:dyDescent="0.25">
      <c r="A14600">
        <f ca="1">40014.931191053*((RANDBETWEEN(1620,2416)))</f>
        <v>71266592.451265365</v>
      </c>
      <c r="B14600">
        <v>191782007.09182009</v>
      </c>
    </row>
    <row r="14601" spans="1:2" x14ac:dyDescent="0.25">
      <c r="A14601">
        <f ca="1">31334.4901102344*((RANDBETWEEN(1620,2416)))</f>
        <v>73479379.308499768</v>
      </c>
      <c r="B14601">
        <v>143821974.87874645</v>
      </c>
    </row>
    <row r="14602" spans="1:2" x14ac:dyDescent="0.25">
      <c r="A14602">
        <f ca="1">31743.5566615816*((RANDBETWEEN(1620,2416)))</f>
        <v>73295872.331592023</v>
      </c>
      <c r="B14602">
        <v>147225690.90200448</v>
      </c>
    </row>
    <row r="14603" spans="1:2" x14ac:dyDescent="0.25">
      <c r="A14603">
        <f ca="1">32536.5969759905*((RANDBETWEEN(1620,2416)))</f>
        <v>73435099.374810591</v>
      </c>
      <c r="B14603">
        <v>171752811.27711388</v>
      </c>
    </row>
    <row r="14604" spans="1:2" x14ac:dyDescent="0.25">
      <c r="A14604">
        <f ca="1">40276.4790947142*((RANDBETWEEN(1620,2416)))</f>
        <v>73746233.222421706</v>
      </c>
      <c r="B14604">
        <v>193780387.21900463</v>
      </c>
    </row>
    <row r="14605" spans="1:2" x14ac:dyDescent="0.25">
      <c r="A14605">
        <f ca="1">31904.1122483675*((RANDBETWEEN(1620,2416)))</f>
        <v>63521087.486499734</v>
      </c>
      <c r="B14605">
        <v>170153133.08470726</v>
      </c>
    </row>
    <row r="14606" spans="1:2" x14ac:dyDescent="0.25">
      <c r="A14606">
        <f ca="1">34685.3160596227*((RANDBETWEEN(1620,2416)))</f>
        <v>80782101.102861375</v>
      </c>
      <c r="B14606">
        <v>190455441.66156736</v>
      </c>
    </row>
    <row r="14607" spans="1:2" x14ac:dyDescent="0.25">
      <c r="A14607">
        <f ca="1">31693.7793222979*((RANDBETWEEN(1620,2416)))</f>
        <v>65511041.859189682</v>
      </c>
      <c r="B14607">
        <v>169106543.34333941</v>
      </c>
    </row>
    <row r="14608" spans="1:2" x14ac:dyDescent="0.25">
      <c r="A14608">
        <f ca="1">35199.7609801989*((RANDBETWEEN(1620,2416)))</f>
        <v>72265109.29234837</v>
      </c>
      <c r="B14608">
        <v>198101613.00698447</v>
      </c>
    </row>
    <row r="14609" spans="1:2" x14ac:dyDescent="0.25">
      <c r="A14609">
        <f ca="1">30811.2736440629*((RANDBETWEEN(1620,2416)))</f>
        <v>52810523.025923848</v>
      </c>
      <c r="B14609">
        <v>147504482.63663146</v>
      </c>
    </row>
    <row r="14610" spans="1:2" x14ac:dyDescent="0.25">
      <c r="A14610">
        <f ca="1">32450.1972375018*((RANDBETWEEN(1620,2416)))</f>
        <v>71293083.330791354</v>
      </c>
      <c r="B14610">
        <v>178743256.59096241</v>
      </c>
    </row>
    <row r="14611" spans="1:2" x14ac:dyDescent="0.25">
      <c r="A14611">
        <f ca="1">32560.4061021141*((RANDBETWEEN(1620,2416)))</f>
        <v>65251053.828636751</v>
      </c>
      <c r="B14611">
        <v>161205776.29217196</v>
      </c>
    </row>
    <row r="14612" spans="1:2" x14ac:dyDescent="0.25">
      <c r="A14612">
        <f ca="1">40051.4205098924*((RANDBETWEEN(1620,2416)))</f>
        <v>72653276.804944783</v>
      </c>
      <c r="B14612">
        <v>145292227.86975977</v>
      </c>
    </row>
    <row r="14613" spans="1:2" x14ac:dyDescent="0.25">
      <c r="A14613">
        <f ca="1">31915.324383306*((RANDBETWEEN(1620,2416)))</f>
        <v>56713531.429134771</v>
      </c>
      <c r="B14613">
        <v>146557275.33890632</v>
      </c>
    </row>
    <row r="14614" spans="1:2" x14ac:dyDescent="0.25">
      <c r="A14614">
        <f ca="1">32218.2297763817*((RANDBETWEEN(1620,2416)))</f>
        <v>59184888.09921322</v>
      </c>
      <c r="B14614">
        <v>160436152.61062333</v>
      </c>
    </row>
    <row r="14615" spans="1:2" x14ac:dyDescent="0.25">
      <c r="A14615">
        <f ca="1">32422.0659560826*((RANDBETWEEN(1620,2416)))</f>
        <v>66497657.275925517</v>
      </c>
      <c r="B14615">
        <v>164778368.87758306</v>
      </c>
    </row>
    <row r="14616" spans="1:2" x14ac:dyDescent="0.25">
      <c r="A14616">
        <f ca="1">32580.3050175765*((RANDBETWEEN(1620,2416)))</f>
        <v>66235760.100732945</v>
      </c>
      <c r="B14616">
        <v>182286285.49452674</v>
      </c>
    </row>
    <row r="14617" spans="1:2" x14ac:dyDescent="0.25">
      <c r="A14617">
        <f ca="1">29252.4244848682*((RANDBETWEEN(1620,2416)))</f>
        <v>59294664.430827841</v>
      </c>
      <c r="B14617">
        <v>144482621.61281821</v>
      </c>
    </row>
    <row r="14618" spans="1:2" x14ac:dyDescent="0.25">
      <c r="A14618">
        <f ca="1">37133.3624570681*((RANDBETWEEN(1620,2416)))</f>
        <v>79168328.758469284</v>
      </c>
      <c r="B14618">
        <v>160336968.59694257</v>
      </c>
    </row>
    <row r="14619" spans="1:2" x14ac:dyDescent="0.25">
      <c r="A14619">
        <f ca="1">36361.8099511313*((RANDBETWEEN(1620,2416)))</f>
        <v>64433127.233404696</v>
      </c>
      <c r="B14619">
        <v>143955942.22569972</v>
      </c>
    </row>
    <row r="14620" spans="1:2" x14ac:dyDescent="0.25">
      <c r="A14620">
        <f ca="1">36658.347619646*((RANDBETWEEN(1620,2416)))</f>
        <v>87063575.596659228</v>
      </c>
      <c r="B14620">
        <v>144746664.64773685</v>
      </c>
    </row>
    <row r="14621" spans="1:2" x14ac:dyDescent="0.25">
      <c r="A14621">
        <f ca="1">32485.6670989619*((RANDBETWEEN(1620,2416)))</f>
        <v>77738201.367815763</v>
      </c>
      <c r="B14621">
        <v>165571819.66754258</v>
      </c>
    </row>
    <row r="14622" spans="1:2" x14ac:dyDescent="0.25">
      <c r="A14622">
        <f ca="1">36304.5924342961*((RANDBETWEEN(1620,2416)))</f>
        <v>85424705.997898713</v>
      </c>
      <c r="B14622">
        <v>147772900.03812328</v>
      </c>
    </row>
    <row r="14623" spans="1:2" x14ac:dyDescent="0.25">
      <c r="A14623">
        <f ca="1">27988.5153527907*((RANDBETWEEN(1620,2416)))</f>
        <v>63449964.304776452</v>
      </c>
      <c r="B14623">
        <v>148198738.46694064</v>
      </c>
    </row>
    <row r="14624" spans="1:2" x14ac:dyDescent="0.25">
      <c r="A14624">
        <f ca="1">26861.5380237125*((RANDBETWEEN(1620,2416)))</f>
        <v>54636368.340231292</v>
      </c>
      <c r="B14624">
        <v>161296760.92916706</v>
      </c>
    </row>
    <row r="14625" spans="1:2" x14ac:dyDescent="0.25">
      <c r="A14625">
        <f ca="1">41361.7715421295*((RANDBETWEEN(1620,2416)))</f>
        <v>84915716.97599189</v>
      </c>
      <c r="B14625">
        <v>150002108.39166284</v>
      </c>
    </row>
    <row r="14626" spans="1:2" x14ac:dyDescent="0.25">
      <c r="A14626">
        <f ca="1">39430.4543757295*((RANDBETWEEN(1620,2416)))</f>
        <v>83158828.278413564</v>
      </c>
      <c r="B14626">
        <v>153668586.28418979</v>
      </c>
    </row>
    <row r="14627" spans="1:2" x14ac:dyDescent="0.25">
      <c r="A14627">
        <f ca="1">31426.4645761307*((RANDBETWEEN(1620,2416)))</f>
        <v>63670017.231240824</v>
      </c>
      <c r="B14627">
        <v>145765364.53865138</v>
      </c>
    </row>
    <row r="14628" spans="1:2" x14ac:dyDescent="0.25">
      <c r="A14628">
        <f ca="1">30197.5745014041*((RANDBETWEEN(1620,2416)))</f>
        <v>69273235.906221017</v>
      </c>
      <c r="B14628">
        <v>203347765.34623846</v>
      </c>
    </row>
    <row r="14629" spans="1:2" x14ac:dyDescent="0.25">
      <c r="A14629">
        <f ca="1">39790.9914649072*((RANDBETWEEN(1620,2416)))</f>
        <v>91996772.266865388</v>
      </c>
      <c r="B14629">
        <v>171174404.75267404</v>
      </c>
    </row>
    <row r="14630" spans="1:2" x14ac:dyDescent="0.25">
      <c r="A14630">
        <f ca="1">29577.5749440697*((RANDBETWEEN(1620,2416)))</f>
        <v>64449535.803127967</v>
      </c>
      <c r="B14630">
        <v>187343987.8742739</v>
      </c>
    </row>
    <row r="14631" spans="1:2" x14ac:dyDescent="0.25">
      <c r="A14631">
        <f ca="1">33093.753981471*((RANDBETWEEN(1620,2416)))</f>
        <v>66518445.502756633</v>
      </c>
      <c r="B14631">
        <v>196735868.76979733</v>
      </c>
    </row>
    <row r="14632" spans="1:2" x14ac:dyDescent="0.25">
      <c r="A14632">
        <f ca="1">30190.0123032663*((RANDBETWEEN(1620,2416)))</f>
        <v>57240263.326992877</v>
      </c>
      <c r="B14632">
        <v>149120081.58647048</v>
      </c>
    </row>
    <row r="14633" spans="1:2" x14ac:dyDescent="0.25">
      <c r="A14633">
        <f ca="1">32998.2704569783*((RANDBETWEEN(1620,2416)))</f>
        <v>71375258.99844411</v>
      </c>
      <c r="B14633">
        <v>146132007.44370916</v>
      </c>
    </row>
    <row r="14634" spans="1:2" x14ac:dyDescent="0.25">
      <c r="A14634">
        <f ca="1">36734.1914022242*((RANDBETWEEN(1620,2416)))</f>
        <v>81623373.295742258</v>
      </c>
      <c r="B14634">
        <v>167503524.34731579</v>
      </c>
    </row>
    <row r="14635" spans="1:2" x14ac:dyDescent="0.25">
      <c r="A14635">
        <f ca="1">28995.3243203598*((RANDBETWEEN(1620,2416)))</f>
        <v>65413451.666731626</v>
      </c>
      <c r="B14635">
        <v>154456101.77234703</v>
      </c>
    </row>
    <row r="14636" spans="1:2" x14ac:dyDescent="0.25">
      <c r="A14636">
        <f ca="1">30393.3933278514*((RANDBETWEEN(1620,2416)))</f>
        <v>65953663.521437623</v>
      </c>
      <c r="B14636">
        <v>167960727.00140458</v>
      </c>
    </row>
    <row r="14637" spans="1:2" x14ac:dyDescent="0.25">
      <c r="A14637">
        <f ca="1">33714.7220829136*((RANDBETWEEN(1620,2416)))</f>
        <v>64395119.178364985</v>
      </c>
      <c r="B14637">
        <v>190260563.11138725</v>
      </c>
    </row>
    <row r="14638" spans="1:2" x14ac:dyDescent="0.25">
      <c r="A14638">
        <f ca="1">33140.3817217733*((RANDBETWEEN(1620,2416)))</f>
        <v>78708406.589211687</v>
      </c>
      <c r="B14638">
        <v>162413331.42951688</v>
      </c>
    </row>
    <row r="14639" spans="1:2" x14ac:dyDescent="0.25">
      <c r="A14639">
        <f ca="1">28428.0556995557*((RANDBETWEEN(1620,2416)))</f>
        <v>62285870.037726462</v>
      </c>
      <c r="B14639">
        <v>161108447.83451411</v>
      </c>
    </row>
    <row r="14640" spans="1:2" x14ac:dyDescent="0.25">
      <c r="A14640">
        <f ca="1">37978.5107646158*((RANDBETWEEN(1620,2416)))</f>
        <v>72121191.942005426</v>
      </c>
      <c r="B14640">
        <v>145952740.13783765</v>
      </c>
    </row>
    <row r="14641" spans="1:2" x14ac:dyDescent="0.25">
      <c r="A14641">
        <f ca="1">40833.2852271994*((RANDBETWEEN(1620,2416)))</f>
        <v>69620751.312375009</v>
      </c>
      <c r="B14641">
        <v>197143931.19699258</v>
      </c>
    </row>
    <row r="14642" spans="1:2" x14ac:dyDescent="0.25">
      <c r="A14642">
        <f ca="1">30321.2537033583*((RANDBETWEEN(1620,2416)))</f>
        <v>58823232.184515178</v>
      </c>
      <c r="B14642">
        <v>152352548.35828513</v>
      </c>
    </row>
    <row r="14643" spans="1:2" x14ac:dyDescent="0.25">
      <c r="A14643">
        <f ca="1">33548.3626765792*((RANDBETWEEN(1620,2416)))</f>
        <v>57367700.176950492</v>
      </c>
      <c r="B14643">
        <v>160793167.05526277</v>
      </c>
    </row>
    <row r="14644" spans="1:2" x14ac:dyDescent="0.25">
      <c r="A14644">
        <f ca="1">27720.1495700526*((RANDBETWEEN(1620,2416)))</f>
        <v>60679407.408845246</v>
      </c>
      <c r="B14644">
        <v>187267012.32044381</v>
      </c>
    </row>
    <row r="14645" spans="1:2" x14ac:dyDescent="0.25">
      <c r="A14645">
        <f ca="1">31133.4668105233*((RANDBETWEEN(1620,2416)))</f>
        <v>52522158.509352826</v>
      </c>
      <c r="B14645">
        <v>154689211.20804322</v>
      </c>
    </row>
    <row r="14646" spans="1:2" x14ac:dyDescent="0.25">
      <c r="A14646">
        <f ca="1">34499.8155900324*((RANDBETWEEN(1620,2416)))</f>
        <v>71276619.009007022</v>
      </c>
      <c r="B14646">
        <v>150427307.1180765</v>
      </c>
    </row>
    <row r="14647" spans="1:2" x14ac:dyDescent="0.25">
      <c r="A14647">
        <f ca="1">32527.1513839517*((RANDBETWEEN(1620,2416)))</f>
        <v>73706525.036034659</v>
      </c>
      <c r="B14647">
        <v>148643273.93271303</v>
      </c>
    </row>
    <row r="14648" spans="1:2" x14ac:dyDescent="0.25">
      <c r="A14648">
        <f ca="1">32157.3605449328*((RANDBETWEEN(1620,2416)))</f>
        <v>76823934.341844484</v>
      </c>
      <c r="B14648">
        <v>167790127.90580449</v>
      </c>
    </row>
    <row r="14649" spans="1:2" x14ac:dyDescent="0.25">
      <c r="A14649">
        <f ca="1">31983.2348340878*((RANDBETWEEN(1620,2416)))</f>
        <v>69147753.711297736</v>
      </c>
      <c r="B14649">
        <v>148100474.27953613</v>
      </c>
    </row>
    <row r="14650" spans="1:2" x14ac:dyDescent="0.25">
      <c r="A14650">
        <f ca="1">32486.775679165*((RANDBETWEEN(1620,2416)))</f>
        <v>60165508.557813548</v>
      </c>
      <c r="B14650">
        <v>157052847.38279092</v>
      </c>
    </row>
    <row r="14651" spans="1:2" x14ac:dyDescent="0.25">
      <c r="A14651">
        <f ca="1">36925.0947467909*((RANDBETWEEN(1620,2416)))</f>
        <v>67166747.34441261</v>
      </c>
      <c r="B14651">
        <v>166216739.5206629</v>
      </c>
    </row>
    <row r="14652" spans="1:2" x14ac:dyDescent="0.25">
      <c r="A14652">
        <f ca="1">32691.9329878942*((RANDBETWEEN(1620,2416)))</f>
        <v>63945420.924321003</v>
      </c>
      <c r="B14652">
        <v>180909861.55212077</v>
      </c>
    </row>
    <row r="14653" spans="1:2" x14ac:dyDescent="0.25">
      <c r="A14653">
        <f ca="1">34648.1351426745*((RANDBETWEEN(1620,2416)))</f>
        <v>77750415.260161549</v>
      </c>
      <c r="B14653">
        <v>167715087.03700796</v>
      </c>
    </row>
    <row r="14654" spans="1:2" x14ac:dyDescent="0.25">
      <c r="A14654">
        <f ca="1">35787.6480267154*((RANDBETWEEN(1620,2416)))</f>
        <v>82776829.885792762</v>
      </c>
      <c r="B14654">
        <v>193351144.71674845</v>
      </c>
    </row>
    <row r="14655" spans="1:2" x14ac:dyDescent="0.25">
      <c r="A14655">
        <f ca="1">40979.1262853042*((RANDBETWEEN(1620,2416)))</f>
        <v>74745926.344394848</v>
      </c>
      <c r="B14655">
        <v>148969362.96299011</v>
      </c>
    </row>
    <row r="14656" spans="1:2" x14ac:dyDescent="0.25">
      <c r="A14656">
        <f ca="1">39528.9877729363*((RANDBETWEEN(1620,2416)))</f>
        <v>68622322.773817435</v>
      </c>
      <c r="B14656">
        <v>173408285.52143317</v>
      </c>
    </row>
    <row r="14657" spans="1:2" x14ac:dyDescent="0.25">
      <c r="A14657">
        <f ca="1">31223.8583997159*((RANDBETWEEN(1620,2416)))</f>
        <v>65070520.905007906</v>
      </c>
      <c r="B14657">
        <v>151270643.75103462</v>
      </c>
    </row>
    <row r="14658" spans="1:2" x14ac:dyDescent="0.25">
      <c r="A14658">
        <f ca="1">31601.1646730195*((RANDBETWEEN(1620,2416)))</f>
        <v>56597685.929377899</v>
      </c>
      <c r="B14658">
        <v>146420460.30322623</v>
      </c>
    </row>
    <row r="14659" spans="1:2" x14ac:dyDescent="0.25">
      <c r="A14659">
        <f ca="1">30624.5157742867*((RANDBETWEEN(1620,2416)))</f>
        <v>53072285.836838894</v>
      </c>
      <c r="B14659">
        <v>160402907.30606973</v>
      </c>
    </row>
    <row r="14660" spans="1:2" x14ac:dyDescent="0.25">
      <c r="A14660">
        <f ca="1">31759.2206223147*((RANDBETWEEN(1620,2416)))</f>
        <v>65932142.011925325</v>
      </c>
      <c r="B14660">
        <v>159687803.77178374</v>
      </c>
    </row>
    <row r="14661" spans="1:2" x14ac:dyDescent="0.25">
      <c r="A14661">
        <f ca="1">38302.4951543514*((RANDBETWEEN(1620,2416)))</f>
        <v>71166035.996784806</v>
      </c>
      <c r="B14661">
        <v>158502892.0510124</v>
      </c>
    </row>
    <row r="14662" spans="1:2" x14ac:dyDescent="0.25">
      <c r="A14662">
        <f ca="1">34019.4756395529*((RANDBETWEEN(1620,2416)))</f>
        <v>55893998.475785471</v>
      </c>
      <c r="B14662">
        <v>165740714.75325882</v>
      </c>
    </row>
    <row r="14663" spans="1:2" x14ac:dyDescent="0.25">
      <c r="A14663">
        <f ca="1">30190.0191809144*((RANDBETWEEN(1620,2416)))</f>
        <v>49904101.706051506</v>
      </c>
      <c r="B14663">
        <v>171871954.4078325</v>
      </c>
    </row>
    <row r="14664" spans="1:2" x14ac:dyDescent="0.25">
      <c r="A14664">
        <f ca="1">40049.059350643*((RANDBETWEEN(1620,2416)))</f>
        <v>89549696.708037764</v>
      </c>
      <c r="B14664">
        <v>178286347.57620165</v>
      </c>
    </row>
    <row r="14665" spans="1:2" x14ac:dyDescent="0.25">
      <c r="A14665">
        <f ca="1">33638.4354798295*((RANDBETWEEN(1620,2416)))</f>
        <v>62903874.347281195</v>
      </c>
      <c r="B14665">
        <v>175443349.5203433</v>
      </c>
    </row>
    <row r="14666" spans="1:2" x14ac:dyDescent="0.25">
      <c r="A14666">
        <f ca="1">30056.0218152308*((RANDBETWEEN(1620,2416)))</f>
        <v>49532323.951500408</v>
      </c>
      <c r="B14666">
        <v>194727404.50666612</v>
      </c>
    </row>
    <row r="14667" spans="1:2" x14ac:dyDescent="0.25">
      <c r="A14667">
        <f ca="1">29968.3975171032*((RANDBETWEEN(1620,2416)))</f>
        <v>70515639.357743919</v>
      </c>
      <c r="B14667">
        <v>155825579.14593583</v>
      </c>
    </row>
    <row r="14668" spans="1:2" x14ac:dyDescent="0.25">
      <c r="A14668">
        <f ca="1">32446.2388521483*((RANDBETWEEN(1620,2416)))</f>
        <v>62491456.02923765</v>
      </c>
      <c r="B14668">
        <v>175985959.29930004</v>
      </c>
    </row>
    <row r="14669" spans="1:2" x14ac:dyDescent="0.25">
      <c r="A14669">
        <f ca="1">41400.9123720862*((RANDBETWEEN(1620,2416)))</f>
        <v>92779444.62584509</v>
      </c>
      <c r="B14669">
        <v>175610296.16029382</v>
      </c>
    </row>
    <row r="14670" spans="1:2" x14ac:dyDescent="0.25">
      <c r="A14670">
        <f ca="1">28351.3177746984*((RANDBETWEEN(1620,2416)))</f>
        <v>53158720.827559508</v>
      </c>
      <c r="B14670">
        <v>189454578.5952433</v>
      </c>
    </row>
    <row r="14671" spans="1:2" x14ac:dyDescent="0.25">
      <c r="A14671">
        <f ca="1">37707.1743739555*((RANDBETWEEN(1620,2416)))</f>
        <v>67910621.04749386</v>
      </c>
      <c r="B14671">
        <v>183419272.89713746</v>
      </c>
    </row>
    <row r="14672" spans="1:2" x14ac:dyDescent="0.25">
      <c r="A14672">
        <f ca="1">31617.2419371*((RANDBETWEEN(1620,2416)))</f>
        <v>52358152.647837535</v>
      </c>
      <c r="B14672">
        <v>144802709.82425562</v>
      </c>
    </row>
    <row r="14673" spans="1:2" x14ac:dyDescent="0.25">
      <c r="A14673">
        <f ca="1">39764.5351289407*((RANDBETWEEN(1620,2416)))</f>
        <v>86368570.300059244</v>
      </c>
      <c r="B14673">
        <v>156337096.44839075</v>
      </c>
    </row>
    <row r="14674" spans="1:2" x14ac:dyDescent="0.25">
      <c r="A14674">
        <f ca="1">32244.5630439741*((RANDBETWEEN(1620,2416)))</f>
        <v>76419614.414218575</v>
      </c>
      <c r="B14674">
        <v>161400236.71110976</v>
      </c>
    </row>
    <row r="14675" spans="1:2" x14ac:dyDescent="0.25">
      <c r="A14675">
        <f ca="1">30737.8580305331*((RANDBETWEEN(1620,2416)))</f>
        <v>53207232.250852875</v>
      </c>
      <c r="B14675">
        <v>165306097.55564988</v>
      </c>
    </row>
    <row r="14676" spans="1:2" x14ac:dyDescent="0.25">
      <c r="A14676">
        <f ca="1">37656.744332567*((RANDBETWEEN(1620,2416)))</f>
        <v>61342836.517751686</v>
      </c>
      <c r="B14676">
        <v>181654526.87077576</v>
      </c>
    </row>
    <row r="14677" spans="1:2" x14ac:dyDescent="0.25">
      <c r="A14677">
        <f ca="1">35745.6856068574*((RANDBETWEEN(1620,2416)))</f>
        <v>58622924.395246215</v>
      </c>
      <c r="B14677">
        <v>160685910.46804479</v>
      </c>
    </row>
    <row r="14678" spans="1:2" x14ac:dyDescent="0.25">
      <c r="A14678">
        <f ca="1">34675.6067778201*((RANDBETWEEN(1620,2416)))</f>
        <v>79996624.836431086</v>
      </c>
      <c r="B14678">
        <v>188708918.86060226</v>
      </c>
    </row>
    <row r="14679" spans="1:2" x14ac:dyDescent="0.25">
      <c r="A14679">
        <f ca="1">35199.8977147973*((RANDBETWEEN(1620,2416)))</f>
        <v>62655817.932339229</v>
      </c>
      <c r="B14679">
        <v>148355736.00096592</v>
      </c>
    </row>
    <row r="14680" spans="1:2" x14ac:dyDescent="0.25">
      <c r="A14680">
        <f ca="1">40987.8059519845*((RANDBETWEEN(1620,2416)))</f>
        <v>88984526.721758395</v>
      </c>
      <c r="B14680">
        <v>156685181.35533509</v>
      </c>
    </row>
    <row r="14681" spans="1:2" x14ac:dyDescent="0.25">
      <c r="A14681">
        <f ca="1">39251.6261441166*((RANDBETWEEN(1620,2416)))</f>
        <v>88394662.076550677</v>
      </c>
      <c r="B14681">
        <v>160233038.94063503</v>
      </c>
    </row>
    <row r="14682" spans="1:2" x14ac:dyDescent="0.25">
      <c r="A14682">
        <f ca="1">38918.7148666454*((RANDBETWEEN(1620,2416)))</f>
        <v>84648204.834953696</v>
      </c>
      <c r="B14682">
        <v>161460450.65570658</v>
      </c>
    </row>
    <row r="14683" spans="1:2" x14ac:dyDescent="0.25">
      <c r="A14683">
        <f ca="1">30068.5229526768*((RANDBETWEEN(1620,2416)))</f>
        <v>72314797.701187819</v>
      </c>
      <c r="B14683">
        <v>173345362.55017471</v>
      </c>
    </row>
    <row r="14684" spans="1:2" x14ac:dyDescent="0.25">
      <c r="A14684">
        <f ca="1">33975.310587173*((RANDBETWEEN(1620,2416)))</f>
        <v>57995855.172304288</v>
      </c>
      <c r="B14684">
        <v>149841593.23259747</v>
      </c>
    </row>
    <row r="14685" spans="1:2" x14ac:dyDescent="0.25">
      <c r="A14685">
        <f ca="1">41485.2955949593*((RANDBETWEEN(1620,2416)))</f>
        <v>95208753.390431687</v>
      </c>
      <c r="B14685">
        <v>166630538.84438413</v>
      </c>
    </row>
    <row r="14686" spans="1:2" x14ac:dyDescent="0.25">
      <c r="A14686">
        <f ca="1">40553.8183533152*((RANDBETWEEN(1620,2416)))</f>
        <v>91408306.568372518</v>
      </c>
      <c r="B14686">
        <v>149469983.13082725</v>
      </c>
    </row>
    <row r="14687" spans="1:2" x14ac:dyDescent="0.25">
      <c r="A14687">
        <f ca="1">32242.16873113*((RANDBETWEEN(1620,2416)))</f>
        <v>61227878.42041593</v>
      </c>
      <c r="B14687">
        <v>152976827.75541764</v>
      </c>
    </row>
    <row r="14688" spans="1:2" x14ac:dyDescent="0.25">
      <c r="A14688">
        <f ca="1">33459.0323862685*((RANDBETWEEN(1620,2416)))</f>
        <v>75450118.031035513</v>
      </c>
      <c r="B14688">
        <v>193387221.82815936</v>
      </c>
    </row>
    <row r="14689" spans="1:2" x14ac:dyDescent="0.25">
      <c r="A14689">
        <f ca="1">36918.5730292198*((RANDBETWEEN(1620,2416)))</f>
        <v>80962430.653078929</v>
      </c>
      <c r="B14689">
        <v>164796725.4179846</v>
      </c>
    </row>
    <row r="14690" spans="1:2" x14ac:dyDescent="0.25">
      <c r="A14690">
        <f ca="1">31971.3169910874*((RANDBETWEEN(1620,2416)))</f>
        <v>63942633.982174873</v>
      </c>
      <c r="B14690">
        <v>184252605.35448796</v>
      </c>
    </row>
    <row r="14691" spans="1:2" x14ac:dyDescent="0.25">
      <c r="A14691">
        <f ca="1">39959.539026413*((RANDBETWEEN(1620,2416)))</f>
        <v>85873049.367761627</v>
      </c>
      <c r="B14691">
        <v>158449803.86443713</v>
      </c>
    </row>
    <row r="14692" spans="1:2" x14ac:dyDescent="0.25">
      <c r="A14692">
        <f ca="1">29322.8496428664*((RANDBETWEEN(1620,2416)))</f>
        <v>57619399.548232399</v>
      </c>
      <c r="B14692">
        <v>163862015.33985615</v>
      </c>
    </row>
    <row r="14693" spans="1:2" x14ac:dyDescent="0.25">
      <c r="A14693">
        <f ca="1">36607.5851350847*((RANDBETWEEN(1620,2416)))</f>
        <v>62196287.144508854</v>
      </c>
      <c r="B14693">
        <v>174739723.99795222</v>
      </c>
    </row>
    <row r="14694" spans="1:2" x14ac:dyDescent="0.25">
      <c r="A14694">
        <f ca="1">38077.6042553713*((RANDBETWEEN(1620,2416)))</f>
        <v>62713814.208596483</v>
      </c>
      <c r="B14694">
        <v>155824473.43181545</v>
      </c>
    </row>
    <row r="14695" spans="1:2" x14ac:dyDescent="0.25">
      <c r="A14695">
        <f ca="1">35436.8581633463*((RANDBETWEEN(1620,2416)))</f>
        <v>71263521.766489312</v>
      </c>
      <c r="B14695">
        <v>156659491.76754445</v>
      </c>
    </row>
    <row r="14696" spans="1:2" x14ac:dyDescent="0.25">
      <c r="A14696">
        <f ca="1">35550.400889704*((RANDBETWEEN(1620,2416)))</f>
        <v>83543442.090804458</v>
      </c>
      <c r="B14696">
        <v>170841297.42026037</v>
      </c>
    </row>
    <row r="14697" spans="1:2" x14ac:dyDescent="0.25">
      <c r="A14697">
        <f ca="1">39092.4075359887*((RANDBETWEEN(1620,2416)))</f>
        <v>93118114.750725105</v>
      </c>
      <c r="B14697">
        <v>154120381.25992408</v>
      </c>
    </row>
    <row r="14698" spans="1:2" x14ac:dyDescent="0.25">
      <c r="A14698">
        <f ca="1">32387.1778015027*((RANDBETWEEN(1620,2416)))</f>
        <v>71640437.296923995</v>
      </c>
      <c r="B14698">
        <v>185870244.36842397</v>
      </c>
    </row>
    <row r="14699" spans="1:2" x14ac:dyDescent="0.25">
      <c r="A14699">
        <f ca="1">29868.3980876547*((RANDBETWEEN(1620,2416)))</f>
        <v>49193251.650367305</v>
      </c>
      <c r="B14699">
        <v>150198195.39108199</v>
      </c>
    </row>
    <row r="14700" spans="1:2" x14ac:dyDescent="0.25">
      <c r="A14700">
        <f ca="1">31649.7210523296*((RANDBETWEEN(1620,2416)))</f>
        <v>51905542.525820576</v>
      </c>
      <c r="B14700">
        <v>163055530.96166393</v>
      </c>
    </row>
    <row r="14701" spans="1:2" x14ac:dyDescent="0.25">
      <c r="A14701">
        <f ca="1">38576.8144466869*((RANDBETWEEN(1620,2416)))</f>
        <v>73681715.593171954</v>
      </c>
      <c r="B14701">
        <v>199408186.18741846</v>
      </c>
    </row>
    <row r="14702" spans="1:2" x14ac:dyDescent="0.25">
      <c r="A14702">
        <f ca="1">28838.9913418615*((RANDBETWEEN(1620,2416)))</f>
        <v>52400447.268162303</v>
      </c>
      <c r="B14702">
        <v>160737284.27185422</v>
      </c>
    </row>
    <row r="14703" spans="1:2" x14ac:dyDescent="0.25">
      <c r="A14703">
        <f ca="1">29682.964845294*((RANDBETWEEN(1620,2416)))</f>
        <v>70615773.366954446</v>
      </c>
      <c r="B14703">
        <v>156960711.69778845</v>
      </c>
    </row>
    <row r="14704" spans="1:2" x14ac:dyDescent="0.25">
      <c r="A14704">
        <f ca="1">35360.5596057604*((RANDBETWEEN(1620,2416)))</f>
        <v>70579676.973097816</v>
      </c>
      <c r="B14704">
        <v>149586660.92667598</v>
      </c>
    </row>
    <row r="14705" spans="1:2" x14ac:dyDescent="0.25">
      <c r="A14705">
        <f ca="1">37316.7439019479*((RANDBETWEEN(1620,2416)))</f>
        <v>63139930.682095796</v>
      </c>
      <c r="B14705">
        <v>171262109.93970266</v>
      </c>
    </row>
    <row r="14706" spans="1:2" x14ac:dyDescent="0.25">
      <c r="A14706">
        <f ca="1">30490.021201275*((RANDBETWEEN(1620,2416)))</f>
        <v>57443199.943202041</v>
      </c>
      <c r="B14706">
        <v>158352320.06011748</v>
      </c>
    </row>
    <row r="14707" spans="1:2" x14ac:dyDescent="0.25">
      <c r="A14707">
        <f ca="1">31091.3208760237*((RANDBETWEEN(1620,2416)))</f>
        <v>63115381.378328025</v>
      </c>
      <c r="B14707">
        <v>202358041.09573767</v>
      </c>
    </row>
    <row r="14708" spans="1:2" x14ac:dyDescent="0.25">
      <c r="A14708">
        <f ca="1">30908.1309284384*((RANDBETWEEN(1620,2416)))</f>
        <v>63114403.35587129</v>
      </c>
      <c r="B14708">
        <v>197928358.26229101</v>
      </c>
    </row>
    <row r="14709" spans="1:2" x14ac:dyDescent="0.25">
      <c r="A14709">
        <f ca="1">31829.3254804995*((RANDBETWEEN(1620,2416)))</f>
        <v>55287538.359627567</v>
      </c>
      <c r="B14709">
        <v>157206644.50502306</v>
      </c>
    </row>
    <row r="14710" spans="1:2" x14ac:dyDescent="0.25">
      <c r="A14710">
        <f ca="1">30607.6650498495*((RANDBETWEEN(1620,2416)))</f>
        <v>73029888.808940992</v>
      </c>
      <c r="B14710">
        <v>151438205.8539193</v>
      </c>
    </row>
    <row r="14711" spans="1:2" x14ac:dyDescent="0.25">
      <c r="A14711">
        <f ca="1">32360.6709048629*((RANDBETWEEN(1620,2416)))</f>
        <v>62812062.226338878</v>
      </c>
      <c r="B14711">
        <v>149770451.2122429</v>
      </c>
    </row>
    <row r="14712" spans="1:2" x14ac:dyDescent="0.25">
      <c r="A14712">
        <f ca="1">32838.9264477045*((RANDBETWEEN(1620,2416)))</f>
        <v>59569812.57613603</v>
      </c>
      <c r="B14712">
        <v>175231577.19679484</v>
      </c>
    </row>
    <row r="14713" spans="1:2" x14ac:dyDescent="0.25">
      <c r="A14713">
        <f ca="1">33772.8414543243*((RANDBETWEEN(1620,2416)))</f>
        <v>72138789.34643662</v>
      </c>
      <c r="B14713">
        <v>154221368.21393746</v>
      </c>
    </row>
    <row r="14714" spans="1:2" x14ac:dyDescent="0.25">
      <c r="A14714">
        <f ca="1">38363.1444837724*((RANDBETWEEN(1620,2416)))</f>
        <v>62301746.641646422</v>
      </c>
      <c r="B14714">
        <v>145227846.46827254</v>
      </c>
    </row>
    <row r="14715" spans="1:2" x14ac:dyDescent="0.25">
      <c r="A14715">
        <f ca="1">33034.6517955228*((RANDBETWEEN(1620,2416)))</f>
        <v>53615239.864133537</v>
      </c>
      <c r="B14715">
        <v>185131236.01597798</v>
      </c>
    </row>
    <row r="14716" spans="1:2" x14ac:dyDescent="0.25">
      <c r="A14716">
        <f ca="1">38707.9197805107*((RANDBETWEEN(1620,2416)))</f>
        <v>69790379.364260778</v>
      </c>
      <c r="B14716">
        <v>201084396.34600371</v>
      </c>
    </row>
    <row r="14717" spans="1:2" x14ac:dyDescent="0.25">
      <c r="A14717">
        <f ca="1">30686.1253346284*((RANDBETWEEN(1620,2416)))</f>
        <v>64164688.074707933</v>
      </c>
      <c r="B14717">
        <v>148525347.90427679</v>
      </c>
    </row>
    <row r="14718" spans="1:2" x14ac:dyDescent="0.25">
      <c r="A14718">
        <f ca="1">32820.8169570946*((RANDBETWEEN(1620,2416)))</f>
        <v>69514490.31512627</v>
      </c>
      <c r="B14718">
        <v>180339531.50119758</v>
      </c>
    </row>
    <row r="14719" spans="1:2" x14ac:dyDescent="0.25">
      <c r="A14719">
        <f ca="1">30974.2124171726*((RANDBETWEEN(1620,2416)))</f>
        <v>65727278.749240182</v>
      </c>
      <c r="B14719">
        <v>169564426.07032949</v>
      </c>
    </row>
    <row r="14720" spans="1:2" x14ac:dyDescent="0.25">
      <c r="A14720">
        <f ca="1">31560.1885832945*((RANDBETWEEN(1620,2416)))</f>
        <v>73093396.758909985</v>
      </c>
      <c r="B14720">
        <v>144056800.59028831</v>
      </c>
    </row>
    <row r="14721" spans="1:2" x14ac:dyDescent="0.25">
      <c r="A14721">
        <f ca="1">31085.2537232627*((RANDBETWEEN(1620,2416)))</f>
        <v>56979270.074740559</v>
      </c>
      <c r="B14721">
        <v>151453214.29569179</v>
      </c>
    </row>
    <row r="14722" spans="1:2" x14ac:dyDescent="0.25">
      <c r="A14722">
        <f ca="1">34193.9202666617*((RANDBETWEEN(1620,2416)))</f>
        <v>56522550.200791821</v>
      </c>
      <c r="B14722">
        <v>143465545.23662865</v>
      </c>
    </row>
    <row r="14723" spans="1:2" x14ac:dyDescent="0.25">
      <c r="A14723">
        <f ca="1">31338.8468395849*((RANDBETWEEN(1620,2416)))</f>
        <v>57412767.410119601</v>
      </c>
      <c r="B14723">
        <v>154810056.29359901</v>
      </c>
    </row>
    <row r="14724" spans="1:2" x14ac:dyDescent="0.25">
      <c r="A14724">
        <f ca="1">31768.2385187449*((RANDBETWEEN(1620,2416)))</f>
        <v>75671944.151650295</v>
      </c>
      <c r="B14724">
        <v>173250938.80079994</v>
      </c>
    </row>
    <row r="14725" spans="1:2" x14ac:dyDescent="0.25">
      <c r="A14725">
        <f ca="1">42018.0659639737*((RANDBETWEEN(1620,2416)))</f>
        <v>100885376.37950078</v>
      </c>
      <c r="B14725">
        <v>160486674.44498384</v>
      </c>
    </row>
    <row r="14726" spans="1:2" x14ac:dyDescent="0.25">
      <c r="A14726">
        <f ca="1">36100.8169799202*((RANDBETWEEN(1620,2416)))</f>
        <v>83248483.955695912</v>
      </c>
      <c r="B14726">
        <v>150292110.1532591</v>
      </c>
    </row>
    <row r="14727" spans="1:2" x14ac:dyDescent="0.25">
      <c r="A14727">
        <f ca="1">31129.0027403522*((RANDBETWEEN(1620,2416)))</f>
        <v>74211542.53299953</v>
      </c>
      <c r="B14727">
        <v>155011407.75485951</v>
      </c>
    </row>
    <row r="14728" spans="1:2" x14ac:dyDescent="0.25">
      <c r="A14728">
        <f ca="1">30256.4160489858*((RANDBETWEEN(1620,2416)))</f>
        <v>58818472.799228311</v>
      </c>
      <c r="B14728">
        <v>166103546.86026895</v>
      </c>
    </row>
    <row r="14729" spans="1:2" x14ac:dyDescent="0.25">
      <c r="A14729">
        <f ca="1">31672.8657132097*((RANDBETWEEN(1620,2416)))</f>
        <v>76236587.771695688</v>
      </c>
      <c r="B14729">
        <v>195128348.75421792</v>
      </c>
    </row>
    <row r="14730" spans="1:2" x14ac:dyDescent="0.25">
      <c r="A14730">
        <f ca="1">29582.6950681971*((RANDBETWEEN(1620,2416)))</f>
        <v>56355034.10491541</v>
      </c>
      <c r="B14730">
        <v>170900021.310702</v>
      </c>
    </row>
    <row r="14731" spans="1:2" x14ac:dyDescent="0.25">
      <c r="A14731">
        <f ca="1">28549.0027175901*((RANDBETWEEN(1620,2416)))</f>
        <v>57897377.511272781</v>
      </c>
      <c r="B14731">
        <v>165538539.32667276</v>
      </c>
    </row>
    <row r="14732" spans="1:2" x14ac:dyDescent="0.25">
      <c r="A14732">
        <f ca="1">34570.7641736159*((RANDBETWEEN(1620,2416)))</f>
        <v>59461714.378619447</v>
      </c>
      <c r="B14732">
        <v>147093902.83003995</v>
      </c>
    </row>
    <row r="14733" spans="1:2" x14ac:dyDescent="0.25">
      <c r="A14733">
        <f ca="1">32796.6144744419*((RANDBETWEEN(1620,2416)))</f>
        <v>72808484.13326095</v>
      </c>
      <c r="B14733">
        <v>196440643.75121692</v>
      </c>
    </row>
    <row r="14734" spans="1:2" x14ac:dyDescent="0.25">
      <c r="A14734">
        <f ca="1">32746.7157339072*((RANDBETWEEN(1620,2416)))</f>
        <v>70208958.53349705</v>
      </c>
      <c r="B14734">
        <v>200301386.98419696</v>
      </c>
    </row>
    <row r="14735" spans="1:2" x14ac:dyDescent="0.25">
      <c r="A14735">
        <f ca="1">35716.7294369485*((RANDBETWEEN(1620,2416)))</f>
        <v>70361956.99078846</v>
      </c>
      <c r="B14735">
        <v>193272431.27066574</v>
      </c>
    </row>
    <row r="14736" spans="1:2" x14ac:dyDescent="0.25">
      <c r="A14736">
        <f ca="1">33382.1849595772*((RANDBETWEEN(1620,2416)))</f>
        <v>60254843.852036804</v>
      </c>
      <c r="B14736">
        <v>144931573.94133034</v>
      </c>
    </row>
    <row r="14737" spans="1:2" x14ac:dyDescent="0.25">
      <c r="A14737">
        <f ca="1">33817.5903800056*((RANDBETWEEN(1620,2416)))</f>
        <v>74973597.872472525</v>
      </c>
      <c r="B14737">
        <v>166174210.64343327</v>
      </c>
    </row>
    <row r="14738" spans="1:2" x14ac:dyDescent="0.25">
      <c r="A14738">
        <f ca="1">32342.1432594007*((RANDBETWEEN(1620,2416)))</f>
        <v>77330064.533227041</v>
      </c>
      <c r="B14738">
        <v>190120410.6578159</v>
      </c>
    </row>
    <row r="14739" spans="1:2" x14ac:dyDescent="0.25">
      <c r="A14739">
        <f ca="1">31620.3079353887*((RANDBETWEEN(1620,2416)))</f>
        <v>52299989.325132884</v>
      </c>
      <c r="B14739">
        <v>194415272.39056903</v>
      </c>
    </row>
    <row r="14740" spans="1:2" x14ac:dyDescent="0.25">
      <c r="A14740">
        <f ca="1">33622.8027678218*((RANDBETWEEN(1620,2416)))</f>
        <v>68624140.449124366</v>
      </c>
      <c r="B14740">
        <v>196905884.12696084</v>
      </c>
    </row>
    <row r="14741" spans="1:2" x14ac:dyDescent="0.25">
      <c r="A14741">
        <f ca="1">41666.537392267*((RANDBETWEEN(1620,2416)))</f>
        <v>76999761.100909382</v>
      </c>
      <c r="B14741">
        <v>156754755.63483599</v>
      </c>
    </row>
    <row r="14742" spans="1:2" x14ac:dyDescent="0.25">
      <c r="A14742">
        <f ca="1">30318.9848093712*((RANDBETWEEN(1620,2416)))</f>
        <v>61820410.026307888</v>
      </c>
      <c r="B14742">
        <v>143983839.91803542</v>
      </c>
    </row>
    <row r="14743" spans="1:2" x14ac:dyDescent="0.25">
      <c r="A14743">
        <f ca="1">31489.3319257905*((RANDBETWEEN(1620,2416)))</f>
        <v>72047591.446208611</v>
      </c>
      <c r="B14743">
        <v>186862918.44206354</v>
      </c>
    </row>
    <row r="14744" spans="1:2" x14ac:dyDescent="0.25">
      <c r="A14744">
        <f ca="1">29777.4445339854*((RANDBETWEEN(1620,2416)))</f>
        <v>65182826.084894113</v>
      </c>
      <c r="B14744">
        <v>172852389.63483593</v>
      </c>
    </row>
    <row r="14745" spans="1:2" x14ac:dyDescent="0.25">
      <c r="A14745">
        <f ca="1">32178.6420909167*((RANDBETWEEN(1620,2416)))</f>
        <v>65869680.360106431</v>
      </c>
      <c r="B14745">
        <v>148313832.1598748</v>
      </c>
    </row>
    <row r="14746" spans="1:2" x14ac:dyDescent="0.25">
      <c r="A14746">
        <f ca="1">32887.1688363821*((RANDBETWEEN(1620,2416)))</f>
        <v>69556362.088948131</v>
      </c>
      <c r="B14746">
        <v>161613161.73803955</v>
      </c>
    </row>
    <row r="14747" spans="1:2" x14ac:dyDescent="0.25">
      <c r="A14747">
        <f ca="1">35965.9706787098*((RANDBETWEEN(1620,2416)))</f>
        <v>84160371.388181016</v>
      </c>
      <c r="B14747">
        <v>166554447.27852485</v>
      </c>
    </row>
    <row r="14748" spans="1:2" x14ac:dyDescent="0.25">
      <c r="A14748">
        <f ca="1">27144.1510296147*((RANDBETWEEN(1620,2416)))</f>
        <v>56486978.292628102</v>
      </c>
      <c r="B14748">
        <v>198940955.96954513</v>
      </c>
    </row>
    <row r="14749" spans="1:2" x14ac:dyDescent="0.25">
      <c r="A14749">
        <f ca="1">31298.9972498368*((RANDBETWEEN(1620,2416)))</f>
        <v>75618377.355605707</v>
      </c>
      <c r="B14749">
        <v>171657126.66501755</v>
      </c>
    </row>
    <row r="14750" spans="1:2" x14ac:dyDescent="0.25">
      <c r="A14750">
        <f ca="1">29517.7265632388*((RANDBETWEEN(1620,2416)))</f>
        <v>48822319.735597044</v>
      </c>
      <c r="B14750">
        <v>160551093.64240149</v>
      </c>
    </row>
    <row r="14751" spans="1:2" x14ac:dyDescent="0.25">
      <c r="A14751">
        <f ca="1">37314.3029926186*((RANDBETWEEN(1620,2416)))</f>
        <v>89852841.60622561</v>
      </c>
      <c r="B14751">
        <v>194335693.91092449</v>
      </c>
    </row>
    <row r="14752" spans="1:2" x14ac:dyDescent="0.25">
      <c r="A14752">
        <f ca="1">30537.3452112343*((RANDBETWEEN(1620,2416)))</f>
        <v>72404045.495836616</v>
      </c>
      <c r="B14752">
        <v>177845272.53845513</v>
      </c>
    </row>
    <row r="14753" spans="1:2" x14ac:dyDescent="0.25">
      <c r="A14753">
        <f ca="1">32710.5820970392*((RANDBETWEEN(1620,2416)))</f>
        <v>64112740.910196744</v>
      </c>
      <c r="B14753">
        <v>158933998.44308895</v>
      </c>
    </row>
    <row r="14754" spans="1:2" x14ac:dyDescent="0.25">
      <c r="A14754">
        <f ca="1">38427.7319340873*((RANDBETWEEN(1620,2416)))</f>
        <v>85424848.089476153</v>
      </c>
      <c r="B14754">
        <v>173464512.19862711</v>
      </c>
    </row>
    <row r="14755" spans="1:2" x14ac:dyDescent="0.25">
      <c r="A14755">
        <f ca="1">42685.2698974511*((RANDBETWEEN(1620,2416)))</f>
        <v>93181944.18613565</v>
      </c>
      <c r="B14755">
        <v>145968530.3319149</v>
      </c>
    </row>
    <row r="14756" spans="1:2" x14ac:dyDescent="0.25">
      <c r="A14756">
        <f ca="1">33483.1463182291*((RANDBETWEEN(1620,2416)))</f>
        <v>57457079.082081184</v>
      </c>
      <c r="B14756">
        <v>145337368.3198266</v>
      </c>
    </row>
    <row r="14757" spans="1:2" x14ac:dyDescent="0.25">
      <c r="A14757">
        <f ca="1">32647.5293615786*((RANDBETWEEN(1620,2416)))</f>
        <v>72771342.94695878</v>
      </c>
      <c r="B14757">
        <v>161166130.54892412</v>
      </c>
    </row>
    <row r="14758" spans="1:2" x14ac:dyDescent="0.25">
      <c r="A14758">
        <f ca="1">31038.7588847117*((RANDBETWEEN(1620,2416)))</f>
        <v>60556618.584072568</v>
      </c>
      <c r="B14758">
        <v>153627448.11852229</v>
      </c>
    </row>
    <row r="14759" spans="1:2" x14ac:dyDescent="0.25">
      <c r="A14759">
        <f ca="1">37195.9703258015*((RANDBETWEEN(1620,2416)))</f>
        <v>77590794.099621892</v>
      </c>
      <c r="B14759">
        <v>199752093.25608867</v>
      </c>
    </row>
    <row r="14760" spans="1:2" x14ac:dyDescent="0.25">
      <c r="A14760">
        <f ca="1">36194.8881297319*((RANDBETWEEN(1620,2416)))</f>
        <v>64245926.430274114</v>
      </c>
      <c r="B14760">
        <v>173066039.44601893</v>
      </c>
    </row>
    <row r="14761" spans="1:2" x14ac:dyDescent="0.25">
      <c r="A14761">
        <f ca="1">30200.5839332869*((RANDBETWEEN(1620,2416)))</f>
        <v>70337159.980625078</v>
      </c>
      <c r="B14761">
        <v>153726336.99361825</v>
      </c>
    </row>
    <row r="14762" spans="1:2" x14ac:dyDescent="0.25">
      <c r="A14762">
        <f ca="1">33032.4107939824*((RANDBETWEEN(1620,2416)))</f>
        <v>77791327.419828445</v>
      </c>
      <c r="B14762">
        <v>169027821.28968549</v>
      </c>
    </row>
    <row r="14763" spans="1:2" x14ac:dyDescent="0.25">
      <c r="A14763">
        <f ca="1">33857.6034300545*((RANDBETWEEN(1620,2416)))</f>
        <v>60401964.519217238</v>
      </c>
      <c r="B14763">
        <v>164036549.13992369</v>
      </c>
    </row>
    <row r="14764" spans="1:2" x14ac:dyDescent="0.25">
      <c r="A14764">
        <f ca="1">36277.8010189633*((RANDBETWEEN(1620,2416)))</f>
        <v>80210218.052927896</v>
      </c>
      <c r="B14764">
        <v>180147770.61100724</v>
      </c>
    </row>
    <row r="14765" spans="1:2" x14ac:dyDescent="0.25">
      <c r="A14765">
        <f ca="1">30722.9234838531*((RANDBETWEEN(1620,2416)))</f>
        <v>72813328.656731904</v>
      </c>
      <c r="B14765">
        <v>191683828.59159997</v>
      </c>
    </row>
    <row r="14766" spans="1:2" x14ac:dyDescent="0.25">
      <c r="A14766">
        <f ca="1">29938.7894358889*((RANDBETWEEN(1620,2416)))</f>
        <v>49339124.99034483</v>
      </c>
      <c r="B14766">
        <v>145804642.90148273</v>
      </c>
    </row>
    <row r="14767" spans="1:2" x14ac:dyDescent="0.25">
      <c r="A14767">
        <f ca="1">29178.6960883209*((RANDBETWEEN(1620,2416)))</f>
        <v>55585416.048251316</v>
      </c>
      <c r="B14767">
        <v>151071163.7086927</v>
      </c>
    </row>
    <row r="14768" spans="1:2" x14ac:dyDescent="0.25">
      <c r="A14768">
        <f ca="1">40778.4929469496*((RANDBETWEEN(1620,2416)))</f>
        <v>76092667.839007959</v>
      </c>
      <c r="B14768">
        <v>202565239.89531118</v>
      </c>
    </row>
    <row r="14769" spans="1:2" x14ac:dyDescent="0.25">
      <c r="A14769">
        <f ca="1">33457.5207767491*((RANDBETWEEN(1620,2416)))</f>
        <v>69290525.528647304</v>
      </c>
      <c r="B14769">
        <v>190333900.21036676</v>
      </c>
    </row>
    <row r="14770" spans="1:2" x14ac:dyDescent="0.25">
      <c r="A14770">
        <f ca="1">31204.9036485581*((RANDBETWEEN(1620,2416)))</f>
        <v>65062224.10724365</v>
      </c>
      <c r="B14770">
        <v>183400268.03460443</v>
      </c>
    </row>
    <row r="14771" spans="1:2" x14ac:dyDescent="0.25">
      <c r="A14771">
        <f ca="1">29540.4720854917*((RANDBETWEEN(1620,2416)))</f>
        <v>56540463.571631059</v>
      </c>
      <c r="B14771">
        <v>153918286.72446257</v>
      </c>
    </row>
    <row r="14772" spans="1:2" x14ac:dyDescent="0.25">
      <c r="A14772">
        <f ca="1">35637.1071951*((RANDBETWEEN(1620,2416)))</f>
        <v>69813092.995200917</v>
      </c>
      <c r="B14772">
        <v>158779084.37231755</v>
      </c>
    </row>
    <row r="14773" spans="1:2" x14ac:dyDescent="0.25">
      <c r="A14773">
        <f ca="1">37058.7612518556*((RANDBETWEEN(1620,2416)))</f>
        <v>88978085.765705332</v>
      </c>
      <c r="B14773">
        <v>190398201.03310931</v>
      </c>
    </row>
    <row r="14774" spans="1:2" x14ac:dyDescent="0.25">
      <c r="A14774">
        <f ca="1">38677.8701350665*((RANDBETWEEN(1620,2416)))</f>
        <v>68305118.658527404</v>
      </c>
      <c r="B14774">
        <v>183077169.28737688</v>
      </c>
    </row>
    <row r="14775" spans="1:2" x14ac:dyDescent="0.25">
      <c r="A14775">
        <f ca="1">30595.9543036339*((RANDBETWEEN(1620,2416)))</f>
        <v>65322362.438258335</v>
      </c>
      <c r="B14775">
        <v>187592213.70704675</v>
      </c>
    </row>
    <row r="14776" spans="1:2" x14ac:dyDescent="0.25">
      <c r="A14776">
        <f ca="1">32441.6511379776*((RANDBETWEEN(1620,2416)))</f>
        <v>74453589.361658558</v>
      </c>
      <c r="B14776">
        <v>172177452.88878337</v>
      </c>
    </row>
    <row r="14777" spans="1:2" x14ac:dyDescent="0.25">
      <c r="A14777">
        <f ca="1">31079.1670386058*((RANDBETWEEN(1620,2416)))</f>
        <v>73844100.883727401</v>
      </c>
      <c r="B14777">
        <v>154596683.90011215</v>
      </c>
    </row>
    <row r="14778" spans="1:2" x14ac:dyDescent="0.25">
      <c r="A14778">
        <f ca="1">33649.7744510965*((RANDBETWEEN(1620,2416)))</f>
        <v>56834469.047902033</v>
      </c>
      <c r="B14778">
        <v>154400881.92033446</v>
      </c>
    </row>
    <row r="14779" spans="1:2" x14ac:dyDescent="0.25">
      <c r="A14779">
        <f ca="1">37164.4163723765*((RANDBETWEEN(1620,2416)))</f>
        <v>88822955.129979789</v>
      </c>
      <c r="B14779">
        <v>147167100.25267294</v>
      </c>
    </row>
    <row r="14780" spans="1:2" x14ac:dyDescent="0.25">
      <c r="A14780">
        <f ca="1">30618.8453866176*((RANDBETWEEN(1620,2416)))</f>
        <v>59155609.286945254</v>
      </c>
      <c r="B14780">
        <v>159979747.90802544</v>
      </c>
    </row>
    <row r="14781" spans="1:2" x14ac:dyDescent="0.25">
      <c r="A14781">
        <f ca="1">31475.9729798468*((RANDBETWEEN(1620,2416)))</f>
        <v>72079978.123849094</v>
      </c>
      <c r="B14781">
        <v>195471919.48787847</v>
      </c>
    </row>
    <row r="14782" spans="1:2" x14ac:dyDescent="0.25">
      <c r="A14782">
        <f ca="1">28609.5703452567*((RANDBETWEEN(1620,2416)))</f>
        <v>48836536.579353228</v>
      </c>
      <c r="B14782">
        <v>185895754.38092405</v>
      </c>
    </row>
    <row r="14783" spans="1:2" x14ac:dyDescent="0.25">
      <c r="A14783">
        <f ca="1">29407.9645459369*((RANDBETWEEN(1620,2416)))</f>
        <v>70726154.732978255</v>
      </c>
      <c r="B14783">
        <v>143798771.55637175</v>
      </c>
    </row>
    <row r="14784" spans="1:2" x14ac:dyDescent="0.25">
      <c r="A14784">
        <f ca="1">33419.9283517783*((RANDBETWEEN(1620,2416)))</f>
        <v>70950507.890825346</v>
      </c>
      <c r="B14784">
        <v>180983194.37719795</v>
      </c>
    </row>
    <row r="14785" spans="1:2" x14ac:dyDescent="0.25">
      <c r="A14785">
        <f ca="1">29694.5857431759*((RANDBETWEEN(1620,2416)))</f>
        <v>60131536.129931286</v>
      </c>
      <c r="B14785">
        <v>179724719.60248893</v>
      </c>
    </row>
    <row r="14786" spans="1:2" x14ac:dyDescent="0.25">
      <c r="A14786">
        <f ca="1">31651.1549264139*((RANDBETWEEN(1620,2416)))</f>
        <v>68303192.331201121</v>
      </c>
      <c r="B14786">
        <v>169109229.53906858</v>
      </c>
    </row>
    <row r="14787" spans="1:2" x14ac:dyDescent="0.25">
      <c r="A14787">
        <f ca="1">33737.190104381*((RANDBETWEEN(1620,2416)))</f>
        <v>81239153.77134937</v>
      </c>
      <c r="B14787">
        <v>170436600.27037513</v>
      </c>
    </row>
    <row r="14788" spans="1:2" x14ac:dyDescent="0.25">
      <c r="A14788">
        <f ca="1">34692.7586986105*((RANDBETWEEN(1620,2416)))</f>
        <v>57312437.370104596</v>
      </c>
      <c r="B14788">
        <v>184391426.21242553</v>
      </c>
    </row>
    <row r="14789" spans="1:2" x14ac:dyDescent="0.25">
      <c r="A14789">
        <f ca="1">32318.133282348*((RANDBETWEEN(1620,2416)))</f>
        <v>71713937.753530309</v>
      </c>
      <c r="B14789">
        <v>168893371.09032044</v>
      </c>
    </row>
    <row r="14790" spans="1:2" x14ac:dyDescent="0.25">
      <c r="A14790">
        <f ca="1">31130.7912742844*((RANDBETWEEN(1620,2416)))</f>
        <v>70791419.357722759</v>
      </c>
      <c r="B14790">
        <v>143462405.05595356</v>
      </c>
    </row>
    <row r="14791" spans="1:2" x14ac:dyDescent="0.25">
      <c r="A14791">
        <f ca="1">42060.2673784836*((RANDBETWEEN(1620,2416)))</f>
        <v>98463085.933030069</v>
      </c>
      <c r="B14791">
        <v>163863050.9462733</v>
      </c>
    </row>
    <row r="14792" spans="1:2" x14ac:dyDescent="0.25">
      <c r="A14792">
        <f ca="1">36040.3202869635*((RANDBETWEEN(1620,2416)))</f>
        <v>68080165.022073999</v>
      </c>
      <c r="B14792">
        <v>193134391.02768317</v>
      </c>
    </row>
    <row r="14793" spans="1:2" x14ac:dyDescent="0.25">
      <c r="A14793">
        <f ca="1">34547.2999319893*((RANDBETWEEN(1620,2416)))</f>
        <v>65778059.070507705</v>
      </c>
      <c r="B14793">
        <v>150350777.42825487</v>
      </c>
    </row>
    <row r="14794" spans="1:2" x14ac:dyDescent="0.25">
      <c r="A14794">
        <f ca="1">32980.6003230391*((RANDBETWEEN(1620,2416)))</f>
        <v>55572311.544320934</v>
      </c>
      <c r="B14794">
        <v>199996551.71696571</v>
      </c>
    </row>
    <row r="14795" spans="1:2" x14ac:dyDescent="0.25">
      <c r="A14795">
        <f ca="1">29789.0662952347*((RANDBETWEEN(1620,2416)))</f>
        <v>62705984.551469117</v>
      </c>
      <c r="B14795">
        <v>164145170.77012372</v>
      </c>
    </row>
    <row r="14796" spans="1:2" x14ac:dyDescent="0.25">
      <c r="A14796">
        <f ca="1">27382.5403737563*((RANDBETWEEN(1620,2416)))</f>
        <v>44989513.834081553</v>
      </c>
      <c r="B14796">
        <v>154861403.28356716</v>
      </c>
    </row>
    <row r="14797" spans="1:2" x14ac:dyDescent="0.25">
      <c r="A14797">
        <f ca="1">37756.3495092056*((RANDBETWEEN(1620,2416)))</f>
        <v>68036941.815588623</v>
      </c>
      <c r="B14797">
        <v>146675536.69638994</v>
      </c>
    </row>
    <row r="14798" spans="1:2" x14ac:dyDescent="0.25">
      <c r="A14798">
        <f ca="1">41838.7234227038*((RANDBETWEEN(1620,2416)))</f>
        <v>84807092.377820522</v>
      </c>
      <c r="B14798">
        <v>198266973.64635327</v>
      </c>
    </row>
    <row r="14799" spans="1:2" x14ac:dyDescent="0.25">
      <c r="A14799">
        <f ca="1">31116.169165494*((RANDBETWEEN(1620,2416)))</f>
        <v>58342817.185301207</v>
      </c>
      <c r="B14799">
        <v>143829715.8308813</v>
      </c>
    </row>
    <row r="14800" spans="1:2" x14ac:dyDescent="0.25">
      <c r="A14800">
        <f ca="1">30289.9150727908*((RANDBETWEEN(1620,2416)))</f>
        <v>49190822.078212202</v>
      </c>
      <c r="B14800">
        <v>145427319.01033986</v>
      </c>
    </row>
    <row r="14801" spans="1:2" x14ac:dyDescent="0.25">
      <c r="A14801">
        <f ca="1">31723.6179984744*((RANDBETWEEN(1620,2416)))</f>
        <v>76168406.814337119</v>
      </c>
      <c r="B14801">
        <v>161083807.31707552</v>
      </c>
    </row>
    <row r="14802" spans="1:2" x14ac:dyDescent="0.25">
      <c r="A14802">
        <f ca="1">37085.4371303594*((RANDBETWEEN(1620,2416)))</f>
        <v>64306147.984043151</v>
      </c>
      <c r="B14802">
        <v>196765642.61890632</v>
      </c>
    </row>
    <row r="14803" spans="1:2" x14ac:dyDescent="0.25">
      <c r="A14803">
        <f ca="1">37111.2425588608*((RANDBETWEEN(1620,2416)))</f>
        <v>83463184.514878005</v>
      </c>
      <c r="B14803">
        <v>188079084.33197686</v>
      </c>
    </row>
    <row r="14804" spans="1:2" x14ac:dyDescent="0.25">
      <c r="A14804">
        <f ca="1">31402.4897313999*((RANDBETWEEN(1620,2416)))</f>
        <v>70938224.303232402</v>
      </c>
      <c r="B14804">
        <v>170947417.14054069</v>
      </c>
    </row>
    <row r="14805" spans="1:2" x14ac:dyDescent="0.25">
      <c r="A14805">
        <f ca="1">29900.9869650511*((RANDBETWEEN(1620,2416)))</f>
        <v>70596230.224485636</v>
      </c>
      <c r="B14805">
        <v>202921605.40737569</v>
      </c>
    </row>
    <row r="14806" spans="1:2" x14ac:dyDescent="0.25">
      <c r="A14806">
        <f ca="1">31834.2332900328*((RANDBETWEEN(1620,2416)))</f>
        <v>59370845.085911185</v>
      </c>
      <c r="B14806">
        <v>160696702.2250061</v>
      </c>
    </row>
    <row r="14807" spans="1:2" x14ac:dyDescent="0.25">
      <c r="A14807">
        <f ca="1">30582.4947314033*((RANDBETWEEN(1620,2416)))</f>
        <v>67067410.945967346</v>
      </c>
      <c r="B14807">
        <v>185223919.25086293</v>
      </c>
    </row>
    <row r="14808" spans="1:2" x14ac:dyDescent="0.25">
      <c r="A14808">
        <f ca="1">39105.4947258968*((RANDBETWEEN(1620,2416)))</f>
        <v>94205136.794685498</v>
      </c>
      <c r="B14808">
        <v>157911383.42950958</v>
      </c>
    </row>
    <row r="14809" spans="1:2" x14ac:dyDescent="0.25">
      <c r="A14809">
        <f ca="1">34555.1518611408*((RANDBETWEEN(1620,2416)))</f>
        <v>80755389.899486139</v>
      </c>
      <c r="B14809">
        <v>157401610.55762598</v>
      </c>
    </row>
    <row r="14810" spans="1:2" x14ac:dyDescent="0.25">
      <c r="A14810">
        <f ca="1">38683.9048451623*((RANDBETWEEN(1620,2416)))</f>
        <v>80114366.934331015</v>
      </c>
      <c r="B14810">
        <v>145219464.92566967</v>
      </c>
    </row>
    <row r="14811" spans="1:2" x14ac:dyDescent="0.25">
      <c r="A14811">
        <f ca="1">32884.391384111*((RANDBETWEEN(1620,2416)))</f>
        <v>56791343.920359656</v>
      </c>
      <c r="B14811">
        <v>156155226.10025683</v>
      </c>
    </row>
    <row r="14812" spans="1:2" x14ac:dyDescent="0.25">
      <c r="A14812">
        <f ca="1">31730.2342477386*((RANDBETWEEN(1620,2416)))</f>
        <v>55464449.465047121</v>
      </c>
      <c r="B14812">
        <v>171627339.02817193</v>
      </c>
    </row>
    <row r="14813" spans="1:2" x14ac:dyDescent="0.25">
      <c r="A14813">
        <f ca="1">39249.3713876426*((RANDBETWEEN(1620,2416)))</f>
        <v>74613055.007908612</v>
      </c>
      <c r="B14813">
        <v>174486446.30272692</v>
      </c>
    </row>
    <row r="14814" spans="1:2" x14ac:dyDescent="0.25">
      <c r="A14814">
        <f ca="1">32830.8823348024*((RANDBETWEEN(1620,2416)))</f>
        <v>66515367.610309727</v>
      </c>
      <c r="B14814">
        <v>173830853.55410516</v>
      </c>
    </row>
    <row r="14815" spans="1:2" x14ac:dyDescent="0.25">
      <c r="A14815">
        <f ca="1">32020.8149715196*((RANDBETWEEN(1620,2416)))</f>
        <v>52706261.443121277</v>
      </c>
      <c r="B14815">
        <v>176833020.58181897</v>
      </c>
    </row>
    <row r="14816" spans="1:2" x14ac:dyDescent="0.25">
      <c r="A14816">
        <f ca="1">33730.9897246115*((RANDBETWEEN(1620,2416)))</f>
        <v>75962188.859825134</v>
      </c>
      <c r="B14816">
        <v>145744493.18855619</v>
      </c>
    </row>
    <row r="14817" spans="1:2" x14ac:dyDescent="0.25">
      <c r="A14817">
        <f ca="1">34671.4583857463*((RANDBETWEEN(1620,2416)))</f>
        <v>79120268.036273122</v>
      </c>
      <c r="B14817">
        <v>195768444.31646895</v>
      </c>
    </row>
    <row r="14818" spans="1:2" x14ac:dyDescent="0.25">
      <c r="A14818">
        <f ca="1">40339.6078305766*((RANDBETWEEN(1620,2416)))</f>
        <v>75435066.643178195</v>
      </c>
      <c r="B14818">
        <v>150726050.0968709</v>
      </c>
    </row>
    <row r="14819" spans="1:2" x14ac:dyDescent="0.25">
      <c r="A14819">
        <f ca="1">31115.638854201*((RANDBETWEEN(1620,2416)))</f>
        <v>57563931.880271837</v>
      </c>
      <c r="B14819">
        <v>199865855.03750777</v>
      </c>
    </row>
    <row r="14820" spans="1:2" x14ac:dyDescent="0.25">
      <c r="A14820">
        <f ca="1">38911.5471167503*((RANDBETWEEN(1620,2416)))</f>
        <v>64865549.043622769</v>
      </c>
      <c r="B14820">
        <v>167306160.15092194</v>
      </c>
    </row>
    <row r="14821" spans="1:2" x14ac:dyDescent="0.25">
      <c r="A14821">
        <f ca="1">29899.9491469677*((RANDBETWEEN(1620,2416)))</f>
        <v>67783184.716175735</v>
      </c>
      <c r="B14821">
        <v>152031605.20929506</v>
      </c>
    </row>
    <row r="14822" spans="1:2" x14ac:dyDescent="0.25">
      <c r="A14822">
        <f ca="1">28149.7524264741*((RANDBETWEEN(1620,2416)))</f>
        <v>58072939.255816087</v>
      </c>
      <c r="B14822">
        <v>143053744.69771054</v>
      </c>
    </row>
    <row r="14823" spans="1:2" x14ac:dyDescent="0.25">
      <c r="A14823">
        <f ca="1">32155.5809225058*((RANDBETWEEN(1620,2416)))</f>
        <v>67558875.518184721</v>
      </c>
      <c r="B14823">
        <v>162276891.40523094</v>
      </c>
    </row>
    <row r="14824" spans="1:2" x14ac:dyDescent="0.25">
      <c r="A14824">
        <f ca="1">30014.7343212128*((RANDBETWEEN(1620,2416)))</f>
        <v>62730794.73133488</v>
      </c>
      <c r="B14824">
        <v>162828307.15146512</v>
      </c>
    </row>
    <row r="14825" spans="1:2" x14ac:dyDescent="0.25">
      <c r="A14825">
        <f ca="1">29541.5718403171*((RANDBETWEEN(1620,2416)))</f>
        <v>66675327.643595763</v>
      </c>
      <c r="B14825">
        <v>158596296.9237664</v>
      </c>
    </row>
    <row r="14826" spans="1:2" x14ac:dyDescent="0.25">
      <c r="A14826">
        <f ca="1">36721.3827804241*((RANDBETWEEN(1620,2416)))</f>
        <v>62646679.023403443</v>
      </c>
      <c r="B14826">
        <v>179765007.48650056</v>
      </c>
    </row>
    <row r="14827" spans="1:2" x14ac:dyDescent="0.25">
      <c r="A14827">
        <f ca="1">31599.1290022884*((RANDBETWEEN(1620,2416)))</f>
        <v>64272628.390654683</v>
      </c>
      <c r="B14827">
        <v>179558433.23339769</v>
      </c>
    </row>
    <row r="14828" spans="1:2" x14ac:dyDescent="0.25">
      <c r="A14828">
        <f ca="1">32771.1682902643*((RANDBETWEEN(1620,2416)))</f>
        <v>78912973.24295643</v>
      </c>
      <c r="B14828">
        <v>173219843.90832663</v>
      </c>
    </row>
    <row r="14829" spans="1:2" x14ac:dyDescent="0.25">
      <c r="A14829">
        <f ca="1">32821.5646215019*((RANDBETWEEN(1620,2416)))</f>
        <v>71879226.521089166</v>
      </c>
      <c r="B14829">
        <v>160256968.68250319</v>
      </c>
    </row>
    <row r="14830" spans="1:2" x14ac:dyDescent="0.25">
      <c r="A14830">
        <f ca="1">41954.176985184*((RANDBETWEEN(1620,2416)))</f>
        <v>90117572.164175257</v>
      </c>
      <c r="B14830">
        <v>173747199.32750744</v>
      </c>
    </row>
    <row r="14831" spans="1:2" x14ac:dyDescent="0.25">
      <c r="A14831">
        <f ca="1">31901.4031828368*((RANDBETWEEN(1620,2416)))</f>
        <v>68875129.471744671</v>
      </c>
      <c r="B14831">
        <v>181460325.33141446</v>
      </c>
    </row>
    <row r="14832" spans="1:2" x14ac:dyDescent="0.25">
      <c r="A14832">
        <f ca="1">40592.448460876*((RANDBETWEEN(1620,2416)))</f>
        <v>67667611.584280267</v>
      </c>
      <c r="B14832">
        <v>196707490.57503086</v>
      </c>
    </row>
    <row r="14833" spans="1:2" x14ac:dyDescent="0.25">
      <c r="A14833">
        <f ca="1">31695.9306282383*((RANDBETWEEN(1620,2416)))</f>
        <v>65737360.12296623</v>
      </c>
      <c r="B14833">
        <v>179866301.56643161</v>
      </c>
    </row>
    <row r="14834" spans="1:2" x14ac:dyDescent="0.25">
      <c r="A14834">
        <f ca="1">34571.9612417306*((RANDBETWEEN(1620,2416)))</f>
        <v>74537148.437171251</v>
      </c>
      <c r="B14834">
        <v>144291557.46841538</v>
      </c>
    </row>
    <row r="14835" spans="1:2" x14ac:dyDescent="0.25">
      <c r="A14835">
        <f ca="1">30412.4005839469*((RANDBETWEEN(1620,2416)))</f>
        <v>69157798.927895293</v>
      </c>
      <c r="B14835">
        <v>170791793.78593466</v>
      </c>
    </row>
    <row r="14836" spans="1:2" x14ac:dyDescent="0.25">
      <c r="A14836">
        <f ca="1">30165.2872112185*((RANDBETWEEN(1620,2416)))</f>
        <v>50074376.770622671</v>
      </c>
      <c r="B14836">
        <v>194305644.07887194</v>
      </c>
    </row>
    <row r="14837" spans="1:2" x14ac:dyDescent="0.25">
      <c r="A14837">
        <f ca="1">32024.2918072837*((RANDBETWEEN(1620,2416)))</f>
        <v>72919312.445184991</v>
      </c>
      <c r="B14837">
        <v>183245554.78392631</v>
      </c>
    </row>
    <row r="14838" spans="1:2" x14ac:dyDescent="0.25">
      <c r="A14838">
        <f ca="1">31832.9304476862*((RANDBETWEEN(1620,2416)))</f>
        <v>52078674.212414667</v>
      </c>
      <c r="B14838">
        <v>148975368.26592851</v>
      </c>
    </row>
    <row r="14839" spans="1:2" x14ac:dyDescent="0.25">
      <c r="A14839">
        <f ca="1">35854.0862960178*((RANDBETWEEN(1620,2416)))</f>
        <v>72819649.267212212</v>
      </c>
      <c r="B14839">
        <v>176777090.80747205</v>
      </c>
    </row>
    <row r="14840" spans="1:2" x14ac:dyDescent="0.25">
      <c r="A14840">
        <f ca="1">33212.0508014085*((RANDBETWEEN(1620,2416)))</f>
        <v>66590161.8568241</v>
      </c>
      <c r="B14840">
        <v>180035214.35918736</v>
      </c>
    </row>
    <row r="14841" spans="1:2" x14ac:dyDescent="0.25">
      <c r="A14841">
        <f ca="1">29960.8300404755*((RANDBETWEEN(1620,2416)))</f>
        <v>54498749.843624987</v>
      </c>
      <c r="B14841">
        <v>153436715.69985464</v>
      </c>
    </row>
    <row r="14842" spans="1:2" x14ac:dyDescent="0.25">
      <c r="A14842">
        <f ca="1">31784.3262076255*((RANDBETWEEN(1620,2416)))</f>
        <v>69957301.982983738</v>
      </c>
      <c r="B14842">
        <v>168313499.35789448</v>
      </c>
    </row>
    <row r="14843" spans="1:2" x14ac:dyDescent="0.25">
      <c r="A14843">
        <f ca="1">30210.8657266646*((RANDBETWEEN(1620,2416)))</f>
        <v>57370434.014936142</v>
      </c>
      <c r="B14843">
        <v>169056263.69086182</v>
      </c>
    </row>
    <row r="14844" spans="1:2" x14ac:dyDescent="0.25">
      <c r="A14844">
        <f ca="1">38151.4234803902*((RANDBETWEEN(1620,2416)))</f>
        <v>64704814.222741827</v>
      </c>
      <c r="B14844">
        <v>182510096.89482585</v>
      </c>
    </row>
    <row r="14845" spans="1:2" x14ac:dyDescent="0.25">
      <c r="A14845">
        <f ca="1">37246.8435284383*((RANDBETWEEN(1620,2416)))</f>
        <v>88237772.318870217</v>
      </c>
      <c r="B14845">
        <v>158698601.00618166</v>
      </c>
    </row>
    <row r="14846" spans="1:2" x14ac:dyDescent="0.25">
      <c r="A14846">
        <f ca="1">39557.6614739651*((RANDBETWEEN(1620,2416)))</f>
        <v>65626160.385308154</v>
      </c>
      <c r="B14846">
        <v>162355484.67233995</v>
      </c>
    </row>
    <row r="14847" spans="1:2" x14ac:dyDescent="0.25">
      <c r="A14847">
        <f ca="1">32386.4879002289*((RANDBETWEEN(1620,2416)))</f>
        <v>69598562.497591943</v>
      </c>
      <c r="B14847">
        <v>162264375.37843686</v>
      </c>
    </row>
    <row r="14848" spans="1:2" x14ac:dyDescent="0.25">
      <c r="A14848">
        <f ca="1">27691.6335752142*((RANDBETWEEN(1620,2416)))</f>
        <v>46161953.169882089</v>
      </c>
      <c r="B14848">
        <v>147696367.83085269</v>
      </c>
    </row>
    <row r="14849" spans="1:2" x14ac:dyDescent="0.25">
      <c r="A14849">
        <f ca="1">33278.5928942965*((RANDBETWEEN(1620,2416)))</f>
        <v>78936822.345271364</v>
      </c>
      <c r="B14849">
        <v>144146246.57923308</v>
      </c>
    </row>
    <row r="14850" spans="1:2" x14ac:dyDescent="0.25">
      <c r="A14850">
        <f ca="1">31442.4690353646*((RANDBETWEEN(1620,2416)))</f>
        <v>69079104.470695943</v>
      </c>
      <c r="B14850">
        <v>157981096.11558431</v>
      </c>
    </row>
    <row r="14851" spans="1:2" x14ac:dyDescent="0.25">
      <c r="A14851">
        <f ca="1">31904.2758742247*((RANDBETWEEN(1620,2416)))</f>
        <v>53343949.2617037</v>
      </c>
      <c r="B14851">
        <v>147337787.46631759</v>
      </c>
    </row>
    <row r="14852" spans="1:2" x14ac:dyDescent="0.25">
      <c r="A14852">
        <f ca="1">31498.9727436071*((RANDBETWEEN(1620,2416)))</f>
        <v>59690553.349135496</v>
      </c>
      <c r="B14852">
        <v>193869675.42605126</v>
      </c>
    </row>
    <row r="14853" spans="1:2" x14ac:dyDescent="0.25">
      <c r="A14853">
        <f ca="1">31498.9452734006*((RANDBETWEEN(1620,2416)))</f>
        <v>59690501.293094046</v>
      </c>
      <c r="B14853">
        <v>166238580.02937981</v>
      </c>
    </row>
    <row r="14854" spans="1:2" x14ac:dyDescent="0.25">
      <c r="A14854">
        <f ca="1">35313.9276939363*((RANDBETWEEN(1620,2416)))</f>
        <v>67943996.883133382</v>
      </c>
      <c r="B14854">
        <v>191444421.28359276</v>
      </c>
    </row>
    <row r="14855" spans="1:2" x14ac:dyDescent="0.25">
      <c r="A14855">
        <f ca="1">30209.0870107899*((RANDBETWEEN(1620,2416)))</f>
        <v>64556818.942058109</v>
      </c>
      <c r="B14855">
        <v>153520370.38022515</v>
      </c>
    </row>
    <row r="14856" spans="1:2" x14ac:dyDescent="0.25">
      <c r="A14856">
        <f ca="1">39098.395508059*((RANDBETWEEN(1620,2416)))</f>
        <v>79135152.508311331</v>
      </c>
      <c r="B14856">
        <v>165285158.1980508</v>
      </c>
    </row>
    <row r="14857" spans="1:2" x14ac:dyDescent="0.25">
      <c r="A14857">
        <f ca="1">36380.4561792353*((RANDBETWEEN(1620,2416)))</f>
        <v>87858801.672853336</v>
      </c>
      <c r="B14857">
        <v>196650509.21002609</v>
      </c>
    </row>
    <row r="14858" spans="1:2" x14ac:dyDescent="0.25">
      <c r="A14858">
        <f ca="1">34507.7582175779*((RANDBETWEEN(1620,2416)))</f>
        <v>62976658.747079581</v>
      </c>
      <c r="B14858">
        <v>184960172.38892782</v>
      </c>
    </row>
    <row r="14859" spans="1:2" x14ac:dyDescent="0.25">
      <c r="A14859">
        <f ca="1">31985.5616521832*((RANDBETWEEN(1620,2416)))</f>
        <v>75709824.430717513</v>
      </c>
      <c r="B14859">
        <v>176285069.76946446</v>
      </c>
    </row>
    <row r="14860" spans="1:2" x14ac:dyDescent="0.25">
      <c r="A14860">
        <f ca="1">38157.7885352192*((RANDBETWEEN(1620,2416)))</f>
        <v>82993190.06410186</v>
      </c>
      <c r="B14860">
        <v>177311785.14710233</v>
      </c>
    </row>
    <row r="14861" spans="1:2" x14ac:dyDescent="0.25">
      <c r="A14861">
        <f ca="1">31822.2161193593*((RANDBETWEEN(1620,2416)))</f>
        <v>53429500.864404179</v>
      </c>
      <c r="B14861">
        <v>148211977.34906924</v>
      </c>
    </row>
    <row r="14862" spans="1:2" x14ac:dyDescent="0.25">
      <c r="A14862">
        <f ca="1">33881.8197318928*((RANDBETWEEN(1620,2416)))</f>
        <v>73049203.341960803</v>
      </c>
      <c r="B14862">
        <v>167968849.51482692</v>
      </c>
    </row>
    <row r="14863" spans="1:2" x14ac:dyDescent="0.25">
      <c r="A14863">
        <f ca="1">30262.6749436138*((RANDBETWEEN(1620,2416)))</f>
        <v>69876516.444804251</v>
      </c>
      <c r="B14863">
        <v>147868308.7787047</v>
      </c>
    </row>
    <row r="14864" spans="1:2" x14ac:dyDescent="0.25">
      <c r="A14864">
        <f ca="1">32934.7574722531*((RANDBETWEEN(1620,2416)))</f>
        <v>72094184.106762007</v>
      </c>
      <c r="B14864">
        <v>175648193.52177048</v>
      </c>
    </row>
    <row r="14865" spans="1:2" x14ac:dyDescent="0.25">
      <c r="A14865">
        <f ca="1">32438.7894808391*((RANDBETWEEN(1620,2416)))</f>
        <v>66012936.593507506</v>
      </c>
      <c r="B14865">
        <v>183092017.21487767</v>
      </c>
    </row>
    <row r="14866" spans="1:2" x14ac:dyDescent="0.25">
      <c r="A14866">
        <f ca="1">33089.0984311799*((RANDBETWEEN(1620,2416)))</f>
        <v>58865506.109069072</v>
      </c>
      <c r="B14866">
        <v>176832791.07781458</v>
      </c>
    </row>
    <row r="14867" spans="1:2" x14ac:dyDescent="0.25">
      <c r="A14867">
        <f ca="1">35156.5971557474*((RANDBETWEEN(1620,2416)))</f>
        <v>75164804.718987957</v>
      </c>
      <c r="B14867">
        <v>149510286.26464412</v>
      </c>
    </row>
    <row r="14868" spans="1:2" x14ac:dyDescent="0.25">
      <c r="A14868">
        <f ca="1">38699.2967780636*((RANDBETWEEN(1620,2416)))</f>
        <v>77592090.040017545</v>
      </c>
      <c r="B14868">
        <v>177366190.38292807</v>
      </c>
    </row>
    <row r="14869" spans="1:2" x14ac:dyDescent="0.25">
      <c r="A14869">
        <f ca="1">30858.4430201573*((RANDBETWEEN(1620,2416)))</f>
        <v>59618511.914943993</v>
      </c>
      <c r="B14869">
        <v>173509584.68324518</v>
      </c>
    </row>
    <row r="14870" spans="1:2" x14ac:dyDescent="0.25">
      <c r="A14870">
        <f ca="1">32483.304909946*((RANDBETWEEN(1620,2416)))</f>
        <v>67207957.858678296</v>
      </c>
      <c r="B14870">
        <v>174520582.00710821</v>
      </c>
    </row>
    <row r="14871" spans="1:2" x14ac:dyDescent="0.25">
      <c r="A14871">
        <f ca="1">33893.6675767118*((RANDBETWEEN(1620,2416)))</f>
        <v>80666928.832574174</v>
      </c>
      <c r="B14871">
        <v>172257474.96364069</v>
      </c>
    </row>
    <row r="14872" spans="1:2" x14ac:dyDescent="0.25">
      <c r="A14872">
        <f ca="1">30966.704572875*((RANDBETWEEN(1620,2416)))</f>
        <v>70046685.743843332</v>
      </c>
      <c r="B14872">
        <v>144546060.35156161</v>
      </c>
    </row>
    <row r="14873" spans="1:2" x14ac:dyDescent="0.25">
      <c r="A14873">
        <f ca="1">33188.2984711387*((RANDBETWEEN(1620,2416)))</f>
        <v>67836882.075007454</v>
      </c>
      <c r="B14873">
        <v>186475099.40950489</v>
      </c>
    </row>
    <row r="14874" spans="1:2" x14ac:dyDescent="0.25">
      <c r="A14874">
        <f ca="1">36316.6769548636*((RANDBETWEEN(1620,2416)))</f>
        <v>65478968.549618989</v>
      </c>
      <c r="B14874">
        <v>174525322.46204081</v>
      </c>
    </row>
    <row r="14875" spans="1:2" x14ac:dyDescent="0.25">
      <c r="A14875">
        <f ca="1">41762.1511053452*((RANDBETWEEN(1620,2416)))</f>
        <v>70953894.727981433</v>
      </c>
      <c r="B14875">
        <v>158562036.28442097</v>
      </c>
    </row>
    <row r="14876" spans="1:2" x14ac:dyDescent="0.25">
      <c r="A14876">
        <f ca="1">40832.9456029284*((RANDBETWEEN(1620,2416)))</f>
        <v>96284085.731705144</v>
      </c>
      <c r="B14876">
        <v>202130842.49147999</v>
      </c>
    </row>
    <row r="14877" spans="1:2" x14ac:dyDescent="0.25">
      <c r="A14877">
        <f ca="1">30918.7774983627*((RANDBETWEEN(1620,2416)))</f>
        <v>55375530.499567531</v>
      </c>
      <c r="B14877">
        <v>187759007.55246297</v>
      </c>
    </row>
    <row r="14878" spans="1:2" x14ac:dyDescent="0.25">
      <c r="A14878">
        <f ca="1">27174.1047288171*((RANDBETWEEN(1620,2416)))</f>
        <v>45109013.849836327</v>
      </c>
      <c r="B14878">
        <v>200720658.47868499</v>
      </c>
    </row>
    <row r="14879" spans="1:2" x14ac:dyDescent="0.25">
      <c r="A14879">
        <f ca="1">30252.2724026664*((RANDBETWEEN(1620,2416)))</f>
        <v>66191972.017033979</v>
      </c>
      <c r="B14879">
        <v>180493810.39749384</v>
      </c>
    </row>
    <row r="14880" spans="1:2" x14ac:dyDescent="0.25">
      <c r="A14880">
        <f ca="1">31949.3182030724*((RANDBETWEEN(1620,2416)))</f>
        <v>66390683.225984506</v>
      </c>
      <c r="B14880">
        <v>154073549.08367303</v>
      </c>
    </row>
    <row r="14881" spans="1:2" x14ac:dyDescent="0.25">
      <c r="A14881">
        <f ca="1">32340.0365824259*((RANDBETWEEN(1620,2416)))</f>
        <v>52940639.885431238</v>
      </c>
      <c r="B14881">
        <v>152387295.12706256</v>
      </c>
    </row>
    <row r="14882" spans="1:2" x14ac:dyDescent="0.25">
      <c r="A14882">
        <f ca="1">35774.5242684251*((RANDBETWEEN(1620,2416)))</f>
        <v>73874392.614297867</v>
      </c>
      <c r="B14882">
        <v>180191754.27463484</v>
      </c>
    </row>
    <row r="14883" spans="1:2" x14ac:dyDescent="0.25">
      <c r="A14883">
        <f ca="1">38450.6197640858*((RANDBETWEEN(1620,2416)))</f>
        <v>92589092.391918689</v>
      </c>
      <c r="B14883">
        <v>150311799.27815926</v>
      </c>
    </row>
    <row r="14884" spans="1:2" x14ac:dyDescent="0.25">
      <c r="A14884">
        <f ca="1">33679.8427868151*((RANDBETWEEN(1620,2416)))</f>
        <v>55369661.541524068</v>
      </c>
      <c r="B14884">
        <v>199781299.18517289</v>
      </c>
    </row>
    <row r="14885" spans="1:2" x14ac:dyDescent="0.25">
      <c r="A14885">
        <f ca="1">34206.8038897159*((RANDBETWEEN(1620,2416)))</f>
        <v>76075931.850728184</v>
      </c>
      <c r="B14885">
        <v>144556882.3995437</v>
      </c>
    </row>
    <row r="14886" spans="1:2" x14ac:dyDescent="0.25">
      <c r="A14886">
        <f ca="1">33473.1808340777*((RANDBETWEEN(1620,2416)))</f>
        <v>80770785.352629542</v>
      </c>
      <c r="B14886">
        <v>164993054.35603416</v>
      </c>
    </row>
    <row r="14887" spans="1:2" x14ac:dyDescent="0.25">
      <c r="A14887">
        <f ca="1">38615.8412665497*((RANDBETWEEN(1620,2416)))</f>
        <v>90708611.135125339</v>
      </c>
      <c r="B14887">
        <v>191954237.51615542</v>
      </c>
    </row>
    <row r="14888" spans="1:2" x14ac:dyDescent="0.25">
      <c r="A14888">
        <f ca="1">30050.8736918627*((RANDBETWEEN(1620,2416)))</f>
        <v>53280199.055672564</v>
      </c>
      <c r="B14888">
        <v>157888558.63326132</v>
      </c>
    </row>
    <row r="14889" spans="1:2" x14ac:dyDescent="0.25">
      <c r="A14889">
        <f ca="1">31865.2085891888*((RANDBETWEEN(1620,2416)))</f>
        <v>72047236.620155886</v>
      </c>
      <c r="B14889">
        <v>154614074.01243389</v>
      </c>
    </row>
    <row r="14890" spans="1:2" x14ac:dyDescent="0.25">
      <c r="A14890">
        <f ca="1">29345.5707392471*((RANDBETWEEN(1620,2416)))</f>
        <v>55932657.829004943</v>
      </c>
      <c r="B14890">
        <v>153077975.44586831</v>
      </c>
    </row>
    <row r="14891" spans="1:2" x14ac:dyDescent="0.25">
      <c r="A14891">
        <f ca="1">32698.9923776043*((RANDBETWEEN(1620,2416)))</f>
        <v>61801095.593672119</v>
      </c>
      <c r="B14891">
        <v>161985923.77429461</v>
      </c>
    </row>
    <row r="14892" spans="1:2" x14ac:dyDescent="0.25">
      <c r="A14892">
        <f ca="1">32425.7199273053*((RANDBETWEEN(1620,2416)))</f>
        <v>56907138.472420767</v>
      </c>
      <c r="B14892">
        <v>180693854.91932392</v>
      </c>
    </row>
    <row r="14893" spans="1:2" x14ac:dyDescent="0.25">
      <c r="A14893">
        <f ca="1">34237.9868378488*((RANDBETWEEN(1620,2416)))</f>
        <v>67893927.899454176</v>
      </c>
      <c r="B14893">
        <v>184351823.14806336</v>
      </c>
    </row>
    <row r="14894" spans="1:2" x14ac:dyDescent="0.25">
      <c r="A14894">
        <f ca="1">35110.0432072975*((RANDBETWEEN(1620,2416)))</f>
        <v>70044536.198558643</v>
      </c>
      <c r="B14894">
        <v>165084773.79367933</v>
      </c>
    </row>
    <row r="14895" spans="1:2" x14ac:dyDescent="0.25">
      <c r="A14895">
        <f ca="1">34958.847424207*((RANDBETWEEN(1620,2416)))</f>
        <v>59779629.095394008</v>
      </c>
      <c r="B14895">
        <v>161725119.0408105</v>
      </c>
    </row>
    <row r="14896" spans="1:2" x14ac:dyDescent="0.25">
      <c r="A14896">
        <f ca="1">31609.0657533945*((RANDBETWEEN(1620,2416)))</f>
        <v>61511241.956105679</v>
      </c>
      <c r="B14896">
        <v>179185257.15830907</v>
      </c>
    </row>
    <row r="14897" spans="1:2" x14ac:dyDescent="0.25">
      <c r="A14897">
        <f ca="1">33764.0456887288*((RANDBETWEEN(1620,2416)))</f>
        <v>59492248.503540061</v>
      </c>
      <c r="B14897">
        <v>144401199.79757762</v>
      </c>
    </row>
    <row r="14898" spans="1:2" x14ac:dyDescent="0.25">
      <c r="A14898">
        <f ca="1">39922.3155975387*((RANDBETWEEN(1620,2416)))</f>
        <v>82279892.446527347</v>
      </c>
      <c r="B14898">
        <v>177943381.10922441</v>
      </c>
    </row>
    <row r="14899" spans="1:2" x14ac:dyDescent="0.25">
      <c r="A14899">
        <f ca="1">37744.47739122*((RANDBETWEEN(1620,2416)))</f>
        <v>88359821.57284601</v>
      </c>
      <c r="B14899">
        <v>169259409.81693962</v>
      </c>
    </row>
    <row r="14900" spans="1:2" x14ac:dyDescent="0.25">
      <c r="A14900">
        <f ca="1">31336.4998317066*((RANDBETWEEN(1620,2416)))</f>
        <v>70789153.119825244</v>
      </c>
      <c r="B14900">
        <v>168231800.59788573</v>
      </c>
    </row>
    <row r="14901" spans="1:2" x14ac:dyDescent="0.25">
      <c r="A14901">
        <f ca="1">30605.3677496273*((RANDBETWEEN(1620,2416)))</f>
        <v>70575978.030640572</v>
      </c>
      <c r="B14901">
        <v>194135220.12249368</v>
      </c>
    </row>
    <row r="14902" spans="1:2" x14ac:dyDescent="0.25">
      <c r="A14902">
        <f ca="1">35620.8461965666*((RANDBETWEEN(1620,2416)))</f>
        <v>75516193.93672128</v>
      </c>
      <c r="B14902">
        <v>172581235.58009854</v>
      </c>
    </row>
    <row r="14903" spans="1:2" x14ac:dyDescent="0.25">
      <c r="A14903">
        <f ca="1">32212.2331178236*((RANDBETWEEN(1620,2416)))</f>
        <v>65100923.131121598</v>
      </c>
      <c r="B14903">
        <v>184346887.34729689</v>
      </c>
    </row>
    <row r="14904" spans="1:2" x14ac:dyDescent="0.25">
      <c r="A14904">
        <f ca="1">29999.6406395277*((RANDBETWEEN(1620,2416)))</f>
        <v>51029388.727836691</v>
      </c>
      <c r="B14904">
        <v>157589420.7734744</v>
      </c>
    </row>
    <row r="14905" spans="1:2" x14ac:dyDescent="0.25">
      <c r="A14905">
        <f ca="1">28960.2049225819*((RANDBETWEEN(1620,2416)))</f>
        <v>48479383.040402047</v>
      </c>
      <c r="B14905">
        <v>142934698.80942214</v>
      </c>
    </row>
    <row r="14906" spans="1:2" x14ac:dyDescent="0.25">
      <c r="A14906">
        <f ca="1">34369.4374361375*((RANDBETWEEN(1620,2416)))</f>
        <v>77984253.542595938</v>
      </c>
      <c r="B14906">
        <v>160691167.17645246</v>
      </c>
    </row>
    <row r="14907" spans="1:2" x14ac:dyDescent="0.25">
      <c r="A14907">
        <f ca="1">39836.369958972*((RANDBETWEEN(1620,2416)))</f>
        <v>86205904.591215327</v>
      </c>
      <c r="B14907">
        <v>179095013.10905796</v>
      </c>
    </row>
    <row r="14908" spans="1:2" x14ac:dyDescent="0.25">
      <c r="A14908">
        <f ca="1">33424.9995983833*((RANDBETWEEN(1620,2416)))</f>
        <v>69223174.168251798</v>
      </c>
      <c r="B14908">
        <v>200063697.66622961</v>
      </c>
    </row>
    <row r="14909" spans="1:2" x14ac:dyDescent="0.25">
      <c r="A14909">
        <f ca="1">31402.2884735522*((RANDBETWEEN(1620,2416)))</f>
        <v>75616710.644313663</v>
      </c>
      <c r="B14909">
        <v>172039260.55321902</v>
      </c>
    </row>
    <row r="14910" spans="1:2" x14ac:dyDescent="0.25">
      <c r="A14910">
        <f ca="1">31857.7776490444*((RANDBETWEEN(1620,2416)))</f>
        <v>68271217.501902133</v>
      </c>
      <c r="B14910">
        <v>172193250.51630151</v>
      </c>
    </row>
    <row r="14911" spans="1:2" x14ac:dyDescent="0.25">
      <c r="A14911">
        <f ca="1">31965.9244792898*((RANDBETWEEN(1620,2416)))</f>
        <v>67320236.953384399</v>
      </c>
      <c r="B14911">
        <v>202945386.64621189</v>
      </c>
    </row>
    <row r="14912" spans="1:2" x14ac:dyDescent="0.25">
      <c r="A14912">
        <f ca="1">37770.5123690934*((RANDBETWEEN(1620,2416)))</f>
        <v>73690269.632101268</v>
      </c>
      <c r="B14912">
        <v>145787339.19782743</v>
      </c>
    </row>
    <row r="14913" spans="1:2" x14ac:dyDescent="0.25">
      <c r="A14913">
        <f ca="1">34120.5220491349*((RANDBETWEEN(1620,2416)))</f>
        <v>67933959.3998276</v>
      </c>
      <c r="B14913">
        <v>188323476.71251777</v>
      </c>
    </row>
    <row r="14914" spans="1:2" x14ac:dyDescent="0.25">
      <c r="A14914">
        <f ca="1">32698.5897005745*((RANDBETWEEN(1620,2416)))</f>
        <v>73506429.646891505</v>
      </c>
      <c r="B14914">
        <v>152599779.06648529</v>
      </c>
    </row>
    <row r="14915" spans="1:2" x14ac:dyDescent="0.25">
      <c r="A14915">
        <f ca="1">38942.2468949715*((RANDBETWEEN(1620,2416)))</f>
        <v>83803715.31797874</v>
      </c>
      <c r="B14915">
        <v>153686856.72706497</v>
      </c>
    </row>
    <row r="14916" spans="1:2" x14ac:dyDescent="0.25">
      <c r="A14916">
        <f ca="1">34361.7539441001*((RANDBETWEEN(1620,2416)))</f>
        <v>59720728.35484606</v>
      </c>
      <c r="B14916">
        <v>168950679.09555981</v>
      </c>
    </row>
    <row r="14917" spans="1:2" x14ac:dyDescent="0.25">
      <c r="A14917">
        <f ca="1">32176.0036550021*((RANDBETWEEN(1620,2416)))</f>
        <v>66314743.532959364</v>
      </c>
      <c r="B14917">
        <v>148615635.92552382</v>
      </c>
    </row>
    <row r="14918" spans="1:2" x14ac:dyDescent="0.25">
      <c r="A14918">
        <f ca="1">31401.6119075835*((RANDBETWEEN(1620,2416)))</f>
        <v>54827214.390640803</v>
      </c>
      <c r="B14918">
        <v>193355384.91773945</v>
      </c>
    </row>
    <row r="14919" spans="1:2" x14ac:dyDescent="0.25">
      <c r="A14919">
        <f ca="1">27698.1057446819*((RANDBETWEEN(1620,2416)))</f>
        <v>56808814.882342666</v>
      </c>
      <c r="B14919">
        <v>160134822.6507974</v>
      </c>
    </row>
    <row r="14920" spans="1:2" x14ac:dyDescent="0.25">
      <c r="A14920">
        <f ca="1">32493.1870038224*((RANDBETWEEN(1620,2416)))</f>
        <v>69372954.253160909</v>
      </c>
      <c r="B14920">
        <v>150789776.04321784</v>
      </c>
    </row>
    <row r="14921" spans="1:2" x14ac:dyDescent="0.25">
      <c r="A14921">
        <f ca="1">31523.0000986021*((RANDBETWEEN(1620,2416)))</f>
        <v>67648358.211600021</v>
      </c>
      <c r="B14921">
        <v>167713832.27475119</v>
      </c>
    </row>
    <row r="14922" spans="1:2" x14ac:dyDescent="0.25">
      <c r="A14922">
        <f ca="1">33101.5588219973*((RANDBETWEEN(1620,2416)))</f>
        <v>69678781.32030423</v>
      </c>
      <c r="B14922">
        <v>193305788.3896842</v>
      </c>
    </row>
    <row r="14923" spans="1:2" x14ac:dyDescent="0.25">
      <c r="A14923">
        <f ca="1">32545.903990082*((RANDBETWEEN(1620,2416)))</f>
        <v>53700741.583635308</v>
      </c>
      <c r="B14923">
        <v>151214634.50465125</v>
      </c>
    </row>
    <row r="14924" spans="1:2" x14ac:dyDescent="0.25">
      <c r="A14924">
        <f ca="1">29472.9627443661*((RANDBETWEEN(1620,2416)))</f>
        <v>51872414.430084273</v>
      </c>
      <c r="B14924">
        <v>147184384.51663649</v>
      </c>
    </row>
    <row r="14925" spans="1:2" x14ac:dyDescent="0.25">
      <c r="A14925">
        <f ca="1">30822.7526666914*((RANDBETWEEN(1620,2416)))</f>
        <v>54895322.49937734</v>
      </c>
      <c r="B14925">
        <v>158149186.24905187</v>
      </c>
    </row>
    <row r="14926" spans="1:2" x14ac:dyDescent="0.25">
      <c r="A14926">
        <f ca="1">29925.860984772*((RANDBETWEEN(1620,2416)))</f>
        <v>55871582.458569251</v>
      </c>
      <c r="B14926">
        <v>201274487.26216882</v>
      </c>
    </row>
    <row r="14927" spans="1:2" x14ac:dyDescent="0.25">
      <c r="A14927">
        <f ca="1">30086.3819307334*((RANDBETWEEN(1620,2416)))</f>
        <v>62369069.742410429</v>
      </c>
      <c r="B14927">
        <v>176535816.89031306</v>
      </c>
    </row>
    <row r="14928" spans="1:2" x14ac:dyDescent="0.25">
      <c r="A14928">
        <f ca="1">37523.5331776448*((RANDBETWEEN(1620,2416)))</f>
        <v>64990759.463680819</v>
      </c>
      <c r="B14928">
        <v>150532113.75568101</v>
      </c>
    </row>
    <row r="14929" spans="1:2" x14ac:dyDescent="0.25">
      <c r="A14929">
        <f ca="1">29697.2024086164*((RANDBETWEEN(1620,2416)))</f>
        <v>59513193.626867324</v>
      </c>
      <c r="B14929">
        <v>195718511.10426536</v>
      </c>
    </row>
    <row r="14930" spans="1:2" x14ac:dyDescent="0.25">
      <c r="A14930">
        <f ca="1">31238.429154901*((RANDBETWEEN(1620,2416)))</f>
        <v>70161511.881907701</v>
      </c>
      <c r="B14930">
        <v>144374542.27137482</v>
      </c>
    </row>
    <row r="14931" spans="1:2" x14ac:dyDescent="0.25">
      <c r="A14931">
        <f ca="1">38421.0451206837*((RANDBETWEEN(1620,2416)))</f>
        <v>66737355.374627665</v>
      </c>
      <c r="B14931">
        <v>145927905.28870672</v>
      </c>
    </row>
    <row r="14932" spans="1:2" x14ac:dyDescent="0.25">
      <c r="A14932">
        <f ca="1">35144.5243367344*((RANDBETWEEN(1620,2416)))</f>
        <v>59077945.410050504</v>
      </c>
      <c r="B14932">
        <v>174785619.35675216</v>
      </c>
    </row>
    <row r="14933" spans="1:2" x14ac:dyDescent="0.25">
      <c r="A14933">
        <f ca="1">37698.6393755985*((RANDBETWEEN(1620,2416)))</f>
        <v>70760346.107998356</v>
      </c>
      <c r="B14933">
        <v>173024906.18237281</v>
      </c>
    </row>
    <row r="14934" spans="1:2" x14ac:dyDescent="0.25">
      <c r="A14934">
        <f ca="1">34444.2269879461*((RANDBETWEEN(1620,2416)))</f>
        <v>63239600.749869026</v>
      </c>
      <c r="B14934">
        <v>144339637.71563649</v>
      </c>
    </row>
    <row r="14935" spans="1:2" x14ac:dyDescent="0.25">
      <c r="A14935">
        <f ca="1">30552.2199320659*((RANDBETWEEN(1620,2416)))</f>
        <v>59851798.846917041</v>
      </c>
      <c r="B14935">
        <v>194146933.29655635</v>
      </c>
    </row>
    <row r="14936" spans="1:2" x14ac:dyDescent="0.25">
      <c r="A14936">
        <f ca="1">32197.7402054869*((RANDBETWEEN(1620,2416)))</f>
        <v>77435565.19419603</v>
      </c>
      <c r="B14936">
        <v>173271710.75203916</v>
      </c>
    </row>
    <row r="14937" spans="1:2" x14ac:dyDescent="0.25">
      <c r="A14937">
        <f ca="1">29191.2688600376*((RANDBETWEEN(1620,2416)))</f>
        <v>57681947.267434277</v>
      </c>
      <c r="B14937">
        <v>198880754.91820258</v>
      </c>
    </row>
    <row r="14938" spans="1:2" x14ac:dyDescent="0.25">
      <c r="A14938">
        <f ca="1">34046.3074459293*((RANDBETWEEN(1620,2416)))</f>
        <v>76263728.678881541</v>
      </c>
      <c r="B14938">
        <v>190748778.13145417</v>
      </c>
    </row>
    <row r="14939" spans="1:2" x14ac:dyDescent="0.25">
      <c r="A14939">
        <f ca="1">40971.9688533402*((RANDBETWEEN(1620,2416)))</f>
        <v>76289806.004919454</v>
      </c>
      <c r="B14939">
        <v>162368677.91602921</v>
      </c>
    </row>
    <row r="14940" spans="1:2" x14ac:dyDescent="0.25">
      <c r="A14940">
        <f ca="1">29656.4680955709*((RANDBETWEEN(1620,2416)))</f>
        <v>70997584.620796785</v>
      </c>
      <c r="B14940">
        <v>155465616.50146717</v>
      </c>
    </row>
    <row r="14941" spans="1:2" x14ac:dyDescent="0.25">
      <c r="A14941">
        <f ca="1">30081.0303968313*((RANDBETWEEN(1620,2416)))</f>
        <v>67201021.906521156</v>
      </c>
      <c r="B14941">
        <v>150286147.57111454</v>
      </c>
    </row>
    <row r="14942" spans="1:2" x14ac:dyDescent="0.25">
      <c r="A14942">
        <f ca="1">32174.979967803*((RANDBETWEEN(1620,2416)))</f>
        <v>65508259.214446813</v>
      </c>
      <c r="B14942">
        <v>155282625.25607383</v>
      </c>
    </row>
    <row r="14943" spans="1:2" x14ac:dyDescent="0.25">
      <c r="A14943">
        <f ca="1">35213.3481119077*((RANDBETWEEN(1620,2416)))</f>
        <v>80955487.309275702</v>
      </c>
      <c r="B14943">
        <v>174373852.32678613</v>
      </c>
    </row>
    <row r="14944" spans="1:2" x14ac:dyDescent="0.25">
      <c r="A14944">
        <f ca="1">39195.5041300916*((RANDBETWEEN(1620,2416)))</f>
        <v>74040307.301743075</v>
      </c>
      <c r="B14944">
        <v>178560483.56364653</v>
      </c>
    </row>
    <row r="14945" spans="1:2" x14ac:dyDescent="0.25">
      <c r="A14945">
        <f ca="1">33107.9758613912*((RANDBETWEEN(1620,2416)))</f>
        <v>69890937.04339689</v>
      </c>
      <c r="B14945">
        <v>176628452.4391554</v>
      </c>
    </row>
    <row r="14946" spans="1:2" x14ac:dyDescent="0.25">
      <c r="A14946">
        <f ca="1">34618.9758355182*((RANDBETWEEN(1620,2416)))</f>
        <v>74223084.191351056</v>
      </c>
      <c r="B14946">
        <v>154534432.59159011</v>
      </c>
    </row>
    <row r="14947" spans="1:2" x14ac:dyDescent="0.25">
      <c r="A14947">
        <f ca="1">30878.7653609528*((RANDBETWEEN(1620,2416)))</f>
        <v>67161314.660072416</v>
      </c>
      <c r="B14947">
        <v>172203879.49139613</v>
      </c>
    </row>
    <row r="14948" spans="1:2" x14ac:dyDescent="0.25">
      <c r="A14948">
        <f ca="1">31035.3217450234*((RANDBETWEEN(1620,2416)))</f>
        <v>66819047.717035368</v>
      </c>
      <c r="B14948">
        <v>189426536.90896907</v>
      </c>
    </row>
    <row r="14949" spans="1:2" x14ac:dyDescent="0.25">
      <c r="A14949">
        <f ca="1">33141.771410773*((RANDBETWEEN(1620,2416)))</f>
        <v>67443504.820923075</v>
      </c>
      <c r="B14949">
        <v>143852912.40147233</v>
      </c>
    </row>
    <row r="14950" spans="1:2" x14ac:dyDescent="0.25">
      <c r="A14950">
        <f ca="1">31941.9331909408*((RANDBETWEEN(1620,2416)))</f>
        <v>76149568.727202877</v>
      </c>
      <c r="B14950">
        <v>194087777.63662824</v>
      </c>
    </row>
    <row r="14951" spans="1:2" x14ac:dyDescent="0.25">
      <c r="A14951">
        <f ca="1">39362.1599654721*((RANDBETWEEN(1620,2416)))</f>
        <v>84235022.326110244</v>
      </c>
      <c r="B14951">
        <v>157488842.0525803</v>
      </c>
    </row>
    <row r="14952" spans="1:2" x14ac:dyDescent="0.25">
      <c r="A14952">
        <f ca="1">32123.9284520397*((RANDBETWEEN(1620,2416)))</f>
        <v>74431142.223375931</v>
      </c>
      <c r="B14952">
        <v>148399626.53465044</v>
      </c>
    </row>
    <row r="14953" spans="1:2" x14ac:dyDescent="0.25">
      <c r="A14953">
        <f ca="1">30698.953608132*((RANDBETWEEN(1620,2416)))</f>
        <v>64989684.788415469</v>
      </c>
      <c r="B14953">
        <v>190563782.52831653</v>
      </c>
    </row>
    <row r="14954" spans="1:2" x14ac:dyDescent="0.25">
      <c r="A14954">
        <f ca="1">39249.9245584689*((RANDBETWEEN(1620,2416)))</f>
        <v>64409126.200447507</v>
      </c>
      <c r="B14954">
        <v>178434221.29729503</v>
      </c>
    </row>
    <row r="14955" spans="1:2" x14ac:dyDescent="0.25">
      <c r="A14955">
        <f ca="1">30937.9720526739*((RANDBETWEEN(1620,2416)))</f>
        <v>55843039.555076323</v>
      </c>
      <c r="B14955">
        <v>155858646.59609824</v>
      </c>
    </row>
    <row r="14956" spans="1:2" x14ac:dyDescent="0.25">
      <c r="A14956">
        <f ca="1">33437.4763690566*((RANDBETWEEN(1620,2416)))</f>
        <v>79614631.234723866</v>
      </c>
      <c r="B14956">
        <v>169217461.36985007</v>
      </c>
    </row>
    <row r="14957" spans="1:2" x14ac:dyDescent="0.25">
      <c r="A14957">
        <f ca="1">32337.8533723647*((RANDBETWEEN(1620,2416)))</f>
        <v>69558722.603956565</v>
      </c>
      <c r="B14957">
        <v>149798553.19674021</v>
      </c>
    </row>
    <row r="14958" spans="1:2" x14ac:dyDescent="0.25">
      <c r="A14958">
        <f ca="1">31159.5126429604*((RANDBETWEEN(1620,2416)))</f>
        <v>73567609.350029409</v>
      </c>
      <c r="B14958">
        <v>164682612.07411608</v>
      </c>
    </row>
    <row r="14959" spans="1:2" x14ac:dyDescent="0.25">
      <c r="A14959">
        <f ca="1">27031.2733111147*((RANDBETWEEN(1620,2416)))</f>
        <v>57035986.686451927</v>
      </c>
      <c r="B14959">
        <v>151614825.64828998</v>
      </c>
    </row>
    <row r="14960" spans="1:2" x14ac:dyDescent="0.25">
      <c r="A14960">
        <f ca="1">31317.9336828817*((RANDBETWEEN(1620,2416)))</f>
        <v>58501900.11962299</v>
      </c>
      <c r="B14960">
        <v>192831789.16284025</v>
      </c>
    </row>
    <row r="14961" spans="1:2" x14ac:dyDescent="0.25">
      <c r="A14961">
        <f ca="1">32195.105308996*((RANDBETWEEN(1620,2416)))</f>
        <v>65999965.883441791</v>
      </c>
      <c r="B14961">
        <v>166368182.42572266</v>
      </c>
    </row>
    <row r="14962" spans="1:2" x14ac:dyDescent="0.25">
      <c r="A14962">
        <f ca="1">37429.140734345*((RANDBETWEEN(1620,2416)))</f>
        <v>86685889.940743133</v>
      </c>
      <c r="B14962">
        <v>163404554.22103432</v>
      </c>
    </row>
    <row r="14963" spans="1:2" x14ac:dyDescent="0.25">
      <c r="A14963">
        <f ca="1">32483.5402949952*((RANDBETWEEN(1620,2416)))</f>
        <v>62238463.205210857</v>
      </c>
      <c r="B14963">
        <v>167930351.17360237</v>
      </c>
    </row>
    <row r="14964" spans="1:2" x14ac:dyDescent="0.25">
      <c r="A14964">
        <f ca="1">33633.327037668*((RANDBETWEEN(1620,2416)))</f>
        <v>62019855.057459794</v>
      </c>
      <c r="B14964">
        <v>172808755.59720892</v>
      </c>
    </row>
    <row r="14965" spans="1:2" x14ac:dyDescent="0.25">
      <c r="A14965">
        <f ca="1">34975.3917017923*((RANDBETWEEN(1620,2416)))</f>
        <v>56800036.123710766</v>
      </c>
      <c r="B14965">
        <v>188960987.77191088</v>
      </c>
    </row>
    <row r="14966" spans="1:2" x14ac:dyDescent="0.25">
      <c r="A14966">
        <f ca="1">42735.116804309*((RANDBETWEEN(1620,2416)))</f>
        <v>70299267.143088311</v>
      </c>
      <c r="B14966">
        <v>200704743.74206755</v>
      </c>
    </row>
    <row r="14967" spans="1:2" x14ac:dyDescent="0.25">
      <c r="A14967">
        <f ca="1">38372.1163485766*((RANDBETWEEN(1620,2416)))</f>
        <v>81195398.193588078</v>
      </c>
      <c r="B14967">
        <v>182100769.70510957</v>
      </c>
    </row>
    <row r="14968" spans="1:2" x14ac:dyDescent="0.25">
      <c r="A14968">
        <f ca="1">29960.6228400688*((RANDBETWEEN(1620,2416)))</f>
        <v>53419790.523842759</v>
      </c>
      <c r="B14968">
        <v>188923637.57160741</v>
      </c>
    </row>
    <row r="14969" spans="1:2" x14ac:dyDescent="0.25">
      <c r="A14969">
        <f ca="1">30186.9170721509*((RANDBETWEEN(1620,2416)))</f>
        <v>51438506.690945186</v>
      </c>
      <c r="B14969">
        <v>146440136.13925695</v>
      </c>
    </row>
    <row r="14970" spans="1:2" x14ac:dyDescent="0.25">
      <c r="A14970">
        <f ca="1">32032.0070095861*((RANDBETWEEN(1620,2416)))</f>
        <v>54198155.860219724</v>
      </c>
      <c r="B14970">
        <v>203368986.13615316</v>
      </c>
    </row>
    <row r="14971" spans="1:2" x14ac:dyDescent="0.25">
      <c r="A14971">
        <f ca="1">38206.2086303177*((RANDBETWEEN(1620,2416)))</f>
        <v>71789466.016367003</v>
      </c>
      <c r="B14971">
        <v>191706325.09484914</v>
      </c>
    </row>
    <row r="14972" spans="1:2" x14ac:dyDescent="0.25">
      <c r="A14972">
        <f ca="1">32579.5781180461*((RANDBETWEEN(1620,2416)))</f>
        <v>68156477.422952354</v>
      </c>
      <c r="B14972">
        <v>182497345.36246294</v>
      </c>
    </row>
    <row r="14973" spans="1:2" x14ac:dyDescent="0.25">
      <c r="A14973">
        <f ca="1">30993.0597910641*((RANDBETWEEN(1620,2416)))</f>
        <v>66232168.773503967</v>
      </c>
      <c r="B14973">
        <v>186512638.88385385</v>
      </c>
    </row>
    <row r="14974" spans="1:2" x14ac:dyDescent="0.25">
      <c r="A14974">
        <f ca="1">30224.9172810076*((RANDBETWEEN(1620,2416)))</f>
        <v>68187413.385953113</v>
      </c>
      <c r="B14974">
        <v>189523636.29697451</v>
      </c>
    </row>
    <row r="14975" spans="1:2" x14ac:dyDescent="0.25">
      <c r="A14975">
        <f ca="1">35397.6312016551*((RANDBETWEEN(1620,2416)))</f>
        <v>74405820.785878941</v>
      </c>
      <c r="B14975">
        <v>175303054.422622</v>
      </c>
    </row>
    <row r="14976" spans="1:2" x14ac:dyDescent="0.25">
      <c r="A14976">
        <f ca="1">32138.9354537008*((RANDBETWEEN(1620,2416)))</f>
        <v>56789498.946689315</v>
      </c>
      <c r="B14976">
        <v>198981961.03703696</v>
      </c>
    </row>
    <row r="14977" spans="1:2" x14ac:dyDescent="0.25">
      <c r="A14977">
        <f ca="1">35311.5056256531*((RANDBETWEEN(1620,2416)))</f>
        <v>64655366.800570898</v>
      </c>
      <c r="B14977">
        <v>193629593.85326847</v>
      </c>
    </row>
    <row r="14978" spans="1:2" x14ac:dyDescent="0.25">
      <c r="A14978">
        <f ca="1">30339.8155769091*((RANDBETWEEN(1620,2416)))</f>
        <v>51517006.849591732</v>
      </c>
      <c r="B14978">
        <v>172871248.01121491</v>
      </c>
    </row>
    <row r="14979" spans="1:2" x14ac:dyDescent="0.25">
      <c r="A14979">
        <f ca="1">32910.6061891353*((RANDBETWEEN(1620,2416)))</f>
        <v>78919633.641546518</v>
      </c>
      <c r="B14979">
        <v>168102937.96230564</v>
      </c>
    </row>
    <row r="14980" spans="1:2" x14ac:dyDescent="0.25">
      <c r="A14980">
        <f ca="1">32186.0443983983*((RANDBETWEEN(1620,2416)))</f>
        <v>59994786.758614473</v>
      </c>
      <c r="B14980">
        <v>143717731.43799573</v>
      </c>
    </row>
    <row r="14981" spans="1:2" x14ac:dyDescent="0.25">
      <c r="A14981">
        <f ca="1">33539.1429265996*((RANDBETWEEN(1620,2416)))</f>
        <v>58827656.693255708</v>
      </c>
      <c r="B14981">
        <v>179419511.60290283</v>
      </c>
    </row>
    <row r="14982" spans="1:2" x14ac:dyDescent="0.25">
      <c r="A14982">
        <f ca="1">39051.0704821613*((RANDBETWEEN(1620,2416)))</f>
        <v>70330977.938372508</v>
      </c>
      <c r="B14982">
        <v>173185751.04338902</v>
      </c>
    </row>
    <row r="14983" spans="1:2" x14ac:dyDescent="0.25">
      <c r="A14983">
        <f ca="1">32498.6627980446*((RANDBETWEEN(1620,2416)))</f>
        <v>61324976.699910201</v>
      </c>
      <c r="B14983">
        <v>160031179.07971621</v>
      </c>
    </row>
    <row r="14984" spans="1:2" x14ac:dyDescent="0.25">
      <c r="A14984">
        <f ca="1">31446.3062949542*((RANDBETWEEN(1620,2416)))</f>
        <v>64150464.841706485</v>
      </c>
      <c r="B14984">
        <v>180466418.51534683</v>
      </c>
    </row>
    <row r="14985" spans="1:2" x14ac:dyDescent="0.25">
      <c r="A14985">
        <f ca="1">31933.0759796697*((RANDBETWEEN(1620,2416)))</f>
        <v>66101467.277916193</v>
      </c>
      <c r="B14985">
        <v>162540438.21624655</v>
      </c>
    </row>
    <row r="14986" spans="1:2" x14ac:dyDescent="0.25">
      <c r="A14986">
        <f ca="1">30177.7395475242*((RANDBETWEEN(1620,2416)))</f>
        <v>61834188.33287698</v>
      </c>
      <c r="B14986">
        <v>194227961.76992089</v>
      </c>
    </row>
    <row r="14987" spans="1:2" x14ac:dyDescent="0.25">
      <c r="A14987">
        <f ca="1">30661.5282509921*((RANDBETWEEN(1620,2416)))</f>
        <v>53810982.080491163</v>
      </c>
      <c r="B14987">
        <v>160683948.01084411</v>
      </c>
    </row>
    <row r="14988" spans="1:2" x14ac:dyDescent="0.25">
      <c r="A14988">
        <f ca="1">32754.870223056*((RANDBETWEEN(1620,2416)))</f>
        <v>70455725.849793434</v>
      </c>
      <c r="B14988">
        <v>155755337.2580196</v>
      </c>
    </row>
    <row r="14989" spans="1:2" x14ac:dyDescent="0.25">
      <c r="A14989">
        <f ca="1">34131.3404893668*((RANDBETWEEN(1620,2416)))</f>
        <v>59627451.834923834</v>
      </c>
      <c r="B14989">
        <v>148239217.04743338</v>
      </c>
    </row>
    <row r="14990" spans="1:2" x14ac:dyDescent="0.25">
      <c r="A14990">
        <f ca="1">39710.1713184731*((RANDBETWEEN(1620,2416)))</f>
        <v>78784979.895850614</v>
      </c>
      <c r="B14990">
        <v>169018124.59358603</v>
      </c>
    </row>
    <row r="14991" spans="1:2" x14ac:dyDescent="0.25">
      <c r="A14991">
        <f ca="1">36858.7777883201*((RANDBETWEEN(1620,2416)))</f>
        <v>73385826.576545388</v>
      </c>
      <c r="B14991">
        <v>154993039.18429384</v>
      </c>
    </row>
    <row r="14992" spans="1:2" x14ac:dyDescent="0.25">
      <c r="A14992">
        <f ca="1">30518.4293165194*((RANDBETWEEN(1620,2416)))</f>
        <v>70192387.427994624</v>
      </c>
      <c r="B14992">
        <v>191507385.627736</v>
      </c>
    </row>
    <row r="14993" spans="1:2" x14ac:dyDescent="0.25">
      <c r="A14993">
        <f ca="1">31613.3226592345*((RANDBETWEEN(1620,2416)))</f>
        <v>55860741.138867408</v>
      </c>
      <c r="B14993">
        <v>188795080.87135914</v>
      </c>
    </row>
    <row r="14994" spans="1:2" x14ac:dyDescent="0.25">
      <c r="A14994">
        <f ca="1">39074.2760405576*((RANDBETWEEN(1620,2416)))</f>
        <v>71857593.638585463</v>
      </c>
      <c r="B14994">
        <v>180797228.0463945</v>
      </c>
    </row>
    <row r="14995" spans="1:2" x14ac:dyDescent="0.25">
      <c r="A14995">
        <f ca="1">35908.105353721*((RANDBETWEEN(1620,2416)))</f>
        <v>69159010.911266729</v>
      </c>
      <c r="B14995">
        <v>143647090.29538959</v>
      </c>
    </row>
    <row r="14996" spans="1:2" x14ac:dyDescent="0.25">
      <c r="A14996">
        <f ca="1">32560.1663295291*((RANDBETWEEN(1620,2416)))</f>
        <v>55710444.589824282</v>
      </c>
      <c r="B14996">
        <v>164064862.43608055</v>
      </c>
    </row>
    <row r="14997" spans="1:2" x14ac:dyDescent="0.25">
      <c r="A14997">
        <f ca="1">31132.6908224582*((RANDBETWEEN(1620,2416)))</f>
        <v>57502079.949080363</v>
      </c>
      <c r="B14997">
        <v>145543307.1624372</v>
      </c>
    </row>
    <row r="14998" spans="1:2" x14ac:dyDescent="0.25">
      <c r="A14998">
        <f ca="1">33400.191994852*((RANDBETWEEN(1620,2416)))</f>
        <v>56947327.351222672</v>
      </c>
      <c r="B14998">
        <v>143040625.1121479</v>
      </c>
    </row>
    <row r="14999" spans="1:2" x14ac:dyDescent="0.25">
      <c r="A14999">
        <f ca="1">33957.7760887702*((RANDBETWEEN(1620,2416)))</f>
        <v>75556051.797513768</v>
      </c>
      <c r="B14999">
        <v>143778987.65428883</v>
      </c>
    </row>
    <row r="15000" spans="1:2" x14ac:dyDescent="0.25">
      <c r="A15000">
        <f ca="1">30217.0542688529*((RANDBETWEEN(1620,2416)))</f>
        <v>70375519.392158359</v>
      </c>
      <c r="B15000">
        <v>148987685.07292372</v>
      </c>
    </row>
    <row r="15001" spans="1:2" x14ac:dyDescent="0.25">
      <c r="A15001">
        <f ca="1">29611.4006804934*((RANDBETWEEN(1620,2416)))</f>
        <v>51375780.180656061</v>
      </c>
      <c r="B15001">
        <v>151610054.94400096</v>
      </c>
    </row>
    <row r="15002" spans="1:2" x14ac:dyDescent="0.25">
      <c r="A15002">
        <f ca="1">32313.1892080887*((RANDBETWEEN(1620,2416)))</f>
        <v>77874785.991493821</v>
      </c>
      <c r="B15002">
        <v>200404022.05841121</v>
      </c>
    </row>
    <row r="15003" spans="1:2" x14ac:dyDescent="0.25">
      <c r="A15003">
        <f ca="1">30569.1423483522*((RANDBETWEEN(1620,2416)))</f>
        <v>61810805.828368202</v>
      </c>
      <c r="B15003">
        <v>174394705.88327286</v>
      </c>
    </row>
    <row r="15004" spans="1:2" x14ac:dyDescent="0.25">
      <c r="A15004">
        <f ca="1">34942.9265476897*((RANDBETWEEN(1620,2416)))</f>
        <v>79530100.822541848</v>
      </c>
      <c r="B15004">
        <v>191152058.87141991</v>
      </c>
    </row>
    <row r="15005" spans="1:2" x14ac:dyDescent="0.25">
      <c r="A15005">
        <f ca="1">30818.5359876445*((RANDBETWEEN(1620,2416)))</f>
        <v>55504183.313747719</v>
      </c>
      <c r="B15005">
        <v>190882969.13543984</v>
      </c>
    </row>
    <row r="15006" spans="1:2" x14ac:dyDescent="0.25">
      <c r="A15006">
        <f ca="1">37739.8713408765*((RANDBETWEEN(1620,2416)))</f>
        <v>80159486.728021681</v>
      </c>
      <c r="B15006">
        <v>189734765.71780413</v>
      </c>
    </row>
    <row r="15007" spans="1:2" x14ac:dyDescent="0.25">
      <c r="A15007">
        <f ca="1">42051.16290175*((RANDBETWEEN(1620,2416)))</f>
        <v>91208972.333895713</v>
      </c>
      <c r="B15007">
        <v>190385082.02028698</v>
      </c>
    </row>
    <row r="15008" spans="1:2" x14ac:dyDescent="0.25">
      <c r="A15008">
        <f ca="1">31768.6511473622*((RANDBETWEEN(1620,2416)))</f>
        <v>61758257.830472074</v>
      </c>
      <c r="B15008">
        <v>145448185.02406079</v>
      </c>
    </row>
    <row r="15009" spans="1:2" x14ac:dyDescent="0.25">
      <c r="A15009">
        <f ca="1">37582.431606982*((RANDBETWEEN(1620,2416)))</f>
        <v>63814968.868655518</v>
      </c>
      <c r="B15009">
        <v>154371418.98084557</v>
      </c>
    </row>
    <row r="15010" spans="1:2" x14ac:dyDescent="0.25">
      <c r="A15010">
        <f ca="1">33102.5048759177*((RANDBETWEEN(1620,2416)))</f>
        <v>68025647.520010799</v>
      </c>
      <c r="B15010">
        <v>151315627.97435436</v>
      </c>
    </row>
    <row r="15011" spans="1:2" x14ac:dyDescent="0.25">
      <c r="A15011">
        <f ca="1">37534.2029488084*((RANDBETWEEN(1620,2416)))</f>
        <v>70301562.123118162</v>
      </c>
      <c r="B15011">
        <v>146333550.96256751</v>
      </c>
    </row>
    <row r="15012" spans="1:2" x14ac:dyDescent="0.25">
      <c r="A15012">
        <f ca="1">31483.7267391079*((RANDBETWEEN(1620,2416)))</f>
        <v>51664795.578876056</v>
      </c>
      <c r="B15012">
        <v>152908067.45090091</v>
      </c>
    </row>
    <row r="15013" spans="1:2" x14ac:dyDescent="0.25">
      <c r="A15013">
        <f ca="1">39343.6509502325*((RANDBETWEEN(1620,2416)))</f>
        <v>79749580.476121232</v>
      </c>
      <c r="B15013">
        <v>176645733.49051484</v>
      </c>
    </row>
    <row r="15014" spans="1:2" x14ac:dyDescent="0.25">
      <c r="A15014">
        <f ca="1">30800.2141314035*((RANDBETWEEN(1620,2416)))</f>
        <v>62955637.684588723</v>
      </c>
      <c r="B15014">
        <v>176876851.13859692</v>
      </c>
    </row>
    <row r="15015" spans="1:2" x14ac:dyDescent="0.25">
      <c r="A15015">
        <f ca="1">29998.8642946245*((RANDBETWEEN(1620,2416)))</f>
        <v>59697739.946302719</v>
      </c>
      <c r="B15015">
        <v>169378381.81919569</v>
      </c>
    </row>
    <row r="15016" spans="1:2" x14ac:dyDescent="0.25">
      <c r="A15016">
        <f ca="1">34745.9583457554*((RANDBETWEEN(1620,2416)))</f>
        <v>83147078.321392745</v>
      </c>
      <c r="B15016">
        <v>147621824.31520733</v>
      </c>
    </row>
    <row r="15017" spans="1:2" x14ac:dyDescent="0.25">
      <c r="A15017">
        <f ca="1">31781.884515257*((RANDBETWEEN(1620,2416)))</f>
        <v>54442368.174635231</v>
      </c>
      <c r="B15017">
        <v>172329595.30708066</v>
      </c>
    </row>
    <row r="15018" spans="1:2" x14ac:dyDescent="0.25">
      <c r="A15018">
        <f ca="1">32654.1346076753*((RANDBETWEEN(1620,2416)))</f>
        <v>78827080.94292821</v>
      </c>
      <c r="B15018">
        <v>181914745.53305539</v>
      </c>
    </row>
    <row r="15019" spans="1:2" x14ac:dyDescent="0.25">
      <c r="A15019">
        <f ca="1">37328.4048061342*((RANDBETWEEN(1620,2416)))</f>
        <v>78762934.140943199</v>
      </c>
      <c r="B15019">
        <v>161003773.54194438</v>
      </c>
    </row>
    <row r="15020" spans="1:2" x14ac:dyDescent="0.25">
      <c r="A15020">
        <f ca="1">39368.3938419935*((RANDBETWEEN(1620,2416)))</f>
        <v>94326671.645416483</v>
      </c>
      <c r="B15020">
        <v>186757376.26297843</v>
      </c>
    </row>
    <row r="15021" spans="1:2" x14ac:dyDescent="0.25">
      <c r="A15021">
        <f ca="1">31499.6260618759*((RANDBETWEEN(1620,2416)))</f>
        <v>61865265.585524179</v>
      </c>
      <c r="B15021">
        <v>197182064.97976339</v>
      </c>
    </row>
    <row r="15022" spans="1:2" x14ac:dyDescent="0.25">
      <c r="A15022">
        <f ca="1">35672.4024813442*((RANDBETWEEN(1620,2416)))</f>
        <v>76981044.554740682</v>
      </c>
      <c r="B15022">
        <v>151034127.17960292</v>
      </c>
    </row>
    <row r="15023" spans="1:2" x14ac:dyDescent="0.25">
      <c r="A15023">
        <f ca="1">31624.2103517541*((RANDBETWEEN(1620,2416)))</f>
        <v>65968102.79375907</v>
      </c>
      <c r="B15023">
        <v>168138022.03920627</v>
      </c>
    </row>
    <row r="15024" spans="1:2" x14ac:dyDescent="0.25">
      <c r="A15024">
        <f ca="1">31542.7216803623*((RANDBETWEEN(1620,2416)))</f>
        <v>62265332.597035237</v>
      </c>
      <c r="B15024">
        <v>180541188.44663695</v>
      </c>
    </row>
    <row r="15025" spans="1:2" x14ac:dyDescent="0.25">
      <c r="A15025">
        <f ca="1">29711.8453348346*((RANDBETWEEN(1620,2416)))</f>
        <v>63137671.336523615</v>
      </c>
      <c r="B15025">
        <v>178769783.26301581</v>
      </c>
    </row>
    <row r="15026" spans="1:2" x14ac:dyDescent="0.25">
      <c r="A15026">
        <f ca="1">27896.2212521709*((RANDBETWEEN(1620,2416)))</f>
        <v>51245358.440237954</v>
      </c>
      <c r="B15026">
        <v>145762336.2148217</v>
      </c>
    </row>
    <row r="15027" spans="1:2" x14ac:dyDescent="0.25">
      <c r="A15027">
        <f ca="1">31377.732121315*((RANDBETWEEN(1620,2416)))</f>
        <v>53875566.052297838</v>
      </c>
      <c r="B15027">
        <v>165888318.8874</v>
      </c>
    </row>
    <row r="15028" spans="1:2" x14ac:dyDescent="0.25">
      <c r="A15028">
        <f ca="1">33437.3653366302*((RANDBETWEEN(1620,2416)))</f>
        <v>79514054.770506516</v>
      </c>
      <c r="B15028">
        <v>159661612.08308542</v>
      </c>
    </row>
    <row r="15029" spans="1:2" x14ac:dyDescent="0.25">
      <c r="A15029">
        <f ca="1">31801.4842984018*((RANDBETWEEN(1620,2416)))</f>
        <v>54793957.446146227</v>
      </c>
      <c r="B15029">
        <v>159553201.10177547</v>
      </c>
    </row>
    <row r="15030" spans="1:2" x14ac:dyDescent="0.25">
      <c r="A15030">
        <f ca="1">39800.5833425814*((RANDBETWEEN(1620,2416)))</f>
        <v>83501623.852735698</v>
      </c>
      <c r="B15030">
        <v>153866042.41752344</v>
      </c>
    </row>
    <row r="15031" spans="1:2" x14ac:dyDescent="0.25">
      <c r="A15031">
        <f ca="1">38240.8699687432*((RANDBETWEEN(1620,2416)))</f>
        <v>83135651.31204766</v>
      </c>
      <c r="B15031">
        <v>164757306.43259931</v>
      </c>
    </row>
    <row r="15032" spans="1:2" x14ac:dyDescent="0.25">
      <c r="A15032">
        <f ca="1">32779.688133582*((RANDBETWEEN(1620,2416)))</f>
        <v>60347405.853924491</v>
      </c>
      <c r="B15032">
        <v>149653426.08250177</v>
      </c>
    </row>
    <row r="15033" spans="1:2" x14ac:dyDescent="0.25">
      <c r="A15033">
        <f ca="1">26902.5649832136*((RANDBETWEEN(1620,2416)))</f>
        <v>60853601.992029272</v>
      </c>
      <c r="B15033">
        <v>151245934.42582369</v>
      </c>
    </row>
    <row r="15034" spans="1:2" x14ac:dyDescent="0.25">
      <c r="A15034">
        <f ca="1">36398.9821791725*((RANDBETWEEN(1620,2416)))</f>
        <v>86119991.835922092</v>
      </c>
      <c r="B15034">
        <v>162252582.26020092</v>
      </c>
    </row>
    <row r="15035" spans="1:2" x14ac:dyDescent="0.25">
      <c r="A15035">
        <f ca="1">29461.4415601606*((RANDBETWEEN(1620,2416)))</f>
        <v>60484339.523009621</v>
      </c>
      <c r="B15035">
        <v>160218160.87290356</v>
      </c>
    </row>
    <row r="15036" spans="1:2" x14ac:dyDescent="0.25">
      <c r="A15036">
        <f ca="1">31214.098107957*((RANDBETWEEN(1620,2416)))</f>
        <v>51378405.485697195</v>
      </c>
      <c r="B15036">
        <v>186254723.45125729</v>
      </c>
    </row>
    <row r="15037" spans="1:2" x14ac:dyDescent="0.25">
      <c r="A15037">
        <f ca="1">39053.9641277876*((RANDBETWEEN(1620,2416)))</f>
        <v>73811992.201518625</v>
      </c>
      <c r="B15037">
        <v>157332886.31300616</v>
      </c>
    </row>
    <row r="15038" spans="1:2" x14ac:dyDescent="0.25">
      <c r="A15038">
        <f ca="1">42509.2171946636*((RANDBETWEEN(1620,2416)))</f>
        <v>77876885.900623754</v>
      </c>
      <c r="B15038">
        <v>155907070.3085947</v>
      </c>
    </row>
    <row r="15039" spans="1:2" x14ac:dyDescent="0.25">
      <c r="A15039">
        <f ca="1">36822.4763170286*((RANDBETWEEN(1620,2416)))</f>
        <v>83623843.715971977</v>
      </c>
      <c r="B15039">
        <v>166406516.00119796</v>
      </c>
    </row>
    <row r="15040" spans="1:2" x14ac:dyDescent="0.25">
      <c r="A15040">
        <f ca="1">27621.0105346487*((RANDBETWEEN(1620,2416)))</f>
        <v>56319240.480148755</v>
      </c>
      <c r="B15040">
        <v>159718047.22581297</v>
      </c>
    </row>
    <row r="15041" spans="1:2" x14ac:dyDescent="0.25">
      <c r="A15041">
        <f ca="1">33397.1939742306*((RANDBETWEEN(1620,2416)))</f>
        <v>73707607.101126954</v>
      </c>
      <c r="B15041">
        <v>145861377.44614708</v>
      </c>
    </row>
    <row r="15042" spans="1:2" x14ac:dyDescent="0.25">
      <c r="A15042">
        <f ca="1">32716.0053373958*((RANDBETWEEN(1620,2416)))</f>
        <v>56762269.260381691</v>
      </c>
      <c r="B15042">
        <v>188048232.24326128</v>
      </c>
    </row>
    <row r="15043" spans="1:2" x14ac:dyDescent="0.25">
      <c r="A15043">
        <f ca="1">39499.9967334737*((RANDBETWEEN(1620,2416)))</f>
        <v>84016493.052098468</v>
      </c>
      <c r="B15043">
        <v>160998696.10622472</v>
      </c>
    </row>
    <row r="15044" spans="1:2" x14ac:dyDescent="0.25">
      <c r="A15044">
        <f ca="1">31606.8622635422*((RANDBETWEEN(1620,2416)))</f>
        <v>67733505.830770969</v>
      </c>
      <c r="B15044">
        <v>159409704.37642872</v>
      </c>
    </row>
    <row r="15045" spans="1:2" x14ac:dyDescent="0.25">
      <c r="A15045">
        <f ca="1">33227.4814135118*((RANDBETWEEN(1620,2416)))</f>
        <v>55257301.590670086</v>
      </c>
      <c r="B15045">
        <v>146003869.49587595</v>
      </c>
    </row>
    <row r="15046" spans="1:2" x14ac:dyDescent="0.25">
      <c r="A15046">
        <f ca="1">29871.0945813504*((RANDBETWEEN(1620,2416)))</f>
        <v>48540528.694694392</v>
      </c>
      <c r="B15046">
        <v>201510902.94057414</v>
      </c>
    </row>
    <row r="15047" spans="1:2" x14ac:dyDescent="0.25">
      <c r="A15047">
        <f ca="1">32262.6337869947*((RANDBETWEEN(1620,2416)))</f>
        <v>60266599.914106026</v>
      </c>
      <c r="B15047">
        <v>154171614.30120835</v>
      </c>
    </row>
    <row r="15048" spans="1:2" x14ac:dyDescent="0.25">
      <c r="A15048">
        <f ca="1">31943.9745253164*((RANDBETWEEN(1620,2416)))</f>
        <v>60054672.107594885</v>
      </c>
      <c r="B15048">
        <v>151933774.33294708</v>
      </c>
    </row>
    <row r="15049" spans="1:2" x14ac:dyDescent="0.25">
      <c r="A15049">
        <f ca="1">29981.9638708002*((RANDBETWEEN(1620,2416)))</f>
        <v>71956713.289920419</v>
      </c>
      <c r="B15049">
        <v>159492692.14776236</v>
      </c>
    </row>
    <row r="15050" spans="1:2" x14ac:dyDescent="0.25">
      <c r="A15050">
        <f ca="1">35172.3571299477*((RANDBETWEEN(1620,2416)))</f>
        <v>76007463.757817</v>
      </c>
      <c r="B15050">
        <v>151164181.74221155</v>
      </c>
    </row>
    <row r="15051" spans="1:2" x14ac:dyDescent="0.25">
      <c r="A15051">
        <f ca="1">31659.7791751812*((RANDBETWEEN(1620,2416)))</f>
        <v>68480102.355916858</v>
      </c>
      <c r="B15051">
        <v>151555519.57498455</v>
      </c>
    </row>
    <row r="15052" spans="1:2" x14ac:dyDescent="0.25">
      <c r="A15052">
        <f ca="1">31070.7591963553*((RANDBETWEEN(1620,2416)))</f>
        <v>51111398.878004529</v>
      </c>
      <c r="B15052">
        <v>175791084.59051222</v>
      </c>
    </row>
    <row r="15053" spans="1:2" x14ac:dyDescent="0.25">
      <c r="A15053">
        <f ca="1">41181.1166279478*((RANDBETWEEN(1620,2416)))</f>
        <v>84586013.553804979</v>
      </c>
      <c r="B15053">
        <v>202256989.25306901</v>
      </c>
    </row>
    <row r="15054" spans="1:2" x14ac:dyDescent="0.25">
      <c r="A15054">
        <f ca="1">29015.0911166021*((RANDBETWEEN(1620,2416)))</f>
        <v>52430269.64769996</v>
      </c>
      <c r="B15054">
        <v>155786027.03448924</v>
      </c>
    </row>
    <row r="15055" spans="1:2" x14ac:dyDescent="0.25">
      <c r="A15055">
        <f ca="1">38191.6981056104*((RANDBETWEEN(1620,2416)))</f>
        <v>70387299.608639911</v>
      </c>
      <c r="B15055">
        <v>173106129.97275978</v>
      </c>
    </row>
    <row r="15056" spans="1:2" x14ac:dyDescent="0.25">
      <c r="A15056">
        <f ca="1">29772.4457677786*((RANDBETWEEN(1620,2416)))</f>
        <v>70739331.144242004</v>
      </c>
      <c r="B15056">
        <v>148984832.04306158</v>
      </c>
    </row>
    <row r="15057" spans="1:2" x14ac:dyDescent="0.25">
      <c r="A15057">
        <f ca="1">32514.5494667437*((RANDBETWEEN(1620,2416)))</f>
        <v>56380228.775333636</v>
      </c>
      <c r="B15057">
        <v>161707646.37239847</v>
      </c>
    </row>
    <row r="15058" spans="1:2" x14ac:dyDescent="0.25">
      <c r="A15058">
        <f ca="1">30414.2243192892*((RANDBETWEEN(1620,2416)))</f>
        <v>69952715.934365153</v>
      </c>
      <c r="B15058">
        <v>185376133.94559407</v>
      </c>
    </row>
    <row r="15059" spans="1:2" x14ac:dyDescent="0.25">
      <c r="A15059">
        <f ca="1">40757.8737212458*((RANDBETWEEN(1620,2416)))</f>
        <v>73201141.203357473</v>
      </c>
      <c r="B15059">
        <v>164777381.16687453</v>
      </c>
    </row>
    <row r="15060" spans="1:2" x14ac:dyDescent="0.25">
      <c r="A15060">
        <f ca="1">30818.8896767199*((RANDBETWEEN(1620,2416)))</f>
        <v>70112974.014537707</v>
      </c>
      <c r="B15060">
        <v>186628430.7554183</v>
      </c>
    </row>
    <row r="15061" spans="1:2" x14ac:dyDescent="0.25">
      <c r="A15061">
        <f ca="1">41952.9818403606*((RANDBETWEEN(1620,2416)))</f>
        <v>73711389.093513712</v>
      </c>
      <c r="B15061">
        <v>146894614.58493853</v>
      </c>
    </row>
    <row r="15062" spans="1:2" x14ac:dyDescent="0.25">
      <c r="A15062">
        <f ca="1">31309.1992077886*((RANDBETWEEN(1620,2416)))</f>
        <v>59456169.295590475</v>
      </c>
      <c r="B15062">
        <v>163625717.05464253</v>
      </c>
    </row>
    <row r="15063" spans="1:2" x14ac:dyDescent="0.25">
      <c r="A15063">
        <f ca="1">32994.5643687947*((RANDBETWEEN(1620,2416)))</f>
        <v>72126117.71018523</v>
      </c>
      <c r="B15063">
        <v>187278158.76360667</v>
      </c>
    </row>
    <row r="15064" spans="1:2" x14ac:dyDescent="0.25">
      <c r="A15064">
        <f ca="1">29197.5648249168*((RANDBETWEEN(1620,2416)))</f>
        <v>60351366.493102998</v>
      </c>
      <c r="B15064">
        <v>152334808.81684101</v>
      </c>
    </row>
    <row r="15065" spans="1:2" x14ac:dyDescent="0.25">
      <c r="A15065">
        <f ca="1">33754.6772854082*((RANDBETWEEN(1620,2416)))</f>
        <v>60994701.854732566</v>
      </c>
      <c r="B15065">
        <v>173306523.94266102</v>
      </c>
    </row>
    <row r="15066" spans="1:2" x14ac:dyDescent="0.25">
      <c r="A15066">
        <f ca="1">30515.3681803551*((RANDBETWEEN(1620,2416)))</f>
        <v>59627029.424413905</v>
      </c>
      <c r="B15066">
        <v>158988234.47896355</v>
      </c>
    </row>
    <row r="15067" spans="1:2" x14ac:dyDescent="0.25">
      <c r="A15067">
        <f ca="1">39430.9018662737*((RANDBETWEEN(1620,2416)))</f>
        <v>83317495.643436387</v>
      </c>
      <c r="B15067">
        <v>156009075.74847192</v>
      </c>
    </row>
    <row r="15068" spans="1:2" x14ac:dyDescent="0.25">
      <c r="A15068">
        <f ca="1">36908.7404036576*((RANDBETWEEN(1620,2416)))</f>
        <v>69831336.843720138</v>
      </c>
      <c r="B15068">
        <v>151988844.10697901</v>
      </c>
    </row>
    <row r="15069" spans="1:2" x14ac:dyDescent="0.25">
      <c r="A15069">
        <f ca="1">40317.6514710155*((RANDBETWEEN(1620,2416)))</f>
        <v>69910807.650740951</v>
      </c>
      <c r="B15069">
        <v>146453182.30060947</v>
      </c>
    </row>
    <row r="15070" spans="1:2" x14ac:dyDescent="0.25">
      <c r="A15070">
        <f ca="1">30228.2076008605*((RANDBETWEEN(1620,2416)))</f>
        <v>65323156.625459537</v>
      </c>
      <c r="B15070">
        <v>177058981.37430945</v>
      </c>
    </row>
    <row r="15071" spans="1:2" x14ac:dyDescent="0.25">
      <c r="A15071">
        <f ca="1">31364.0790007262*((RANDBETWEEN(1620,2416)))</f>
        <v>75179697.364740774</v>
      </c>
      <c r="B15071">
        <v>143194651.0755417</v>
      </c>
    </row>
    <row r="15072" spans="1:2" x14ac:dyDescent="0.25">
      <c r="A15072">
        <f ca="1">35780.7486928228*((RANDBETWEEN(1620,2416)))</f>
        <v>82796652.475191846</v>
      </c>
      <c r="B15072">
        <v>171178471.53206056</v>
      </c>
    </row>
    <row r="15073" spans="1:2" x14ac:dyDescent="0.25">
      <c r="A15073">
        <f ca="1">31508.0442612427*((RANDBETWEEN(1620,2416)))</f>
        <v>58857026.6800014</v>
      </c>
      <c r="B15073">
        <v>191353111.09884423</v>
      </c>
    </row>
    <row r="15074" spans="1:2" x14ac:dyDescent="0.25">
      <c r="A15074">
        <f ca="1">32843.1338502078*((RANDBETWEEN(1620,2416)))</f>
        <v>64700973.684909396</v>
      </c>
      <c r="B15074">
        <v>143477964.69051328</v>
      </c>
    </row>
    <row r="15075" spans="1:2" x14ac:dyDescent="0.25">
      <c r="A15075">
        <f ca="1">28649.3088944224*((RANDBETWEEN(1620,2416)))</f>
        <v>53688804.868147507</v>
      </c>
      <c r="B15075">
        <v>150651797.52223653</v>
      </c>
    </row>
    <row r="15076" spans="1:2" x14ac:dyDescent="0.25">
      <c r="A15076">
        <f ca="1">29492.1565645104*((RANDBETWEEN(1620,2416)))</f>
        <v>53823185.730231553</v>
      </c>
      <c r="B15076">
        <v>147811284.22662053</v>
      </c>
    </row>
    <row r="15077" spans="1:2" x14ac:dyDescent="0.25">
      <c r="A15077">
        <f ca="1">31293.1788349961*((RANDBETWEEN(1620,2416)))</f>
        <v>62555064.491157249</v>
      </c>
      <c r="B15077">
        <v>154396401.22161895</v>
      </c>
    </row>
    <row r="15078" spans="1:2" x14ac:dyDescent="0.25">
      <c r="A15078">
        <f ca="1">31802.2701734644*((RANDBETWEEN(1620,2416)))</f>
        <v>60233499.708541572</v>
      </c>
      <c r="B15078">
        <v>166083739.09700781</v>
      </c>
    </row>
    <row r="15079" spans="1:2" x14ac:dyDescent="0.25">
      <c r="A15079">
        <f ca="1">39007.0513289443*((RANDBETWEEN(1620,2416)))</f>
        <v>92017634.084979698</v>
      </c>
      <c r="B15079">
        <v>167298402.54970428</v>
      </c>
    </row>
    <row r="15080" spans="1:2" x14ac:dyDescent="0.25">
      <c r="A15080">
        <f ca="1">28636.4218284603*((RANDBETWEEN(1620,2416)))</f>
        <v>52977380.38265159</v>
      </c>
      <c r="B15080">
        <v>147278381.70279354</v>
      </c>
    </row>
    <row r="15081" spans="1:2" x14ac:dyDescent="0.25">
      <c r="A15081">
        <f ca="1">31708.2223180628*((RANDBETWEEN(1620,2416)))</f>
        <v>53364938.161299773</v>
      </c>
      <c r="B15081">
        <v>171767101.31290126</v>
      </c>
    </row>
    <row r="15082" spans="1:2" x14ac:dyDescent="0.25">
      <c r="A15082">
        <f ca="1">33662.3381659572*((RANDBETWEEN(1620,2416)))</f>
        <v>59817974.92090591</v>
      </c>
      <c r="B15082">
        <v>199972322.15942162</v>
      </c>
    </row>
    <row r="15083" spans="1:2" x14ac:dyDescent="0.25">
      <c r="A15083">
        <f ca="1">38458.8635761418*((RANDBETWEEN(1620,2416)))</f>
        <v>70956603.29798165</v>
      </c>
      <c r="B15083">
        <v>181597402.00888979</v>
      </c>
    </row>
    <row r="15084" spans="1:2" x14ac:dyDescent="0.25">
      <c r="A15084">
        <f ca="1">33775.9708800598*((RANDBETWEEN(1620,2416)))</f>
        <v>64883640.060594909</v>
      </c>
      <c r="B15084">
        <v>182141342.97452089</v>
      </c>
    </row>
    <row r="15085" spans="1:2" x14ac:dyDescent="0.25">
      <c r="A15085">
        <f ca="1">36217.1583981266*((RANDBETWEEN(1620,2416)))</f>
        <v>81343737.762192309</v>
      </c>
      <c r="B15085">
        <v>158742503.85930228</v>
      </c>
    </row>
    <row r="15086" spans="1:2" x14ac:dyDescent="0.25">
      <c r="A15086">
        <f ca="1">32812.138546217*((RANDBETWEEN(1620,2416)))</f>
        <v>54861895.649274789</v>
      </c>
      <c r="B15086">
        <v>148582982.13056192</v>
      </c>
    </row>
    <row r="15087" spans="1:2" x14ac:dyDescent="0.25">
      <c r="A15087">
        <f ca="1">30935.8493843568*((RANDBETWEEN(1620,2416)))</f>
        <v>52374393.007716119</v>
      </c>
      <c r="B15087">
        <v>167465690.40636328</v>
      </c>
    </row>
    <row r="15088" spans="1:2" x14ac:dyDescent="0.25">
      <c r="A15088">
        <f ca="1">30771.9434384116*((RANDBETWEEN(1620,2416)))</f>
        <v>59851429.98771061</v>
      </c>
      <c r="B15088">
        <v>147678454.26814431</v>
      </c>
    </row>
    <row r="15089" spans="1:2" x14ac:dyDescent="0.25">
      <c r="A15089">
        <f ca="1">35333.1599617046*((RANDBETWEEN(1620,2416)))</f>
        <v>81124935.27207382</v>
      </c>
      <c r="B15089">
        <v>160693719.0596303</v>
      </c>
    </row>
    <row r="15090" spans="1:2" x14ac:dyDescent="0.25">
      <c r="A15090">
        <f ca="1">30549.2244912543*((RANDBETWEEN(1620,2416)))</f>
        <v>65069848.166371688</v>
      </c>
      <c r="B15090">
        <v>154333388.31824458</v>
      </c>
    </row>
    <row r="15091" spans="1:2" x14ac:dyDescent="0.25">
      <c r="A15091">
        <f ca="1">40840.0293020674*((RANDBETWEEN(1620,2416)))</f>
        <v>69468889.842816636</v>
      </c>
      <c r="B15091">
        <v>155923997.57583743</v>
      </c>
    </row>
    <row r="15092" spans="1:2" x14ac:dyDescent="0.25">
      <c r="A15092">
        <f ca="1">30356.4062570783*((RANDBETWEEN(1620,2416)))</f>
        <v>53943333.918828093</v>
      </c>
      <c r="B15092">
        <v>159265929.36704117</v>
      </c>
    </row>
    <row r="15093" spans="1:2" x14ac:dyDescent="0.25">
      <c r="A15093">
        <f ca="1">31041.2315883678*((RANDBETWEEN(1620,2416)))</f>
        <v>53328835.868815944</v>
      </c>
      <c r="B15093">
        <v>145877193.02889538</v>
      </c>
    </row>
    <row r="15094" spans="1:2" x14ac:dyDescent="0.25">
      <c r="A15094">
        <f ca="1">33071.91528134*((RANDBETWEEN(1620,2416)))</f>
        <v>58834937.285503834</v>
      </c>
      <c r="B15094">
        <v>148038700.1741502</v>
      </c>
    </row>
    <row r="15095" spans="1:2" x14ac:dyDescent="0.25">
      <c r="A15095">
        <f ca="1">29850.5414695223*((RANDBETWEEN(1620,2416)))</f>
        <v>59730933.480514213</v>
      </c>
      <c r="B15095">
        <v>166477272.22201854</v>
      </c>
    </row>
    <row r="15096" spans="1:2" x14ac:dyDescent="0.25">
      <c r="A15096">
        <f ca="1">32418.1391854858*((RANDBETWEEN(1620,2416)))</f>
        <v>77414516.374940127</v>
      </c>
      <c r="B15096">
        <v>154806619.85427934</v>
      </c>
    </row>
    <row r="15097" spans="1:2" x14ac:dyDescent="0.25">
      <c r="A15097">
        <f ca="1">27902.8487476066*((RANDBETWEEN(1620,2416)))</f>
        <v>55024417.730280176</v>
      </c>
      <c r="B15097">
        <v>171790947.60876504</v>
      </c>
    </row>
    <row r="15098" spans="1:2" x14ac:dyDescent="0.25">
      <c r="A15098">
        <f ca="1">32293.6636377437*((RANDBETWEEN(1620,2416)))</f>
        <v>75534879.248682484</v>
      </c>
      <c r="B15098">
        <v>149481452.43852702</v>
      </c>
    </row>
    <row r="15099" spans="1:2" x14ac:dyDescent="0.25">
      <c r="A15099">
        <f ca="1">30497.0824197381*((RANDBETWEEN(1620,2416)))</f>
        <v>69136885.845546186</v>
      </c>
      <c r="B15099">
        <v>152847907.8974278</v>
      </c>
    </row>
    <row r="15100" spans="1:2" x14ac:dyDescent="0.25">
      <c r="A15100">
        <f ca="1">37644.1476666014*((RANDBETWEEN(1620,2416)))</f>
        <v>85903944.975184381</v>
      </c>
      <c r="B15100">
        <v>182503681.72422773</v>
      </c>
    </row>
    <row r="15101" spans="1:2" x14ac:dyDescent="0.25">
      <c r="A15101">
        <f ca="1">34650.1975015481*((RANDBETWEEN(1620,2416)))</f>
        <v>81046811.956120923</v>
      </c>
      <c r="B15101">
        <v>172229309.66915801</v>
      </c>
    </row>
    <row r="15102" spans="1:2" x14ac:dyDescent="0.25">
      <c r="A15102">
        <f ca="1">32775.6271890009*((RANDBETWEEN(1620,2416)))</f>
        <v>78890934.643925145</v>
      </c>
      <c r="B15102">
        <v>199501822.62602884</v>
      </c>
    </row>
    <row r="15103" spans="1:2" x14ac:dyDescent="0.25">
      <c r="A15103">
        <f ca="1">41185.7442429771*((RANDBETWEEN(1620,2416)))</f>
        <v>76564298.54769434</v>
      </c>
      <c r="B15103">
        <v>170484628.79530469</v>
      </c>
    </row>
    <row r="15104" spans="1:2" x14ac:dyDescent="0.25">
      <c r="A15104">
        <f ca="1">34994.7450675004*((RANDBETWEEN(1620,2416)))</f>
        <v>80837861.105925843</v>
      </c>
      <c r="B15104">
        <v>144912563.56464422</v>
      </c>
    </row>
    <row r="15105" spans="1:2" x14ac:dyDescent="0.25">
      <c r="A15105">
        <f ca="1">29833.5999948924*((RANDBETWEEN(1620,2416)))</f>
        <v>68199609.588323951</v>
      </c>
      <c r="B15105">
        <v>188777349.35509574</v>
      </c>
    </row>
    <row r="15106" spans="1:2" x14ac:dyDescent="0.25">
      <c r="A15106">
        <f ca="1">31521.6094780443*((RANDBETWEEN(1620,2416)))</f>
        <v>68969281.537961006</v>
      </c>
      <c r="B15106">
        <v>160269873.06741273</v>
      </c>
    </row>
    <row r="15107" spans="1:2" x14ac:dyDescent="0.25">
      <c r="A15107">
        <f ca="1">31068.1557917906*((RANDBETWEEN(1620,2416)))</f>
        <v>59557654.65286275</v>
      </c>
      <c r="B15107">
        <v>146323386.24286702</v>
      </c>
    </row>
    <row r="15108" spans="1:2" x14ac:dyDescent="0.25">
      <c r="A15108">
        <f ca="1">31783.6511211649*((RANDBETWEEN(1620,2416)))</f>
        <v>60770340.943667315</v>
      </c>
      <c r="B15108">
        <v>178143455.38202643</v>
      </c>
    </row>
    <row r="15109" spans="1:2" x14ac:dyDescent="0.25">
      <c r="A15109">
        <f ca="1">38383.0365617678*((RANDBETWEEN(1620,2416)))</f>
        <v>80028631.2312859</v>
      </c>
      <c r="B15109">
        <v>201738812.2988193</v>
      </c>
    </row>
    <row r="15110" spans="1:2" x14ac:dyDescent="0.25">
      <c r="A15110">
        <f ca="1">30285.312481937*((RANDBETWEEN(1620,2416)))</f>
        <v>66082551.835586548</v>
      </c>
      <c r="B15110">
        <v>187802600.7228612</v>
      </c>
    </row>
    <row r="15111" spans="1:2" x14ac:dyDescent="0.25">
      <c r="A15111">
        <f ca="1">37274.6930902415*((RANDBETWEEN(1620,2416)))</f>
        <v>89459263.416579694</v>
      </c>
      <c r="B15111">
        <v>158059057.25726482</v>
      </c>
    </row>
    <row r="15112" spans="1:2" x14ac:dyDescent="0.25">
      <c r="A15112">
        <f ca="1">37363.097884479*((RANDBETWEEN(1620,2416)))</f>
        <v>77154797.131449103</v>
      </c>
      <c r="B15112">
        <v>187836100.93626237</v>
      </c>
    </row>
    <row r="15113" spans="1:2" x14ac:dyDescent="0.25">
      <c r="A15113">
        <f ca="1">33828.7762711034*((RANDBETWEEN(1620,2416)))</f>
        <v>65526339.637127332</v>
      </c>
      <c r="B15113">
        <v>161897997.07650149</v>
      </c>
    </row>
    <row r="15114" spans="1:2" x14ac:dyDescent="0.25">
      <c r="A15114">
        <f ca="1">30747.1212724316*((RANDBETWEEN(1620,2416)))</f>
        <v>70872114.532954872</v>
      </c>
      <c r="B15114">
        <v>164457518.41072622</v>
      </c>
    </row>
    <row r="15115" spans="1:2" x14ac:dyDescent="0.25">
      <c r="A15115">
        <f ca="1">31097.6929686901*((RANDBETWEEN(1620,2416)))</f>
        <v>64372224.445188425</v>
      </c>
      <c r="B15115">
        <v>160617444.1702224</v>
      </c>
    </row>
    <row r="15116" spans="1:2" x14ac:dyDescent="0.25">
      <c r="A15116">
        <f ca="1">41835.3637676502*((RANDBETWEEN(1620,2416)))</f>
        <v>80198392.342585519</v>
      </c>
      <c r="B15116">
        <v>161650884.68256226</v>
      </c>
    </row>
    <row r="15117" spans="1:2" x14ac:dyDescent="0.25">
      <c r="A15117">
        <f ca="1">30243.2392705288*((RANDBETWEEN(1620,2416)))</f>
        <v>59337235.448777452</v>
      </c>
      <c r="B15117">
        <v>165356965.28269392</v>
      </c>
    </row>
    <row r="15118" spans="1:2" x14ac:dyDescent="0.25">
      <c r="A15118">
        <f ca="1">31066.044162746*((RANDBETWEEN(1620,2416)))</f>
        <v>67413315.833158746</v>
      </c>
      <c r="B15118">
        <v>147768899.24779832</v>
      </c>
    </row>
    <row r="15119" spans="1:2" x14ac:dyDescent="0.25">
      <c r="A15119">
        <f ca="1">31082.0013122346*((RANDBETWEEN(1620,2416)))</f>
        <v>56475996.384330302</v>
      </c>
      <c r="B15119">
        <v>149493666.07504562</v>
      </c>
    </row>
    <row r="15120" spans="1:2" x14ac:dyDescent="0.25">
      <c r="A15120">
        <f ca="1">36179.1926898722*((RANDBETWEEN(1620,2416)))</f>
        <v>69283154.001105279</v>
      </c>
      <c r="B15120">
        <v>173201493.75129592</v>
      </c>
    </row>
    <row r="15121" spans="1:2" x14ac:dyDescent="0.25">
      <c r="A15121">
        <f ca="1">38476.2438234559*((RANDBETWEEN(1620,2416)))</f>
        <v>84378402.704838723</v>
      </c>
      <c r="B15121">
        <v>202921640.00446999</v>
      </c>
    </row>
    <row r="15122" spans="1:2" x14ac:dyDescent="0.25">
      <c r="A15122">
        <f ca="1">31997.34941232*((RANDBETWEEN(1620,2416)))</f>
        <v>58363165.328071676</v>
      </c>
      <c r="B15122">
        <v>143628858.58310875</v>
      </c>
    </row>
    <row r="15123" spans="1:2" x14ac:dyDescent="0.25">
      <c r="A15123">
        <f ca="1">30203.9164373308*((RANDBETWEEN(1620,2416)))</f>
        <v>72308175.950969949</v>
      </c>
      <c r="B15123">
        <v>173689157.29942861</v>
      </c>
    </row>
    <row r="15124" spans="1:2" x14ac:dyDescent="0.25">
      <c r="A15124">
        <f ca="1">30778.7220514556*((RANDBETWEEN(1620,2416)))</f>
        <v>71191184.105016887</v>
      </c>
      <c r="B15124">
        <v>154698002.24439776</v>
      </c>
    </row>
    <row r="15125" spans="1:2" x14ac:dyDescent="0.25">
      <c r="A15125">
        <f ca="1">29859.1624126875*((RANDBETWEEN(1620,2416)))</f>
        <v>72080018.064227641</v>
      </c>
      <c r="B15125">
        <v>149229343.56564838</v>
      </c>
    </row>
    <row r="15126" spans="1:2" x14ac:dyDescent="0.25">
      <c r="A15126">
        <f ca="1">29128.3887610593*((RANDBETWEEN(1620,2416)))</f>
        <v>58169392.355835512</v>
      </c>
      <c r="B15126">
        <v>144751982.48343682</v>
      </c>
    </row>
    <row r="15127" spans="1:2" x14ac:dyDescent="0.25">
      <c r="A15127">
        <f ca="1">38207.1497956795*((RANDBETWEEN(1620,2416)))</f>
        <v>73434141.907295957</v>
      </c>
      <c r="B15127">
        <v>181652778.22331139</v>
      </c>
    </row>
    <row r="15128" spans="1:2" x14ac:dyDescent="0.25">
      <c r="A15128">
        <f ca="1">39315.6903515922*((RANDBETWEEN(1620,2416)))</f>
        <v>68487932.592473596</v>
      </c>
      <c r="B15128">
        <v>191290010.64811012</v>
      </c>
    </row>
    <row r="15129" spans="1:2" x14ac:dyDescent="0.25">
      <c r="A15129">
        <f ca="1">33795.9736106462*((RANDBETWEEN(1620,2416)))</f>
        <v>81482092.375267982</v>
      </c>
      <c r="B15129">
        <v>194847794.08216125</v>
      </c>
    </row>
    <row r="15130" spans="1:2" x14ac:dyDescent="0.25">
      <c r="A15130">
        <f ca="1">37992.4031646889*((RANDBETWEEN(1620,2416)))</f>
        <v>82747454.092692509</v>
      </c>
      <c r="B15130">
        <v>177202903.38185</v>
      </c>
    </row>
    <row r="15131" spans="1:2" x14ac:dyDescent="0.25">
      <c r="A15131">
        <f ca="1">31039.1005801871*((RANDBETWEEN(1620,2416)))</f>
        <v>73159160.067501038</v>
      </c>
      <c r="B15131">
        <v>193931421.39251596</v>
      </c>
    </row>
    <row r="15132" spans="1:2" x14ac:dyDescent="0.25">
      <c r="A15132">
        <f ca="1">34356.5725985596*((RANDBETWEEN(1620,2416)))</f>
        <v>76374660.886597976</v>
      </c>
      <c r="B15132">
        <v>180182686.94431406</v>
      </c>
    </row>
    <row r="15133" spans="1:2" x14ac:dyDescent="0.25">
      <c r="A15133">
        <f ca="1">30185.5796825534*((RANDBETWEEN(1620,2416)))</f>
        <v>64053800.086378329</v>
      </c>
      <c r="B15133">
        <v>170526256.5330655</v>
      </c>
    </row>
    <row r="15134" spans="1:2" x14ac:dyDescent="0.25">
      <c r="A15134">
        <f ca="1">30357.4191980467*((RANDBETWEEN(1620,2416)))</f>
        <v>71795296.403380394</v>
      </c>
      <c r="B15134">
        <v>198737302.07788485</v>
      </c>
    </row>
    <row r="15135" spans="1:2" x14ac:dyDescent="0.25">
      <c r="A15135">
        <f ca="1">29203.5746537686*((RANDBETWEEN(1620,2416)))</f>
        <v>66146096.590785861</v>
      </c>
      <c r="B15135">
        <v>159902540.90717852</v>
      </c>
    </row>
    <row r="15136" spans="1:2" x14ac:dyDescent="0.25">
      <c r="A15136">
        <f ca="1">32093.2609416255*((RANDBETWEEN(1620,2416)))</f>
        <v>56612512.301027462</v>
      </c>
      <c r="B15136">
        <v>163173577.35105103</v>
      </c>
    </row>
    <row r="15137" spans="1:2" x14ac:dyDescent="0.25">
      <c r="A15137">
        <f ca="1">29206.1911308744*((RANDBETWEEN(1620,2416)))</f>
        <v>56075886.971278772</v>
      </c>
      <c r="B15137">
        <v>149165543.2661885</v>
      </c>
    </row>
    <row r="15138" spans="1:2" x14ac:dyDescent="0.25">
      <c r="A15138">
        <f ca="1">38292.8433885678*((RANDBETWEEN(1620,2416)))</f>
        <v>67931504.171319231</v>
      </c>
      <c r="B15138">
        <v>158613342.39948148</v>
      </c>
    </row>
    <row r="15139" spans="1:2" x14ac:dyDescent="0.25">
      <c r="A15139">
        <f ca="1">30780.5165065818*((RANDBETWEEN(1620,2416)))</f>
        <v>60637617.517966092</v>
      </c>
      <c r="B15139">
        <v>146422095.83206892</v>
      </c>
    </row>
    <row r="15140" spans="1:2" x14ac:dyDescent="0.25">
      <c r="A15140">
        <f ca="1">31139.2719094465*((RANDBETWEEN(1620,2416)))</f>
        <v>68724373.104148358</v>
      </c>
      <c r="B15140">
        <v>173357972.4235481</v>
      </c>
    </row>
    <row r="15141" spans="1:2" x14ac:dyDescent="0.25">
      <c r="A15141">
        <f ca="1">28978.092138192*((RANDBETWEEN(1620,2416)))</f>
        <v>59434066.975431845</v>
      </c>
      <c r="B15141">
        <v>161543307.11070466</v>
      </c>
    </row>
    <row r="15142" spans="1:2" x14ac:dyDescent="0.25">
      <c r="A15142">
        <f ca="1">36206.2235442902*((RANDBETWEEN(1620,2416)))</f>
        <v>75453769.866300851</v>
      </c>
      <c r="B15142">
        <v>145028684.15581295</v>
      </c>
    </row>
    <row r="15143" spans="1:2" x14ac:dyDescent="0.25">
      <c r="A15143">
        <f ca="1">29276.6767564336*((RANDBETWEEN(1620,2416)))</f>
        <v>63061961.733357966</v>
      </c>
      <c r="B15143">
        <v>190975649.85452089</v>
      </c>
    </row>
    <row r="15144" spans="1:2" x14ac:dyDescent="0.25">
      <c r="A15144">
        <f ca="1">35741.891861532*((RANDBETWEEN(1620,2416)))</f>
        <v>72699008.046356022</v>
      </c>
      <c r="B15144">
        <v>164225462.04115972</v>
      </c>
    </row>
    <row r="15145" spans="1:2" x14ac:dyDescent="0.25">
      <c r="A15145">
        <f ca="1">29772.2953099074*((RANDBETWEEN(1620,2416)))</f>
        <v>59217095.371405795</v>
      </c>
      <c r="B15145">
        <v>158747125.91450936</v>
      </c>
    </row>
    <row r="15146" spans="1:2" x14ac:dyDescent="0.25">
      <c r="A15146">
        <f ca="1">31761.5709134857*((RANDBETWEEN(1620,2416)))</f>
        <v>62093871.13586463</v>
      </c>
      <c r="B15146">
        <v>163972290.1521568</v>
      </c>
    </row>
    <row r="15147" spans="1:2" x14ac:dyDescent="0.25">
      <c r="A15147">
        <f ca="1">29019.8036212067*((RANDBETWEEN(1620,2416)))</f>
        <v>49914062.228475586</v>
      </c>
      <c r="B15147">
        <v>167554852.35102671</v>
      </c>
    </row>
    <row r="15148" spans="1:2" x14ac:dyDescent="0.25">
      <c r="A15148">
        <f ca="1">31160.1886900985*((RANDBETWEEN(1620,2416)))</f>
        <v>66090760.211698964</v>
      </c>
      <c r="B15148">
        <v>170530087.88368767</v>
      </c>
    </row>
    <row r="15149" spans="1:2" x14ac:dyDescent="0.25">
      <c r="A15149">
        <f ca="1">36801.7924864171*((RANDBETWEEN(1620,2416)))</f>
        <v>85748176.493351877</v>
      </c>
      <c r="B15149">
        <v>179743072.30667597</v>
      </c>
    </row>
    <row r="15150" spans="1:2" x14ac:dyDescent="0.25">
      <c r="A15150">
        <f ca="1">37729.9074702548*((RANDBETWEEN(1620,2416)))</f>
        <v>77157660.776670963</v>
      </c>
      <c r="B15150">
        <v>193358204.83220285</v>
      </c>
    </row>
    <row r="15151" spans="1:2" x14ac:dyDescent="0.25">
      <c r="A15151">
        <f ca="1">32348.1405698817*((RANDBETWEEN(1620,2416)))</f>
        <v>66604821.433386371</v>
      </c>
      <c r="B15151">
        <v>147763672.43233711</v>
      </c>
    </row>
    <row r="15152" spans="1:2" x14ac:dyDescent="0.25">
      <c r="A15152">
        <f ca="1">30456.4478059033*((RANDBETWEEN(1620,2416)))</f>
        <v>62648913.136743188</v>
      </c>
      <c r="B15152">
        <v>200085223.10469404</v>
      </c>
    </row>
    <row r="15153" spans="1:2" x14ac:dyDescent="0.25">
      <c r="A15153">
        <f ca="1">38360.850219285*((RANDBETWEEN(1620,2416)))</f>
        <v>68243952.54010807</v>
      </c>
      <c r="B15153">
        <v>157621027.80787516</v>
      </c>
    </row>
    <row r="15154" spans="1:2" x14ac:dyDescent="0.25">
      <c r="A15154">
        <f ca="1">31189.2387680302*((RANDBETWEEN(1620,2416)))</f>
        <v>51212730.057105526</v>
      </c>
      <c r="B15154">
        <v>145944847.17665932</v>
      </c>
    </row>
    <row r="15155" spans="1:2" x14ac:dyDescent="0.25">
      <c r="A15155">
        <f ca="1">30342.6173955928*((RANDBETWEEN(1620,2416)))</f>
        <v>72518855.575466812</v>
      </c>
      <c r="B15155">
        <v>145227252.04502076</v>
      </c>
    </row>
    <row r="15156" spans="1:2" x14ac:dyDescent="0.25">
      <c r="A15156">
        <f ca="1">29515.0680989286*((RANDBETWEEN(1620,2416)))</f>
        <v>56580385.545646101</v>
      </c>
      <c r="B15156">
        <v>155919286.75094175</v>
      </c>
    </row>
    <row r="15157" spans="1:2" x14ac:dyDescent="0.25">
      <c r="A15157">
        <f ca="1">35246.3185446356*((RANDBETWEEN(1620,2416)))</f>
        <v>60165465.755692929</v>
      </c>
      <c r="B15157">
        <v>185473826.6567778</v>
      </c>
    </row>
    <row r="15158" spans="1:2" x14ac:dyDescent="0.25">
      <c r="A15158">
        <f ca="1">38762.1166973029*((RANDBETWEEN(1620,2416)))</f>
        <v>80353867.913508922</v>
      </c>
      <c r="B15158">
        <v>143223108.90565264</v>
      </c>
    </row>
    <row r="15159" spans="1:2" x14ac:dyDescent="0.25">
      <c r="A15159">
        <f ca="1">30339.8003328502*((RANDBETWEEN(1620,2416)))</f>
        <v>59344649.451055042</v>
      </c>
      <c r="B15159">
        <v>183644187.1885576</v>
      </c>
    </row>
    <row r="15160" spans="1:2" x14ac:dyDescent="0.25">
      <c r="A15160">
        <f ca="1">32542.8180541113*((RANDBETWEEN(1620,2416)))</f>
        <v>72017256.353748411</v>
      </c>
      <c r="B15160">
        <v>176312584.93578517</v>
      </c>
    </row>
    <row r="15161" spans="1:2" x14ac:dyDescent="0.25">
      <c r="A15161">
        <f ca="1">27932.6364532396*((RANDBETWEEN(1620,2416)))</f>
        <v>62317711.927177474</v>
      </c>
      <c r="B15161">
        <v>188528467.77109775</v>
      </c>
    </row>
    <row r="15162" spans="1:2" x14ac:dyDescent="0.25">
      <c r="A15162">
        <f ca="1">31962.4909243505*((RANDBETWEEN(1620,2416)))</f>
        <v>66513943.613573298</v>
      </c>
      <c r="B15162">
        <v>154974643.7299265</v>
      </c>
    </row>
    <row r="15163" spans="1:2" x14ac:dyDescent="0.25">
      <c r="A15163">
        <f ca="1">40131.0268417831*((RANDBETWEEN(1620,2416)))</f>
        <v>84275156.36774461</v>
      </c>
      <c r="B15163">
        <v>181334585.23088074</v>
      </c>
    </row>
    <row r="15164" spans="1:2" x14ac:dyDescent="0.25">
      <c r="A15164">
        <f ca="1">37474.2439437508*((RANDBETWEEN(1620,2416)))</f>
        <v>90125556.68472074</v>
      </c>
      <c r="B15164">
        <v>146898045.65600991</v>
      </c>
    </row>
    <row r="15165" spans="1:2" x14ac:dyDescent="0.25">
      <c r="A15165">
        <f ca="1">33619.2709160299*((RANDBETWEEN(1620,2416)))</f>
        <v>69860844.963510185</v>
      </c>
      <c r="B15165">
        <v>168090601.26313776</v>
      </c>
    </row>
    <row r="15166" spans="1:2" x14ac:dyDescent="0.25">
      <c r="A15166">
        <f ca="1">29649.1643958872*((RANDBETWEEN(1620,2416)))</f>
        <v>69645887.165938988</v>
      </c>
      <c r="B15166">
        <v>200541373.85179955</v>
      </c>
    </row>
    <row r="15167" spans="1:2" x14ac:dyDescent="0.25">
      <c r="A15167">
        <f ca="1">30815.1733764871*((RANDBETWEEN(1620,2416)))</f>
        <v>69981258.738002285</v>
      </c>
      <c r="B15167">
        <v>187273281.99160102</v>
      </c>
    </row>
    <row r="15168" spans="1:2" x14ac:dyDescent="0.25">
      <c r="A15168">
        <f ca="1">28836.5120663337*((RANDBETWEEN(1620,2416)))</f>
        <v>61104569.068561204</v>
      </c>
      <c r="B15168">
        <v>157016621.82800233</v>
      </c>
    </row>
    <row r="15169" spans="1:2" x14ac:dyDescent="0.25">
      <c r="A15169">
        <f ca="1">32498.0138296995*((RANDBETWEEN(1620,2416)))</f>
        <v>60381309.695581689</v>
      </c>
      <c r="B15169">
        <v>163387047.26426858</v>
      </c>
    </row>
    <row r="15170" spans="1:2" x14ac:dyDescent="0.25">
      <c r="A15170">
        <f ca="1">34805.3554276622*((RANDBETWEEN(1620,2416)))</f>
        <v>59064688.16074273</v>
      </c>
      <c r="B15170">
        <v>191696198.77681917</v>
      </c>
    </row>
    <row r="15171" spans="1:2" x14ac:dyDescent="0.25">
      <c r="A15171">
        <f ca="1">39003.1163820215*((RANDBETWEEN(1620,2416)))</f>
        <v>67163366.409841076</v>
      </c>
      <c r="B15171">
        <v>164135041.57481641</v>
      </c>
    </row>
    <row r="15172" spans="1:2" x14ac:dyDescent="0.25">
      <c r="A15172">
        <f ca="1">40000.325397688*((RANDBETWEEN(1620,2416)))</f>
        <v>90600737.025763273</v>
      </c>
      <c r="B15172">
        <v>180499513.51478297</v>
      </c>
    </row>
    <row r="15173" spans="1:2" x14ac:dyDescent="0.25">
      <c r="A15173">
        <f ca="1">40128.6335664923*((RANDBETWEEN(1620,2416)))</f>
        <v>66653660.353943653</v>
      </c>
      <c r="B15173">
        <v>188856635.18121535</v>
      </c>
    </row>
    <row r="15174" spans="1:2" x14ac:dyDescent="0.25">
      <c r="A15174">
        <f ca="1">29053.3835315417*((RANDBETWEEN(1620,2416)))</f>
        <v>56014923.448812492</v>
      </c>
      <c r="B15174">
        <v>187883858.69501197</v>
      </c>
    </row>
    <row r="15175" spans="1:2" x14ac:dyDescent="0.25">
      <c r="A15175">
        <f ca="1">38785.2781724715*((RANDBETWEEN(1620,2416)))</f>
        <v>90563624.532721087</v>
      </c>
      <c r="B15175">
        <v>145834220.84615079</v>
      </c>
    </row>
    <row r="15176" spans="1:2" x14ac:dyDescent="0.25">
      <c r="A15176">
        <f ca="1">31268.7887320738*((RANDBETWEEN(1620,2416)))</f>
        <v>62006008.055702291</v>
      </c>
      <c r="B15176">
        <v>148402254.92371404</v>
      </c>
    </row>
    <row r="15177" spans="1:2" x14ac:dyDescent="0.25">
      <c r="A15177">
        <f ca="1">32281.8073780863*((RANDBETWEEN(1620,2416)))</f>
        <v>68857095.137458041</v>
      </c>
      <c r="B15177">
        <v>151874869.26104286</v>
      </c>
    </row>
    <row r="15178" spans="1:2" x14ac:dyDescent="0.25">
      <c r="A15178">
        <f ca="1">32633.9753748138*((RANDBETWEEN(1620,2416)))</f>
        <v>78582612.702551574</v>
      </c>
      <c r="B15178">
        <v>170788158.11773732</v>
      </c>
    </row>
    <row r="15179" spans="1:2" x14ac:dyDescent="0.25">
      <c r="A15179">
        <f ca="1">31550.8734693315*((RANDBETWEEN(1620,2416)))</f>
        <v>53857341.012148894</v>
      </c>
      <c r="B15179">
        <v>200270431.68819425</v>
      </c>
    </row>
    <row r="15180" spans="1:2" x14ac:dyDescent="0.25">
      <c r="A15180">
        <f ca="1">29721.219899341*((RANDBETWEEN(1620,2416)))</f>
        <v>68953230.166471079</v>
      </c>
      <c r="B15180">
        <v>167928276.24047196</v>
      </c>
    </row>
    <row r="15181" spans="1:2" x14ac:dyDescent="0.25">
      <c r="A15181">
        <f ca="1">31948.5989341839*((RANDBETWEEN(1620,2416)))</f>
        <v>63929146.467302047</v>
      </c>
      <c r="B15181">
        <v>158273685.34033239</v>
      </c>
    </row>
    <row r="15182" spans="1:2" x14ac:dyDescent="0.25">
      <c r="A15182">
        <f ca="1">27856.6198800804*((RANDBETWEEN(1620,2416)))</f>
        <v>46576268.439494506</v>
      </c>
      <c r="B15182">
        <v>173007945.477815</v>
      </c>
    </row>
    <row r="15183" spans="1:2" x14ac:dyDescent="0.25">
      <c r="A15183">
        <f ca="1">31066.5370871264*((RANDBETWEEN(1620,2416)))</f>
        <v>73254894.451444015</v>
      </c>
      <c r="B15183">
        <v>157819242.73451221</v>
      </c>
    </row>
    <row r="15184" spans="1:2" x14ac:dyDescent="0.25">
      <c r="A15184">
        <f ca="1">30621.8958701012*((RANDBETWEEN(1620,2416)))</f>
        <v>50189287.331095837</v>
      </c>
      <c r="B15184">
        <v>178499961.59991705</v>
      </c>
    </row>
    <row r="15185" spans="1:2" x14ac:dyDescent="0.25">
      <c r="A15185">
        <f ca="1">30170.5325490477*((RANDBETWEEN(1620,2416)))</f>
        <v>60793623.086331099</v>
      </c>
      <c r="B15185">
        <v>154290143.66280925</v>
      </c>
    </row>
    <row r="15186" spans="1:2" x14ac:dyDescent="0.25">
      <c r="A15186">
        <f ca="1">29997.8972756031*((RANDBETWEEN(1620,2416)))</f>
        <v>54566175.144321986</v>
      </c>
      <c r="B15186">
        <v>176108265.06928909</v>
      </c>
    </row>
    <row r="15187" spans="1:2" x14ac:dyDescent="0.25">
      <c r="A15187">
        <f ca="1">30323.6997772022*((RANDBETWEEN(1620,2416)))</f>
        <v>70441954.582440659</v>
      </c>
      <c r="B15187">
        <v>146944058.91968587</v>
      </c>
    </row>
    <row r="15188" spans="1:2" x14ac:dyDescent="0.25">
      <c r="A15188">
        <f ca="1">30893.764135993*((RANDBETWEEN(1620,2416)))</f>
        <v>58759939.386658683</v>
      </c>
      <c r="B15188">
        <v>144471962.90155613</v>
      </c>
    </row>
    <row r="15189" spans="1:2" x14ac:dyDescent="0.25">
      <c r="A15189">
        <f ca="1">32761.7153792276*((RANDBETWEEN(1620,2416)))</f>
        <v>64245723.858665273</v>
      </c>
      <c r="B15189">
        <v>186950589.5250943</v>
      </c>
    </row>
    <row r="15190" spans="1:2" x14ac:dyDescent="0.25">
      <c r="A15190">
        <f ca="1">35624.6178756528*((RANDBETWEEN(1620,2416)))</f>
        <v>62485579.753895052</v>
      </c>
      <c r="B15190">
        <v>198858690.92519483</v>
      </c>
    </row>
    <row r="15191" spans="1:2" x14ac:dyDescent="0.25">
      <c r="A15191">
        <f ca="1">32740.5313713386*((RANDBETWEEN(1620,2416)))</f>
        <v>78413572.634356007</v>
      </c>
      <c r="B15191">
        <v>153253525.45891815</v>
      </c>
    </row>
    <row r="15192" spans="1:2" x14ac:dyDescent="0.25">
      <c r="A15192">
        <f ca="1">33599.0235436778*((RANDBETWEEN(1620,2416)))</f>
        <v>75765798.090993389</v>
      </c>
      <c r="B15192">
        <v>195603453.76546401</v>
      </c>
    </row>
    <row r="15193" spans="1:2" x14ac:dyDescent="0.25">
      <c r="A15193">
        <f ca="1">32474.5745713441*((RANDBETWEEN(1620,2416)))</f>
        <v>63390369.563263588</v>
      </c>
      <c r="B15193">
        <v>158673688.32473823</v>
      </c>
    </row>
    <row r="15194" spans="1:2" x14ac:dyDescent="0.25">
      <c r="A15194">
        <f ca="1">29636.5825323799*((RANDBETWEEN(1620,2416)))</f>
        <v>70060881.106546029</v>
      </c>
      <c r="B15194">
        <v>146870071.10788608</v>
      </c>
    </row>
    <row r="15195" spans="1:2" x14ac:dyDescent="0.25">
      <c r="A15195">
        <f ca="1">41818.3243036124*((RANDBETWEEN(1620,2416)))</f>
        <v>80374819.311542958</v>
      </c>
      <c r="B15195">
        <v>193739161.22260931</v>
      </c>
    </row>
    <row r="15196" spans="1:2" x14ac:dyDescent="0.25">
      <c r="A15196">
        <f ca="1">30442.8550816069*((RANDBETWEEN(1620,2416)))</f>
        <v>67430924.005759299</v>
      </c>
      <c r="B15196">
        <v>161367226.01243314</v>
      </c>
    </row>
    <row r="15197" spans="1:2" x14ac:dyDescent="0.25">
      <c r="A15197">
        <f ca="1">32539.1617335281*((RANDBETWEEN(1620,2416)))</f>
        <v>66314811.612930208</v>
      </c>
      <c r="B15197">
        <v>155664079.29415318</v>
      </c>
    </row>
    <row r="15198" spans="1:2" x14ac:dyDescent="0.25">
      <c r="A15198">
        <f ca="1">31620.771928854*((RANDBETWEEN(1620,2416)))</f>
        <v>63304785.401565768</v>
      </c>
      <c r="B15198">
        <v>172348773.66310477</v>
      </c>
    </row>
    <row r="15199" spans="1:2" x14ac:dyDescent="0.25">
      <c r="A15199">
        <f ca="1">33678.3783070482*((RANDBETWEEN(1620,2416)))</f>
        <v>80154540.370774776</v>
      </c>
      <c r="B15199">
        <v>161017635.29034156</v>
      </c>
    </row>
    <row r="15200" spans="1:2" x14ac:dyDescent="0.25">
      <c r="A15200">
        <f ca="1">36527.9053050221*((RANDBETWEEN(1620,2416)))</f>
        <v>64143001.715618789</v>
      </c>
      <c r="B15200">
        <v>149680022.01637977</v>
      </c>
    </row>
    <row r="15201" spans="1:2" x14ac:dyDescent="0.25">
      <c r="A15201">
        <f ca="1">34960.4683676563*((RANDBETWEEN(1620,2416)))</f>
        <v>68382676.127135649</v>
      </c>
      <c r="B15201">
        <v>189650256.88995647</v>
      </c>
    </row>
    <row r="15202" spans="1:2" x14ac:dyDescent="0.25">
      <c r="A15202">
        <f ca="1">38699.8556934391*((RANDBETWEEN(1620,2416)))</f>
        <v>67956946.597679138</v>
      </c>
      <c r="B15202">
        <v>176910047.59194112</v>
      </c>
    </row>
    <row r="15203" spans="1:2" x14ac:dyDescent="0.25">
      <c r="A15203">
        <f ca="1">33319.4590101512*((RANDBETWEEN(1620,2416)))</f>
        <v>76967950.313449249</v>
      </c>
      <c r="B15203">
        <v>161689774.65363783</v>
      </c>
    </row>
    <row r="15204" spans="1:2" x14ac:dyDescent="0.25">
      <c r="A15204">
        <f ca="1">34199.9409296783*((RANDBETWEEN(1620,2416)))</f>
        <v>67921082.686341137</v>
      </c>
      <c r="B15204">
        <v>147422603.16778705</v>
      </c>
    </row>
    <row r="15205" spans="1:2" x14ac:dyDescent="0.25">
      <c r="A15205">
        <f ca="1">32742.4365672407*((RANDBETWEEN(1620,2416)))</f>
        <v>60573507.649395272</v>
      </c>
      <c r="B15205">
        <v>153208992.91611126</v>
      </c>
    </row>
    <row r="15206" spans="1:2" x14ac:dyDescent="0.25">
      <c r="A15206">
        <f ca="1">31276.3053295707*((RANDBETWEEN(1620,2416)))</f>
        <v>61614321.499254331</v>
      </c>
      <c r="B15206">
        <v>160259947.3589085</v>
      </c>
    </row>
    <row r="15207" spans="1:2" x14ac:dyDescent="0.25">
      <c r="A15207">
        <f ca="1">29198.659371464*((RANDBETWEEN(1620,2416)))</f>
        <v>63507084.132934123</v>
      </c>
      <c r="B15207">
        <v>191075154.85219976</v>
      </c>
    </row>
    <row r="15208" spans="1:2" x14ac:dyDescent="0.25">
      <c r="A15208">
        <f ca="1">29645.5517477911*((RANDBETWEEN(1620,2416)))</f>
        <v>63174670.77454292</v>
      </c>
      <c r="B15208">
        <v>149232009.27373815</v>
      </c>
    </row>
    <row r="15209" spans="1:2" x14ac:dyDescent="0.25">
      <c r="A15209">
        <f ca="1">32671.757146071*((RANDBETWEEN(1620,2416)))</f>
        <v>59364582.734410942</v>
      </c>
      <c r="B15209">
        <v>160499048.80067751</v>
      </c>
    </row>
    <row r="15210" spans="1:2" x14ac:dyDescent="0.25">
      <c r="A15210">
        <f ca="1">34567.8248724005*((RANDBETWEEN(1620,2416)))</f>
        <v>72868974.831020281</v>
      </c>
      <c r="B15210">
        <v>158581234.60791326</v>
      </c>
    </row>
    <row r="15211" spans="1:2" x14ac:dyDescent="0.25">
      <c r="A15211">
        <f ca="1">38506.9146503296*((RANDBETWEEN(1620,2416)))</f>
        <v>68927377.22408995</v>
      </c>
      <c r="B15211">
        <v>179302052.80459753</v>
      </c>
    </row>
    <row r="15212" spans="1:2" x14ac:dyDescent="0.25">
      <c r="A15212">
        <f ca="1">38203.6743658128*((RANDBETWEEN(1620,2416)))</f>
        <v>88097673.0875642</v>
      </c>
      <c r="B15212">
        <v>170979480.44888693</v>
      </c>
    </row>
    <row r="15213" spans="1:2" x14ac:dyDescent="0.25">
      <c r="A15213">
        <f ca="1">40600.0415764348*((RANDBETWEEN(1620,2416)))</f>
        <v>81078283.028140202</v>
      </c>
      <c r="B15213">
        <v>177013750.40412799</v>
      </c>
    </row>
    <row r="15214" spans="1:2" x14ac:dyDescent="0.25">
      <c r="A15214">
        <f ca="1">30313.1524284422*((RANDBETWEEN(1620,2416)))</f>
        <v>69598997.975703344</v>
      </c>
      <c r="B15214">
        <v>143287272.22811067</v>
      </c>
    </row>
    <row r="15215" spans="1:2" x14ac:dyDescent="0.25">
      <c r="A15215">
        <f ca="1">30721.6893244935*((RANDBETWEEN(1620,2416)))</f>
        <v>62119255.814125903</v>
      </c>
      <c r="B15215">
        <v>161286285.63755876</v>
      </c>
    </row>
    <row r="15216" spans="1:2" x14ac:dyDescent="0.25">
      <c r="A15216">
        <f ca="1">31936.0608684861*((RANDBETWEEN(1620,2416)))</f>
        <v>63776313.55436673</v>
      </c>
      <c r="B15216">
        <v>202445811.76579407</v>
      </c>
    </row>
    <row r="15217" spans="1:2" x14ac:dyDescent="0.25">
      <c r="A15217">
        <f ca="1">35447.5127241817*((RANDBETWEEN(1620,2416)))</f>
        <v>57531313.151346937</v>
      </c>
      <c r="B15217">
        <v>162433275.70363629</v>
      </c>
    </row>
    <row r="15218" spans="1:2" x14ac:dyDescent="0.25">
      <c r="A15218">
        <f ca="1">32708.6892318023*((RANDBETWEEN(1620,2416)))</f>
        <v>78271893.331702799</v>
      </c>
      <c r="B15218">
        <v>144382671.90778622</v>
      </c>
    </row>
    <row r="15219" spans="1:2" x14ac:dyDescent="0.25">
      <c r="A15219">
        <f ca="1">32569.5979228945*((RANDBETWEEN(1620,2416)))</f>
        <v>77157377.479337126</v>
      </c>
      <c r="B15219">
        <v>146958872.5939126</v>
      </c>
    </row>
    <row r="15220" spans="1:2" x14ac:dyDescent="0.25">
      <c r="A15220">
        <f ca="1">37291.2124695214*((RANDBETWEEN(1620,2416)))</f>
        <v>78796331.948098779</v>
      </c>
      <c r="B15220">
        <v>176882078.52418494</v>
      </c>
    </row>
    <row r="15221" spans="1:2" x14ac:dyDescent="0.25">
      <c r="A15221">
        <f ca="1">35518.0900671844*((RANDBETWEEN(1620,2416)))</f>
        <v>68159214.838926837</v>
      </c>
      <c r="B15221">
        <v>172241020.05691335</v>
      </c>
    </row>
    <row r="15222" spans="1:2" x14ac:dyDescent="0.25">
      <c r="A15222">
        <f ca="1">29625.8063284384*((RANDBETWEEN(1620,2416)))</f>
        <v>55696515.897464231</v>
      </c>
      <c r="B15222">
        <v>143999210.12609896</v>
      </c>
    </row>
    <row r="15223" spans="1:2" x14ac:dyDescent="0.25">
      <c r="A15223">
        <f ca="1">40349.5168431003*((RANDBETWEEN(1620,2416)))</f>
        <v>75816742.148185387</v>
      </c>
      <c r="B15223">
        <v>151905629.15379542</v>
      </c>
    </row>
    <row r="15224" spans="1:2" x14ac:dyDescent="0.25">
      <c r="A15224">
        <f ca="1">30210.2124163126*((RANDBETWEEN(1620,2416)))</f>
        <v>59665169.522217371</v>
      </c>
      <c r="B15224">
        <v>151265171.46916527</v>
      </c>
    </row>
    <row r="15225" spans="1:2" x14ac:dyDescent="0.25">
      <c r="A15225">
        <f ca="1">31011.6716040588*((RANDBETWEEN(1620,2416)))</f>
        <v>56906417.393447876</v>
      </c>
      <c r="B15225">
        <v>143397553.11269313</v>
      </c>
    </row>
    <row r="15226" spans="1:2" x14ac:dyDescent="0.25">
      <c r="A15226">
        <f ca="1">33792.110940137*((RANDBETWEEN(1620,2416)))</f>
        <v>58358975.593616679</v>
      </c>
      <c r="B15226">
        <v>148748055.14396566</v>
      </c>
    </row>
    <row r="15227" spans="1:2" x14ac:dyDescent="0.25">
      <c r="A15227">
        <f ca="1">38220.8808990152*((RANDBETWEEN(1620,2416)))</f>
        <v>91424347.110444397</v>
      </c>
      <c r="B15227">
        <v>149018785.21245852</v>
      </c>
    </row>
    <row r="15228" spans="1:2" x14ac:dyDescent="0.25">
      <c r="A15228">
        <f ca="1">30666.1360986872*((RANDBETWEEN(1620,2416)))</f>
        <v>53328410.675617047</v>
      </c>
      <c r="B15228">
        <v>153634991.37802497</v>
      </c>
    </row>
    <row r="15229" spans="1:2" x14ac:dyDescent="0.25">
      <c r="A15229">
        <f ca="1">31882.4221160274*((RANDBETWEEN(1620,2416)))</f>
        <v>68802266.926387116</v>
      </c>
      <c r="B15229">
        <v>149807711.47745442</v>
      </c>
    </row>
    <row r="15230" spans="1:2" x14ac:dyDescent="0.25">
      <c r="A15230">
        <f ca="1">34133.8919680495*((RANDBETWEEN(1620,2416)))</f>
        <v>80180512.232948273</v>
      </c>
      <c r="B15230">
        <v>155909770.67350203</v>
      </c>
    </row>
    <row r="15231" spans="1:2" x14ac:dyDescent="0.25">
      <c r="A15231">
        <f ca="1">36898.2646449347*((RANDBETWEEN(1620,2416)))</f>
        <v>85899160.093407914</v>
      </c>
      <c r="B15231">
        <v>147089781.0335106</v>
      </c>
    </row>
    <row r="15232" spans="1:2" x14ac:dyDescent="0.25">
      <c r="A15232">
        <f ca="1">40934.5524675264*((RANDBETWEEN(1620,2416)))</f>
        <v>74951165.568040803</v>
      </c>
      <c r="B15232">
        <v>164630832.76532942</v>
      </c>
    </row>
    <row r="15233" spans="1:2" x14ac:dyDescent="0.25">
      <c r="A15233">
        <f ca="1">32140.5621090606*((RANDBETWEEN(1620,2416)))</f>
        <v>66177417.382555716</v>
      </c>
      <c r="B15233">
        <v>199018109.45567304</v>
      </c>
    </row>
    <row r="15234" spans="1:2" x14ac:dyDescent="0.25">
      <c r="A15234">
        <f ca="1">40346.8002078338*((RANDBETWEEN(1620,2416)))</f>
        <v>65361816.336690716</v>
      </c>
      <c r="B15234">
        <v>144293904.01062644</v>
      </c>
    </row>
    <row r="15235" spans="1:2" x14ac:dyDescent="0.25">
      <c r="A15235">
        <f ca="1">36579.9674351446*((RANDBETWEEN(1620,2416)))</f>
        <v>63283343.662800185</v>
      </c>
      <c r="B15235">
        <v>143166802.44387203</v>
      </c>
    </row>
    <row r="15236" spans="1:2" x14ac:dyDescent="0.25">
      <c r="A15236">
        <f ca="1">30387.828206397*((RANDBETWEEN(1620,2416)))</f>
        <v>49440996.491807923</v>
      </c>
      <c r="B15236">
        <v>147885185.75352177</v>
      </c>
    </row>
    <row r="15237" spans="1:2" x14ac:dyDescent="0.25">
      <c r="A15237">
        <f ca="1">28259.3447115615*((RANDBETWEEN(1620,2416)))</f>
        <v>55331796.945237435</v>
      </c>
      <c r="B15237">
        <v>144433628.0991686</v>
      </c>
    </row>
    <row r="15238" spans="1:2" x14ac:dyDescent="0.25">
      <c r="A15238">
        <f ca="1">35066.0325617489*((RANDBETWEEN(1620,2416)))</f>
        <v>67221584.420872808</v>
      </c>
      <c r="B15238">
        <v>172652088.81394896</v>
      </c>
    </row>
    <row r="15239" spans="1:2" x14ac:dyDescent="0.25">
      <c r="A15239">
        <f ca="1">33951.6892317568*((RANDBETWEEN(1620,2416)))</f>
        <v>59279649.398647457</v>
      </c>
      <c r="B15239">
        <v>202374684.52513009</v>
      </c>
    </row>
    <row r="15240" spans="1:2" x14ac:dyDescent="0.25">
      <c r="A15240">
        <f ca="1">30635.9491855843*((RANDBETWEEN(1620,2416)))</f>
        <v>50120412.867615961</v>
      </c>
      <c r="B15240">
        <v>147965618.49240628</v>
      </c>
    </row>
    <row r="15241" spans="1:2" x14ac:dyDescent="0.25">
      <c r="A15241">
        <f ca="1">33395.489203779*((RANDBETWEEN(1620,2416)))</f>
        <v>61180536.221323147</v>
      </c>
      <c r="B15241">
        <v>167848799.92902219</v>
      </c>
    </row>
    <row r="15242" spans="1:2" x14ac:dyDescent="0.25">
      <c r="A15242">
        <f ca="1">35113.6742455237*((RANDBETWEEN(1620,2416)))</f>
        <v>67909845.990842775</v>
      </c>
      <c r="B15242">
        <v>150097945.44666949</v>
      </c>
    </row>
    <row r="15243" spans="1:2" x14ac:dyDescent="0.25">
      <c r="A15243">
        <f ca="1">29907.0564321412*((RANDBETWEEN(1620,2416)))</f>
        <v>67440412.254478469</v>
      </c>
      <c r="B15243">
        <v>164364366.69599509</v>
      </c>
    </row>
    <row r="15244" spans="1:2" x14ac:dyDescent="0.25">
      <c r="A15244">
        <f ca="1">32072.6283847739*((RANDBETWEEN(1620,2416)))</f>
        <v>76749799.72476387</v>
      </c>
      <c r="B15244">
        <v>151100116.43184155</v>
      </c>
    </row>
    <row r="15245" spans="1:2" x14ac:dyDescent="0.25">
      <c r="A15245">
        <f ca="1">32779.3734275481*((RANDBETWEEN(1620,2416)))</f>
        <v>61658001.417217955</v>
      </c>
      <c r="B15245">
        <v>148071801.3032608</v>
      </c>
    </row>
    <row r="15246" spans="1:2" x14ac:dyDescent="0.25">
      <c r="A15246">
        <f ca="1">29973.1459816279*((RANDBETWEEN(1620,2416)))</f>
        <v>49125986.263888068</v>
      </c>
      <c r="B15246">
        <v>165908394.16166079</v>
      </c>
    </row>
    <row r="15247" spans="1:2" x14ac:dyDescent="0.25">
      <c r="A15247">
        <f ca="1">29268.0401236546*((RANDBETWEEN(1620,2416)))</f>
        <v>68311605.648609906</v>
      </c>
      <c r="B15247">
        <v>147452447.27005851</v>
      </c>
    </row>
    <row r="15248" spans="1:2" x14ac:dyDescent="0.25">
      <c r="A15248">
        <f ca="1">29859.4847468152*((RANDBETWEEN(1620,2416)))</f>
        <v>60853629.914009333</v>
      </c>
      <c r="B15248">
        <v>195750099.42918682</v>
      </c>
    </row>
    <row r="15249" spans="1:2" x14ac:dyDescent="0.25">
      <c r="A15249">
        <f ca="1">30718.3826899748*((RANDBETWEEN(1620,2416)))</f>
        <v>52528434.399856955</v>
      </c>
      <c r="B15249">
        <v>150056321.73193875</v>
      </c>
    </row>
    <row r="15250" spans="1:2" x14ac:dyDescent="0.25">
      <c r="A15250">
        <f ca="1">31531.5544064859*((RANDBETWEEN(1620,2416)))</f>
        <v>58648691.196063854</v>
      </c>
      <c r="B15250">
        <v>163455726.63915354</v>
      </c>
    </row>
    <row r="15251" spans="1:2" x14ac:dyDescent="0.25">
      <c r="A15251">
        <f ca="1">29447.7690723142*((RANDBETWEEN(1620,2416)))</f>
        <v>52652611.101297706</v>
      </c>
      <c r="B15251">
        <v>160969161.43928725</v>
      </c>
    </row>
    <row r="15252" spans="1:2" x14ac:dyDescent="0.25">
      <c r="A15252">
        <f ca="1">29404.172148411*((RANDBETWEEN(1620,2416)))</f>
        <v>60984253.035804391</v>
      </c>
      <c r="B15252">
        <v>161852732.07744837</v>
      </c>
    </row>
    <row r="15253" spans="1:2" x14ac:dyDescent="0.25">
      <c r="A15253">
        <f ca="1">36607.6089896159*((RANDBETWEEN(1620,2416)))</f>
        <v>85735020.253680348</v>
      </c>
      <c r="B15253">
        <v>167565804.15841299</v>
      </c>
    </row>
    <row r="15254" spans="1:2" x14ac:dyDescent="0.25">
      <c r="A15254">
        <f ca="1">35735.5715558302*((RANDBETWEEN(1620,2416)))</f>
        <v>85086395.87443164</v>
      </c>
      <c r="B15254">
        <v>203154858.50108534</v>
      </c>
    </row>
    <row r="15255" spans="1:2" x14ac:dyDescent="0.25">
      <c r="A15255">
        <f ca="1">36320.9725392602*((RANDBETWEEN(1620,2416)))</f>
        <v>77436313.453702673</v>
      </c>
      <c r="B15255">
        <v>173525442.61300316</v>
      </c>
    </row>
    <row r="15256" spans="1:2" x14ac:dyDescent="0.25">
      <c r="A15256">
        <f ca="1">32586.4317113943*((RANDBETWEEN(1620,2416)))</f>
        <v>75144311.526475251</v>
      </c>
      <c r="B15256">
        <v>156007782.27849823</v>
      </c>
    </row>
    <row r="15257" spans="1:2" x14ac:dyDescent="0.25">
      <c r="A15257">
        <f ca="1">37272.4282480472*((RANDBETWEEN(1620,2416)))</f>
        <v>64593118.153865777</v>
      </c>
      <c r="B15257">
        <v>186258675.39108226</v>
      </c>
    </row>
    <row r="15258" spans="1:2" x14ac:dyDescent="0.25">
      <c r="A15258">
        <f ca="1">32740.0469642194*((RANDBETWEEN(1620,2416)))</f>
        <v>64039531.862013072</v>
      </c>
      <c r="B15258">
        <v>190038025.41870975</v>
      </c>
    </row>
    <row r="15259" spans="1:2" x14ac:dyDescent="0.25">
      <c r="A15259">
        <f ca="1">29280.0759387695*((RANDBETWEEN(1620,2416)))</f>
        <v>62981443.344293147</v>
      </c>
      <c r="B15259">
        <v>150898923.15313852</v>
      </c>
    </row>
    <row r="15260" spans="1:2" x14ac:dyDescent="0.25">
      <c r="A15260">
        <f ca="1">31910.6835173668*((RANDBETWEEN(1620,2416)))</f>
        <v>61300423.036861546</v>
      </c>
      <c r="B15260">
        <v>192723933.39176959</v>
      </c>
    </row>
    <row r="15261" spans="1:2" x14ac:dyDescent="0.25">
      <c r="A15261">
        <f ca="1">30356.4331028894*((RANDBETWEEN(1620,2416)))</f>
        <v>54095163.789348826</v>
      </c>
      <c r="B15261">
        <v>173585639.75979933</v>
      </c>
    </row>
    <row r="15262" spans="1:2" x14ac:dyDescent="0.25">
      <c r="A15262">
        <f ca="1">35099.6808177764*((RANDBETWEEN(1620,2416)))</f>
        <v>61915836.962557577</v>
      </c>
      <c r="B15262">
        <v>191385339.34181079</v>
      </c>
    </row>
    <row r="15263" spans="1:2" x14ac:dyDescent="0.25">
      <c r="A15263">
        <f ca="1">33431.9850243731*((RANDBETWEEN(1620,2416)))</f>
        <v>56132302.855922356</v>
      </c>
      <c r="B15263">
        <v>164905007.34244642</v>
      </c>
    </row>
    <row r="15264" spans="1:2" x14ac:dyDescent="0.25">
      <c r="A15264">
        <f ca="1">38313.4065049135*((RANDBETWEEN(1620,2416)))</f>
        <v>82527077.611583665</v>
      </c>
      <c r="B15264">
        <v>149549589.17014313</v>
      </c>
    </row>
    <row r="15265" spans="1:2" x14ac:dyDescent="0.25">
      <c r="A15265">
        <f ca="1">30514.9644141755*((RANDBETWEEN(1620,2416)))</f>
        <v>67377041.426499605</v>
      </c>
      <c r="B15265">
        <v>151984225.18613839</v>
      </c>
    </row>
    <row r="15266" spans="1:2" x14ac:dyDescent="0.25">
      <c r="A15266">
        <f ca="1">35972.3977462241*((RANDBETWEEN(1620,2416)))</f>
        <v>66584908.228260823</v>
      </c>
      <c r="B15266">
        <v>162852328.89283919</v>
      </c>
    </row>
    <row r="15267" spans="1:2" x14ac:dyDescent="0.25">
      <c r="A15267">
        <f ca="1">33767.8705652849*((RANDBETWEEN(1620,2416)))</f>
        <v>72060635.786318049</v>
      </c>
      <c r="B15267">
        <v>174464708.5561668</v>
      </c>
    </row>
    <row r="15268" spans="1:2" x14ac:dyDescent="0.25">
      <c r="A15268">
        <f ca="1">30839.1393497729*((RANDBETWEEN(1620,2416)))</f>
        <v>66365827.880711205</v>
      </c>
      <c r="B15268">
        <v>157741347.7127434</v>
      </c>
    </row>
    <row r="15269" spans="1:2" x14ac:dyDescent="0.25">
      <c r="A15269">
        <f ca="1">28261.4186154043*((RANDBETWEEN(1620,2416)))</f>
        <v>64803432.885122128</v>
      </c>
      <c r="B15269">
        <v>144684809.0826059</v>
      </c>
    </row>
    <row r="15270" spans="1:2" x14ac:dyDescent="0.25">
      <c r="A15270">
        <f ca="1">38419.6980708445*((RANDBETWEEN(1620,2416)))</f>
        <v>90286290.466484681</v>
      </c>
      <c r="B15270">
        <v>197322657.01425889</v>
      </c>
    </row>
    <row r="15271" spans="1:2" x14ac:dyDescent="0.25">
      <c r="A15271">
        <f ca="1">30808.6177854004*((RANDBETWEEN(1620,2416)))</f>
        <v>58105053.14326518</v>
      </c>
      <c r="B15271">
        <v>146498399.42217743</v>
      </c>
    </row>
    <row r="15272" spans="1:2" x14ac:dyDescent="0.25">
      <c r="A15272">
        <f ca="1">32083.5748619498*((RANDBETWEEN(1620,2416)))</f>
        <v>74080974.356242195</v>
      </c>
      <c r="B15272">
        <v>182581434.58680615</v>
      </c>
    </row>
    <row r="15273" spans="1:2" x14ac:dyDescent="0.25">
      <c r="A15273">
        <f ca="1">28825.4777075651*((RANDBETWEEN(1620,2416)))</f>
        <v>48023245.860803537</v>
      </c>
      <c r="B15273">
        <v>185611718.50173223</v>
      </c>
    </row>
    <row r="15274" spans="1:2" x14ac:dyDescent="0.25">
      <c r="A15274">
        <f ca="1">30770.1583686112*((RANDBETWEEN(1620,2416)))</f>
        <v>61417236.103748031</v>
      </c>
      <c r="B15274">
        <v>145235156.47296792</v>
      </c>
    </row>
    <row r="15275" spans="1:2" x14ac:dyDescent="0.25">
      <c r="A15275">
        <f ca="1">40800.8970617144*((RANDBETWEEN(1620,2416)))</f>
        <v>93882864.139004797</v>
      </c>
      <c r="B15275">
        <v>170474945.28949299</v>
      </c>
    </row>
    <row r="15276" spans="1:2" x14ac:dyDescent="0.25">
      <c r="A15276">
        <f ca="1">41055.0371915047*((RANDBETWEEN(1620,2416)))</f>
        <v>76362369.176198721</v>
      </c>
      <c r="B15276">
        <v>158033644.96928224</v>
      </c>
    </row>
    <row r="15277" spans="1:2" x14ac:dyDescent="0.25">
      <c r="A15277">
        <f ca="1">33366.8477806765*((RANDBETWEEN(1620,2416)))</f>
        <v>75709377.614355013</v>
      </c>
      <c r="B15277">
        <v>150773931.83384916</v>
      </c>
    </row>
    <row r="15278" spans="1:2" x14ac:dyDescent="0.25">
      <c r="A15278">
        <f ca="1">33548.6161643561*((RANDBETWEEN(1620,2416)))</f>
        <v>78537310.440757692</v>
      </c>
      <c r="B15278">
        <v>179675845.95027947</v>
      </c>
    </row>
    <row r="15279" spans="1:2" x14ac:dyDescent="0.25">
      <c r="A15279">
        <f ca="1">32071.2757597755*((RANDBETWEEN(1620,2416)))</f>
        <v>52276179.488434054</v>
      </c>
      <c r="B15279">
        <v>169049783.45477429</v>
      </c>
    </row>
    <row r="15280" spans="1:2" x14ac:dyDescent="0.25">
      <c r="A15280">
        <f ca="1">30832.3269348403*((RANDBETWEEN(1620,2416)))</f>
        <v>67121975.737147301</v>
      </c>
      <c r="B15280">
        <v>163106659.46261126</v>
      </c>
    </row>
    <row r="15281" spans="1:2" x14ac:dyDescent="0.25">
      <c r="A15281">
        <f ca="1">41008.56433283*((RANDBETWEEN(1620,2416)))</f>
        <v>90423884.353890106</v>
      </c>
      <c r="B15281">
        <v>150892000.75302246</v>
      </c>
    </row>
    <row r="15282" spans="1:2" x14ac:dyDescent="0.25">
      <c r="A15282">
        <f ca="1">39073.9452895184*((RANDBETWEEN(1620,2416)))</f>
        <v>73654386.870742142</v>
      </c>
      <c r="B15282">
        <v>171862394.92795879</v>
      </c>
    </row>
    <row r="15283" spans="1:2" x14ac:dyDescent="0.25">
      <c r="A15283">
        <f ca="1">34704.9975647041*((RANDBETWEEN(1620,2416)))</f>
        <v>80237954.36959593</v>
      </c>
      <c r="B15283">
        <v>168156666.88113201</v>
      </c>
    </row>
    <row r="15284" spans="1:2" x14ac:dyDescent="0.25">
      <c r="A15284">
        <f ca="1">31972.5496090266*((RANDBETWEEN(1620,2416)))</f>
        <v>72225989.566791028</v>
      </c>
      <c r="B15284">
        <v>173942732.93232465</v>
      </c>
    </row>
    <row r="15285" spans="1:2" x14ac:dyDescent="0.25">
      <c r="A15285">
        <f ca="1">34818.1270578973*((RANDBETWEEN(1620,2416)))</f>
        <v>81996689.221348137</v>
      </c>
      <c r="B15285">
        <v>194776012.46570775</v>
      </c>
    </row>
    <row r="15286" spans="1:2" x14ac:dyDescent="0.25">
      <c r="A15286">
        <f ca="1">30983.8992527941*((RANDBETWEEN(1620,2416)))</f>
        <v>62835347.684666507</v>
      </c>
      <c r="B15286">
        <v>196790204.41690809</v>
      </c>
    </row>
    <row r="15287" spans="1:2" x14ac:dyDescent="0.25">
      <c r="A15287">
        <f ca="1">31879.9249495158*((RANDBETWEEN(1620,2416)))</f>
        <v>57766424.008522645</v>
      </c>
      <c r="B15287">
        <v>152378680.06996077</v>
      </c>
    </row>
    <row r="15288" spans="1:2" x14ac:dyDescent="0.25">
      <c r="A15288">
        <f ca="1">36911.1528583494*((RANDBETWEEN(1620,2416)))</f>
        <v>73231727.270965263</v>
      </c>
      <c r="B15288">
        <v>201554042.0245322</v>
      </c>
    </row>
    <row r="15289" spans="1:2" x14ac:dyDescent="0.25">
      <c r="A15289">
        <f ca="1">31697.9574463678*((RANDBETWEEN(1620,2416)))</f>
        <v>51857858.38225764</v>
      </c>
      <c r="B15289">
        <v>145941619.30157197</v>
      </c>
    </row>
    <row r="15290" spans="1:2" x14ac:dyDescent="0.25">
      <c r="A15290">
        <f ca="1">30097.0916190769*((RANDBETWEEN(1620,2416)))</f>
        <v>51195152.844049893</v>
      </c>
      <c r="B15290">
        <v>153684940.10778281</v>
      </c>
    </row>
    <row r="15291" spans="1:2" x14ac:dyDescent="0.25">
      <c r="A15291">
        <f ca="1">39495.0783482635*((RANDBETWEEN(1620,2416)))</f>
        <v>93484850.450339675</v>
      </c>
      <c r="B15291">
        <v>163759936.54857615</v>
      </c>
    </row>
    <row r="15292" spans="1:2" x14ac:dyDescent="0.25">
      <c r="A15292">
        <f ca="1">30574.2661697229*((RANDBETWEEN(1620,2416)))</f>
        <v>58824888.110546775</v>
      </c>
      <c r="B15292">
        <v>176678345.2707383</v>
      </c>
    </row>
    <row r="15293" spans="1:2" x14ac:dyDescent="0.25">
      <c r="A15293">
        <f ca="1">29071.0106536274*((RANDBETWEEN(1620,2416)))</f>
        <v>65991194.183734104</v>
      </c>
      <c r="B15293">
        <v>149485441.94450763</v>
      </c>
    </row>
    <row r="15294" spans="1:2" x14ac:dyDescent="0.25">
      <c r="A15294">
        <f ca="1">39675.1857690371*((RANDBETWEEN(1620,2416)))</f>
        <v>72883316.257721215</v>
      </c>
      <c r="B15294">
        <v>160268638.7626245</v>
      </c>
    </row>
    <row r="15295" spans="1:2" x14ac:dyDescent="0.25">
      <c r="A15295">
        <f ca="1">30054.4150546545*((RANDBETWEEN(1620,2416)))</f>
        <v>70026787.077345103</v>
      </c>
      <c r="B15295">
        <v>177709766.26404491</v>
      </c>
    </row>
    <row r="15296" spans="1:2" x14ac:dyDescent="0.25">
      <c r="A15296">
        <f ca="1">32235.9323324431*((RANDBETWEEN(1620,2416)))</f>
        <v>64504100.597218692</v>
      </c>
      <c r="B15296">
        <v>180252764.92056128</v>
      </c>
    </row>
    <row r="15297" spans="1:4" x14ac:dyDescent="0.25">
      <c r="A15297">
        <f ca="1">30900.4517585109*((RANDBETWEEN(1620,2416)))</f>
        <v>65817962.245628282</v>
      </c>
      <c r="B15297">
        <v>166765887.61939096</v>
      </c>
    </row>
    <row r="15298" spans="1:4" x14ac:dyDescent="0.25">
      <c r="A15298">
        <f ca="1">31273.6267988188*((RANDBETWEEN(1620,2416)))</f>
        <v>71960615.264082059</v>
      </c>
      <c r="B15298">
        <v>186412144.10793138</v>
      </c>
    </row>
    <row r="15299" spans="1:4" x14ac:dyDescent="0.25">
      <c r="A15299">
        <f ca="1">34752.053332779*((RANDBETWEEN(1620,2416)))</f>
        <v>75411955.732130378</v>
      </c>
      <c r="B15299">
        <v>160236060.97471017</v>
      </c>
    </row>
    <row r="15300" spans="1:4" x14ac:dyDescent="0.25">
      <c r="A15300">
        <f ca="1">31941.680184242*((RANDBETWEEN(1620,2416)))</f>
        <v>74487998.189652294</v>
      </c>
      <c r="B15300">
        <v>165511943.2362397</v>
      </c>
    </row>
    <row r="15301" spans="1:4" x14ac:dyDescent="0.25">
      <c r="A15301">
        <f ca="1">30637.5632144465*((RANDBETWEEN(1620,2416)))</f>
        <v>57567981.279945016</v>
      </c>
      <c r="B15301">
        <v>174767394.57049966</v>
      </c>
    </row>
    <row r="15302" spans="1:4" x14ac:dyDescent="0.25">
      <c r="A15302">
        <f ca="1">35903.8520538838*((RANDBETWEEN(1620,2416)))</f>
        <v>81286321.049992919</v>
      </c>
      <c r="B15302">
        <v>151877811.35010427</v>
      </c>
    </row>
    <row r="15303" spans="1:4" x14ac:dyDescent="0.25">
      <c r="A15303">
        <f ca="1">33145.048570462*((RANDBETWEEN(1620,2416)))</f>
        <v>55617391.501235299</v>
      </c>
      <c r="B15303">
        <v>183475894.46134734</v>
      </c>
    </row>
    <row r="15304" spans="1:4" x14ac:dyDescent="0.25">
      <c r="A15304">
        <f ca="1">38065.6022740211*((RANDBETWEEN(1620,2416)))</f>
        <v>73124021.968394563</v>
      </c>
      <c r="B15304">
        <v>145802283.32086244</v>
      </c>
    </row>
    <row r="15305" spans="1:4" x14ac:dyDescent="0.25">
      <c r="A15305">
        <f ca="1">32624.3133480513*((RANDBETWEEN(1620,2416)))</f>
        <v>59637244.8002377</v>
      </c>
      <c r="B15305">
        <v>164557011.96546853</v>
      </c>
    </row>
    <row r="15306" spans="1:4" x14ac:dyDescent="0.25">
      <c r="A15306">
        <f ca="1">30052.7235124862*((RANDBETWEEN(1620,2416)))</f>
        <v>67558522.456069037</v>
      </c>
      <c r="B15306">
        <v>184815276.03453204</v>
      </c>
    </row>
    <row r="15307" spans="1:4" x14ac:dyDescent="0.25">
      <c r="A15307">
        <f ca="1">32773.6598761603*((RANDBETWEEN(1620,2416)))</f>
        <v>55485806.170339465</v>
      </c>
      <c r="B15307">
        <v>164798047.38181162</v>
      </c>
    </row>
    <row r="15308" spans="1:4" x14ac:dyDescent="0.25">
      <c r="A15308">
        <f ca="1">32181.2377050513*((RANDBETWEEN(1620,2416)))</f>
        <v>74403021.574078634</v>
      </c>
      <c r="B15308">
        <v>181571278.9505305</v>
      </c>
      <c r="D15308">
        <f ca="1">(RANDBETWEEN(1620,2416))</f>
        <v>1773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46EAB-BAC7-4731-8717-497542FD35BA}">
  <dimension ref="A1:B8658"/>
  <sheetViews>
    <sheetView tabSelected="1" topLeftCell="A8643" workbookViewId="0">
      <selection activeCell="E8672" sqref="E8672"/>
    </sheetView>
  </sheetViews>
  <sheetFormatPr defaultRowHeight="13.8" x14ac:dyDescent="0.25"/>
  <cols>
    <col min="2" max="2" width="10.88671875" customWidth="1"/>
  </cols>
  <sheetData>
    <row r="1" spans="1:2" x14ac:dyDescent="0.25">
      <c r="A1">
        <f ca="1">35552.0777614514*((RANDBETWEEN(1587,2416)))</f>
        <v>58589824.150871895</v>
      </c>
      <c r="B1">
        <v>253824426.70302281</v>
      </c>
    </row>
    <row r="2" spans="1:2" x14ac:dyDescent="0.25">
      <c r="A2">
        <f ca="1">34203.3196826482*((RANDBETWEEN(1587,2416)))</f>
        <v>68919689.160536036</v>
      </c>
      <c r="B2">
        <v>214286896.45713454</v>
      </c>
    </row>
    <row r="3" spans="1:2" x14ac:dyDescent="0.25">
      <c r="A3">
        <f ca="1">33223.9946029907*((RANDBETWEEN(1587,2416)))</f>
        <v>72860220.164358586</v>
      </c>
      <c r="B3">
        <v>207446941.34368998</v>
      </c>
    </row>
    <row r="4" spans="1:2" x14ac:dyDescent="0.25">
      <c r="A4">
        <f ca="1">40508.3897994115*((RANDBETWEEN(1587,2416)))</f>
        <v>74859504.349312484</v>
      </c>
      <c r="B4">
        <v>204557398.09814709</v>
      </c>
    </row>
    <row r="5" spans="1:2" x14ac:dyDescent="0.25">
      <c r="A5">
        <f ca="1">33768.6201070489*((RANDBETWEEN(1587,2416)))</f>
        <v>72298615.649191707</v>
      </c>
      <c r="B5">
        <v>259931441.4395178</v>
      </c>
    </row>
    <row r="6" spans="1:2" x14ac:dyDescent="0.25">
      <c r="A6">
        <f ca="1">30768.0849818567*((RANDBETWEEN(1587,2416)))</f>
        <v>52459584.894065648</v>
      </c>
      <c r="B6">
        <v>212129002.0728339</v>
      </c>
    </row>
    <row r="7" spans="1:2" x14ac:dyDescent="0.25">
      <c r="A7">
        <f ca="1">37625.6252329334*((RANDBETWEEN(1587,2416)))</f>
        <v>73520471.705151856</v>
      </c>
      <c r="B7">
        <v>235678166.6279344</v>
      </c>
    </row>
    <row r="8" spans="1:2" x14ac:dyDescent="0.25">
      <c r="A8">
        <f ca="1">39015.2904925488*((RANDBETWEEN(1587,2416)))</f>
        <v>81619987.71041213</v>
      </c>
      <c r="B8">
        <v>245574536.28170967</v>
      </c>
    </row>
    <row r="9" spans="1:2" x14ac:dyDescent="0.25">
      <c r="A9">
        <f ca="1">27721.8821057812*((RANDBETWEEN(1587,2416)))</f>
        <v>57827846.072659612</v>
      </c>
      <c r="B9">
        <v>215995686.73108214</v>
      </c>
    </row>
    <row r="10" spans="1:2" x14ac:dyDescent="0.25">
      <c r="A10">
        <f ca="1">37171.4853344933*((RANDBETWEEN(1587,2416)))</f>
        <v>79509807.130481109</v>
      </c>
      <c r="B10">
        <v>251836358.4279888</v>
      </c>
    </row>
    <row r="11" spans="1:2" x14ac:dyDescent="0.25">
      <c r="A11">
        <f ca="1">31780.5663119372*((RANDBETWEEN(1587,2416)))</f>
        <v>55902016.142697603</v>
      </c>
      <c r="B11">
        <v>207137490.41196096</v>
      </c>
    </row>
    <row r="12" spans="1:2" x14ac:dyDescent="0.25">
      <c r="A12">
        <f ca="1">30950.5583445212*((RANDBETWEEN(1587,2416)))</f>
        <v>49737547.259645581</v>
      </c>
      <c r="B12">
        <v>264022900.30448192</v>
      </c>
    </row>
    <row r="13" spans="1:2" x14ac:dyDescent="0.25">
      <c r="A13">
        <f ca="1">35098.8509155269*((RANDBETWEEN(1587,2416)))</f>
        <v>65494455.808373109</v>
      </c>
      <c r="B13">
        <v>227447947.93301836</v>
      </c>
    </row>
    <row r="14" spans="1:2" x14ac:dyDescent="0.25">
      <c r="A14">
        <f ca="1">34870.9035039608*((RANDBETWEEN(1587,2416)))</f>
        <v>63325560.763192788</v>
      </c>
      <c r="B14">
        <v>210551132.12987909</v>
      </c>
    </row>
    <row r="15" spans="1:2" x14ac:dyDescent="0.25">
      <c r="A15">
        <f ca="1">28610.7141467017*((RANDBETWEEN(1587,2416)))</f>
        <v>59624728.281726368</v>
      </c>
      <c r="B15">
        <v>230735095.83424574</v>
      </c>
    </row>
    <row r="16" spans="1:2" x14ac:dyDescent="0.25">
      <c r="A16">
        <f ca="1">35358.9234237782*((RANDBETWEEN(1587,2416)))</f>
        <v>56538918.554621354</v>
      </c>
      <c r="B16">
        <v>225001883.29384238</v>
      </c>
    </row>
    <row r="17" spans="1:2" x14ac:dyDescent="0.25">
      <c r="A17">
        <f ca="1">33010.0619648195*((RANDBETWEEN(1587,2416)))</f>
        <v>73183307.37600489</v>
      </c>
      <c r="B17">
        <v>257610849.00243822</v>
      </c>
    </row>
    <row r="18" spans="1:2" x14ac:dyDescent="0.25">
      <c r="A18">
        <f ca="1">30469.1249715727*((RANDBETWEEN(1587,2416)))</f>
        <v>54295980.699342482</v>
      </c>
      <c r="B18">
        <v>235088446.25568086</v>
      </c>
    </row>
    <row r="19" spans="1:2" x14ac:dyDescent="0.25">
      <c r="A19">
        <f ca="1">30959.0326641174*((RANDBETWEEN(1587,2416)))</f>
        <v>55819135.89340362</v>
      </c>
      <c r="B19">
        <v>208425650.84773907</v>
      </c>
    </row>
    <row r="20" spans="1:2" x14ac:dyDescent="0.25">
      <c r="A20">
        <f ca="1">31919.2343929039*((RANDBETWEEN(1587,2416)))</f>
        <v>51549563.544539869</v>
      </c>
      <c r="B20">
        <v>260690929.89191794</v>
      </c>
    </row>
    <row r="21" spans="1:2" x14ac:dyDescent="0.25">
      <c r="A21">
        <f ca="1">29971.4194942357*((RANDBETWEEN(1587,2416)))</f>
        <v>63779180.683733515</v>
      </c>
      <c r="B21">
        <v>235156052.18924829</v>
      </c>
    </row>
    <row r="22" spans="1:2" x14ac:dyDescent="0.25">
      <c r="A22">
        <f ca="1">30263.9188524233*((RANDBETWEEN(1587,2416)))</f>
        <v>53627664.206494041</v>
      </c>
      <c r="B22">
        <v>251832873.04533792</v>
      </c>
    </row>
    <row r="23" spans="1:2" x14ac:dyDescent="0.25">
      <c r="A23">
        <f ca="1">38549.3539549632*((RANDBETWEEN(1587,2416)))</f>
        <v>66960227.819771089</v>
      </c>
      <c r="B23">
        <v>208340718.43968266</v>
      </c>
    </row>
    <row r="24" spans="1:2" x14ac:dyDescent="0.25">
      <c r="A24">
        <f ca="1">30691.7336240643*((RANDBETWEEN(1587,2416)))</f>
        <v>49229540.732999094</v>
      </c>
      <c r="B24">
        <v>236810385.37537804</v>
      </c>
    </row>
    <row r="25" spans="1:2" x14ac:dyDescent="0.25">
      <c r="A25">
        <f ca="1">35424.4680842757*((RANDBETWEEN(1587,2416)))</f>
        <v>63055553.190010719</v>
      </c>
      <c r="B25">
        <v>267359847.37789005</v>
      </c>
    </row>
    <row r="26" spans="1:2" x14ac:dyDescent="0.25">
      <c r="A26">
        <f ca="1">32747.4135051861*((RANDBETWEEN(1587,2416)))</f>
        <v>67983630.436766446</v>
      </c>
      <c r="B26">
        <v>235414098.11162603</v>
      </c>
    </row>
    <row r="27" spans="1:2" x14ac:dyDescent="0.25">
      <c r="A27">
        <f ca="1">31432.9535433441*((RANDBETWEEN(1587,2416)))</f>
        <v>59408282.19692044</v>
      </c>
      <c r="B27">
        <v>205757833.6659995</v>
      </c>
    </row>
    <row r="28" spans="1:2" x14ac:dyDescent="0.25">
      <c r="A28">
        <f ca="1">28257.6748353868*((RANDBETWEEN(1587,2416)))</f>
        <v>45184022.061783567</v>
      </c>
      <c r="B28">
        <v>258845385.96286944</v>
      </c>
    </row>
    <row r="29" spans="1:2" x14ac:dyDescent="0.25">
      <c r="A29">
        <f ca="1">31097.165936486*((RANDBETWEEN(1587,2416)))</f>
        <v>59302295.440878764</v>
      </c>
      <c r="B29">
        <v>264684816.83985659</v>
      </c>
    </row>
    <row r="30" spans="1:2" x14ac:dyDescent="0.25">
      <c r="A30">
        <f ca="1">34986.0634823234*((RANDBETWEEN(1587,2416)))</f>
        <v>57097255.60315185</v>
      </c>
      <c r="B30">
        <v>216224614.84519506</v>
      </c>
    </row>
    <row r="31" spans="1:2" x14ac:dyDescent="0.25">
      <c r="A31">
        <f ca="1">39780.1005276376*((RANDBETWEEN(1587,2416)))</f>
        <v>69535615.722310498</v>
      </c>
      <c r="B31">
        <v>225973428.94558662</v>
      </c>
    </row>
    <row r="32" spans="1:2" x14ac:dyDescent="0.25">
      <c r="A32">
        <f ca="1">32314.9840518857*((RANDBETWEEN(1587,2416)))</f>
        <v>68572396.158101454</v>
      </c>
      <c r="B32">
        <v>212373446.95503289</v>
      </c>
    </row>
    <row r="33" spans="1:2" x14ac:dyDescent="0.25">
      <c r="A33">
        <f ca="1">32015.5792681176*((RANDBETWEEN(1587,2416)))</f>
        <v>75716844.969098225</v>
      </c>
      <c r="B33">
        <v>232461386.45782116</v>
      </c>
    </row>
    <row r="34" spans="1:2" x14ac:dyDescent="0.25">
      <c r="A34">
        <f ca="1">28138.871605316*((RANDBETWEEN(1587,2416)))</f>
        <v>50312302.430304937</v>
      </c>
      <c r="B34">
        <v>263000749.5741055</v>
      </c>
    </row>
    <row r="35" spans="1:2" x14ac:dyDescent="0.25">
      <c r="A35">
        <f ca="1">31610.4383886146*((RANDBETWEEN(1587,2416)))</f>
        <v>70997044.620828465</v>
      </c>
      <c r="B35">
        <v>258635451.232398</v>
      </c>
    </row>
    <row r="36" spans="1:2" x14ac:dyDescent="0.25">
      <c r="A36">
        <f ca="1">28899.4064453098*((RANDBETWEEN(1587,2416)))</f>
        <v>59128185.587103881</v>
      </c>
      <c r="B36">
        <v>207646939.82443017</v>
      </c>
    </row>
    <row r="37" spans="1:2" x14ac:dyDescent="0.25">
      <c r="A37">
        <f ca="1">35289.7229677303*((RANDBETWEEN(1587,2416)))</f>
        <v>67509240.037267968</v>
      </c>
      <c r="B37">
        <v>259273054.01217321</v>
      </c>
    </row>
    <row r="38" spans="1:2" x14ac:dyDescent="0.25">
      <c r="A38">
        <f ca="1">32066.3426949447*((RANDBETWEEN(1587,2416)))</f>
        <v>66313196.693145722</v>
      </c>
      <c r="B38">
        <v>239481101.56269532</v>
      </c>
    </row>
    <row r="39" spans="1:2" x14ac:dyDescent="0.25">
      <c r="A39">
        <f ca="1">33507.9027662367*((RANDBETWEEN(1587,2416)))</f>
        <v>58538306.132615492</v>
      </c>
      <c r="B39">
        <v>213857014.1387516</v>
      </c>
    </row>
    <row r="40" spans="1:2" x14ac:dyDescent="0.25">
      <c r="A40">
        <f ca="1">30379.2142609509*((RANDBETWEEN(1587,2416)))</f>
        <v>56444580.096846849</v>
      </c>
      <c r="B40">
        <v>245001680.44588509</v>
      </c>
    </row>
    <row r="41" spans="1:2" x14ac:dyDescent="0.25">
      <c r="A41">
        <f ca="1">31706.5145089739*((RANDBETWEEN(1587,2416)))</f>
        <v>66171495.780228458</v>
      </c>
      <c r="B41">
        <v>246352092.15911499</v>
      </c>
    </row>
    <row r="42" spans="1:2" x14ac:dyDescent="0.25">
      <c r="A42">
        <f ca="1">34071.6584577944*((RANDBETWEEN(1587,2416)))</f>
        <v>65894587.457374327</v>
      </c>
      <c r="B42">
        <v>238730184.60871103</v>
      </c>
    </row>
    <row r="43" spans="1:2" x14ac:dyDescent="0.25">
      <c r="A43">
        <f ca="1">30974.9448510356*((RANDBETWEEN(1587,2416)))</f>
        <v>62042814.53662426</v>
      </c>
      <c r="B43">
        <v>214138496.04929453</v>
      </c>
    </row>
    <row r="44" spans="1:2" x14ac:dyDescent="0.25">
      <c r="A44">
        <f ca="1">29475.7257829001*((RANDBETWEEN(1587,2416)))</f>
        <v>68501586.719459906</v>
      </c>
      <c r="B44">
        <v>225063348.27199066</v>
      </c>
    </row>
    <row r="45" spans="1:2" x14ac:dyDescent="0.25">
      <c r="A45">
        <f ca="1">35360.179849487*((RANDBETWEEN(1587,2416)))</f>
        <v>74857500.741363943</v>
      </c>
      <c r="B45">
        <v>246753287.2220394</v>
      </c>
    </row>
    <row r="46" spans="1:2" x14ac:dyDescent="0.25">
      <c r="A46">
        <f ca="1">29498.2486854447*((RANDBETWEEN(1587,2416)))</f>
        <v>62182308.228917323</v>
      </c>
      <c r="B46">
        <v>255066659.15830553</v>
      </c>
    </row>
    <row r="47" spans="1:2" x14ac:dyDescent="0.25">
      <c r="A47">
        <f ca="1">34986.7856252992*((RANDBETWEEN(1587,2416)))</f>
        <v>62171518.056156717</v>
      </c>
      <c r="B47">
        <v>213188528.28524899</v>
      </c>
    </row>
    <row r="48" spans="1:2" x14ac:dyDescent="0.25">
      <c r="A48">
        <f ca="1">31595.2197211052*((RANDBETWEEN(1587,2416)))</f>
        <v>57187347.695200324</v>
      </c>
      <c r="B48">
        <v>264354437.33072245</v>
      </c>
    </row>
    <row r="49" spans="1:2" x14ac:dyDescent="0.25">
      <c r="A49">
        <f ca="1">39160.0703636279*((RANDBETWEEN(1587,2416)))</f>
        <v>74051693.057620406</v>
      </c>
      <c r="B49">
        <v>218184885.38809645</v>
      </c>
    </row>
    <row r="50" spans="1:2" x14ac:dyDescent="0.25">
      <c r="A50">
        <f ca="1">39092.6045287574*((RANDBETWEEN(1587,2416)))</f>
        <v>91085768.552004814</v>
      </c>
      <c r="B50">
        <v>224046427.94609556</v>
      </c>
    </row>
    <row r="51" spans="1:2" x14ac:dyDescent="0.25">
      <c r="A51">
        <f ca="1">32587.4071079382*((RANDBETWEEN(1587,2416)))</f>
        <v>56343626.889625154</v>
      </c>
      <c r="B51">
        <v>245991994.45581734</v>
      </c>
    </row>
    <row r="52" spans="1:2" x14ac:dyDescent="0.25">
      <c r="A52">
        <f ca="1">31527.0092115828*((RANDBETWEEN(1587,2416)))</f>
        <v>68192920.924653679</v>
      </c>
      <c r="B52">
        <v>236231227.83812076</v>
      </c>
    </row>
    <row r="53" spans="1:2" x14ac:dyDescent="0.25">
      <c r="A53">
        <f ca="1">37930.7497481478*((RANDBETWEEN(1587,2416)))</f>
        <v>78364928.979673371</v>
      </c>
      <c r="B53">
        <v>226624191.44700953</v>
      </c>
    </row>
    <row r="54" spans="1:2" x14ac:dyDescent="0.25">
      <c r="A54">
        <f ca="1">36784.7063215769*((RANDBETWEEN(1587,2416)))</f>
        <v>82544880.985618517</v>
      </c>
      <c r="B54">
        <v>210703835.17258528</v>
      </c>
    </row>
    <row r="55" spans="1:2" x14ac:dyDescent="0.25">
      <c r="A55">
        <f ca="1">41859.6510140793*((RANDBETWEEN(1587,2416)))</f>
        <v>90584284.794467643</v>
      </c>
      <c r="B55">
        <v>243220849.17335367</v>
      </c>
    </row>
    <row r="56" spans="1:2" x14ac:dyDescent="0.25">
      <c r="A56">
        <f ca="1">36956.2403171461*((RANDBETWEEN(1587,2416)))</f>
        <v>73986393.114926487</v>
      </c>
      <c r="B56">
        <v>231928633.21852013</v>
      </c>
    </row>
    <row r="57" spans="1:2" x14ac:dyDescent="0.25">
      <c r="A57">
        <f ca="1">38030.3137480004*((RANDBETWEEN(1587,2416)))</f>
        <v>82183508.009428784</v>
      </c>
      <c r="B57">
        <v>225278639.58986461</v>
      </c>
    </row>
    <row r="58" spans="1:2" x14ac:dyDescent="0.25">
      <c r="A58">
        <f ca="1">31684.4555672314*((RANDBETWEEN(1587,2416)))</f>
        <v>53008094.163978077</v>
      </c>
      <c r="B58">
        <v>208151984.46183273</v>
      </c>
    </row>
    <row r="59" spans="1:2" x14ac:dyDescent="0.25">
      <c r="A59">
        <f ca="1">33636.8171857902*((RANDBETWEEN(1587,2416)))</f>
        <v>58763519.623575553</v>
      </c>
      <c r="B59">
        <v>204672187.07430258</v>
      </c>
    </row>
    <row r="60" spans="1:2" x14ac:dyDescent="0.25">
      <c r="A60">
        <f ca="1">37712.2642961039*((RANDBETWEEN(1587,2416)))</f>
        <v>89189505.060285687</v>
      </c>
      <c r="B60">
        <v>232524235.95167658</v>
      </c>
    </row>
    <row r="61" spans="1:2" x14ac:dyDescent="0.25">
      <c r="A61">
        <f ca="1">29349.1842457357*((RANDBETWEEN(1587,2416)))</f>
        <v>48015265.426023655</v>
      </c>
      <c r="B61">
        <v>263461640.22061911</v>
      </c>
    </row>
    <row r="62" spans="1:2" x14ac:dyDescent="0.25">
      <c r="A62">
        <f ca="1">30032.9552629789*((RANDBETWEEN(1587,2416)))</f>
        <v>64240491.307511859</v>
      </c>
      <c r="B62">
        <v>253180892.72051325</v>
      </c>
    </row>
    <row r="63" spans="1:2" x14ac:dyDescent="0.25">
      <c r="A63">
        <f ca="1">37132.7827662633*((RANDBETWEEN(1587,2416)))</f>
        <v>73448644.311668798</v>
      </c>
      <c r="B63">
        <v>255104481.95252711</v>
      </c>
    </row>
    <row r="64" spans="1:2" x14ac:dyDescent="0.25">
      <c r="A64">
        <f ca="1">32036.2156736999*((RANDBETWEEN(1587,2416)))</f>
        <v>67564378.855833024</v>
      </c>
      <c r="B64">
        <v>233077795.33876267</v>
      </c>
    </row>
    <row r="65" spans="1:2" x14ac:dyDescent="0.25">
      <c r="A65">
        <f ca="1">30260.6211582751*((RANDBETWEEN(1587,2416)))</f>
        <v>66845712.138629735</v>
      </c>
      <c r="B65">
        <v>208069750.81504431</v>
      </c>
    </row>
    <row r="66" spans="1:2" x14ac:dyDescent="0.25">
      <c r="A66">
        <f ca="1">33208.3370967507*((RANDBETWEEN(1587,2416)))</f>
        <v>69538257.880595937</v>
      </c>
      <c r="B66">
        <v>245092720.42048407</v>
      </c>
    </row>
    <row r="67" spans="1:2" x14ac:dyDescent="0.25">
      <c r="A67">
        <f ca="1">36631.5438620865*((RANDBETWEEN(1587,2416)))</f>
        <v>73336350.811897218</v>
      </c>
      <c r="B67">
        <v>216094274.51558834</v>
      </c>
    </row>
    <row r="68" spans="1:2" x14ac:dyDescent="0.25">
      <c r="A68">
        <f ca="1">29454.9357557239*((RANDBETWEEN(1587,2416)))</f>
        <v>60088068.94167684</v>
      </c>
      <c r="B68">
        <v>215457422.83141986</v>
      </c>
    </row>
    <row r="69" spans="1:2" x14ac:dyDescent="0.25">
      <c r="A69">
        <f ca="1">38612.3200503392*((RANDBETWEEN(1587,2416)))</f>
        <v>72977284.89514114</v>
      </c>
      <c r="B69">
        <v>257634934.66326678</v>
      </c>
    </row>
    <row r="70" spans="1:2" x14ac:dyDescent="0.25">
      <c r="A70">
        <f ca="1">39588.5239068316*((RANDBETWEEN(1587,2416)))</f>
        <v>70467572.554160267</v>
      </c>
      <c r="B70">
        <v>240751282.36307931</v>
      </c>
    </row>
    <row r="71" spans="1:2" x14ac:dyDescent="0.25">
      <c r="A71">
        <f ca="1">33829.0681275085*((RANDBETWEEN(1587,2416)))</f>
        <v>66541777.006809279</v>
      </c>
      <c r="B71">
        <v>216480007.47608173</v>
      </c>
    </row>
    <row r="72" spans="1:2" x14ac:dyDescent="0.25">
      <c r="A72">
        <f ca="1">32224.7206683181*((RANDBETWEEN(1587,2416)))</f>
        <v>66157351.532057114</v>
      </c>
      <c r="B72">
        <v>231214360.70983404</v>
      </c>
    </row>
    <row r="73" spans="1:2" x14ac:dyDescent="0.25">
      <c r="A73">
        <f ca="1">38931.8322533601*((RANDBETWEEN(1587,2416)))</f>
        <v>75994936.558558971</v>
      </c>
      <c r="B73">
        <v>261005552.67465758</v>
      </c>
    </row>
    <row r="74" spans="1:2" x14ac:dyDescent="0.25">
      <c r="A74">
        <f ca="1">37237.1850785477*((RANDBETWEEN(1587,2416)))</f>
        <v>81363249.39662677</v>
      </c>
      <c r="B74">
        <v>252182956.40832886</v>
      </c>
    </row>
    <row r="75" spans="1:2" x14ac:dyDescent="0.25">
      <c r="A75">
        <f ca="1">29870.9579739586*((RANDBETWEEN(1587,2416)))</f>
        <v>63774495.274401717</v>
      </c>
      <c r="B75">
        <v>226511400.27162552</v>
      </c>
    </row>
    <row r="76" spans="1:2" x14ac:dyDescent="0.25">
      <c r="A76">
        <f ca="1">30935.7655419203*((RANDBETWEEN(1587,2416)))</f>
        <v>73286828.568809152</v>
      </c>
      <c r="B76">
        <v>223261359.99459258</v>
      </c>
    </row>
    <row r="77" spans="1:2" x14ac:dyDescent="0.25">
      <c r="A77">
        <f ca="1">31803.5971874956*((RANDBETWEEN(1587,2416)))</f>
        <v>69109216.688427895</v>
      </c>
      <c r="B77">
        <v>248126575.76644</v>
      </c>
    </row>
    <row r="78" spans="1:2" x14ac:dyDescent="0.25">
      <c r="A78">
        <f ca="1">37483.3394243719*((RANDBETWEEN(1587,2416)))</f>
        <v>66120610.744592071</v>
      </c>
      <c r="B78">
        <v>206074848.15795141</v>
      </c>
    </row>
    <row r="79" spans="1:2" x14ac:dyDescent="0.25">
      <c r="A79">
        <f ca="1">31216.1414368214*((RANDBETWEEN(1587,2416)))</f>
        <v>70236318.232848093</v>
      </c>
      <c r="B79">
        <v>213188084.08795622</v>
      </c>
    </row>
    <row r="80" spans="1:2" x14ac:dyDescent="0.25">
      <c r="A80">
        <f ca="1">32863.1535809394*((RANDBETWEEN(1587,2416)))</f>
        <v>69341254.05578205</v>
      </c>
      <c r="B80">
        <v>239771335.25195757</v>
      </c>
    </row>
    <row r="81" spans="1:2" x14ac:dyDescent="0.25">
      <c r="A81">
        <f ca="1">31707.4785941289*((RANDBETWEEN(1587,2416)))</f>
        <v>53458808.90970125</v>
      </c>
      <c r="B81">
        <v>230456746.14270425</v>
      </c>
    </row>
    <row r="82" spans="1:2" x14ac:dyDescent="0.25">
      <c r="A82">
        <f ca="1">37709.6865685397*((RANDBETWEEN(1587,2416)))</f>
        <v>73910985.67433776</v>
      </c>
      <c r="B82">
        <v>262669950.53603452</v>
      </c>
    </row>
    <row r="83" spans="1:2" x14ac:dyDescent="0.25">
      <c r="A83">
        <f ca="1">38974.8777111852*((RANDBETWEEN(1587,2416)))</f>
        <v>88433997.526679143</v>
      </c>
      <c r="B83">
        <v>241353903.76238954</v>
      </c>
    </row>
    <row r="84" spans="1:2" x14ac:dyDescent="0.25">
      <c r="A84">
        <f ca="1">39712.6716964665*((RANDBETWEEN(1587,2416)))</f>
        <v>78075112.555253059</v>
      </c>
      <c r="B84">
        <v>231265368.8554281</v>
      </c>
    </row>
    <row r="85" spans="1:2" x14ac:dyDescent="0.25">
      <c r="A85">
        <f ca="1">36870.0156812111*((RANDBETWEEN(1587,2416)))</f>
        <v>69426239.527720556</v>
      </c>
      <c r="B85">
        <v>262618144.45754188</v>
      </c>
    </row>
    <row r="86" spans="1:2" x14ac:dyDescent="0.25">
      <c r="A86">
        <f ca="1">31907.8165210837*((RANDBETWEEN(1587,2416)))</f>
        <v>73579424.897619113</v>
      </c>
      <c r="B86">
        <v>230941916.27871472</v>
      </c>
    </row>
    <row r="87" spans="1:2" x14ac:dyDescent="0.25">
      <c r="A87">
        <f ca="1">31436.1136153995*((RANDBETWEEN(1587,2416)))</f>
        <v>68782216.590494052</v>
      </c>
      <c r="B87">
        <v>237630807.78496668</v>
      </c>
    </row>
    <row r="88" spans="1:2" x14ac:dyDescent="0.25">
      <c r="A88">
        <f ca="1">35058.3467672103*((RANDBETWEEN(1587,2416)))</f>
        <v>82281939.862642661</v>
      </c>
      <c r="B88">
        <v>219090472.18160287</v>
      </c>
    </row>
    <row r="89" spans="1:2" x14ac:dyDescent="0.25">
      <c r="A89">
        <f ca="1">29537.8052306593*((RANDBETWEEN(1587,2416)))</f>
        <v>66696364.210828789</v>
      </c>
      <c r="B89">
        <v>234898405.64415312</v>
      </c>
    </row>
    <row r="90" spans="1:2" x14ac:dyDescent="0.25">
      <c r="A90">
        <f ca="1">37010.5141902381*((RANDBETWEEN(1587,2416)))</f>
        <v>65101494.460628845</v>
      </c>
      <c r="B90">
        <v>225601058.45888275</v>
      </c>
    </row>
    <row r="91" spans="1:2" x14ac:dyDescent="0.25">
      <c r="A91">
        <f ca="1">37405.9076313201*((RANDBETWEEN(1587,2416)))</f>
        <v>78926465.102085471</v>
      </c>
      <c r="B91">
        <v>255292746.13829732</v>
      </c>
    </row>
    <row r="92" spans="1:2" x14ac:dyDescent="0.25">
      <c r="A92">
        <f ca="1">31892.2021012264*((RANDBETWEEN(1587,2416)))</f>
        <v>74850998.33157824</v>
      </c>
      <c r="B92">
        <v>238434248.17009926</v>
      </c>
    </row>
    <row r="93" spans="1:2" x14ac:dyDescent="0.25">
      <c r="A93">
        <f ca="1">39256.9337588925*((RANDBETWEEN(1587,2416)))</f>
        <v>80987054.344595209</v>
      </c>
      <c r="B93">
        <v>265074277.48426145</v>
      </c>
    </row>
    <row r="94" spans="1:2" x14ac:dyDescent="0.25">
      <c r="A94">
        <f ca="1">41090.8326522023*((RANDBETWEEN(1587,2416)))</f>
        <v>82839118.626839831</v>
      </c>
      <c r="B94">
        <v>203747277.86727774</v>
      </c>
    </row>
    <row r="95" spans="1:2" x14ac:dyDescent="0.25">
      <c r="A95">
        <f ca="1">31598.8552755121*((RANDBETWEEN(1587,2416)))</f>
        <v>72234983.159820721</v>
      </c>
      <c r="B95">
        <v>261193026.99053735</v>
      </c>
    </row>
    <row r="96" spans="1:2" x14ac:dyDescent="0.25">
      <c r="A96">
        <f ca="1">32906.3187346906*((RANDBETWEEN(1587,2416)))</f>
        <v>64002789.938973285</v>
      </c>
      <c r="B96">
        <v>241564198.61695707</v>
      </c>
    </row>
    <row r="97" spans="1:2" x14ac:dyDescent="0.25">
      <c r="A97">
        <f ca="1">40313.8274759836*((RANDBETWEEN(1587,2416)))</f>
        <v>94374670.121277705</v>
      </c>
      <c r="B97">
        <v>229766600.05245328</v>
      </c>
    </row>
    <row r="98" spans="1:2" x14ac:dyDescent="0.25">
      <c r="A98">
        <f ca="1">31451.1606634318*((RANDBETWEEN(1587,2416)))</f>
        <v>70544953.368077487</v>
      </c>
      <c r="B98">
        <v>225027976.12148502</v>
      </c>
    </row>
    <row r="99" spans="1:2" x14ac:dyDescent="0.25">
      <c r="A99">
        <f ca="1">36061.8703493546*((RANDBETWEEN(1587,2416)))</f>
        <v>77785454.343557805</v>
      </c>
      <c r="B99">
        <v>242719251.63228682</v>
      </c>
    </row>
    <row r="100" spans="1:2" x14ac:dyDescent="0.25">
      <c r="A100">
        <f ca="1">38428.4552691444*((RANDBETWEEN(1587,2416)))</f>
        <v>77125909.725172818</v>
      </c>
      <c r="B100">
        <v>243114314.2631861</v>
      </c>
    </row>
    <row r="101" spans="1:2" x14ac:dyDescent="0.25">
      <c r="A101">
        <f ca="1">30931.1482555964*((RANDBETWEEN(1587,2416)))</f>
        <v>58181489.868776858</v>
      </c>
      <c r="B101">
        <v>237834748.59039754</v>
      </c>
    </row>
    <row r="102" spans="1:2" x14ac:dyDescent="0.25">
      <c r="A102">
        <f ca="1">34895.2581400447*((RANDBETWEEN(1587,2416)))</f>
        <v>65986933.142824516</v>
      </c>
      <c r="B102">
        <v>255457436.52058741</v>
      </c>
    </row>
    <row r="103" spans="1:2" x14ac:dyDescent="0.25">
      <c r="A103">
        <f ca="1">42861.2606039068*((RANDBETWEEN(1587,2416)))</f>
        <v>88937115.753106579</v>
      </c>
      <c r="B103">
        <v>205656684.97817677</v>
      </c>
    </row>
    <row r="104" spans="1:2" x14ac:dyDescent="0.25">
      <c r="A104">
        <f ca="1">33322.4277412113*((RANDBETWEEN(1587,2416)))</f>
        <v>54248912.362691984</v>
      </c>
      <c r="B104">
        <v>217737122.94880885</v>
      </c>
    </row>
    <row r="105" spans="1:2" x14ac:dyDescent="0.25">
      <c r="A105">
        <f ca="1">28778.7793741458*((RANDBETWEEN(1587,2416)))</f>
        <v>58190691.894522876</v>
      </c>
      <c r="B105">
        <v>245872591.48454511</v>
      </c>
    </row>
    <row r="106" spans="1:2" x14ac:dyDescent="0.25">
      <c r="A106">
        <f ca="1">32822.6336322136*((RANDBETWEEN(1587,2416)))</f>
        <v>56717510.916465111</v>
      </c>
      <c r="B106">
        <v>222018278.71424967</v>
      </c>
    </row>
    <row r="107" spans="1:2" x14ac:dyDescent="0.25">
      <c r="A107">
        <f ca="1">31624.0044358898*((RANDBETWEEN(1587,2416)))</f>
        <v>61698432.654421173</v>
      </c>
      <c r="B107">
        <v>213232614.86465079</v>
      </c>
    </row>
    <row r="108" spans="1:2" x14ac:dyDescent="0.25">
      <c r="A108">
        <f ca="1">33395.1222887281*((RANDBETWEEN(1587,2416)))</f>
        <v>69161298.259955943</v>
      </c>
      <c r="B108">
        <v>264770981.82004589</v>
      </c>
    </row>
    <row r="109" spans="1:2" x14ac:dyDescent="0.25">
      <c r="A109">
        <f ca="1">35833.3775372883*((RANDBETWEEN(1587,2416)))</f>
        <v>79120097.602332637</v>
      </c>
      <c r="B109">
        <v>211869087.43052879</v>
      </c>
    </row>
    <row r="110" spans="1:2" x14ac:dyDescent="0.25">
      <c r="A110">
        <f ca="1">38276.9198122017*((RANDBETWEEN(1587,2416)))</f>
        <v>85166146.58214888</v>
      </c>
      <c r="B110">
        <v>225296700.40858406</v>
      </c>
    </row>
    <row r="111" spans="1:2" x14ac:dyDescent="0.25">
      <c r="A111">
        <f ca="1">37098.7051934528*((RANDBETWEEN(1587,2416)))</f>
        <v>87070661.089033708</v>
      </c>
      <c r="B111">
        <v>256868793.86095887</v>
      </c>
    </row>
    <row r="112" spans="1:2" x14ac:dyDescent="0.25">
      <c r="A112">
        <f ca="1">32926.2780932971*((RANDBETWEEN(1587,2416)))</f>
        <v>56468566.93000453</v>
      </c>
      <c r="B112">
        <v>236517591.93442157</v>
      </c>
    </row>
    <row r="113" spans="1:2" x14ac:dyDescent="0.25">
      <c r="A113">
        <f ca="1">35095.1178616871*((RANDBETWEEN(1587,2416)))</f>
        <v>70470996.666267708</v>
      </c>
      <c r="B113">
        <v>236675587.01443332</v>
      </c>
    </row>
    <row r="114" spans="1:2" x14ac:dyDescent="0.25">
      <c r="A114">
        <f ca="1">32185.1296667699*((RANDBETWEEN(1587,2416)))</f>
        <v>58995342.679189265</v>
      </c>
      <c r="B114">
        <v>212568189.54956019</v>
      </c>
    </row>
    <row r="115" spans="1:2" x14ac:dyDescent="0.25">
      <c r="A115">
        <f ca="1">32365.2528639598*((RANDBETWEEN(1587,2416)))</f>
        <v>66931342.922668792</v>
      </c>
      <c r="B115">
        <v>241932690.80648449</v>
      </c>
    </row>
    <row r="116" spans="1:2" x14ac:dyDescent="0.25">
      <c r="A116">
        <f ca="1">33321.9732404158*((RANDBETWEEN(1587,2416)))</f>
        <v>73741526.781040132</v>
      </c>
      <c r="B116">
        <v>228008419.36829859</v>
      </c>
    </row>
    <row r="117" spans="1:2" x14ac:dyDescent="0.25">
      <c r="A117">
        <f ca="1">30605.5255648921*((RANDBETWEEN(1587,2416)))</f>
        <v>64822503.146441549</v>
      </c>
      <c r="B117">
        <v>222957850.36167213</v>
      </c>
    </row>
    <row r="118" spans="1:2" x14ac:dyDescent="0.25">
      <c r="A118">
        <f ca="1">37287.4663800656*((RANDBETWEEN(1587,2416)))</f>
        <v>75656269.285153091</v>
      </c>
      <c r="B118">
        <v>245388167.13158524</v>
      </c>
    </row>
    <row r="119" spans="1:2" x14ac:dyDescent="0.25">
      <c r="A119">
        <f ca="1">27560.0485188803*((RANDBETWEEN(1587,2416)))</f>
        <v>49167126.557682373</v>
      </c>
      <c r="B119">
        <v>221021398.75925636</v>
      </c>
    </row>
    <row r="120" spans="1:2" x14ac:dyDescent="0.25">
      <c r="A120">
        <f ca="1">40635.716341953*((RANDBETWEEN(1587,2416)))</f>
        <v>83872118.529790968</v>
      </c>
      <c r="B120">
        <v>233146764.4811765</v>
      </c>
    </row>
    <row r="121" spans="1:2" x14ac:dyDescent="0.25">
      <c r="A121">
        <f ca="1">36844.0173531417*((RANDBETWEEN(1587,2416)))</f>
        <v>70298385.109794453</v>
      </c>
      <c r="B121">
        <v>231834041.73619291</v>
      </c>
    </row>
    <row r="122" spans="1:2" x14ac:dyDescent="0.25">
      <c r="A122">
        <f ca="1">38118.450178585*((RANDBETWEEN(1587,2416)))</f>
        <v>91179332.827175304</v>
      </c>
      <c r="B122">
        <v>212390424.5668816</v>
      </c>
    </row>
    <row r="123" spans="1:2" x14ac:dyDescent="0.25">
      <c r="A123">
        <f ca="1">33106.3838435379*((RANDBETWEEN(1587,2416)))</f>
        <v>66543831.52551125</v>
      </c>
      <c r="B123">
        <v>249654856.10190788</v>
      </c>
    </row>
    <row r="124" spans="1:2" x14ac:dyDescent="0.25">
      <c r="A124">
        <f ca="1">31505.1509916214*((RANDBETWEEN(1587,2416)))</f>
        <v>72241311.223787963</v>
      </c>
      <c r="B124">
        <v>204769899.48938733</v>
      </c>
    </row>
    <row r="125" spans="1:2" x14ac:dyDescent="0.25">
      <c r="A125">
        <f ca="1">33462.627387638*((RANDBETWEEN(1587,2416)))</f>
        <v>75023210.60308446</v>
      </c>
      <c r="B125">
        <v>267111111.84604162</v>
      </c>
    </row>
    <row r="126" spans="1:2" x14ac:dyDescent="0.25">
      <c r="A126">
        <f ca="1">33256.4082116467*((RANDBETWEEN(1587,2416)))</f>
        <v>64317893.48132471</v>
      </c>
      <c r="B126">
        <v>213708223.07337955</v>
      </c>
    </row>
    <row r="127" spans="1:2" x14ac:dyDescent="0.25">
      <c r="A127">
        <f ca="1">35596.111727526*((RANDBETWEEN(1587,2416)))</f>
        <v>65425653.355192795</v>
      </c>
      <c r="B127">
        <v>254539159.9933967</v>
      </c>
    </row>
    <row r="128" spans="1:2" x14ac:dyDescent="0.25">
      <c r="A128">
        <f ca="1">33711.6461413632*((RANDBETWEEN(1587,2416)))</f>
        <v>74401603.033988699</v>
      </c>
      <c r="B128">
        <v>247217642.5721831</v>
      </c>
    </row>
    <row r="129" spans="1:2" x14ac:dyDescent="0.25">
      <c r="A129">
        <f ca="1">29175.8690167309*((RANDBETWEEN(1587,2416)))</f>
        <v>66083343.322895423</v>
      </c>
      <c r="B129">
        <v>228639800.97092307</v>
      </c>
    </row>
    <row r="130" spans="1:2" x14ac:dyDescent="0.25">
      <c r="A130">
        <f ca="1">33417.8178386506*((RANDBETWEEN(1587,2416)))</f>
        <v>70077164.007650301</v>
      </c>
      <c r="B130">
        <v>255276038.3137835</v>
      </c>
    </row>
    <row r="131" spans="1:2" x14ac:dyDescent="0.25">
      <c r="A131">
        <f ca="1">38326.3120500633*((RANDBETWEEN(1587,2416)))</f>
        <v>71593550.909518227</v>
      </c>
      <c r="B131">
        <v>265732475.41727513</v>
      </c>
    </row>
    <row r="132" spans="1:2" x14ac:dyDescent="0.25">
      <c r="A132">
        <f ca="1">29872.8491495764*((RANDBETWEEN(1587,2416)))</f>
        <v>50813716.403429493</v>
      </c>
      <c r="B132">
        <v>238250255.92335919</v>
      </c>
    </row>
    <row r="133" spans="1:2" x14ac:dyDescent="0.25">
      <c r="A133">
        <f ca="1">38180.4230066067*((RANDBETWEEN(1587,2416)))</f>
        <v>72924607.942618713</v>
      </c>
      <c r="B133">
        <v>262225564.10890496</v>
      </c>
    </row>
    <row r="134" spans="1:2" x14ac:dyDescent="0.25">
      <c r="A134">
        <f ca="1">30720.3014617182*((RANDBETWEEN(1587,2416)))</f>
        <v>65557123.319306709</v>
      </c>
      <c r="B134">
        <v>205396239.60998124</v>
      </c>
    </row>
    <row r="135" spans="1:2" x14ac:dyDescent="0.25">
      <c r="A135">
        <f ca="1">39961.2602085793*((RANDBETWEEN(1587,2416)))</f>
        <v>72689532.319405764</v>
      </c>
      <c r="B135">
        <v>264466071.72511566</v>
      </c>
    </row>
    <row r="136" spans="1:2" x14ac:dyDescent="0.25">
      <c r="A136">
        <f ca="1">32812.837866035*((RANDBETWEEN(1587,2416)))</f>
        <v>66938189.246711425</v>
      </c>
      <c r="B136">
        <v>233615873.76988763</v>
      </c>
    </row>
    <row r="137" spans="1:2" x14ac:dyDescent="0.25">
      <c r="A137">
        <f ca="1">33481.9681988972*((RANDBETWEEN(1587,2416)))</f>
        <v>67030900.334192149</v>
      </c>
      <c r="B137">
        <v>255992671.03422138</v>
      </c>
    </row>
    <row r="138" spans="1:2" x14ac:dyDescent="0.25">
      <c r="A138">
        <f ca="1">32145.2831495075*((RANDBETWEEN(1587,2416)))</f>
        <v>51496743.605511054</v>
      </c>
      <c r="B138">
        <v>217231666.39618018</v>
      </c>
    </row>
    <row r="139" spans="1:2" x14ac:dyDescent="0.25">
      <c r="A139">
        <f ca="1">40837.0019383466*((RANDBETWEEN(1587,2416)))</f>
        <v>97355412.621018246</v>
      </c>
      <c r="B139">
        <v>247014659.40608236</v>
      </c>
    </row>
    <row r="140" spans="1:2" x14ac:dyDescent="0.25">
      <c r="A140">
        <f ca="1">28599.6086961806*((RANDBETWEEN(1587,2416)))</f>
        <v>56169631.479298696</v>
      </c>
      <c r="B140">
        <v>249917933.16279072</v>
      </c>
    </row>
    <row r="141" spans="1:2" x14ac:dyDescent="0.25">
      <c r="A141">
        <f ca="1">31749.2609043391*((RANDBETWEEN(1587,2416)))</f>
        <v>50640071.142420791</v>
      </c>
      <c r="B141">
        <v>252536936.03774989</v>
      </c>
    </row>
    <row r="142" spans="1:2" x14ac:dyDescent="0.25">
      <c r="A142">
        <f ca="1">36711.0448175908*((RANDBETWEEN(1587,2416)))</f>
        <v>80140210.836800724</v>
      </c>
      <c r="B142">
        <v>264527995.53871152</v>
      </c>
    </row>
    <row r="143" spans="1:2" x14ac:dyDescent="0.25">
      <c r="A143">
        <f ca="1">29755.6562139547*((RANDBETWEEN(1587,2416)))</f>
        <v>57190371.243220933</v>
      </c>
      <c r="B143">
        <v>236324668.09014377</v>
      </c>
    </row>
    <row r="144" spans="1:2" x14ac:dyDescent="0.25">
      <c r="A144">
        <f ca="1">36277.469662683*((RANDBETWEEN(1587,2416)))</f>
        <v>83329347.815182805</v>
      </c>
      <c r="B144">
        <v>251850534.77278495</v>
      </c>
    </row>
    <row r="145" spans="1:2" x14ac:dyDescent="0.25">
      <c r="A145">
        <f ca="1">32140.62468067*((RANDBETWEEN(1587,2416)))</f>
        <v>75080499.254045025</v>
      </c>
      <c r="B145">
        <v>248968890.24639866</v>
      </c>
    </row>
    <row r="146" spans="1:2" x14ac:dyDescent="0.25">
      <c r="A146">
        <f ca="1">30670.580481184*((RANDBETWEEN(1587,2416)))</f>
        <v>56495209.246340975</v>
      </c>
      <c r="B146">
        <v>213106389.01272771</v>
      </c>
    </row>
    <row r="147" spans="1:2" x14ac:dyDescent="0.25">
      <c r="A147">
        <f ca="1">38329.2402615027*((RANDBETWEEN(1587,2416)))</f>
        <v>83481085.289553091</v>
      </c>
      <c r="B147">
        <v>204962460.48737791</v>
      </c>
    </row>
    <row r="148" spans="1:2" x14ac:dyDescent="0.25">
      <c r="A148">
        <f ca="1">28359.857926426*((RANDBETWEEN(1587,2416)))</f>
        <v>49686471.087098405</v>
      </c>
      <c r="B148">
        <v>205492568.87747872</v>
      </c>
    </row>
    <row r="149" spans="1:2" x14ac:dyDescent="0.25">
      <c r="A149">
        <f ca="1">38472.9770422086*((RANDBETWEEN(1587,2416)))</f>
        <v>90988590.704823449</v>
      </c>
      <c r="B149">
        <v>233636886.35023308</v>
      </c>
    </row>
    <row r="150" spans="1:2" x14ac:dyDescent="0.25">
      <c r="A150">
        <f ca="1">29372.99713199*((RANDBETWEEN(1587,2416)))</f>
        <v>58099788.327076241</v>
      </c>
      <c r="B150">
        <v>229045160.36816311</v>
      </c>
    </row>
    <row r="151" spans="1:2" x14ac:dyDescent="0.25">
      <c r="A151">
        <f ca="1">31861.105658272*((RANDBETWEEN(1587,2416)))</f>
        <v>51296380.10981793</v>
      </c>
      <c r="B151">
        <v>245625022.89741063</v>
      </c>
    </row>
    <row r="152" spans="1:2" x14ac:dyDescent="0.25">
      <c r="A152">
        <f ca="1">38688.4355644514*((RANDBETWEEN(1587,2416)))</f>
        <v>92078476.643394247</v>
      </c>
      <c r="B152">
        <v>218670254.34183919</v>
      </c>
    </row>
    <row r="153" spans="1:2" x14ac:dyDescent="0.25">
      <c r="A153">
        <f ca="1">36408.0083444362*((RANDBETWEEN(1587,2416)))</f>
        <v>87524852.060024738</v>
      </c>
      <c r="B153">
        <v>262788744.11072013</v>
      </c>
    </row>
    <row r="154" spans="1:2" x14ac:dyDescent="0.25">
      <c r="A154">
        <f ca="1">33532.8218663488*((RANDBETWEEN(1587,2416)))</f>
        <v>60828538.865556695</v>
      </c>
      <c r="B154">
        <v>221211903.21142673</v>
      </c>
    </row>
    <row r="155" spans="1:2" x14ac:dyDescent="0.25">
      <c r="A155">
        <f ca="1">38867.5547531974*((RANDBETWEEN(1587,2416)))</f>
        <v>75752864.213981733</v>
      </c>
      <c r="B155">
        <v>249253402.35884988</v>
      </c>
    </row>
    <row r="156" spans="1:2" x14ac:dyDescent="0.25">
      <c r="A156">
        <f ca="1">35770.9058066422*((RANDBETWEEN(1587,2416)))</f>
        <v>75583923.969434991</v>
      </c>
      <c r="B156">
        <v>242878950.61699241</v>
      </c>
    </row>
    <row r="157" spans="1:2" x14ac:dyDescent="0.25">
      <c r="A157">
        <f ca="1">29372.7682077697*((RANDBETWEEN(1587,2416)))</f>
        <v>64032634.692937858</v>
      </c>
      <c r="B157">
        <v>263726784.11188814</v>
      </c>
    </row>
    <row r="158" spans="1:2" x14ac:dyDescent="0.25">
      <c r="A158">
        <f ca="1">30954.488422109*((RANDBETWEEN(1587,2416)))</f>
        <v>59184981.863072388</v>
      </c>
      <c r="B158">
        <v>221583463.46310657</v>
      </c>
    </row>
    <row r="159" spans="1:2" x14ac:dyDescent="0.25">
      <c r="A159">
        <f ca="1">32928.0278991905*((RANDBETWEEN(1587,2416)))</f>
        <v>64143798.34762311</v>
      </c>
      <c r="B159">
        <v>238113527.31957573</v>
      </c>
    </row>
    <row r="160" spans="1:2" x14ac:dyDescent="0.25">
      <c r="A160">
        <f ca="1">32522.2004940198*((RANDBETWEEN(1587,2416)))</f>
        <v>67223388.421138868</v>
      </c>
      <c r="B160">
        <v>238458274.82872468</v>
      </c>
    </row>
    <row r="161" spans="1:2" x14ac:dyDescent="0.25">
      <c r="A161">
        <f ca="1">33761.7250674694*((RANDBETWEEN(1587,2416)))</f>
        <v>77989584.905854359</v>
      </c>
      <c r="B161">
        <v>261308644.96503299</v>
      </c>
    </row>
    <row r="162" spans="1:2" x14ac:dyDescent="0.25">
      <c r="A162">
        <f ca="1">40997.9498594714*((RANDBETWEEN(1587,2416)))</f>
        <v>98067096.063855559</v>
      </c>
      <c r="B162">
        <v>254481717.04108894</v>
      </c>
    </row>
    <row r="163" spans="1:2" x14ac:dyDescent="0.25">
      <c r="A163">
        <f ca="1">34213.5821036635*((RANDBETWEEN(1587,2416)))</f>
        <v>61344952.711868644</v>
      </c>
      <c r="B163">
        <v>265571437.20031685</v>
      </c>
    </row>
    <row r="164" spans="1:2" x14ac:dyDescent="0.25">
      <c r="A164">
        <f ca="1">39807.1946213034*((RANDBETWEEN(1587,2416)))</f>
        <v>71652950.318346158</v>
      </c>
      <c r="B164">
        <v>249982832.47354352</v>
      </c>
    </row>
    <row r="165" spans="1:2" x14ac:dyDescent="0.25">
      <c r="A165">
        <f ca="1">29954.7924763583*((RANDBETWEEN(1587,2416)))</f>
        <v>51492288.266859919</v>
      </c>
      <c r="B165">
        <v>241726147.89929619</v>
      </c>
    </row>
    <row r="166" spans="1:2" x14ac:dyDescent="0.25">
      <c r="A166">
        <f ca="1">37571.9354830355*((RANDBETWEEN(1587,2416)))</f>
        <v>66164178.385625578</v>
      </c>
      <c r="B166">
        <v>227372637.48453376</v>
      </c>
    </row>
    <row r="167" spans="1:2" x14ac:dyDescent="0.25">
      <c r="A167">
        <f ca="1">40837.1451223575*((RANDBETWEEN(1587,2416)))</f>
        <v>95967291.037540108</v>
      </c>
      <c r="B167">
        <v>266706075.64763361</v>
      </c>
    </row>
    <row r="168" spans="1:2" x14ac:dyDescent="0.25">
      <c r="A168">
        <f ca="1">27751.0692698239*((RANDBETWEEN(1587,2416)))</f>
        <v>56445674.894821718</v>
      </c>
      <c r="B168">
        <v>220027890.95850787</v>
      </c>
    </row>
    <row r="169" spans="1:2" x14ac:dyDescent="0.25">
      <c r="A169">
        <f ca="1">31865.2783074807*((RANDBETWEEN(1587,2416)))</f>
        <v>50825118.900431663</v>
      </c>
      <c r="B169">
        <v>244316614.77538243</v>
      </c>
    </row>
    <row r="170" spans="1:2" x14ac:dyDescent="0.25">
      <c r="A170">
        <f ca="1">30659.142740628*((RANDBETWEEN(1587,2416)))</f>
        <v>73060737.150916621</v>
      </c>
      <c r="B170">
        <v>221692486.35106999</v>
      </c>
    </row>
    <row r="171" spans="1:2" x14ac:dyDescent="0.25">
      <c r="A171">
        <f ca="1">32657.3579904718*((RANDBETWEEN(1587,2416)))</f>
        <v>58424013.444953986</v>
      </c>
      <c r="B171">
        <v>228083889.98313975</v>
      </c>
    </row>
    <row r="172" spans="1:2" x14ac:dyDescent="0.25">
      <c r="A172">
        <f ca="1">33269.5122958527*((RANDBETWEEN(1587,2416)))</f>
        <v>79613942.923975453</v>
      </c>
      <c r="B172">
        <v>252118996.70285454</v>
      </c>
    </row>
    <row r="173" spans="1:2" x14ac:dyDescent="0.25">
      <c r="A173">
        <f ca="1">30855.7463026447*((RANDBETWEEN(1587,2416)))</f>
        <v>49955453.263981767</v>
      </c>
      <c r="B173">
        <v>248842949.53813869</v>
      </c>
    </row>
    <row r="174" spans="1:2" x14ac:dyDescent="0.25">
      <c r="A174">
        <f ca="1">39280.0744127091*((RANDBETWEEN(1587,2416)))</f>
        <v>83587998.350244954</v>
      </c>
      <c r="B174">
        <v>258725324.5653345</v>
      </c>
    </row>
    <row r="175" spans="1:2" x14ac:dyDescent="0.25">
      <c r="A175">
        <f ca="1">31706.1491777735*((RANDBETWEEN(1587,2416)))</f>
        <v>57388130.011769965</v>
      </c>
      <c r="B175">
        <v>223285489.71615651</v>
      </c>
    </row>
    <row r="176" spans="1:2" x14ac:dyDescent="0.25">
      <c r="A176">
        <f ca="1">29473.1878340528*((RANDBETWEEN(1587,2416)))</f>
        <v>56175896.011704572</v>
      </c>
      <c r="B176">
        <v>231724791.46067631</v>
      </c>
    </row>
    <row r="177" spans="1:2" x14ac:dyDescent="0.25">
      <c r="A177">
        <f ca="1">37465.705202126*((RANDBETWEEN(1587,2416)))</f>
        <v>74481821.941826433</v>
      </c>
      <c r="B177">
        <v>247411934.46553653</v>
      </c>
    </row>
    <row r="178" spans="1:2" x14ac:dyDescent="0.25">
      <c r="A178">
        <f ca="1">28724.5310528842*((RANDBETWEEN(1587,2416)))</f>
        <v>63079070.192133643</v>
      </c>
      <c r="B178">
        <v>247401338.58637089</v>
      </c>
    </row>
    <row r="179" spans="1:2" x14ac:dyDescent="0.25">
      <c r="A179">
        <f ca="1">39708.6653115488*((RANDBETWEEN(1587,2416)))</f>
        <v>81958685.203036681</v>
      </c>
      <c r="B179">
        <v>207857821.03057158</v>
      </c>
    </row>
    <row r="180" spans="1:2" x14ac:dyDescent="0.25">
      <c r="A180">
        <f ca="1">31080.4421015183*((RANDBETWEEN(1587,2416)))</f>
        <v>52961073.340987265</v>
      </c>
      <c r="B180">
        <v>235108422.19073758</v>
      </c>
    </row>
    <row r="181" spans="1:2" x14ac:dyDescent="0.25">
      <c r="A181">
        <f ca="1">31153.3341055285*((RANDBETWEEN(1587,2416)))</f>
        <v>71746128.445032135</v>
      </c>
      <c r="B181">
        <v>217209490.45312065</v>
      </c>
    </row>
    <row r="182" spans="1:2" x14ac:dyDescent="0.25">
      <c r="A182">
        <f ca="1">34214.463666785*((RANDBETWEEN(1587,2416)))</f>
        <v>80267131.762277663</v>
      </c>
      <c r="B182">
        <v>213222591.89745826</v>
      </c>
    </row>
    <row r="183" spans="1:2" x14ac:dyDescent="0.25">
      <c r="A183">
        <f ca="1">33809.3783289538*((RANDBETWEEN(1587,2416)))</f>
        <v>77254429.481659487</v>
      </c>
      <c r="B183">
        <v>232480143.17968088</v>
      </c>
    </row>
    <row r="184" spans="1:2" x14ac:dyDescent="0.25">
      <c r="A184">
        <f ca="1">35978.6452442171*((RANDBETWEEN(1587,2416)))</f>
        <v>63862095.308485389</v>
      </c>
      <c r="B184">
        <v>257878157.25636223</v>
      </c>
    </row>
    <row r="185" spans="1:2" x14ac:dyDescent="0.25">
      <c r="A185">
        <f ca="1">36334.0089844272*((RANDBETWEEN(1587,2416)))</f>
        <v>64456531.938373864</v>
      </c>
      <c r="B185">
        <v>230089984.05452794</v>
      </c>
    </row>
    <row r="186" spans="1:2" x14ac:dyDescent="0.25">
      <c r="A186">
        <f ca="1">36376.4380078006*((RANDBETWEEN(1587,2416)))</f>
        <v>74826332.982045889</v>
      </c>
      <c r="B186">
        <v>264824338.55304372</v>
      </c>
    </row>
    <row r="187" spans="1:2" x14ac:dyDescent="0.25">
      <c r="A187">
        <f ca="1">34855.2632517865*((RANDBETWEEN(1587,2416)))</f>
        <v>73788592.304031938</v>
      </c>
      <c r="B187">
        <v>210490426.68847442</v>
      </c>
    </row>
    <row r="188" spans="1:2" x14ac:dyDescent="0.25">
      <c r="A188">
        <f ca="1">34500.3288997896*((RANDBETWEEN(1587,2416)))</f>
        <v>55442028.541961856</v>
      </c>
      <c r="B188">
        <v>225165765.38284481</v>
      </c>
    </row>
    <row r="189" spans="1:2" x14ac:dyDescent="0.25">
      <c r="A189">
        <f ca="1">31309.3604614581*((RANDBETWEEN(1587,2416)))</f>
        <v>53570315.749554776</v>
      </c>
      <c r="B189">
        <v>239799599.53666067</v>
      </c>
    </row>
    <row r="190" spans="1:2" x14ac:dyDescent="0.25">
      <c r="A190">
        <f ca="1">36847.7438555723*((RANDBETWEEN(1587,2416)))</f>
        <v>66289091.196174614</v>
      </c>
      <c r="B190">
        <v>221369209.51913616</v>
      </c>
    </row>
    <row r="191" spans="1:2" x14ac:dyDescent="0.25">
      <c r="A191">
        <f ca="1">42665.5851012802*((RANDBETWEEN(1587,2416)))</f>
        <v>76328731.746190265</v>
      </c>
      <c r="B191">
        <v>213559677.9140192</v>
      </c>
    </row>
    <row r="192" spans="1:2" x14ac:dyDescent="0.25">
      <c r="A192">
        <f ca="1">31278.8908941519*((RANDBETWEEN(1587,2416)))</f>
        <v>67781356.567627206</v>
      </c>
      <c r="B192">
        <v>257654946.58649641</v>
      </c>
    </row>
    <row r="193" spans="1:2" x14ac:dyDescent="0.25">
      <c r="A193">
        <f ca="1">30155.3656868787*((RANDBETWEEN(1587,2416)))</f>
        <v>51203810.936320089</v>
      </c>
      <c r="B193">
        <v>234775421.17604852</v>
      </c>
    </row>
    <row r="194" spans="1:2" x14ac:dyDescent="0.25">
      <c r="A194">
        <f ca="1">31945.4617529058*((RANDBETWEEN(1587,2416)))</f>
        <v>74400980.422517598</v>
      </c>
      <c r="B194">
        <v>214226274.87565792</v>
      </c>
    </row>
    <row r="195" spans="1:2" x14ac:dyDescent="0.25">
      <c r="A195">
        <f ca="1">31707.5252166587*((RANDBETWEEN(1587,2416)))</f>
        <v>75939522.893897623</v>
      </c>
      <c r="B195">
        <v>217100966.82469454</v>
      </c>
    </row>
    <row r="196" spans="1:2" x14ac:dyDescent="0.25">
      <c r="A196">
        <f ca="1">32041.1593247311*((RANDBETWEEN(1587,2416)))</f>
        <v>63601701.259591229</v>
      </c>
      <c r="B196">
        <v>217801145.70954829</v>
      </c>
    </row>
    <row r="197" spans="1:2" x14ac:dyDescent="0.25">
      <c r="A197">
        <f ca="1">36050.9107579694*((RANDBETWEEN(1587,2416)))</f>
        <v>77581559.951150134</v>
      </c>
      <c r="B197">
        <v>248572833.95807344</v>
      </c>
    </row>
    <row r="198" spans="1:2" x14ac:dyDescent="0.25">
      <c r="A198">
        <f ca="1">33569.9771010012*((RANDBETWEEN(1587,2416)))</f>
        <v>63077986.972781315</v>
      </c>
      <c r="B198">
        <v>216261593.83792973</v>
      </c>
    </row>
    <row r="199" spans="1:2" x14ac:dyDescent="0.25">
      <c r="A199">
        <f ca="1">33349.2648046622*((RANDBETWEEN(1587,2416)))</f>
        <v>68099198.731120124</v>
      </c>
      <c r="B199">
        <v>261382981.29249802</v>
      </c>
    </row>
    <row r="200" spans="1:2" x14ac:dyDescent="0.25">
      <c r="A200">
        <f ca="1">31690.3715652863*((RANDBETWEEN(1587,2416)))</f>
        <v>70701218.962153763</v>
      </c>
      <c r="B200">
        <v>221687305.04473919</v>
      </c>
    </row>
    <row r="201" spans="1:2" x14ac:dyDescent="0.25">
      <c r="A201">
        <f ca="1">33251.9274607924*((RANDBETWEEN(1587,2416)))</f>
        <v>59321438.5900537</v>
      </c>
      <c r="B201">
        <v>231466720.31479681</v>
      </c>
    </row>
    <row r="202" spans="1:2" x14ac:dyDescent="0.25">
      <c r="A202">
        <f ca="1">39551.6650036363*((RANDBETWEEN(1587,2416)))</f>
        <v>63559525.660843521</v>
      </c>
      <c r="B202">
        <v>214280293.01071286</v>
      </c>
    </row>
    <row r="203" spans="1:2" x14ac:dyDescent="0.25">
      <c r="A203">
        <f ca="1">38515.6329181211*((RANDBETWEEN(1587,2416)))</f>
        <v>63820403.745326586</v>
      </c>
      <c r="B203">
        <v>204932956.0833897</v>
      </c>
    </row>
    <row r="204" spans="1:2" x14ac:dyDescent="0.25">
      <c r="A204">
        <f ca="1">31262.3041879888*((RANDBETWEEN(1587,2416)))</f>
        <v>50457358.959413975</v>
      </c>
      <c r="B204">
        <v>235934605.56576037</v>
      </c>
    </row>
    <row r="205" spans="1:2" x14ac:dyDescent="0.25">
      <c r="A205">
        <f ca="1">36448.7601940081*((RANDBETWEEN(1587,2416)))</f>
        <v>79494745.983131573</v>
      </c>
      <c r="B205">
        <v>209106510.682421</v>
      </c>
    </row>
    <row r="206" spans="1:2" x14ac:dyDescent="0.25">
      <c r="A206">
        <f ca="1">31730.7623012817*((RANDBETWEEN(1587,2416)))</f>
        <v>74852868.268723533</v>
      </c>
      <c r="B206">
        <v>261687477.00885627</v>
      </c>
    </row>
    <row r="207" spans="1:2" x14ac:dyDescent="0.25">
      <c r="A207">
        <f ca="1">31112.0082748423*((RANDBETWEEN(1587,2416)))</f>
        <v>57837223.382931754</v>
      </c>
      <c r="B207">
        <v>232973449.31568834</v>
      </c>
    </row>
    <row r="208" spans="1:2" x14ac:dyDescent="0.25">
      <c r="A208">
        <f ca="1">40142.7431224279*((RANDBETWEEN(1587,2416)))</f>
        <v>76391640.161980271</v>
      </c>
      <c r="B208">
        <v>258466574.97449657</v>
      </c>
    </row>
    <row r="209" spans="1:2" x14ac:dyDescent="0.25">
      <c r="A209">
        <f ca="1">31403.9261784568*((RANDBETWEEN(1587,2416)))</f>
        <v>53512290.208090335</v>
      </c>
      <c r="B209">
        <v>231769903.01454169</v>
      </c>
    </row>
    <row r="210" spans="1:2" x14ac:dyDescent="0.25">
      <c r="A210">
        <f ca="1">35159.7692641155*((RANDBETWEEN(1587,2416)))</f>
        <v>82273860.078030258</v>
      </c>
      <c r="B210">
        <v>215358086.54386234</v>
      </c>
    </row>
    <row r="211" spans="1:2" x14ac:dyDescent="0.25">
      <c r="A211">
        <f ca="1">34207.4039944987*((RANDBETWEEN(1587,2416)))</f>
        <v>67970111.737068877</v>
      </c>
      <c r="B211">
        <v>264012256.67163545</v>
      </c>
    </row>
    <row r="212" spans="1:2" x14ac:dyDescent="0.25">
      <c r="A212">
        <f ca="1">29324.710827393*((RANDBETWEEN(1587,2416)))</f>
        <v>58209550.992375098</v>
      </c>
      <c r="B212">
        <v>222239149.09514725</v>
      </c>
    </row>
    <row r="213" spans="1:2" x14ac:dyDescent="0.25">
      <c r="A213">
        <f ca="1">40039.8074176518*((RANDBETWEEN(1587,2416)))</f>
        <v>69629225.09929657</v>
      </c>
      <c r="B213">
        <v>214537367.07091898</v>
      </c>
    </row>
    <row r="214" spans="1:2" x14ac:dyDescent="0.25">
      <c r="A214">
        <f ca="1">33111.9962830861*((RANDBETWEEN(1587,2416)))</f>
        <v>61488977.097690843</v>
      </c>
      <c r="B214">
        <v>248725620.52755195</v>
      </c>
    </row>
    <row r="215" spans="1:2" x14ac:dyDescent="0.25">
      <c r="A215">
        <f ca="1">31524.2730570443*((RANDBETWEEN(1587,2416)))</f>
        <v>73829847.499597773</v>
      </c>
      <c r="B215">
        <v>249000172.17583752</v>
      </c>
    </row>
    <row r="216" spans="1:2" x14ac:dyDescent="0.25">
      <c r="A216">
        <f ca="1">31499.3601144358*((RANDBETWEEN(1587,2416)))</f>
        <v>73488007.14697881</v>
      </c>
      <c r="B216">
        <v>218913479.19865206</v>
      </c>
    </row>
    <row r="217" spans="1:2" x14ac:dyDescent="0.25">
      <c r="A217">
        <f ca="1">29252.0955196078*((RANDBETWEEN(1587,2416)))</f>
        <v>52449007.266656771</v>
      </c>
      <c r="B217">
        <v>211228527.88930529</v>
      </c>
    </row>
    <row r="218" spans="1:2" x14ac:dyDescent="0.25">
      <c r="A218">
        <f ca="1">31544.6418615961*((RANDBETWEEN(1587,2416)))</f>
        <v>69177399.602480218</v>
      </c>
      <c r="B218">
        <v>211535841.23297945</v>
      </c>
    </row>
    <row r="219" spans="1:2" x14ac:dyDescent="0.25">
      <c r="A219">
        <f ca="1">38542.8031016688*((RANDBETWEEN(1587,2416)))</f>
        <v>73038611.877662465</v>
      </c>
      <c r="B219">
        <v>266137680.14114141</v>
      </c>
    </row>
    <row r="220" spans="1:2" x14ac:dyDescent="0.25">
      <c r="A220">
        <f ca="1">30647.4678165593*((RANDBETWEEN(1587,2416)))</f>
        <v>57586592.027314849</v>
      </c>
      <c r="B220">
        <v>206447126.966066</v>
      </c>
    </row>
    <row r="221" spans="1:2" x14ac:dyDescent="0.25">
      <c r="A221">
        <f ca="1">40513.1434713458*((RANDBETWEEN(1587,2416)))</f>
        <v>96664360.32263118</v>
      </c>
      <c r="B221">
        <v>263789220.55206507</v>
      </c>
    </row>
    <row r="222" spans="1:2" x14ac:dyDescent="0.25">
      <c r="A222">
        <f ca="1">32340.3910238161*((RANDBETWEEN(1587,2416)))</f>
        <v>55302068.650725566</v>
      </c>
      <c r="B222">
        <v>261965208.86221734</v>
      </c>
    </row>
    <row r="223" spans="1:2" x14ac:dyDescent="0.25">
      <c r="A223">
        <f ca="1">31924.5390917846*((RANDBETWEEN(1587,2416)))</f>
        <v>68446211.812786251</v>
      </c>
      <c r="B223">
        <v>240499901.5137338</v>
      </c>
    </row>
    <row r="224" spans="1:2" x14ac:dyDescent="0.25">
      <c r="A224">
        <f ca="1">35045.6830395238*((RANDBETWEEN(1587,2416)))</f>
        <v>57054371.988344796</v>
      </c>
      <c r="B224">
        <v>224760756.33564293</v>
      </c>
    </row>
    <row r="225" spans="1:2" x14ac:dyDescent="0.25">
      <c r="A225">
        <f ca="1">32095.2371435193*((RANDBETWEEN(1587,2416)))</f>
        <v>67175331.341385946</v>
      </c>
      <c r="B225">
        <v>244987624.73728496</v>
      </c>
    </row>
    <row r="226" spans="1:2" x14ac:dyDescent="0.25">
      <c r="A226">
        <f ca="1">28647.7387324536*((RANDBETWEEN(1587,2416)))</f>
        <v>66147628.733235285</v>
      </c>
      <c r="B226">
        <v>209481085.0383099</v>
      </c>
    </row>
    <row r="227" spans="1:2" x14ac:dyDescent="0.25">
      <c r="A227">
        <f ca="1">33124.6028001217*((RANDBETWEEN(1587,2416)))</f>
        <v>69727288.894256189</v>
      </c>
      <c r="B227">
        <v>204382452.11858094</v>
      </c>
    </row>
    <row r="228" spans="1:2" x14ac:dyDescent="0.25">
      <c r="A228">
        <f ca="1">31052.665093482*((RANDBETWEEN(1587,2416)))</f>
        <v>71607445.705569521</v>
      </c>
      <c r="B228">
        <v>245569150.35434893</v>
      </c>
    </row>
    <row r="229" spans="1:2" x14ac:dyDescent="0.25">
      <c r="A229">
        <f ca="1">38520.3723352012*((RANDBETWEEN(1587,2416)))</f>
        <v>72071616.639161423</v>
      </c>
      <c r="B229">
        <v>242987151.05520242</v>
      </c>
    </row>
    <row r="230" spans="1:2" x14ac:dyDescent="0.25">
      <c r="A230">
        <f ca="1">34035.1707016375*((RANDBETWEEN(1587,2416)))</f>
        <v>80084756.66095306</v>
      </c>
      <c r="B230">
        <v>232959260.4405973</v>
      </c>
    </row>
    <row r="231" spans="1:2" x14ac:dyDescent="0.25">
      <c r="A231">
        <f ca="1">32577.9200363078*((RANDBETWEEN(1587,2416)))</f>
        <v>66784736.074431062</v>
      </c>
      <c r="B231">
        <v>260971383.99919087</v>
      </c>
    </row>
    <row r="232" spans="1:2" x14ac:dyDescent="0.25">
      <c r="A232">
        <f ca="1">31622.715089996*((RANDBETWEEN(1587,2416)))</f>
        <v>74060398.740770683</v>
      </c>
      <c r="B232">
        <v>222670227.22131139</v>
      </c>
    </row>
    <row r="233" spans="1:2" x14ac:dyDescent="0.25">
      <c r="A233">
        <f ca="1">30024.7620190791*((RANDBETWEEN(1587,2416)))</f>
        <v>70978537.413103089</v>
      </c>
      <c r="B233">
        <v>232655706.61062574</v>
      </c>
    </row>
    <row r="234" spans="1:2" x14ac:dyDescent="0.25">
      <c r="A234">
        <f ca="1">32290.3786368881*((RANDBETWEEN(1587,2416)))</f>
        <v>66485889.613352619</v>
      </c>
      <c r="B234">
        <v>222850817.53479666</v>
      </c>
    </row>
    <row r="235" spans="1:2" x14ac:dyDescent="0.25">
      <c r="A235">
        <f ca="1">34531.0331673618*((RANDBETWEEN(1587,2416)))</f>
        <v>77142328.09588635</v>
      </c>
      <c r="B235">
        <v>237066320.02463681</v>
      </c>
    </row>
    <row r="236" spans="1:2" x14ac:dyDescent="0.25">
      <c r="A236">
        <f ca="1">31426.3451987136*((RANDBETWEEN(1587,2416)))</f>
        <v>53550492.218607925</v>
      </c>
      <c r="B236">
        <v>253084448.17433694</v>
      </c>
    </row>
    <row r="237" spans="1:2" x14ac:dyDescent="0.25">
      <c r="A237">
        <f ca="1">39028.1854645779*((RANDBETWEEN(1587,2416)))</f>
        <v>81920161.290149093</v>
      </c>
      <c r="B237">
        <v>234652008.42006323</v>
      </c>
    </row>
    <row r="238" spans="1:2" x14ac:dyDescent="0.25">
      <c r="A238">
        <f ca="1">31122.3340163764*((RANDBETWEEN(1587,2416)))</f>
        <v>51165117.122922815</v>
      </c>
      <c r="B238">
        <v>260377462.88124102</v>
      </c>
    </row>
    <row r="239" spans="1:2" x14ac:dyDescent="0.25">
      <c r="A239">
        <f ca="1">33368.2062957505*((RANDBETWEEN(1587,2416)))</f>
        <v>61297394.965293594</v>
      </c>
      <c r="B239">
        <v>256081371.07426167</v>
      </c>
    </row>
    <row r="240" spans="1:2" x14ac:dyDescent="0.25">
      <c r="A240">
        <f ca="1">37909.4222295904*((RANDBETWEEN(1587,2416)))</f>
        <v>74567833.525604367</v>
      </c>
      <c r="B240">
        <v>227191089.10981488</v>
      </c>
    </row>
    <row r="241" spans="1:2" x14ac:dyDescent="0.25">
      <c r="A241">
        <f ca="1">41003.0004451712*((RANDBETWEEN(1587,2416)))</f>
        <v>93363832.013654798</v>
      </c>
      <c r="B241">
        <v>252694014.98593962</v>
      </c>
    </row>
    <row r="242" spans="1:2" x14ac:dyDescent="0.25">
      <c r="A242">
        <f ca="1">33233.6619221546*((RANDBETWEEN(1587,2416)))</f>
        <v>56031954.000752665</v>
      </c>
      <c r="B242">
        <v>248921702.70471406</v>
      </c>
    </row>
    <row r="243" spans="1:2" x14ac:dyDescent="0.25">
      <c r="A243">
        <f ca="1">30241.5556484459*((RANDBETWEEN(1587,2416)))</f>
        <v>51077987.490225136</v>
      </c>
      <c r="B243">
        <v>213817400.49926224</v>
      </c>
    </row>
    <row r="244" spans="1:2" x14ac:dyDescent="0.25">
      <c r="A244">
        <f ca="1">36044.4537823057*((RANDBETWEEN(1587,2416)))</f>
        <v>60518637.900491275</v>
      </c>
      <c r="B244">
        <v>266055225.31931728</v>
      </c>
    </row>
    <row r="245" spans="1:2" x14ac:dyDescent="0.25">
      <c r="A245">
        <f ca="1">32017.4737639784*((RANDBETWEEN(1587,2416)))</f>
        <v>51676202.655061081</v>
      </c>
      <c r="B245">
        <v>229134687.08985573</v>
      </c>
    </row>
    <row r="246" spans="1:2" x14ac:dyDescent="0.25">
      <c r="A246">
        <f ca="1">32104.3189454323*((RANDBETWEEN(1587,2416)))</f>
        <v>55797306.32716129</v>
      </c>
      <c r="B246">
        <v>239301311.86778516</v>
      </c>
    </row>
    <row r="247" spans="1:2" x14ac:dyDescent="0.25">
      <c r="A247">
        <f ca="1">35960.9035778367*((RANDBETWEEN(1587,2416)))</f>
        <v>82889882.746913537</v>
      </c>
      <c r="B247">
        <v>205616820.48202711</v>
      </c>
    </row>
    <row r="248" spans="1:2" x14ac:dyDescent="0.25">
      <c r="A248">
        <f ca="1">40637.7647935465*((RANDBETWEEN(1587,2416)))</f>
        <v>91109868.667131156</v>
      </c>
      <c r="B248">
        <v>243424021.53323591</v>
      </c>
    </row>
    <row r="249" spans="1:2" x14ac:dyDescent="0.25">
      <c r="A249">
        <f ca="1">40158.384160715*((RANDBETWEEN(1587,2416)))</f>
        <v>74132377.160679847</v>
      </c>
      <c r="B249">
        <v>212291539.4232322</v>
      </c>
    </row>
    <row r="250" spans="1:2" x14ac:dyDescent="0.25">
      <c r="A250">
        <f ca="1">31483.5496433392*((RANDBETWEEN(1587,2416)))</f>
        <v>62715230.889531597</v>
      </c>
      <c r="B250">
        <v>214719443.98182911</v>
      </c>
    </row>
    <row r="251" spans="1:2" x14ac:dyDescent="0.25">
      <c r="A251">
        <f ca="1">38205.9284220592*((RANDBETWEEN(1587,2416)))</f>
        <v>77290593.19782573</v>
      </c>
      <c r="B251">
        <v>228843886.59054258</v>
      </c>
    </row>
    <row r="252" spans="1:2" x14ac:dyDescent="0.25">
      <c r="A252">
        <f ca="1">32257.4813203544*((RANDBETWEEN(1587,2416)))</f>
        <v>69611644.689324766</v>
      </c>
      <c r="B252">
        <v>222377402.70980498</v>
      </c>
    </row>
    <row r="253" spans="1:2" x14ac:dyDescent="0.25">
      <c r="A253">
        <f ca="1">33340.5647200358*((RANDBETWEEN(1587,2416)))</f>
        <v>63313732.403348036</v>
      </c>
      <c r="B253">
        <v>258253371.38003695</v>
      </c>
    </row>
    <row r="254" spans="1:2" x14ac:dyDescent="0.25">
      <c r="A254">
        <f ca="1">34493.7044311579*((RANDBETWEEN(1587,2416)))</f>
        <v>72712728.940880746</v>
      </c>
      <c r="B254">
        <v>223215067.22632983</v>
      </c>
    </row>
    <row r="255" spans="1:2" x14ac:dyDescent="0.25">
      <c r="A255">
        <f ca="1">28170.2431021355*((RANDBETWEEN(1587,2416)))</f>
        <v>52875546.302708372</v>
      </c>
      <c r="B255">
        <v>206212825.50878158</v>
      </c>
    </row>
    <row r="256" spans="1:2" x14ac:dyDescent="0.25">
      <c r="A256">
        <f ca="1">32414.870665741*((RANDBETWEEN(1587,2416)))</f>
        <v>78022593.692438558</v>
      </c>
      <c r="B256">
        <v>252708743.6601516</v>
      </c>
    </row>
    <row r="257" spans="1:2" x14ac:dyDescent="0.25">
      <c r="A257">
        <f ca="1">40196.3221425615*((RANDBETWEEN(1587,2416)))</f>
        <v>71710238.702329636</v>
      </c>
      <c r="B257">
        <v>215429209.71964929</v>
      </c>
    </row>
    <row r="258" spans="1:2" x14ac:dyDescent="0.25">
      <c r="A258">
        <f ca="1">39102.3660182694*((RANDBETWEEN(1587,2416)))</f>
        <v>75584873.513314798</v>
      </c>
      <c r="B258">
        <v>241570693.14974597</v>
      </c>
    </row>
    <row r="259" spans="1:2" x14ac:dyDescent="0.25">
      <c r="A259">
        <f ca="1">39104.9078672333*((RANDBETWEEN(1587,2416)))</f>
        <v>73126177.711726263</v>
      </c>
      <c r="B259">
        <v>220669925.49145371</v>
      </c>
    </row>
    <row r="260" spans="1:2" x14ac:dyDescent="0.25">
      <c r="A260">
        <f ca="1">42325.6140498637*((RANDBETWEEN(1587,2416)))</f>
        <v>97391237.928736329</v>
      </c>
      <c r="B260">
        <v>229000142.6001969</v>
      </c>
    </row>
    <row r="261" spans="1:2" x14ac:dyDescent="0.25">
      <c r="A261">
        <f ca="1">34936.5245367564*((RANDBETWEEN(1587,2416)))</f>
        <v>57121217.617596649</v>
      </c>
      <c r="B261">
        <v>247776422.14330128</v>
      </c>
    </row>
    <row r="262" spans="1:2" x14ac:dyDescent="0.25">
      <c r="A262">
        <f ca="1">36735.074152576*((RANDBETWEEN(1587,2416)))</f>
        <v>76519159.459815785</v>
      </c>
      <c r="B262">
        <v>249284744.19494525</v>
      </c>
    </row>
    <row r="263" spans="1:2" x14ac:dyDescent="0.25">
      <c r="A263">
        <f ca="1">31752.9722827688*((RANDBETWEEN(1587,2416)))</f>
        <v>55377183.661148749</v>
      </c>
      <c r="B263">
        <v>209450352.96424228</v>
      </c>
    </row>
    <row r="264" spans="1:2" x14ac:dyDescent="0.25">
      <c r="A264">
        <f ca="1">31708.1049648736*((RANDBETWEEN(1587,2416)))</f>
        <v>72326187.424876764</v>
      </c>
      <c r="B264">
        <v>264506593.48172426</v>
      </c>
    </row>
    <row r="265" spans="1:2" x14ac:dyDescent="0.25">
      <c r="A265">
        <f ca="1">38429.499109566*((RANDBETWEEN(1587,2416)))</f>
        <v>65407007.48448132</v>
      </c>
      <c r="B265">
        <v>239661936.34473208</v>
      </c>
    </row>
    <row r="266" spans="1:2" x14ac:dyDescent="0.25">
      <c r="A266">
        <f ca="1">34919.6748461483*((RANDBETWEEN(1587,2416)))</f>
        <v>81153324.342448741</v>
      </c>
      <c r="B266">
        <v>242486947.25171119</v>
      </c>
    </row>
    <row r="267" spans="1:2" x14ac:dyDescent="0.25">
      <c r="A267">
        <f ca="1">32484.2658481122*((RANDBETWEEN(1587,2416)))</f>
        <v>58666584.121690705</v>
      </c>
      <c r="B267">
        <v>227071167.98282757</v>
      </c>
    </row>
    <row r="268" spans="1:2" x14ac:dyDescent="0.25">
      <c r="A268">
        <f ca="1">32684.2223880137*((RANDBETWEEN(1587,2416)))</f>
        <v>55203651.613355167</v>
      </c>
      <c r="B268">
        <v>260607874.61530018</v>
      </c>
    </row>
    <row r="269" spans="1:2" x14ac:dyDescent="0.25">
      <c r="A269">
        <f ca="1">27096.1695775174*((RANDBETWEEN(1587,2416)))</f>
        <v>62944401.928572811</v>
      </c>
      <c r="B269">
        <v>257760945.84992921</v>
      </c>
    </row>
    <row r="270" spans="1:2" x14ac:dyDescent="0.25">
      <c r="A270">
        <f ca="1">34202.3804773665*((RANDBETWEEN(1587,2416)))</f>
        <v>57596808.723885231</v>
      </c>
      <c r="B270">
        <v>223355571.70021236</v>
      </c>
    </row>
    <row r="271" spans="1:2" x14ac:dyDescent="0.25">
      <c r="A271">
        <f ca="1">32938.3969712249*((RANDBETWEEN(1587,2416)))</f>
        <v>61199541.572535798</v>
      </c>
      <c r="B271">
        <v>231390384.22320083</v>
      </c>
    </row>
    <row r="272" spans="1:2" x14ac:dyDescent="0.25">
      <c r="A272">
        <f ca="1">31527.6554504765*((RANDBETWEEN(1587,2416)))</f>
        <v>64600166.018026344</v>
      </c>
      <c r="B272">
        <v>252332171.55560935</v>
      </c>
    </row>
    <row r="273" spans="1:2" x14ac:dyDescent="0.25">
      <c r="A273">
        <f ca="1">29843.1057946154*((RANDBETWEEN(1587,2416)))</f>
        <v>55955823.364903845</v>
      </c>
      <c r="B273">
        <v>222156807.78821129</v>
      </c>
    </row>
    <row r="274" spans="1:2" x14ac:dyDescent="0.25">
      <c r="A274">
        <f ca="1">31560.2344613019*((RANDBETWEEN(1587,2416)))</f>
        <v>75334279.659127712</v>
      </c>
      <c r="B274">
        <v>227708505.66506201</v>
      </c>
    </row>
    <row r="275" spans="1:2" x14ac:dyDescent="0.25">
      <c r="A275">
        <f ca="1">31560.6446678751*((RANDBETWEEN(1587,2416)))</f>
        <v>54284308.828745157</v>
      </c>
      <c r="B275">
        <v>224405361.35634476</v>
      </c>
    </row>
    <row r="276" spans="1:2" x14ac:dyDescent="0.25">
      <c r="A276">
        <f ca="1">34582.7233115782*((RANDBETWEEN(1587,2416)))</f>
        <v>74214524.226646915</v>
      </c>
      <c r="B276">
        <v>260218879.60692358</v>
      </c>
    </row>
    <row r="277" spans="1:2" x14ac:dyDescent="0.25">
      <c r="A277">
        <f ca="1">40285.1521245933*((RANDBETWEEN(1587,2416)))</f>
        <v>93380982.624807343</v>
      </c>
      <c r="B277">
        <v>224257709.39412266</v>
      </c>
    </row>
    <row r="278" spans="1:2" x14ac:dyDescent="0.25">
      <c r="A278">
        <f ca="1">29392.4987917804*((RANDBETWEEN(1587,2416)))</f>
        <v>54052805.278084189</v>
      </c>
      <c r="B278">
        <v>220108400.60598475</v>
      </c>
    </row>
    <row r="279" spans="1:2" x14ac:dyDescent="0.25">
      <c r="A279">
        <f ca="1">38530.3336801648*((RANDBETWEEN(1587,2416)))</f>
        <v>78678941.374896437</v>
      </c>
      <c r="B279">
        <v>254731477.21904421</v>
      </c>
    </row>
    <row r="280" spans="1:2" x14ac:dyDescent="0.25">
      <c r="A280">
        <f ca="1">32091.2386111773*((RANDBETWEEN(1587,2416)))</f>
        <v>61390539.463182151</v>
      </c>
      <c r="B280">
        <v>210226703.50152999</v>
      </c>
    </row>
    <row r="281" spans="1:2" x14ac:dyDescent="0.25">
      <c r="A281">
        <f ca="1">34239.0651194211*((RANDBETWEEN(1587,2416)))</f>
        <v>73203121.225322291</v>
      </c>
      <c r="B281">
        <v>249776500.27240062</v>
      </c>
    </row>
    <row r="282" spans="1:2" x14ac:dyDescent="0.25">
      <c r="A282">
        <f ca="1">32616.1597685531*((RANDBETWEEN(1587,2416)))</f>
        <v>66536965.927848309</v>
      </c>
      <c r="B282">
        <v>233628137.62549478</v>
      </c>
    </row>
    <row r="283" spans="1:2" x14ac:dyDescent="0.25">
      <c r="A283">
        <f ca="1">32336.9751372098*((RANDBETWEEN(1587,2416)))</f>
        <v>70947323.451038212</v>
      </c>
      <c r="B283">
        <v>218090314.27176666</v>
      </c>
    </row>
    <row r="284" spans="1:2" x14ac:dyDescent="0.25">
      <c r="A284">
        <f ca="1">37579.4865568515*((RANDBETWEEN(1587,2416)))</f>
        <v>85530911.403393894</v>
      </c>
      <c r="B284">
        <v>209805265.79135948</v>
      </c>
    </row>
    <row r="285" spans="1:2" x14ac:dyDescent="0.25">
      <c r="A285">
        <f ca="1">36611.0642959921*((RANDBETWEEN(1587,2416)))</f>
        <v>65643638.282713868</v>
      </c>
      <c r="B285">
        <v>232628603.01988953</v>
      </c>
    </row>
    <row r="286" spans="1:2" x14ac:dyDescent="0.25">
      <c r="A286">
        <f ca="1">31848.3089492388*((RANDBETWEEN(1587,2416)))</f>
        <v>59206006.336634897</v>
      </c>
      <c r="B286">
        <v>258657892.94690868</v>
      </c>
    </row>
    <row r="287" spans="1:2" x14ac:dyDescent="0.25">
      <c r="A287">
        <f ca="1">39688.7294271167*((RANDBETWEEN(1587,2416)))</f>
        <v>78345551.889128312</v>
      </c>
      <c r="B287">
        <v>230585207.31830329</v>
      </c>
    </row>
    <row r="288" spans="1:2" x14ac:dyDescent="0.25">
      <c r="A288">
        <f ca="1">34945.5646868504*((RANDBETWEEN(1587,2416)))</f>
        <v>77509262.475434273</v>
      </c>
      <c r="B288">
        <v>237538240.24602562</v>
      </c>
    </row>
    <row r="289" spans="1:2" x14ac:dyDescent="0.25">
      <c r="A289">
        <f ca="1">29638.3766489594*((RANDBETWEEN(1587,2416)))</f>
        <v>68968502.462128535</v>
      </c>
      <c r="B289">
        <v>253696436.95006549</v>
      </c>
    </row>
    <row r="290" spans="1:2" x14ac:dyDescent="0.25">
      <c r="A290">
        <f ca="1">33877.8900104067*((RANDBETWEEN(1587,2416)))</f>
        <v>55763006.957129367</v>
      </c>
      <c r="B290">
        <v>260929958.11220902</v>
      </c>
    </row>
    <row r="291" spans="1:2" x14ac:dyDescent="0.25">
      <c r="A291">
        <f ca="1">29559.5439900197*((RANDBETWEEN(1587,2416)))</f>
        <v>54862513.645476609</v>
      </c>
      <c r="B291">
        <v>232290193.30168873</v>
      </c>
    </row>
    <row r="292" spans="1:2" x14ac:dyDescent="0.25">
      <c r="A292">
        <f ca="1">32138.274506391*((RANDBETWEEN(1587,2416)))</f>
        <v>71700490.423758239</v>
      </c>
      <c r="B292">
        <v>240942576.48979506</v>
      </c>
    </row>
    <row r="293" spans="1:2" x14ac:dyDescent="0.25">
      <c r="A293">
        <f ca="1">32209.1317366005*((RANDBETWEEN(1587,2416)))</f>
        <v>56398189.670787506</v>
      </c>
      <c r="B293">
        <v>213922109.61146772</v>
      </c>
    </row>
    <row r="294" spans="1:2" x14ac:dyDescent="0.25">
      <c r="A294">
        <f ca="1">28389.8714889093*((RANDBETWEEN(1587,2416)))</f>
        <v>61662800.873911045</v>
      </c>
      <c r="B294">
        <v>221830513.1566819</v>
      </c>
    </row>
    <row r="295" spans="1:2" x14ac:dyDescent="0.25">
      <c r="A295">
        <f ca="1">30674.4950298352*((RANDBETWEEN(1587,2416)))</f>
        <v>65643419.363847233</v>
      </c>
      <c r="B295">
        <v>221661021.90409857</v>
      </c>
    </row>
    <row r="296" spans="1:2" x14ac:dyDescent="0.25">
      <c r="A296">
        <f ca="1">35166.1161849566*((RANDBETWEEN(1587,2416)))</f>
        <v>68292597.631185755</v>
      </c>
      <c r="B296">
        <v>238083755.96245876</v>
      </c>
    </row>
    <row r="297" spans="1:2" x14ac:dyDescent="0.25">
      <c r="A297">
        <f ca="1">41015.1076709735*((RANDBETWEEN(1587,2416)))</f>
        <v>81989200.234276056</v>
      </c>
      <c r="B297">
        <v>234366063.61443847</v>
      </c>
    </row>
    <row r="298" spans="1:2" x14ac:dyDescent="0.25">
      <c r="A298">
        <f ca="1">30618.5551442034*((RANDBETWEEN(1587,2416)))</f>
        <v>64360202.913115568</v>
      </c>
      <c r="B298">
        <v>248682727.66273293</v>
      </c>
    </row>
    <row r="299" spans="1:2" x14ac:dyDescent="0.25">
      <c r="A299">
        <f ca="1">32312.3304546993*((RANDBETWEEN(1587,2416)))</f>
        <v>57742134.522547588</v>
      </c>
      <c r="B299">
        <v>256914301.92464179</v>
      </c>
    </row>
    <row r="300" spans="1:2" x14ac:dyDescent="0.25">
      <c r="A300">
        <f ca="1">41404.7632359072*((RANDBETWEEN(1587,2416)))</f>
        <v>84134478.89536345</v>
      </c>
      <c r="B300">
        <v>235325034.27676082</v>
      </c>
    </row>
    <row r="301" spans="1:2" x14ac:dyDescent="0.25">
      <c r="A301">
        <f ca="1">33232.2659488747*((RANDBETWEEN(1587,2416)))</f>
        <v>65201705.791692123</v>
      </c>
      <c r="B301">
        <v>219579375.98701358</v>
      </c>
    </row>
    <row r="302" spans="1:2" x14ac:dyDescent="0.25">
      <c r="A302">
        <f ca="1">32373.1419876211*((RANDBETWEEN(1587,2416)))</f>
        <v>67951225.03201668</v>
      </c>
      <c r="B302">
        <v>247801845.87096336</v>
      </c>
    </row>
    <row r="303" spans="1:2" x14ac:dyDescent="0.25">
      <c r="A303">
        <f ca="1">29264.8911802143*((RANDBETWEEN(1587,2416)))</f>
        <v>63036575.602181576</v>
      </c>
      <c r="B303">
        <v>261974134.21177262</v>
      </c>
    </row>
    <row r="304" spans="1:2" x14ac:dyDescent="0.25">
      <c r="A304">
        <f ca="1">30864.8043556661*((RANDBETWEEN(1587,2416)))</f>
        <v>56050484.709889621</v>
      </c>
      <c r="B304">
        <v>210232952.19865954</v>
      </c>
    </row>
    <row r="305" spans="1:2" x14ac:dyDescent="0.25">
      <c r="A305">
        <f ca="1">31886.0633664774*((RANDBETWEEN(1587,2416)))</f>
        <v>59435622.11511384</v>
      </c>
      <c r="B305">
        <v>229837364.58240151</v>
      </c>
    </row>
    <row r="306" spans="1:2" x14ac:dyDescent="0.25">
      <c r="A306">
        <f ca="1">32652.2166323026*((RANDBETWEEN(1587,2416)))</f>
        <v>69124742.610584661</v>
      </c>
      <c r="B306">
        <v>204483344.813609</v>
      </c>
    </row>
    <row r="307" spans="1:2" x14ac:dyDescent="0.25">
      <c r="A307">
        <f ca="1">28909.6389985786*((RANDBETWEEN(1587,2416)))</f>
        <v>46226512.758727185</v>
      </c>
      <c r="B307">
        <v>221576651.79162905</v>
      </c>
    </row>
    <row r="308" spans="1:2" x14ac:dyDescent="0.25">
      <c r="A308">
        <f ca="1">38466.4850874677*((RANDBETWEEN(1587,2416)))</f>
        <v>61623309.110123187</v>
      </c>
      <c r="B308">
        <v>227964679.41640818</v>
      </c>
    </row>
    <row r="309" spans="1:2" x14ac:dyDescent="0.25">
      <c r="A309">
        <f ca="1">29750.7534846689*((RANDBETWEEN(1587,2416)))</f>
        <v>54295125.109520689</v>
      </c>
      <c r="B309">
        <v>241868311.43883869</v>
      </c>
    </row>
    <row r="310" spans="1:2" x14ac:dyDescent="0.25">
      <c r="A310">
        <f ca="1">34166.8743780181*((RANDBETWEEN(1587,2416)))</f>
        <v>71989604.314484224</v>
      </c>
      <c r="B310">
        <v>249024789.85266954</v>
      </c>
    </row>
    <row r="311" spans="1:2" x14ac:dyDescent="0.25">
      <c r="A311">
        <f ca="1">28666.2773342808*((RANDBETWEEN(1587,2416)))</f>
        <v>49707324.897642978</v>
      </c>
      <c r="B311">
        <v>232177463.2549575</v>
      </c>
    </row>
    <row r="312" spans="1:2" x14ac:dyDescent="0.25">
      <c r="A312">
        <f ca="1">30534.803599458*((RANDBETWEEN(1587,2416)))</f>
        <v>51848096.511879668</v>
      </c>
      <c r="B312">
        <v>236045832.90446645</v>
      </c>
    </row>
    <row r="313" spans="1:2" x14ac:dyDescent="0.25">
      <c r="A313">
        <f ca="1">28324.7985405525*((RANDBETWEEN(1587,2416)))</f>
        <v>57782589.022727191</v>
      </c>
      <c r="B313">
        <v>242807540.24385789</v>
      </c>
    </row>
    <row r="314" spans="1:2" x14ac:dyDescent="0.25">
      <c r="A314">
        <f ca="1">31212.0225683886*((RANDBETWEEN(1587,2416)))</f>
        <v>64203130.423175305</v>
      </c>
      <c r="B314">
        <v>211023147.26020098</v>
      </c>
    </row>
    <row r="315" spans="1:2" x14ac:dyDescent="0.25">
      <c r="A315">
        <f ca="1">31948.2345222715*((RANDBETWEEN(1587,2416)))</f>
        <v>66005052.523012988</v>
      </c>
      <c r="B315">
        <v>259678408.04401916</v>
      </c>
    </row>
    <row r="316" spans="1:2" x14ac:dyDescent="0.25">
      <c r="A316">
        <f ca="1">37867.6627562957*((RANDBETWEEN(1587,2416)))</f>
        <v>74902236.931952983</v>
      </c>
      <c r="B316">
        <v>249310456.21278647</v>
      </c>
    </row>
    <row r="317" spans="1:2" x14ac:dyDescent="0.25">
      <c r="A317">
        <f ca="1">31298.5632674642*((RANDBETWEEN(1587,2416)))</f>
        <v>63723874.812557168</v>
      </c>
      <c r="B317">
        <v>210534387.40891311</v>
      </c>
    </row>
    <row r="318" spans="1:2" x14ac:dyDescent="0.25">
      <c r="A318">
        <f ca="1">36468.2100511637*((RANDBETWEEN(1587,2416)))</f>
        <v>82564027.555834845</v>
      </c>
      <c r="B318">
        <v>258869747.14707476</v>
      </c>
    </row>
    <row r="319" spans="1:2" x14ac:dyDescent="0.25">
      <c r="A319">
        <f ca="1">31645.8541395571*((RANDBETWEEN(1587,2416)))</f>
        <v>65253751.235766634</v>
      </c>
      <c r="B319">
        <v>266427622.61346185</v>
      </c>
    </row>
    <row r="320" spans="1:2" x14ac:dyDescent="0.25">
      <c r="A320">
        <f ca="1">37611.2093587306*((RANDBETWEEN(1587,2416)))</f>
        <v>70144905.454032615</v>
      </c>
      <c r="B320">
        <v>228133026.7939027</v>
      </c>
    </row>
    <row r="321" spans="1:2" x14ac:dyDescent="0.25">
      <c r="A321">
        <f ca="1">31917.3320615817*((RANDBETWEEN(1587,2416)))</f>
        <v>73282194.413391501</v>
      </c>
      <c r="B321">
        <v>243888900.03348675</v>
      </c>
    </row>
    <row r="322" spans="1:2" x14ac:dyDescent="0.25">
      <c r="A322">
        <f ca="1">37865.7266531809*((RANDBETWEEN(1587,2416)))</f>
        <v>62667777.611014463</v>
      </c>
      <c r="B322">
        <v>252554242.39993334</v>
      </c>
    </row>
    <row r="323" spans="1:2" x14ac:dyDescent="0.25">
      <c r="A323">
        <f ca="1">35570.4366069298*((RANDBETWEEN(1587,2416)))</f>
        <v>83590526.026284993</v>
      </c>
      <c r="B323">
        <v>225077777.32743448</v>
      </c>
    </row>
    <row r="324" spans="1:2" x14ac:dyDescent="0.25">
      <c r="A324">
        <f ca="1">32468.3020335763*((RANDBETWEEN(1587,2416)))</f>
        <v>66722360.67899929</v>
      </c>
      <c r="B324">
        <v>256746635.67445475</v>
      </c>
    </row>
    <row r="325" spans="1:2" x14ac:dyDescent="0.25">
      <c r="A325">
        <f ca="1">38861.8285477254*((RANDBETWEEN(1587,2416)))</f>
        <v>79122682.923168898</v>
      </c>
      <c r="B325">
        <v>251658775.39561224</v>
      </c>
    </row>
    <row r="326" spans="1:2" x14ac:dyDescent="0.25">
      <c r="A326">
        <f ca="1">30856.3524209135*((RANDBETWEEN(1587,2416)))</f>
        <v>61404141.317617826</v>
      </c>
      <c r="B326">
        <v>250866458.06080976</v>
      </c>
    </row>
    <row r="327" spans="1:2" x14ac:dyDescent="0.25">
      <c r="A327">
        <f ca="1">30922.4966159401*((RANDBETWEEN(1587,2416)))</f>
        <v>64504327.940850958</v>
      </c>
      <c r="B327">
        <v>209600223.72195965</v>
      </c>
    </row>
    <row r="328" spans="1:2" x14ac:dyDescent="0.25">
      <c r="A328">
        <f ca="1">37815.9924840668*((RANDBETWEEN(1587,2416)))</f>
        <v>66442698.79450535</v>
      </c>
      <c r="B328">
        <v>254998685.83728719</v>
      </c>
    </row>
    <row r="329" spans="1:2" x14ac:dyDescent="0.25">
      <c r="A329">
        <f ca="1">38948.2886438641*((RANDBETWEEN(1587,2416)))</f>
        <v>92852720.126971945</v>
      </c>
      <c r="B329">
        <v>215964414.70425978</v>
      </c>
    </row>
    <row r="330" spans="1:2" x14ac:dyDescent="0.25">
      <c r="A330">
        <f ca="1">31850.452783532*((RANDBETWEEN(1587,2416)))</f>
        <v>53508760.676333837</v>
      </c>
      <c r="B330">
        <v>234629132.02030247</v>
      </c>
    </row>
    <row r="331" spans="1:2" x14ac:dyDescent="0.25">
      <c r="A331">
        <f ca="1">32373.8447506027*((RANDBETWEEN(1587,2416)))</f>
        <v>65686530.998972841</v>
      </c>
      <c r="B331">
        <v>215402833.22010994</v>
      </c>
    </row>
    <row r="332" spans="1:2" x14ac:dyDescent="0.25">
      <c r="A332">
        <f ca="1">34037.6479126243*((RANDBETWEEN(1587,2416)))</f>
        <v>76516632.507579327</v>
      </c>
      <c r="B332">
        <v>218733909.11729506</v>
      </c>
    </row>
    <row r="333" spans="1:2" x14ac:dyDescent="0.25">
      <c r="A333">
        <f ca="1">31251.9627149248*((RANDBETWEEN(1587,2416)))</f>
        <v>58909949.717633225</v>
      </c>
      <c r="B333">
        <v>211764061.29237047</v>
      </c>
    </row>
    <row r="334" spans="1:2" x14ac:dyDescent="0.25">
      <c r="A334">
        <f ca="1">31841.2934914339*((RANDBETWEEN(1587,2416)))</f>
        <v>53366007.891643241</v>
      </c>
      <c r="B334">
        <v>244659765.26217383</v>
      </c>
    </row>
    <row r="335" spans="1:2" x14ac:dyDescent="0.25">
      <c r="A335">
        <f ca="1">39708.4776210106*((RANDBETWEEN(1587,2416)))</f>
        <v>70403130.822051838</v>
      </c>
      <c r="B335">
        <v>267673701.01433593</v>
      </c>
    </row>
    <row r="336" spans="1:2" x14ac:dyDescent="0.25">
      <c r="A336">
        <f ca="1">33287.0757879431*((RANDBETWEEN(1587,2416)))</f>
        <v>79789120.663699567</v>
      </c>
      <c r="B336">
        <v>263829555.40978667</v>
      </c>
    </row>
    <row r="337" spans="1:2" x14ac:dyDescent="0.25">
      <c r="A337">
        <f ca="1">35657.8241013149*((RANDBETWEEN(1587,2416)))</f>
        <v>85614435.667257115</v>
      </c>
      <c r="B337">
        <v>249411502.12340048</v>
      </c>
    </row>
    <row r="338" spans="1:2" x14ac:dyDescent="0.25">
      <c r="A338">
        <f ca="1">29528.0836603025*((RANDBETWEEN(1587,2416)))</f>
        <v>48987090.7924418</v>
      </c>
      <c r="B338">
        <v>222163421.26704806</v>
      </c>
    </row>
    <row r="339" spans="1:2" x14ac:dyDescent="0.25">
      <c r="A339">
        <f ca="1">31776.8355930153*((RANDBETWEEN(1587,2416)))</f>
        <v>57706733.436915718</v>
      </c>
      <c r="B339">
        <v>235636613.51854625</v>
      </c>
    </row>
    <row r="340" spans="1:2" x14ac:dyDescent="0.25">
      <c r="A340">
        <f ca="1">37306.9202001503*((RANDBETWEEN(1587,2416)))</f>
        <v>89312766.959159836</v>
      </c>
      <c r="B340">
        <v>206028721.70240673</v>
      </c>
    </row>
    <row r="341" spans="1:2" x14ac:dyDescent="0.25">
      <c r="A341">
        <f ca="1">37578.2721448031*((RANDBETWEEN(1587,2416)))</f>
        <v>89285974.616052195</v>
      </c>
      <c r="B341">
        <v>243307150.31314105</v>
      </c>
    </row>
    <row r="342" spans="1:2" x14ac:dyDescent="0.25">
      <c r="A342">
        <f ca="1">32947.5720392701*((RANDBETWEEN(1587,2416)))</f>
        <v>55549606.458209433</v>
      </c>
      <c r="B342">
        <v>238113703.89812291</v>
      </c>
    </row>
    <row r="343" spans="1:2" x14ac:dyDescent="0.25">
      <c r="A343">
        <f ca="1">31939.5448403755*((RANDBETWEEN(1587,2416)))</f>
        <v>67328560.523511618</v>
      </c>
      <c r="B343">
        <v>220540521.09417537</v>
      </c>
    </row>
    <row r="344" spans="1:2" x14ac:dyDescent="0.25">
      <c r="A344">
        <f ca="1">31216.2892459447*((RANDBETWEEN(1587,2416)))</f>
        <v>51288363.231087171</v>
      </c>
      <c r="B344">
        <v>236112289.50167564</v>
      </c>
    </row>
    <row r="345" spans="1:2" x14ac:dyDescent="0.25">
      <c r="A345">
        <f ca="1">29087.9068178002*((RANDBETWEEN(1587,2416)))</f>
        <v>62975318.260537378</v>
      </c>
      <c r="B345">
        <v>209281701.48287249</v>
      </c>
    </row>
    <row r="346" spans="1:2" x14ac:dyDescent="0.25">
      <c r="A346">
        <f ca="1">38497.7073271509*((RANDBETWEEN(1587,2416)))</f>
        <v>66177558.895372324</v>
      </c>
      <c r="B346">
        <v>237420214.29142156</v>
      </c>
    </row>
    <row r="347" spans="1:2" x14ac:dyDescent="0.25">
      <c r="A347">
        <f ca="1">41129.8869763711*((RANDBETWEEN(1587,2416)))</f>
        <v>76254810.454192042</v>
      </c>
      <c r="B347">
        <v>217419776.16684616</v>
      </c>
    </row>
    <row r="348" spans="1:2" x14ac:dyDescent="0.25">
      <c r="A348">
        <f ca="1">38809.3890513062*((RANDBETWEEN(1587,2416)))</f>
        <v>75561880.482893229</v>
      </c>
      <c r="B348">
        <v>267476280.44598436</v>
      </c>
    </row>
    <row r="349" spans="1:2" x14ac:dyDescent="0.25">
      <c r="A349">
        <f ca="1">28293.4807884612*((RANDBETWEEN(1587,2416)))</f>
        <v>47108645.512787983</v>
      </c>
      <c r="B349">
        <v>255893416.71522048</v>
      </c>
    </row>
    <row r="350" spans="1:2" x14ac:dyDescent="0.25">
      <c r="A350">
        <f ca="1">33183.9840827678*((RANDBETWEEN(1587,2416)))</f>
        <v>70814622.03262642</v>
      </c>
      <c r="B350">
        <v>212912355.44384554</v>
      </c>
    </row>
    <row r="351" spans="1:2" x14ac:dyDescent="0.25">
      <c r="A351">
        <f ca="1">34169.7798721565*((RANDBETWEEN(1587,2416)))</f>
        <v>71654028.391912282</v>
      </c>
      <c r="B351">
        <v>228053806.18269116</v>
      </c>
    </row>
    <row r="352" spans="1:2" x14ac:dyDescent="0.25">
      <c r="A352">
        <f ca="1">34693.54391602*((RANDBETWEEN(1587,2416)))</f>
        <v>71919716.537909612</v>
      </c>
      <c r="B352">
        <v>253278354.70457488</v>
      </c>
    </row>
    <row r="353" spans="1:2" x14ac:dyDescent="0.25">
      <c r="A353">
        <f ca="1">29970.7318579144*((RANDBETWEEN(1587,2416)))</f>
        <v>60960468.598997846</v>
      </c>
      <c r="B353">
        <v>259680583.12254629</v>
      </c>
    </row>
    <row r="354" spans="1:2" x14ac:dyDescent="0.25">
      <c r="A354">
        <f ca="1">38778.7689440947*((RANDBETWEEN(1587,2416)))</f>
        <v>68948651.182600424</v>
      </c>
      <c r="B354">
        <v>212027764.44993576</v>
      </c>
    </row>
    <row r="355" spans="1:2" x14ac:dyDescent="0.25">
      <c r="A355">
        <f ca="1">31469.2701254093*((RANDBETWEEN(1587,2416)))</f>
        <v>58816065.864389911</v>
      </c>
      <c r="B355">
        <v>265763113.04883343</v>
      </c>
    </row>
    <row r="356" spans="1:2" x14ac:dyDescent="0.25">
      <c r="A356">
        <f ca="1">33345.9284709034*((RANDBETWEEN(1587,2416)))</f>
        <v>76328830.269897997</v>
      </c>
      <c r="B356">
        <v>247347578.19627953</v>
      </c>
    </row>
    <row r="357" spans="1:2" x14ac:dyDescent="0.25">
      <c r="A357">
        <f ca="1">34917.3015629359*((RANDBETWEEN(1587,2416)))</f>
        <v>83347598.830728039</v>
      </c>
      <c r="B357">
        <v>257893158.47775126</v>
      </c>
    </row>
    <row r="358" spans="1:2" x14ac:dyDescent="0.25">
      <c r="A358">
        <f ca="1">38838.2203277661*((RANDBETWEEN(1587,2416)))</f>
        <v>62646049.388686746</v>
      </c>
      <c r="B358">
        <v>254594937.39883423</v>
      </c>
    </row>
    <row r="359" spans="1:2" x14ac:dyDescent="0.25">
      <c r="A359">
        <f ca="1">39611.9393139224*((RANDBETWEEN(1587,2416)))</f>
        <v>89087251.517011434</v>
      </c>
      <c r="B359">
        <v>211334998.64891231</v>
      </c>
    </row>
    <row r="360" spans="1:2" x14ac:dyDescent="0.25">
      <c r="A360">
        <f ca="1">33822.9953194904*((RANDBETWEEN(1587,2416)))</f>
        <v>59359356.785705604</v>
      </c>
      <c r="B360">
        <v>239750537.17603999</v>
      </c>
    </row>
    <row r="361" spans="1:2" x14ac:dyDescent="0.25">
      <c r="A361">
        <f ca="1">36318.0979428594*((RANDBETWEEN(1587,2416)))</f>
        <v>60832814.054289572</v>
      </c>
      <c r="B361">
        <v>256205106.08333281</v>
      </c>
    </row>
    <row r="362" spans="1:2" x14ac:dyDescent="0.25">
      <c r="A362">
        <f ca="1">33767.1590773365*((RANDBETWEEN(1587,2416)))</f>
        <v>55411908.045909189</v>
      </c>
      <c r="B362">
        <v>240340549.05399066</v>
      </c>
    </row>
    <row r="363" spans="1:2" x14ac:dyDescent="0.25">
      <c r="A363">
        <f ca="1">34185.4403659376*((RANDBETWEEN(1587,2416)))</f>
        <v>69054589.539193869</v>
      </c>
      <c r="B363">
        <v>245908322.94254196</v>
      </c>
    </row>
    <row r="364" spans="1:2" x14ac:dyDescent="0.25">
      <c r="A364">
        <f ca="1">33246.1333130509*((RANDBETWEEN(1587,2416)))</f>
        <v>57382826.098325878</v>
      </c>
      <c r="B364">
        <v>241113854.45696211</v>
      </c>
    </row>
    <row r="365" spans="1:2" x14ac:dyDescent="0.25">
      <c r="A365">
        <f ca="1">31029.1974680993*((RANDBETWEEN(1587,2416)))</f>
        <v>54176978.779301345</v>
      </c>
      <c r="B365">
        <v>252338871.33443338</v>
      </c>
    </row>
    <row r="366" spans="1:2" x14ac:dyDescent="0.25">
      <c r="A366">
        <f ca="1">32290.0439382988*((RANDBETWEEN(1587,2416)))</f>
        <v>71619317.455146775</v>
      </c>
      <c r="B366">
        <v>265309302.60251367</v>
      </c>
    </row>
    <row r="367" spans="1:2" x14ac:dyDescent="0.25">
      <c r="A367">
        <f ca="1">37141.2144999097*((RANDBETWEEN(1587,2416)))</f>
        <v>61802980.927849777</v>
      </c>
      <c r="B367">
        <v>267566518.85114759</v>
      </c>
    </row>
    <row r="368" spans="1:2" x14ac:dyDescent="0.25">
      <c r="A368">
        <f ca="1">34804.3760607418*((RANDBETWEEN(1587,2416)))</f>
        <v>58575764.910228521</v>
      </c>
      <c r="B368">
        <v>242650621.96106884</v>
      </c>
    </row>
    <row r="369" spans="1:2" x14ac:dyDescent="0.25">
      <c r="A369">
        <f ca="1">29505.2920085446*((RANDBETWEEN(1587,2416)))</f>
        <v>64587084.206704132</v>
      </c>
      <c r="B369">
        <v>208430081.400116</v>
      </c>
    </row>
    <row r="370" spans="1:2" x14ac:dyDescent="0.25">
      <c r="A370">
        <f ca="1">30521.405811438*((RANDBETWEEN(1587,2416)))</f>
        <v>73129288.324205503</v>
      </c>
      <c r="B370">
        <v>214384040.60150766</v>
      </c>
    </row>
    <row r="371" spans="1:2" x14ac:dyDescent="0.25">
      <c r="A371">
        <f ca="1">33081.7329340697*((RANDBETWEEN(1587,2416)))</f>
        <v>66924345.725623086</v>
      </c>
      <c r="B371">
        <v>232180479.0011808</v>
      </c>
    </row>
    <row r="372" spans="1:2" x14ac:dyDescent="0.25">
      <c r="A372">
        <f ca="1">31965.0814146256*((RANDBETWEEN(1587,2416)))</f>
        <v>63418721.52661714</v>
      </c>
      <c r="B372">
        <v>226056198.84545827</v>
      </c>
    </row>
    <row r="373" spans="1:2" x14ac:dyDescent="0.25">
      <c r="A373">
        <f ca="1">40111.0894596755*((RANDBETWEEN(1587,2416)))</f>
        <v>68108629.902528986</v>
      </c>
      <c r="B373">
        <v>254360914.58672726</v>
      </c>
    </row>
    <row r="374" spans="1:2" x14ac:dyDescent="0.25">
      <c r="A374">
        <f ca="1">37781.9256573653*((RANDBETWEEN(1587,2416)))</f>
        <v>85500497.762617737</v>
      </c>
      <c r="B374">
        <v>224907980.19663107</v>
      </c>
    </row>
    <row r="375" spans="1:2" x14ac:dyDescent="0.25">
      <c r="A375">
        <f ca="1">31302.1215305915*((RANDBETWEEN(1587,2416)))</f>
        <v>65828361.578833833</v>
      </c>
      <c r="B375">
        <v>211378566.48393124</v>
      </c>
    </row>
    <row r="376" spans="1:2" x14ac:dyDescent="0.25">
      <c r="A376">
        <f ca="1">38602.8560720638*((RANDBETWEEN(1587,2416)))</f>
        <v>76974095.007695168</v>
      </c>
      <c r="B376">
        <v>236043305.42901817</v>
      </c>
    </row>
    <row r="377" spans="1:2" x14ac:dyDescent="0.25">
      <c r="A377">
        <f ca="1">31052.3295752478*((RANDBETWEEN(1587,2416)))</f>
        <v>62415182.446248114</v>
      </c>
      <c r="B377">
        <v>205641324.11559576</v>
      </c>
    </row>
    <row r="378" spans="1:2" x14ac:dyDescent="0.25">
      <c r="A378">
        <f ca="1">40671.8168237673*((RANDBETWEEN(1587,2416)))</f>
        <v>71379038.525711536</v>
      </c>
      <c r="B378">
        <v>241864085.29013085</v>
      </c>
    </row>
    <row r="379" spans="1:2" x14ac:dyDescent="0.25">
      <c r="A379">
        <f ca="1">29177.6490024983*((RANDBETWEEN(1587,2416)))</f>
        <v>66379151.480683632</v>
      </c>
      <c r="B379">
        <v>236905240.51501113</v>
      </c>
    </row>
    <row r="380" spans="1:2" x14ac:dyDescent="0.25">
      <c r="A380">
        <f ca="1">31216.7667977476*((RANDBETWEEN(1587,2416)))</f>
        <v>59062122.78133855</v>
      </c>
      <c r="B380">
        <v>263383303.46486473</v>
      </c>
    </row>
    <row r="381" spans="1:2" x14ac:dyDescent="0.25">
      <c r="A381">
        <f ca="1">31241.4613317253*((RANDBETWEEN(1587,2416)))</f>
        <v>55922215.783788204</v>
      </c>
      <c r="B381">
        <v>244524327.43608496</v>
      </c>
    </row>
    <row r="382" spans="1:2" x14ac:dyDescent="0.25">
      <c r="A382">
        <f ca="1">36467.4836732677*((RANDBETWEEN(1587,2416)))</f>
        <v>59150258.518040277</v>
      </c>
      <c r="B382">
        <v>262316278.54314083</v>
      </c>
    </row>
    <row r="383" spans="1:2" x14ac:dyDescent="0.25">
      <c r="A383">
        <f ca="1">38276.4764769138*((RANDBETWEEN(1587,2416)))</f>
        <v>77930906.106996477</v>
      </c>
      <c r="B383">
        <v>251990700.8775737</v>
      </c>
    </row>
    <row r="384" spans="1:2" x14ac:dyDescent="0.25">
      <c r="A384">
        <f ca="1">32325.5621865655*((RANDBETWEEN(1587,2416)))</f>
        <v>61968102.711646132</v>
      </c>
      <c r="B384">
        <v>267512574.31822774</v>
      </c>
    </row>
    <row r="385" spans="1:2" x14ac:dyDescent="0.25">
      <c r="A385">
        <f ca="1">32648.4007419491*((RANDBETWEEN(1587,2416)))</f>
        <v>72805933.654546455</v>
      </c>
      <c r="B385">
        <v>216454729.02495545</v>
      </c>
    </row>
    <row r="386" spans="1:2" x14ac:dyDescent="0.25">
      <c r="A386">
        <f ca="1">32541.6463948461*((RANDBETWEEN(1587,2416)))</f>
        <v>75041036.586515039</v>
      </c>
      <c r="B386">
        <v>209628944.35058117</v>
      </c>
    </row>
    <row r="387" spans="1:2" x14ac:dyDescent="0.25">
      <c r="A387">
        <f ca="1">30676.5473693202*((RANDBETWEEN(1587,2416)))</f>
        <v>73163565.475828797</v>
      </c>
      <c r="B387">
        <v>227765908.47855198</v>
      </c>
    </row>
    <row r="388" spans="1:2" x14ac:dyDescent="0.25">
      <c r="A388">
        <f ca="1">36973.5786042215*((RANDBETWEEN(1587,2416)))</f>
        <v>64999551.186221406</v>
      </c>
      <c r="B388">
        <v>235466952.01992917</v>
      </c>
    </row>
    <row r="389" spans="1:2" x14ac:dyDescent="0.25">
      <c r="A389">
        <f ca="1">33023.2583909436*((RANDBETWEEN(1587,2416)))</f>
        <v>68259075.094080448</v>
      </c>
      <c r="B389">
        <v>257356738.27012712</v>
      </c>
    </row>
    <row r="390" spans="1:2" x14ac:dyDescent="0.25">
      <c r="A390">
        <f ca="1">37817.5299146752*((RANDBETWEEN(1587,2416)))</f>
        <v>83879281.350749627</v>
      </c>
      <c r="B390">
        <v>229585459.96784416</v>
      </c>
    </row>
    <row r="391" spans="1:2" x14ac:dyDescent="0.25">
      <c r="A391">
        <f ca="1">40868.6885567115*((RANDBETWEEN(1587,2416)))</f>
        <v>86273801.543217927</v>
      </c>
      <c r="B391">
        <v>213530802.36143118</v>
      </c>
    </row>
    <row r="392" spans="1:2" x14ac:dyDescent="0.25">
      <c r="A392">
        <f ca="1">30522.6346128973*((RANDBETWEEN(1587,2416)))</f>
        <v>70629376.494244367</v>
      </c>
      <c r="B392">
        <v>237629053.45834917</v>
      </c>
    </row>
    <row r="393" spans="1:2" x14ac:dyDescent="0.25">
      <c r="A393">
        <f ca="1">35594.6801595928*((RANDBETWEEN(1587,2416)))</f>
        <v>63714477.485671148</v>
      </c>
      <c r="B393">
        <v>223792680.98047391</v>
      </c>
    </row>
    <row r="394" spans="1:2" x14ac:dyDescent="0.25">
      <c r="A394">
        <f ca="1">33063.7884962695*((RANDBETWEEN(1587,2416)))</f>
        <v>79849049.218490824</v>
      </c>
      <c r="B394">
        <v>203873718.1203264</v>
      </c>
    </row>
    <row r="395" spans="1:2" x14ac:dyDescent="0.25">
      <c r="A395">
        <f ca="1">40792.5425954074*((RANDBETWEEN(1587,2416)))</f>
        <v>74568767.864404753</v>
      </c>
      <c r="B395">
        <v>233664408.79703927</v>
      </c>
    </row>
    <row r="396" spans="1:2" x14ac:dyDescent="0.25">
      <c r="A396">
        <f ca="1">39895.8238987248*((RANDBETWEEN(1587,2416)))</f>
        <v>72410920.376185477</v>
      </c>
      <c r="B396">
        <v>219271349.67106506</v>
      </c>
    </row>
    <row r="397" spans="1:2" x14ac:dyDescent="0.25">
      <c r="A397">
        <f ca="1">32558.5729419775*((RANDBETWEEN(1587,2416)))</f>
        <v>71954446.201770335</v>
      </c>
      <c r="B397">
        <v>227050653.90416354</v>
      </c>
    </row>
    <row r="398" spans="1:2" x14ac:dyDescent="0.25">
      <c r="A398">
        <f ca="1">34123.4013277668*((RANDBETWEEN(1587,2416)))</f>
        <v>55314033.552309982</v>
      </c>
      <c r="B398">
        <v>241095233.40335649</v>
      </c>
    </row>
    <row r="399" spans="1:2" x14ac:dyDescent="0.25">
      <c r="A399">
        <f ca="1">31411.9125914475*((RANDBETWEEN(1587,2416)))</f>
        <v>62069939.28070017</v>
      </c>
      <c r="B399">
        <v>210281584.48803651</v>
      </c>
    </row>
    <row r="400" spans="1:2" x14ac:dyDescent="0.25">
      <c r="A400">
        <f ca="1">36136.0957064179*((RANDBETWEEN(1587,2416)))</f>
        <v>75705120.504945531</v>
      </c>
      <c r="B400">
        <v>241267147.29253235</v>
      </c>
    </row>
    <row r="401" spans="1:2" x14ac:dyDescent="0.25">
      <c r="A401">
        <f ca="1">31757.6509782965*((RANDBETWEEN(1587,2416)))</f>
        <v>69962105.105187133</v>
      </c>
      <c r="B401">
        <v>215060179.22467783</v>
      </c>
    </row>
    <row r="402" spans="1:2" x14ac:dyDescent="0.25">
      <c r="A402">
        <f ca="1">34115.3737714582*((RANDBETWEEN(1587,2416)))</f>
        <v>59667788.726280436</v>
      </c>
      <c r="B402">
        <v>236017924.88634121</v>
      </c>
    </row>
    <row r="403" spans="1:2" x14ac:dyDescent="0.25">
      <c r="A403">
        <f ca="1">30658.7014886339*((RANDBETWEEN(1587,2416)))</f>
        <v>62237164.02192679</v>
      </c>
      <c r="B403">
        <v>250673573.56048957</v>
      </c>
    </row>
    <row r="404" spans="1:2" x14ac:dyDescent="0.25">
      <c r="A404">
        <f ca="1">40530.1665576335*((RANDBETWEEN(1587,2416)))</f>
        <v>71819455.140126497</v>
      </c>
      <c r="B404">
        <v>262254555.19946077</v>
      </c>
    </row>
    <row r="405" spans="1:2" x14ac:dyDescent="0.25">
      <c r="A405">
        <f ca="1">30347.7687135256*((RANDBETWEEN(1587,2416)))</f>
        <v>49952427.302463174</v>
      </c>
      <c r="B405">
        <v>232388560.68752959</v>
      </c>
    </row>
    <row r="406" spans="1:2" x14ac:dyDescent="0.25">
      <c r="A406">
        <f ca="1">40892.4607901692*((RANDBETWEEN(1587,2416)))</f>
        <v>98019228.514035583</v>
      </c>
      <c r="B406">
        <v>245808393.0154756</v>
      </c>
    </row>
    <row r="407" spans="1:2" x14ac:dyDescent="0.25">
      <c r="A407">
        <f ca="1">39127.5406419776*((RANDBETWEEN(1587,2416)))</f>
        <v>90580256.586178184</v>
      </c>
      <c r="B407">
        <v>212642871.93131027</v>
      </c>
    </row>
    <row r="408" spans="1:2" x14ac:dyDescent="0.25">
      <c r="A408">
        <f ca="1">36834.0904530445*((RANDBETWEEN(1587,2416)))</f>
        <v>88328148.90640083</v>
      </c>
      <c r="B408">
        <v>222397965.72669762</v>
      </c>
    </row>
    <row r="409" spans="1:2" x14ac:dyDescent="0.25">
      <c r="A409">
        <f ca="1">32411.5568405666*((RANDBETWEEN(1587,2416)))</f>
        <v>55391350.640528306</v>
      </c>
      <c r="B409">
        <v>267373581.42850965</v>
      </c>
    </row>
    <row r="410" spans="1:2" x14ac:dyDescent="0.25">
      <c r="A410">
        <f ca="1">33617.4161318611*((RANDBETWEEN(1587,2416)))</f>
        <v>80513711.635807291</v>
      </c>
      <c r="B410">
        <v>226200888.99625292</v>
      </c>
    </row>
    <row r="411" spans="1:2" x14ac:dyDescent="0.25">
      <c r="A411">
        <f ca="1">27095.9765059844*((RANDBETWEEN(1587,2416)))</f>
        <v>49043717.475831799</v>
      </c>
      <c r="B411">
        <v>245277728.1339131</v>
      </c>
    </row>
    <row r="412" spans="1:2" x14ac:dyDescent="0.25">
      <c r="A412">
        <f ca="1">33734.1193669969*((RANDBETWEEN(1587,2416)))</f>
        <v>55661296.955544919</v>
      </c>
      <c r="B412">
        <v>242540946.19662184</v>
      </c>
    </row>
    <row r="413" spans="1:2" x14ac:dyDescent="0.25">
      <c r="A413">
        <f ca="1">42012.3174414844*((RANDBETWEEN(1587,2416)))</f>
        <v>68312028.159853607</v>
      </c>
      <c r="B413">
        <v>256401470.49112037</v>
      </c>
    </row>
    <row r="414" spans="1:2" x14ac:dyDescent="0.25">
      <c r="A414">
        <f ca="1">40555.4365691247*((RANDBETWEEN(1587,2416)))</f>
        <v>96603049.907655135</v>
      </c>
      <c r="B414">
        <v>223331896.84607425</v>
      </c>
    </row>
    <row r="415" spans="1:2" x14ac:dyDescent="0.25">
      <c r="A415">
        <f ca="1">40623.5796877995*((RANDBETWEEN(1587,2416)))</f>
        <v>74097409.350546286</v>
      </c>
      <c r="B415">
        <v>226061542.32549477</v>
      </c>
    </row>
    <row r="416" spans="1:2" x14ac:dyDescent="0.25">
      <c r="A416">
        <f ca="1">41194.6318670037*((RANDBETWEEN(1587,2416)))</f>
        <v>65581853.932269946</v>
      </c>
      <c r="B416">
        <v>229170409.44506714</v>
      </c>
    </row>
    <row r="417" spans="1:2" x14ac:dyDescent="0.25">
      <c r="A417">
        <f ca="1">36600.9802419854*((RANDBETWEEN(1587,2416)))</f>
        <v>81912993.781563401</v>
      </c>
      <c r="B417">
        <v>225912541.39211994</v>
      </c>
    </row>
    <row r="418" spans="1:2" x14ac:dyDescent="0.25">
      <c r="A418">
        <f ca="1">36131.752879448*((RANDBETWEEN(1587,2416)))</f>
        <v>85523859.065653339</v>
      </c>
      <c r="B418">
        <v>253218798.50215417</v>
      </c>
    </row>
    <row r="419" spans="1:2" x14ac:dyDescent="0.25">
      <c r="A419">
        <f ca="1">32901.2361533951*((RANDBETWEEN(1587,2416)))</f>
        <v>60307965.869173266</v>
      </c>
      <c r="B419">
        <v>247541893.28281054</v>
      </c>
    </row>
    <row r="420" spans="1:2" x14ac:dyDescent="0.25">
      <c r="A420">
        <f ca="1">31979.5278066547*((RANDBETWEEN(1587,2416)))</f>
        <v>64982400.50312236</v>
      </c>
      <c r="B420">
        <v>219391134.12449694</v>
      </c>
    </row>
    <row r="421" spans="1:2" x14ac:dyDescent="0.25">
      <c r="A421">
        <f ca="1">31694.2088328395*((RANDBETWEEN(1587,2416)))</f>
        <v>50932593.594373137</v>
      </c>
      <c r="B421">
        <v>227909294.27446255</v>
      </c>
    </row>
    <row r="422" spans="1:2" x14ac:dyDescent="0.25">
      <c r="A422">
        <f ca="1">35689.496105335*((RANDBETWEEN(1587,2416)))</f>
        <v>58102499.65948534</v>
      </c>
      <c r="B422">
        <v>249513977.76429844</v>
      </c>
    </row>
    <row r="423" spans="1:2" x14ac:dyDescent="0.25">
      <c r="A423">
        <f ca="1">33080.3821097711*((RANDBETWEEN(1587,2416)))</f>
        <v>60900983.464088619</v>
      </c>
      <c r="B423">
        <v>252102362.50744</v>
      </c>
    </row>
    <row r="424" spans="1:2" x14ac:dyDescent="0.25">
      <c r="A424">
        <f ca="1">38432.8591897799*((RANDBETWEEN(1587,2416)))</f>
        <v>68525787.935377553</v>
      </c>
      <c r="B424">
        <v>209504755.54740864</v>
      </c>
    </row>
    <row r="425" spans="1:2" x14ac:dyDescent="0.25">
      <c r="A425">
        <f ca="1">40619.0079295469*((RANDBETWEEN(1587,2416)))</f>
        <v>74942069.630014107</v>
      </c>
      <c r="B425">
        <v>240628306.98713079</v>
      </c>
    </row>
    <row r="426" spans="1:2" x14ac:dyDescent="0.25">
      <c r="A426">
        <f ca="1">39730.33472546*((RANDBETWEEN(1587,2416)))</f>
        <v>88837028.446128532</v>
      </c>
      <c r="B426">
        <v>253295048.5358021</v>
      </c>
    </row>
    <row r="427" spans="1:2" x14ac:dyDescent="0.25">
      <c r="A427">
        <f ca="1">34527.9330152383*((RANDBETWEEN(1587,2416)))</f>
        <v>70816790.614253759</v>
      </c>
      <c r="B427">
        <v>227258155.26786265</v>
      </c>
    </row>
    <row r="428" spans="1:2" x14ac:dyDescent="0.25">
      <c r="A428">
        <f ca="1">35048.166274087*((RANDBETWEEN(1587,2416)))</f>
        <v>79629433.774725631</v>
      </c>
      <c r="B428">
        <v>222939350.50235528</v>
      </c>
    </row>
    <row r="429" spans="1:2" x14ac:dyDescent="0.25">
      <c r="A429">
        <f ca="1">30349.14039094*((RANDBETWEEN(1587,2416)))</f>
        <v>70318958.285808027</v>
      </c>
      <c r="B429">
        <v>261933453.89818561</v>
      </c>
    </row>
    <row r="430" spans="1:2" x14ac:dyDescent="0.25">
      <c r="A430">
        <f ca="1">37858.3989657512*((RANDBETWEEN(1587,2416)))</f>
        <v>75603222.734605059</v>
      </c>
      <c r="B430">
        <v>231664270.80492795</v>
      </c>
    </row>
    <row r="431" spans="1:2" x14ac:dyDescent="0.25">
      <c r="A431">
        <f ca="1">37086.1086880973*((RANDBETWEEN(1587,2416)))</f>
        <v>73170892.441616029</v>
      </c>
      <c r="B431">
        <v>260135449.45198551</v>
      </c>
    </row>
    <row r="432" spans="1:2" x14ac:dyDescent="0.25">
      <c r="A432">
        <f ca="1">31360.3293231452*((RANDBETWEEN(1587,2416)))</f>
        <v>60713597.569609016</v>
      </c>
      <c r="B432">
        <v>254255214.39176667</v>
      </c>
    </row>
    <row r="433" spans="1:2" x14ac:dyDescent="0.25">
      <c r="A433">
        <f ca="1">37869.9990138678*((RANDBETWEEN(1587,2416)))</f>
        <v>71195598.146071538</v>
      </c>
      <c r="B433">
        <v>215362454.28265774</v>
      </c>
    </row>
    <row r="434" spans="1:2" x14ac:dyDescent="0.25">
      <c r="A434">
        <f ca="1">40408.2872992085*((RANDBETWEEN(1587,2416)))</f>
        <v>75603905.536819026</v>
      </c>
      <c r="B434">
        <v>237249658.22202253</v>
      </c>
    </row>
    <row r="435" spans="1:2" x14ac:dyDescent="0.25">
      <c r="A435">
        <f ca="1">40779.9638201111*((RANDBETWEEN(1587,2416)))</f>
        <v>82824106.518645719</v>
      </c>
      <c r="B435">
        <v>222759406.70130789</v>
      </c>
    </row>
    <row r="436" spans="1:2" x14ac:dyDescent="0.25">
      <c r="A436">
        <f ca="1">30632.4790369135*((RANDBETWEEN(1587,2416)))</f>
        <v>49440821.165578417</v>
      </c>
      <c r="B436">
        <v>211415087.17720997</v>
      </c>
    </row>
    <row r="437" spans="1:2" x14ac:dyDescent="0.25">
      <c r="A437">
        <f ca="1">32000.2902248622*((RANDBETWEEN(1587,2416)))</f>
        <v>50912461.747755758</v>
      </c>
      <c r="B437">
        <v>216652309.36709809</v>
      </c>
    </row>
    <row r="438" spans="1:2" x14ac:dyDescent="0.25">
      <c r="A438">
        <f ca="1">36520.2218439063*((RANDBETWEEN(1587,2416)))</f>
        <v>85274718.005521163</v>
      </c>
      <c r="B438">
        <v>241421880.13352054</v>
      </c>
    </row>
    <row r="439" spans="1:2" x14ac:dyDescent="0.25">
      <c r="A439">
        <f ca="1">31491.8541816913*((RANDBETWEEN(1587,2416)))</f>
        <v>68022405.03245312</v>
      </c>
      <c r="B439">
        <v>237462286.68235648</v>
      </c>
    </row>
    <row r="440" spans="1:2" x14ac:dyDescent="0.25">
      <c r="A440">
        <f ca="1">33270.0424479207*((RANDBETWEEN(1587,2416)))</f>
        <v>54829029.954173326</v>
      </c>
      <c r="B440">
        <v>222207736.8718968</v>
      </c>
    </row>
    <row r="441" spans="1:2" x14ac:dyDescent="0.25">
      <c r="A441">
        <f ca="1">37955.1692462936*((RANDBETWEEN(1587,2416)))</f>
        <v>74126445.538011312</v>
      </c>
      <c r="B441">
        <v>264609039.82931748</v>
      </c>
    </row>
    <row r="442" spans="1:2" x14ac:dyDescent="0.25">
      <c r="A442">
        <f ca="1">29294.9353040852*((RANDBETWEEN(1587,2416)))</f>
        <v>63628599.480472982</v>
      </c>
      <c r="B442">
        <v>247135708.70944536</v>
      </c>
    </row>
    <row r="443" spans="1:2" x14ac:dyDescent="0.25">
      <c r="A443">
        <f ca="1">37414.6916304553*((RANDBETWEEN(1587,2416)))</f>
        <v>83584421.102437198</v>
      </c>
      <c r="B443">
        <v>220353692.36566746</v>
      </c>
    </row>
    <row r="444" spans="1:2" x14ac:dyDescent="0.25">
      <c r="A444">
        <f ca="1">36985.9648267716*((RANDBETWEEN(1587,2416)))</f>
        <v>74526719.125944823</v>
      </c>
      <c r="B444">
        <v>255515555.59570804</v>
      </c>
    </row>
    <row r="445" spans="1:2" x14ac:dyDescent="0.25">
      <c r="A445">
        <f ca="1">31846.2613379048*((RANDBETWEEN(1587,2416)))</f>
        <v>60794512.894060358</v>
      </c>
      <c r="B445">
        <v>248453724.85340208</v>
      </c>
    </row>
    <row r="446" spans="1:2" x14ac:dyDescent="0.25">
      <c r="A446">
        <f ca="1">27948.1367756565*((RANDBETWEEN(1587,2416)))</f>
        <v>58746983.502429888</v>
      </c>
      <c r="B446">
        <v>232592338.96614668</v>
      </c>
    </row>
    <row r="447" spans="1:2" x14ac:dyDescent="0.25">
      <c r="A447">
        <f ca="1">30214.1931000495*((RANDBETWEEN(1587,2416)))</f>
        <v>64144731.951405123</v>
      </c>
      <c r="B447">
        <v>210959528.38043401</v>
      </c>
    </row>
    <row r="448" spans="1:2" x14ac:dyDescent="0.25">
      <c r="A448">
        <f ca="1">34697.6435216611*((RANDBETWEEN(1587,2416)))</f>
        <v>79214720.159952283</v>
      </c>
      <c r="B448">
        <v>207183189.70376566</v>
      </c>
    </row>
    <row r="449" spans="1:2" x14ac:dyDescent="0.25">
      <c r="A449">
        <f ca="1">38882.2930062798*((RANDBETWEEN(1587,2416)))</f>
        <v>68393953.39804624</v>
      </c>
      <c r="B449">
        <v>249976454.64170346</v>
      </c>
    </row>
    <row r="450" spans="1:2" x14ac:dyDescent="0.25">
      <c r="A450">
        <f ca="1">29582.9432393305*((RANDBETWEEN(1587,2416)))</f>
        <v>64017489.169911303</v>
      </c>
      <c r="B450">
        <v>255499862.00411892</v>
      </c>
    </row>
    <row r="451" spans="1:2" x14ac:dyDescent="0.25">
      <c r="A451">
        <f ca="1">40992.7086353934*((RANDBETWEEN(1587,2416)))</f>
        <v>77107284.943175063</v>
      </c>
      <c r="B451">
        <v>219749531.25732061</v>
      </c>
    </row>
    <row r="452" spans="1:2" x14ac:dyDescent="0.25">
      <c r="A452">
        <f ca="1">38764.3202431006*((RANDBETWEEN(1587,2416)))</f>
        <v>83498345.803638712</v>
      </c>
      <c r="B452">
        <v>205603626.19265479</v>
      </c>
    </row>
    <row r="453" spans="1:2" x14ac:dyDescent="0.25">
      <c r="A453">
        <f ca="1">32274.1641260801*((RANDBETWEEN(1587,2416)))</f>
        <v>77361171.410214007</v>
      </c>
      <c r="B453">
        <v>250939055.14544925</v>
      </c>
    </row>
    <row r="454" spans="1:2" x14ac:dyDescent="0.25">
      <c r="A454">
        <f ca="1">33905.0908149247*((RANDBETWEEN(1587,2416)))</f>
        <v>72048317.981714994</v>
      </c>
      <c r="B454">
        <v>236938055.68791392</v>
      </c>
    </row>
    <row r="455" spans="1:2" x14ac:dyDescent="0.25">
      <c r="A455">
        <f ca="1">34040.1281382012*((RANDBETWEEN(1587,2416)))</f>
        <v>64369882.309338458</v>
      </c>
      <c r="B455">
        <v>243132159.02114326</v>
      </c>
    </row>
    <row r="456" spans="1:2" x14ac:dyDescent="0.25">
      <c r="A456">
        <f ca="1">34711.1284470403*((RANDBETWEEN(1587,2416)))</f>
        <v>74767770.674924821</v>
      </c>
      <c r="B456">
        <v>234033692.38902313</v>
      </c>
    </row>
    <row r="457" spans="1:2" x14ac:dyDescent="0.25">
      <c r="A457">
        <f ca="1">32298.5141168591*((RANDBETWEEN(1587,2416)))</f>
        <v>52000607.728143223</v>
      </c>
      <c r="B457">
        <v>223608711.59344506</v>
      </c>
    </row>
    <row r="458" spans="1:2" x14ac:dyDescent="0.25">
      <c r="A458">
        <f ca="1">33964.1779388443*((RANDBETWEEN(1587,2416)))</f>
        <v>61644982.959002435</v>
      </c>
      <c r="B458">
        <v>251116698.15087041</v>
      </c>
    </row>
    <row r="459" spans="1:2" x14ac:dyDescent="0.25">
      <c r="A459">
        <f ca="1">28671.318018904*((RANDBETWEEN(1587,2416)))</f>
        <v>61643333.740643568</v>
      </c>
      <c r="B459">
        <v>266936380.34558031</v>
      </c>
    </row>
    <row r="460" spans="1:2" x14ac:dyDescent="0.25">
      <c r="A460">
        <f ca="1">33478.1235950764*((RANDBETWEEN(1587,2416)))</f>
        <v>67659287.785649389</v>
      </c>
      <c r="B460">
        <v>266592892.51349267</v>
      </c>
    </row>
    <row r="461" spans="1:2" x14ac:dyDescent="0.25">
      <c r="A461">
        <f ca="1">30532.2729332296*((RANDBETWEEN(1587,2416)))</f>
        <v>73216390.493884623</v>
      </c>
      <c r="B461">
        <v>241302399.89218575</v>
      </c>
    </row>
    <row r="462" spans="1:2" x14ac:dyDescent="0.25">
      <c r="A462">
        <f ca="1">34124.1333875606*((RANDBETWEEN(1587,2416)))</f>
        <v>67565784.107370019</v>
      </c>
      <c r="B462">
        <v>228459813.67062259</v>
      </c>
    </row>
    <row r="463" spans="1:2" x14ac:dyDescent="0.25">
      <c r="A463">
        <f ca="1">34537.1063758157*((RANDBETWEEN(1587,2416)))</f>
        <v>56468168.92445866</v>
      </c>
      <c r="B463">
        <v>209035848.05481255</v>
      </c>
    </row>
    <row r="464" spans="1:2" x14ac:dyDescent="0.25">
      <c r="A464">
        <f ca="1">30167.3133631188*((RANDBETWEEN(1587,2416)))</f>
        <v>63653031.196180612</v>
      </c>
      <c r="B464">
        <v>255178248.95459402</v>
      </c>
    </row>
    <row r="465" spans="1:2" x14ac:dyDescent="0.25">
      <c r="A465">
        <f ca="1">36910.5767149859*((RANDBETWEEN(1587,2416)))</f>
        <v>75629771.689006165</v>
      </c>
      <c r="B465">
        <v>250899464.1787008</v>
      </c>
    </row>
    <row r="466" spans="1:2" x14ac:dyDescent="0.25">
      <c r="A466">
        <f ca="1">29898.3901821133*((RANDBETWEEN(1587,2416)))</f>
        <v>61530886.994789273</v>
      </c>
      <c r="B466">
        <v>216413328.00086153</v>
      </c>
    </row>
    <row r="467" spans="1:2" x14ac:dyDescent="0.25">
      <c r="A467">
        <f ca="1">29677.5702429627*((RANDBETWEEN(1587,2416)))</f>
        <v>71671332.136754826</v>
      </c>
      <c r="B467">
        <v>259192400.2115953</v>
      </c>
    </row>
    <row r="468" spans="1:2" x14ac:dyDescent="0.25">
      <c r="A468">
        <f ca="1">42603.8524872927*((RANDBETWEEN(1587,2416)))</f>
        <v>83460947.022606432</v>
      </c>
      <c r="B468">
        <v>219632228.7569755</v>
      </c>
    </row>
    <row r="469" spans="1:2" x14ac:dyDescent="0.25">
      <c r="A469">
        <f ca="1">31228.4021205276*((RANDBETWEEN(1587,2416)))</f>
        <v>58116056.346301831</v>
      </c>
      <c r="B469">
        <v>216261580.9048124</v>
      </c>
    </row>
    <row r="470" spans="1:2" x14ac:dyDescent="0.25">
      <c r="A470">
        <f ca="1">31420.1707067658*((RANDBETWEEN(1587,2416)))</f>
        <v>55896483.687336348</v>
      </c>
      <c r="B470">
        <v>262721981.40358707</v>
      </c>
    </row>
    <row r="471" spans="1:2" x14ac:dyDescent="0.25">
      <c r="A471">
        <f ca="1">29568.4655050249*((RANDBETWEEN(1587,2416)))</f>
        <v>65050624.111054868</v>
      </c>
      <c r="B471">
        <v>227301451.97079736</v>
      </c>
    </row>
    <row r="472" spans="1:2" x14ac:dyDescent="0.25">
      <c r="A472">
        <f ca="1">35391.1472419556*((RANDBETWEEN(1587,2416)))</f>
        <v>70322209.569765672</v>
      </c>
      <c r="B472">
        <v>218791137.49149972</v>
      </c>
    </row>
    <row r="473" spans="1:2" x14ac:dyDescent="0.25">
      <c r="A473">
        <f ca="1">32874.3022504586*((RANDBETWEEN(1587,2416)))</f>
        <v>78898325.401100591</v>
      </c>
      <c r="B473">
        <v>241888765.42665625</v>
      </c>
    </row>
    <row r="474" spans="1:2" x14ac:dyDescent="0.25">
      <c r="A474">
        <f ca="1">31051.2785595761*((RANDBETWEEN(1587,2416)))</f>
        <v>67878094.931233451</v>
      </c>
      <c r="B474">
        <v>211700701.74746141</v>
      </c>
    </row>
    <row r="475" spans="1:2" x14ac:dyDescent="0.25">
      <c r="A475">
        <f ca="1">37154.0237661494*((RANDBETWEEN(1587,2416)))</f>
        <v>64313615.139204666</v>
      </c>
      <c r="B475">
        <v>266227572.95799696</v>
      </c>
    </row>
    <row r="476" spans="1:2" x14ac:dyDescent="0.25">
      <c r="A476">
        <f ca="1">35434.6140814366*((RANDBETWEEN(1587,2416)))</f>
        <v>84830466.110959262</v>
      </c>
      <c r="B476">
        <v>217379306.45354134</v>
      </c>
    </row>
    <row r="477" spans="1:2" x14ac:dyDescent="0.25">
      <c r="A477">
        <f ca="1">30061.1346839681*((RANDBETWEEN(1587,2416)))</f>
        <v>52997780.44783584</v>
      </c>
      <c r="B477">
        <v>208883490.55817795</v>
      </c>
    </row>
    <row r="478" spans="1:2" x14ac:dyDescent="0.25">
      <c r="A478">
        <f ca="1">32042.7928867324*((RANDBETWEEN(1587,2416)))</f>
        <v>59791851.526642688</v>
      </c>
      <c r="B478">
        <v>240893623.16099244</v>
      </c>
    </row>
    <row r="479" spans="1:2" x14ac:dyDescent="0.25">
      <c r="A479">
        <f ca="1">29128.6416859619*((RANDBETWEEN(1587,2416)))</f>
        <v>55606576.97850129</v>
      </c>
      <c r="B479">
        <v>225281810.96344852</v>
      </c>
    </row>
    <row r="480" spans="1:2" x14ac:dyDescent="0.25">
      <c r="A480">
        <f ca="1">39367.0717610024*((RANDBETWEEN(1587,2416)))</f>
        <v>75899714.355212599</v>
      </c>
      <c r="B480">
        <v>211195406.00673914</v>
      </c>
    </row>
    <row r="481" spans="1:2" x14ac:dyDescent="0.25">
      <c r="A481">
        <f ca="1">36660.4620936654*((RANDBETWEEN(1587,2416)))</f>
        <v>84282402.353336662</v>
      </c>
      <c r="B481">
        <v>214749778.62560913</v>
      </c>
    </row>
    <row r="482" spans="1:2" x14ac:dyDescent="0.25">
      <c r="A482">
        <f ca="1">32043.7524245599*((RANDBETWEEN(1587,2416)))</f>
        <v>70912824.11555104</v>
      </c>
      <c r="B482">
        <v>241616807.5709247</v>
      </c>
    </row>
    <row r="483" spans="1:2" x14ac:dyDescent="0.25">
      <c r="A483">
        <f ca="1">32712.5886063253*((RANDBETWEEN(1587,2416)))</f>
        <v>64411086.965854526</v>
      </c>
      <c r="B483">
        <v>240547295.95190307</v>
      </c>
    </row>
    <row r="484" spans="1:2" x14ac:dyDescent="0.25">
      <c r="A484">
        <f ca="1">31937.684613115*((RANDBETWEEN(1587,2416)))</f>
        <v>72913733.971741587</v>
      </c>
      <c r="B484">
        <v>254765100.96855965</v>
      </c>
    </row>
    <row r="485" spans="1:2" x14ac:dyDescent="0.25">
      <c r="A485">
        <f ca="1">38019.0148641823*((RANDBETWEEN(1587,2416)))</f>
        <v>85732878.518731147</v>
      </c>
      <c r="B485">
        <v>212911716.35094801</v>
      </c>
    </row>
    <row r="486" spans="1:2" x14ac:dyDescent="0.25">
      <c r="A486">
        <f ca="1">31640.5435618452*((RANDBETWEEN(1587,2416)))</f>
        <v>61635778.858474448</v>
      </c>
      <c r="B486">
        <v>204575071.94501144</v>
      </c>
    </row>
    <row r="487" spans="1:2" x14ac:dyDescent="0.25">
      <c r="A487">
        <f ca="1">31731.2361731427*((RANDBETWEEN(1587,2416)))</f>
        <v>66857714.616811648</v>
      </c>
      <c r="B487">
        <v>259937535.25633442</v>
      </c>
    </row>
    <row r="488" spans="1:2" x14ac:dyDescent="0.25">
      <c r="A488">
        <f ca="1">32500.4161024417*((RANDBETWEEN(1587,2416)))</f>
        <v>55640712.367380187</v>
      </c>
      <c r="B488">
        <v>210747145.99482736</v>
      </c>
    </row>
    <row r="489" spans="1:2" x14ac:dyDescent="0.25">
      <c r="A489">
        <f ca="1">30450.4829627262*((RANDBETWEEN(1587,2416)))</f>
        <v>61053218.340265997</v>
      </c>
      <c r="B489">
        <v>232058006.01878634</v>
      </c>
    </row>
    <row r="490" spans="1:2" x14ac:dyDescent="0.25">
      <c r="A490">
        <f ca="1">40751.7338526603*((RANDBETWEEN(1587,2416)))</f>
        <v>68462912.872469306</v>
      </c>
      <c r="B490">
        <v>225061290.91678029</v>
      </c>
    </row>
    <row r="491" spans="1:2" x14ac:dyDescent="0.25">
      <c r="A491">
        <f ca="1">36357.9219929258*((RANDBETWEEN(1587,2416)))</f>
        <v>65953270.495167457</v>
      </c>
      <c r="B491">
        <v>265058477.29874876</v>
      </c>
    </row>
    <row r="492" spans="1:2" x14ac:dyDescent="0.25">
      <c r="A492">
        <f ca="1">32766.8126877215*((RANDBETWEEN(1587,2416)))</f>
        <v>55506980.693000212</v>
      </c>
      <c r="B492">
        <v>215284667.63724253</v>
      </c>
    </row>
    <row r="493" spans="1:2" x14ac:dyDescent="0.25">
      <c r="A493">
        <f ca="1">40193.236699677*((RANDBETWEEN(1587,2416)))</f>
        <v>97026473.393020317</v>
      </c>
      <c r="B493">
        <v>230818350.35064971</v>
      </c>
    </row>
    <row r="494" spans="1:2" x14ac:dyDescent="0.25">
      <c r="A494">
        <f ca="1">42763.5855775611*((RANDBETWEEN(1587,2416)))</f>
        <v>78556706.70597969</v>
      </c>
      <c r="B494">
        <v>236638275.55309886</v>
      </c>
    </row>
    <row r="495" spans="1:2" x14ac:dyDescent="0.25">
      <c r="A495">
        <f ca="1">34053.9638226221*((RANDBETWEEN(1587,2416)))</f>
        <v>71751701.774264857</v>
      </c>
      <c r="B495">
        <v>207325137.84203899</v>
      </c>
    </row>
    <row r="496" spans="1:2" x14ac:dyDescent="0.25">
      <c r="A496">
        <f ca="1">32200.1035422215*((RANDBETWEEN(1587,2416)))</f>
        <v>77312448.604873732</v>
      </c>
      <c r="B496">
        <v>228580969.81480816</v>
      </c>
    </row>
    <row r="497" spans="1:2" x14ac:dyDescent="0.25">
      <c r="A497">
        <f ca="1">29550.2669392828*((RANDBETWEEN(1587,2416)))</f>
        <v>66281248.744811215</v>
      </c>
      <c r="B497">
        <v>243076159.80667257</v>
      </c>
    </row>
    <row r="498" spans="1:2" x14ac:dyDescent="0.25">
      <c r="A498">
        <f ca="1">37745.1281120231*((RANDBETWEEN(1587,2416)))</f>
        <v>75414765.96782212</v>
      </c>
      <c r="B498">
        <v>229037380.35313615</v>
      </c>
    </row>
    <row r="499" spans="1:2" x14ac:dyDescent="0.25">
      <c r="A499">
        <f ca="1">39184.03365738*((RANDBETWEEN(1587,2416)))</f>
        <v>89339596.738826424</v>
      </c>
      <c r="B499">
        <v>263303635.17151511</v>
      </c>
    </row>
    <row r="500" spans="1:2" x14ac:dyDescent="0.25">
      <c r="A500">
        <f ca="1">31929.8676610202*((RANDBETWEEN(1587,2416)))</f>
        <v>65552018.30807437</v>
      </c>
      <c r="B500">
        <v>252578950.55509382</v>
      </c>
    </row>
    <row r="501" spans="1:2" x14ac:dyDescent="0.25">
      <c r="A501">
        <f ca="1">30435.2099599824*((RANDBETWEEN(1587,2416)))</f>
        <v>60657373.450244859</v>
      </c>
      <c r="B501">
        <v>221338213.58018705</v>
      </c>
    </row>
    <row r="502" spans="1:2" x14ac:dyDescent="0.25">
      <c r="A502">
        <f ca="1">38679.6582909871*((RANDBETWEEN(1587,2416)))</f>
        <v>61423297.366087571</v>
      </c>
      <c r="B502">
        <v>217848162.87499094</v>
      </c>
    </row>
    <row r="503" spans="1:2" x14ac:dyDescent="0.25">
      <c r="A503">
        <f ca="1">33531.2536192425*((RANDBETWEEN(1587,2416)))</f>
        <v>62569319.253506593</v>
      </c>
      <c r="B503">
        <v>223073220.60419968</v>
      </c>
    </row>
    <row r="504" spans="1:2" x14ac:dyDescent="0.25">
      <c r="A504">
        <f ca="1">33197.6433724034*((RANDBETWEEN(1587,2416)))</f>
        <v>57265934.817395866</v>
      </c>
      <c r="B504">
        <v>250659740.44003534</v>
      </c>
    </row>
    <row r="505" spans="1:2" x14ac:dyDescent="0.25">
      <c r="A505">
        <f ca="1">27090.7433842662*((RANDBETWEEN(1587,2416)))</f>
        <v>54614938.662680753</v>
      </c>
      <c r="B505">
        <v>212688240.19129276</v>
      </c>
    </row>
    <row r="506" spans="1:2" x14ac:dyDescent="0.25">
      <c r="A506">
        <f ca="1">35457.900548495*((RANDBETWEEN(1587,2416)))</f>
        <v>81340423.858247519</v>
      </c>
      <c r="B506">
        <v>210587723.27249676</v>
      </c>
    </row>
    <row r="507" spans="1:2" x14ac:dyDescent="0.25">
      <c r="A507">
        <f ca="1">31381.8393223684*((RANDBETWEEN(1587,2416)))</f>
        <v>52187998.793098621</v>
      </c>
      <c r="B507">
        <v>215845076.40370971</v>
      </c>
    </row>
    <row r="508" spans="1:2" x14ac:dyDescent="0.25">
      <c r="A508">
        <f ca="1">34948.7616735668*((RANDBETWEEN(1587,2416)))</f>
        <v>60216716.363555565</v>
      </c>
      <c r="B508">
        <v>267431684.97400522</v>
      </c>
    </row>
    <row r="509" spans="1:2" x14ac:dyDescent="0.25">
      <c r="A509">
        <f ca="1">33078.0149569084*((RANDBETWEEN(1587,2416)))</f>
        <v>68206866.841145188</v>
      </c>
      <c r="B509">
        <v>251869106.40021747</v>
      </c>
    </row>
    <row r="510" spans="1:2" x14ac:dyDescent="0.25">
      <c r="A510">
        <f ca="1">32006.4246883523*((RANDBETWEEN(1587,2416)))</f>
        <v>68205691.010878801</v>
      </c>
      <c r="B510">
        <v>224977288.03385669</v>
      </c>
    </row>
    <row r="511" spans="1:2" x14ac:dyDescent="0.25">
      <c r="A511">
        <f ca="1">31358.9680482939*((RANDBETWEEN(1587,2416)))</f>
        <v>66857319.878962524</v>
      </c>
      <c r="B511">
        <v>259564619.28455669</v>
      </c>
    </row>
    <row r="512" spans="1:2" x14ac:dyDescent="0.25">
      <c r="A512">
        <f ca="1">33479.4668995151*((RANDBETWEEN(1587,2416)))</f>
        <v>61635698.562007368</v>
      </c>
      <c r="B512">
        <v>223773961.55786037</v>
      </c>
    </row>
    <row r="513" spans="1:2" x14ac:dyDescent="0.25">
      <c r="A513">
        <f ca="1">39168.7804983956*((RANDBETWEEN(1587,2416)))</f>
        <v>66430251.725279003</v>
      </c>
      <c r="B513">
        <v>258561888.5981997</v>
      </c>
    </row>
    <row r="514" spans="1:2" x14ac:dyDescent="0.25">
      <c r="A514">
        <f ca="1">30619.7268535894*((RANDBETWEEN(1587,2416)))</f>
        <v>53890719.262317419</v>
      </c>
      <c r="B514">
        <v>250027902.99062642</v>
      </c>
    </row>
    <row r="515" spans="1:2" x14ac:dyDescent="0.25">
      <c r="A515">
        <f ca="1">32958.3527233465*((RANDBETWEEN(1587,2416)))</f>
        <v>69278457.424474359</v>
      </c>
      <c r="B515">
        <v>243565742.20640612</v>
      </c>
    </row>
    <row r="516" spans="1:2" x14ac:dyDescent="0.25">
      <c r="A516">
        <f ca="1">30435.1465088063*((RANDBETWEEN(1587,2416)))</f>
        <v>63579021.056896307</v>
      </c>
      <c r="B516">
        <v>205683905.28031778</v>
      </c>
    </row>
    <row r="517" spans="1:2" x14ac:dyDescent="0.25">
      <c r="A517">
        <f ca="1">35310.5763675968*((RANDBETWEEN(1587,2416)))</f>
        <v>67937548.931256294</v>
      </c>
      <c r="B517">
        <v>256306222.05456156</v>
      </c>
    </row>
    <row r="518" spans="1:2" x14ac:dyDescent="0.25">
      <c r="A518">
        <f ca="1">36639.1890455255*((RANDBETWEEN(1587,2416)))</f>
        <v>83683907.779980332</v>
      </c>
      <c r="B518">
        <v>249151868.42187297</v>
      </c>
    </row>
    <row r="519" spans="1:2" x14ac:dyDescent="0.25">
      <c r="A519">
        <f ca="1">32894.2490630456*((RANDBETWEEN(1587,2416)))</f>
        <v>53782097.218079567</v>
      </c>
      <c r="B519">
        <v>263494236.63169235</v>
      </c>
    </row>
    <row r="520" spans="1:2" x14ac:dyDescent="0.25">
      <c r="A520">
        <f ca="1">40913.1185924981*((RANDBETWEEN(1587,2416)))</f>
        <v>81130714.168923676</v>
      </c>
      <c r="B520">
        <v>237198947.22588581</v>
      </c>
    </row>
    <row r="521" spans="1:2" x14ac:dyDescent="0.25">
      <c r="A521">
        <f ca="1">32827.4847992805*((RANDBETWEEN(1587,2416)))</f>
        <v>66508484.203342371</v>
      </c>
      <c r="B521">
        <v>257009219.53995061</v>
      </c>
    </row>
    <row r="522" spans="1:2" x14ac:dyDescent="0.25">
      <c r="A522">
        <f ca="1">37064.0364939456*((RANDBETWEEN(1587,2416)))</f>
        <v>64602615.608947262</v>
      </c>
      <c r="B522">
        <v>247727807.83642796</v>
      </c>
    </row>
    <row r="523" spans="1:2" x14ac:dyDescent="0.25">
      <c r="A523">
        <f ca="1">36099.2628191795*((RANDBETWEEN(1587,2416)))</f>
        <v>64509382.657873742</v>
      </c>
      <c r="B523">
        <v>218232130.37448812</v>
      </c>
    </row>
    <row r="524" spans="1:2" x14ac:dyDescent="0.25">
      <c r="A524">
        <f ca="1">35766.8155846038*((RANDBETWEEN(1587,2416)))</f>
        <v>82478276.738096282</v>
      </c>
      <c r="B524">
        <v>259658257.97669888</v>
      </c>
    </row>
    <row r="525" spans="1:2" x14ac:dyDescent="0.25">
      <c r="A525">
        <f ca="1">42256.1901403199*((RANDBETWEEN(1587,2416)))</f>
        <v>80413529.837028712</v>
      </c>
      <c r="B525">
        <v>225308082.4617416</v>
      </c>
    </row>
    <row r="526" spans="1:2" x14ac:dyDescent="0.25">
      <c r="A526">
        <f ca="1">33281.9153753619*((RANDBETWEEN(1587,2416)))</f>
        <v>73220213.825796276</v>
      </c>
      <c r="B526">
        <v>225892091.54832292</v>
      </c>
    </row>
    <row r="527" spans="1:2" x14ac:dyDescent="0.25">
      <c r="A527">
        <f ca="1">34917.5929835092*((RANDBETWEEN(1587,2416)))</f>
        <v>61105787.721141092</v>
      </c>
      <c r="B527">
        <v>208966885.23916608</v>
      </c>
    </row>
    <row r="528" spans="1:2" x14ac:dyDescent="0.25">
      <c r="A528">
        <f ca="1">29981.1113277679*((RANDBETWEEN(1587,2416)))</f>
        <v>72104572.743281707</v>
      </c>
      <c r="B528">
        <v>204163023.75031</v>
      </c>
    </row>
    <row r="529" spans="1:2" x14ac:dyDescent="0.25">
      <c r="A529">
        <f ca="1">30324.8777635282*((RANDBETWEEN(1587,2416)))</f>
        <v>63197045.259192795</v>
      </c>
      <c r="B529">
        <v>224775462.40002012</v>
      </c>
    </row>
    <row r="530" spans="1:2" x14ac:dyDescent="0.25">
      <c r="A530">
        <f ca="1">32871.6135766895*((RANDBETWEEN(1587,2416)))</f>
        <v>64855693.586808376</v>
      </c>
      <c r="B530">
        <v>254183150.77734905</v>
      </c>
    </row>
    <row r="531" spans="1:2" x14ac:dyDescent="0.25">
      <c r="A531">
        <f ca="1">29451.821700847*((RANDBETWEEN(1587,2416)))</f>
        <v>50068096.89143987</v>
      </c>
      <c r="B531">
        <v>207455815.01227593</v>
      </c>
    </row>
    <row r="532" spans="1:2" x14ac:dyDescent="0.25">
      <c r="A532">
        <f ca="1">31074.9294892559*((RANDBETWEEN(1587,2416)))</f>
        <v>56245622.375553168</v>
      </c>
      <c r="B532">
        <v>225327724.80243129</v>
      </c>
    </row>
    <row r="533" spans="1:2" x14ac:dyDescent="0.25">
      <c r="A533">
        <f ca="1">33588.7933905929*((RANDBETWEEN(1587,2416)))</f>
        <v>77388579.971926048</v>
      </c>
      <c r="B533">
        <v>214020652.42013517</v>
      </c>
    </row>
    <row r="534" spans="1:2" x14ac:dyDescent="0.25">
      <c r="A534">
        <f ca="1">37714.0953159963*((RANDBETWEEN(1587,2416)))</f>
        <v>82895581.504559904</v>
      </c>
      <c r="B534">
        <v>215085944.3118405</v>
      </c>
    </row>
    <row r="535" spans="1:2" x14ac:dyDescent="0.25">
      <c r="A535">
        <f ca="1">39858.2160132702*((RANDBETWEEN(1587,2416)))</f>
        <v>94384255.519423947</v>
      </c>
      <c r="B535">
        <v>222862402.00848895</v>
      </c>
    </row>
    <row r="536" spans="1:2" x14ac:dyDescent="0.25">
      <c r="A536">
        <f ca="1">30892.0691617093*((RANDBETWEEN(1587,2416)))</f>
        <v>55543940.352753274</v>
      </c>
      <c r="B536">
        <v>241629877.14861321</v>
      </c>
    </row>
    <row r="537" spans="1:2" x14ac:dyDescent="0.25">
      <c r="A537">
        <f ca="1">36561.1285640397*((RANDBETWEEN(1587,2416)))</f>
        <v>84529329.240059778</v>
      </c>
      <c r="B537">
        <v>216094152.6017288</v>
      </c>
    </row>
    <row r="538" spans="1:2" x14ac:dyDescent="0.25">
      <c r="A538">
        <f ca="1">29413.6101215769*((RANDBETWEEN(1587,2416)))</f>
        <v>49797241.935829729</v>
      </c>
      <c r="B538">
        <v>216034671.18602133</v>
      </c>
    </row>
    <row r="539" spans="1:2" x14ac:dyDescent="0.25">
      <c r="A539">
        <f ca="1">31136.1895307646*((RANDBETWEEN(1587,2416)))</f>
        <v>50409490.850307904</v>
      </c>
      <c r="B539">
        <v>264345127.42604461</v>
      </c>
    </row>
    <row r="540" spans="1:2" x14ac:dyDescent="0.25">
      <c r="A540">
        <f ca="1">32819.7646429724*((RANDBETWEEN(1587,2416)))</f>
        <v>60552465.766284049</v>
      </c>
      <c r="B540">
        <v>227564439.84124973</v>
      </c>
    </row>
    <row r="541" spans="1:2" x14ac:dyDescent="0.25">
      <c r="A541">
        <f ca="1">30606.5397582664*((RANDBETWEEN(1587,2416)))</f>
        <v>71680516.113859966</v>
      </c>
      <c r="B541">
        <v>222987504.29640341</v>
      </c>
    </row>
    <row r="542" spans="1:2" x14ac:dyDescent="0.25">
      <c r="A542">
        <f ca="1">33474.6655852046*((RANDBETWEEN(1587,2416)))</f>
        <v>54965400.890905924</v>
      </c>
      <c r="B542">
        <v>262456309.32942241</v>
      </c>
    </row>
    <row r="543" spans="1:2" x14ac:dyDescent="0.25">
      <c r="A543">
        <f ca="1">36374.7506593439*((RANDBETWEEN(1587,2416)))</f>
        <v>60563959.847807661</v>
      </c>
      <c r="B543">
        <v>246687280.29036427</v>
      </c>
    </row>
    <row r="544" spans="1:2" x14ac:dyDescent="0.25">
      <c r="A544">
        <f ca="1">30688.8064619354*((RANDBETWEEN(1587,2416)))</f>
        <v>49439667.21017798</v>
      </c>
      <c r="B544">
        <v>209542458.24701375</v>
      </c>
    </row>
    <row r="545" spans="1:2" x14ac:dyDescent="0.25">
      <c r="A545">
        <f ca="1">31126.7843392592*((RANDBETWEEN(1587,2416)))</f>
        <v>52324124.474294707</v>
      </c>
      <c r="B545">
        <v>240997326.33601406</v>
      </c>
    </row>
    <row r="546" spans="1:2" x14ac:dyDescent="0.25">
      <c r="A546">
        <f ca="1">28210.1560239738*((RANDBETWEEN(1587,2416)))</f>
        <v>66265656.500314429</v>
      </c>
      <c r="B546">
        <v>233081564.0091686</v>
      </c>
    </row>
    <row r="547" spans="1:2" x14ac:dyDescent="0.25">
      <c r="A547">
        <f ca="1">35084.6661617649*((RANDBETWEEN(1587,2416)))</f>
        <v>81817441.489235803</v>
      </c>
      <c r="B547">
        <v>207460054.62902105</v>
      </c>
    </row>
    <row r="548" spans="1:2" x14ac:dyDescent="0.25">
      <c r="A548">
        <f ca="1">36057.1585795733*((RANDBETWEEN(1587,2416)))</f>
        <v>70095116.278690591</v>
      </c>
      <c r="B548">
        <v>210745388.77111501</v>
      </c>
    </row>
    <row r="549" spans="1:2" x14ac:dyDescent="0.25">
      <c r="A549">
        <f ca="1">36211.0972345696*((RANDBETWEEN(1587,2416)))</f>
        <v>80786957.930324778</v>
      </c>
      <c r="B549">
        <v>250030207.12420037</v>
      </c>
    </row>
    <row r="550" spans="1:2" x14ac:dyDescent="0.25">
      <c r="A550">
        <f ca="1">34683.3866801649*((RANDBETWEEN(1587,2416)))</f>
        <v>60245042.663446493</v>
      </c>
      <c r="B550">
        <v>229222186.3012647</v>
      </c>
    </row>
    <row r="551" spans="1:2" x14ac:dyDescent="0.25">
      <c r="A551">
        <f ca="1">41608.0200471091*((RANDBETWEEN(1587,2416)))</f>
        <v>94491813.526984707</v>
      </c>
      <c r="B551">
        <v>245463017.63822046</v>
      </c>
    </row>
    <row r="552" spans="1:2" x14ac:dyDescent="0.25">
      <c r="A552">
        <f ca="1">33184.212581274*((RANDBETWEEN(1587,2416)))</f>
        <v>74631294.095285207</v>
      </c>
      <c r="B552">
        <v>204348433.2396968</v>
      </c>
    </row>
    <row r="553" spans="1:2" x14ac:dyDescent="0.25">
      <c r="A553">
        <f ca="1">33193.3353238961*((RANDBETWEEN(1587,2416)))</f>
        <v>53540849.877444334</v>
      </c>
      <c r="B553">
        <v>243046187.95496398</v>
      </c>
    </row>
    <row r="554" spans="1:2" x14ac:dyDescent="0.25">
      <c r="A554">
        <f ca="1">31943.1866354971*((RANDBETWEEN(1587,2416)))</f>
        <v>65164100.736414172</v>
      </c>
      <c r="B554">
        <v>244657553.64520562</v>
      </c>
    </row>
    <row r="555" spans="1:2" x14ac:dyDescent="0.25">
      <c r="A555">
        <f ca="1">29495.0318853516*((RANDBETWEEN(1587,2416)))</f>
        <v>54270858.669046938</v>
      </c>
      <c r="B555">
        <v>233978490.47188184</v>
      </c>
    </row>
    <row r="556" spans="1:2" x14ac:dyDescent="0.25">
      <c r="A556">
        <f ca="1">36843.2274397072*((RANDBETWEEN(1587,2416)))</f>
        <v>88497432.310176805</v>
      </c>
      <c r="B556">
        <v>257152117.36705583</v>
      </c>
    </row>
    <row r="557" spans="1:2" x14ac:dyDescent="0.25">
      <c r="A557">
        <f ca="1">40935.9084954213*((RANDBETWEEN(1587,2416)))</f>
        <v>90795845.042844504</v>
      </c>
      <c r="B557">
        <v>218058899.75114495</v>
      </c>
    </row>
    <row r="558" spans="1:2" x14ac:dyDescent="0.25">
      <c r="A558">
        <f ca="1">37124.1576198978*((RANDBETWEEN(1587,2416)))</f>
        <v>59844142.083275184</v>
      </c>
      <c r="B558">
        <v>219263636.67839897</v>
      </c>
    </row>
    <row r="559" spans="1:2" x14ac:dyDescent="0.25">
      <c r="A559">
        <f ca="1">37202.7267432836*((RANDBETWEEN(1587,2416)))</f>
        <v>75149508.021432772</v>
      </c>
      <c r="B559">
        <v>205913357.38698235</v>
      </c>
    </row>
    <row r="560" spans="1:2" x14ac:dyDescent="0.25">
      <c r="A560">
        <f ca="1">34589.1706318317*((RANDBETWEEN(1587,2416)))</f>
        <v>75646516.171815827</v>
      </c>
      <c r="B560">
        <v>241134708.04323986</v>
      </c>
    </row>
    <row r="561" spans="1:2" x14ac:dyDescent="0.25">
      <c r="A561">
        <f ca="1">39105.9221689012*((RANDBETWEEN(1587,2416)))</f>
        <v>86306770.226764843</v>
      </c>
      <c r="B561">
        <v>249355732.0950363</v>
      </c>
    </row>
    <row r="562" spans="1:2" x14ac:dyDescent="0.25">
      <c r="A562">
        <f ca="1">36243.1558041008*((RANDBETWEEN(1587,2416)))</f>
        <v>66542434.056329116</v>
      </c>
      <c r="B562">
        <v>248324957.89424181</v>
      </c>
    </row>
    <row r="563" spans="1:2" x14ac:dyDescent="0.25">
      <c r="A563">
        <f ca="1">30069.9650557804*((RANDBETWEEN(1587,2416)))</f>
        <v>52622438.847615659</v>
      </c>
      <c r="B563">
        <v>236919671.76231512</v>
      </c>
    </row>
    <row r="564" spans="1:2" x14ac:dyDescent="0.25">
      <c r="A564">
        <f ca="1">39395.0285629115*((RANDBETWEEN(1587,2416)))</f>
        <v>71580766.898810282</v>
      </c>
      <c r="B564">
        <v>245148155.91887379</v>
      </c>
    </row>
    <row r="565" spans="1:2" x14ac:dyDescent="0.25">
      <c r="A565">
        <f ca="1">29425.0896866293*((RANDBETWEEN(1587,2416)))</f>
        <v>60645109.844143115</v>
      </c>
      <c r="B565">
        <v>229746640.87702361</v>
      </c>
    </row>
    <row r="566" spans="1:2" x14ac:dyDescent="0.25">
      <c r="A566">
        <f ca="1">34792.602724209*((RANDBETWEEN(1587,2416)))</f>
        <v>72646954.488148391</v>
      </c>
      <c r="B566">
        <v>215340659.7926749</v>
      </c>
    </row>
    <row r="567" spans="1:2" x14ac:dyDescent="0.25">
      <c r="A567">
        <f ca="1">38465.2164143102*((RANDBETWEEN(1587,2416)))</f>
        <v>83084867.45490995</v>
      </c>
      <c r="B567">
        <v>230330751.72263637</v>
      </c>
    </row>
    <row r="568" spans="1:2" x14ac:dyDescent="0.25">
      <c r="A568">
        <f ca="1">41397.6359584339*((RANDBETWEEN(1587,2416)))</f>
        <v>75385095.080308154</v>
      </c>
      <c r="B568">
        <v>249457436.21224031</v>
      </c>
    </row>
    <row r="569" spans="1:2" x14ac:dyDescent="0.25">
      <c r="A569">
        <f ca="1">30647.6720142964*((RANDBETWEEN(1587,2416)))</f>
        <v>60958219.636435628</v>
      </c>
      <c r="B569">
        <v>203830192.19973174</v>
      </c>
    </row>
    <row r="570" spans="1:2" x14ac:dyDescent="0.25">
      <c r="A570">
        <f ca="1">28958.3194378257*((RANDBETWEEN(1587,2416)))</f>
        <v>49779351.113622449</v>
      </c>
      <c r="B570">
        <v>249227340.74489138</v>
      </c>
    </row>
    <row r="571" spans="1:2" x14ac:dyDescent="0.25">
      <c r="A571">
        <f ca="1">39178.7861429453*((RANDBETWEEN(1587,2416)))</f>
        <v>82823953.906186447</v>
      </c>
      <c r="B571">
        <v>266383849.43080112</v>
      </c>
    </row>
    <row r="572" spans="1:2" x14ac:dyDescent="0.25">
      <c r="A572">
        <f ca="1">34248.5365605884*((RANDBETWEEN(1587,2416)))</f>
        <v>67640859.707162008</v>
      </c>
      <c r="B572">
        <v>225700079.14392525</v>
      </c>
    </row>
    <row r="573" spans="1:2" x14ac:dyDescent="0.25">
      <c r="A573">
        <f ca="1">30771.1546517286*((RANDBETWEEN(1587,2416)))</f>
        <v>70989053.781537801</v>
      </c>
      <c r="B573">
        <v>237099112.4721238</v>
      </c>
    </row>
    <row r="574" spans="1:2" x14ac:dyDescent="0.25">
      <c r="A574">
        <f ca="1">39721.5832995135*((RANDBETWEEN(1587,2416)))</f>
        <v>63316203.779424518</v>
      </c>
      <c r="B574">
        <v>227828912.24441594</v>
      </c>
    </row>
    <row r="575" spans="1:2" x14ac:dyDescent="0.25">
      <c r="A575">
        <f ca="1">33368.3860386394*((RANDBETWEEN(1587,2416)))</f>
        <v>67837928.816553935</v>
      </c>
      <c r="B575">
        <v>231253845.88955656</v>
      </c>
    </row>
    <row r="576" spans="1:2" x14ac:dyDescent="0.25">
      <c r="A576">
        <f ca="1">32669.713682189*((RANDBETWEEN(1587,2416)))</f>
        <v>62921868.551896043</v>
      </c>
      <c r="B576">
        <v>237286989.3600038</v>
      </c>
    </row>
    <row r="577" spans="1:2" x14ac:dyDescent="0.25">
      <c r="A577">
        <f ca="1">36376.7591216243*((RANDBETWEEN(1587,2416)))</f>
        <v>59912522.273315236</v>
      </c>
      <c r="B577">
        <v>217301248.15285891</v>
      </c>
    </row>
    <row r="578" spans="1:2" x14ac:dyDescent="0.25">
      <c r="A578">
        <f ca="1">36955.4820920044*((RANDBETWEEN(1587,2416)))</f>
        <v>78789087.820153445</v>
      </c>
      <c r="B578">
        <v>236640383.05002058</v>
      </c>
    </row>
    <row r="579" spans="1:2" x14ac:dyDescent="0.25">
      <c r="A579">
        <f ca="1">36018.363690109*((RANDBETWEEN(1587,2416)))</f>
        <v>63896577.186253302</v>
      </c>
      <c r="B579">
        <v>237909617.06040531</v>
      </c>
    </row>
    <row r="580" spans="1:2" x14ac:dyDescent="0.25">
      <c r="A580">
        <f ca="1">30679.5428167494*((RANDBETWEEN(1587,2416)))</f>
        <v>54640265.756630741</v>
      </c>
      <c r="B580">
        <v>229372536.24191913</v>
      </c>
    </row>
    <row r="581" spans="1:2" x14ac:dyDescent="0.25">
      <c r="A581">
        <f ca="1">30346.2696748733*((RANDBETWEEN(1587,2416)))</f>
        <v>55048133.190220103</v>
      </c>
      <c r="B581">
        <v>241964106.20176435</v>
      </c>
    </row>
    <row r="582" spans="1:2" x14ac:dyDescent="0.25">
      <c r="A582">
        <f ca="1">30138.0466056223*((RANDBETWEEN(1587,2416)))</f>
        <v>56117042.779668689</v>
      </c>
      <c r="B582">
        <v>217624681.31282702</v>
      </c>
    </row>
    <row r="583" spans="1:2" x14ac:dyDescent="0.25">
      <c r="A583">
        <f ca="1">31134.4788043813*((RANDBETWEEN(1587,2416)))</f>
        <v>60618830.232130483</v>
      </c>
      <c r="B583">
        <v>249979369.55942136</v>
      </c>
    </row>
    <row r="584" spans="1:2" x14ac:dyDescent="0.25">
      <c r="A584">
        <f ca="1">37906.1292783189*((RANDBETWEEN(1587,2416)))</f>
        <v>63606484.929019086</v>
      </c>
      <c r="B584">
        <v>213047900.84367031</v>
      </c>
    </row>
    <row r="585" spans="1:2" x14ac:dyDescent="0.25">
      <c r="A585">
        <f ca="1">39269.8599813871*((RANDBETWEEN(1587,2416)))</f>
        <v>78343370.662867278</v>
      </c>
      <c r="B585">
        <v>238517371.80599493</v>
      </c>
    </row>
    <row r="586" spans="1:2" x14ac:dyDescent="0.25">
      <c r="A586">
        <f ca="1">36391.3836827732*((RANDBETWEEN(1587,2416)))</f>
        <v>81480308.065729082</v>
      </c>
      <c r="B586">
        <v>211262916.25693429</v>
      </c>
    </row>
    <row r="587" spans="1:2" x14ac:dyDescent="0.25">
      <c r="A587">
        <f ca="1">32542.7599863767*((RANDBETWEEN(1587,2416)))</f>
        <v>56624402.376295485</v>
      </c>
      <c r="B587">
        <v>267638753.2283856</v>
      </c>
    </row>
    <row r="588" spans="1:2" x14ac:dyDescent="0.25">
      <c r="A588">
        <f ca="1">31607.9329158876*((RANDBETWEEN(1587,2416)))</f>
        <v>60971702.594747208</v>
      </c>
      <c r="B588">
        <v>252244023.19327337</v>
      </c>
    </row>
    <row r="589" spans="1:2" x14ac:dyDescent="0.25">
      <c r="A589">
        <f ca="1">40760.7630975882*((RANDBETWEEN(1587,2416)))</f>
        <v>76263387.755587578</v>
      </c>
      <c r="B589">
        <v>233447381.91425014</v>
      </c>
    </row>
    <row r="590" spans="1:2" x14ac:dyDescent="0.25">
      <c r="A590">
        <f ca="1">39000.0302940696*((RANDBETWEEN(1587,2416)))</f>
        <v>64155049.833744526</v>
      </c>
      <c r="B590">
        <v>257921568.73041606</v>
      </c>
    </row>
    <row r="591" spans="1:2" x14ac:dyDescent="0.25">
      <c r="A591">
        <f ca="1">38614.5645775396*((RANDBETWEEN(1587,2416)))</f>
        <v>62594209.180191755</v>
      </c>
      <c r="B591">
        <v>226823170.8858065</v>
      </c>
    </row>
    <row r="592" spans="1:2" x14ac:dyDescent="0.25">
      <c r="A592">
        <f ca="1">34242.8853391834*((RANDBETWEEN(1587,2416)))</f>
        <v>71738844.785589233</v>
      </c>
      <c r="B592">
        <v>246216220.34303373</v>
      </c>
    </row>
    <row r="593" spans="1:2" x14ac:dyDescent="0.25">
      <c r="A593">
        <f ca="1">30734.4450854265*((RANDBETWEEN(1587,2416)))</f>
        <v>51265054.402491465</v>
      </c>
      <c r="B593">
        <v>254720969.46276516</v>
      </c>
    </row>
    <row r="594" spans="1:2" x14ac:dyDescent="0.25">
      <c r="A594">
        <f ca="1">34370.4921996323*((RANDBETWEEN(1587,2416)))</f>
        <v>70287656.548247948</v>
      </c>
      <c r="B594">
        <v>235790708.36687016</v>
      </c>
    </row>
    <row r="595" spans="1:2" x14ac:dyDescent="0.25">
      <c r="A595">
        <f ca="1">32009.1324952654*((RANDBETWEEN(1587,2416)))</f>
        <v>73108858.619186282</v>
      </c>
      <c r="B595">
        <v>217972037.21265021</v>
      </c>
    </row>
    <row r="596" spans="1:2" x14ac:dyDescent="0.25">
      <c r="A596">
        <f ca="1">30117.8065046281*((RANDBETWEEN(1587,2416)))</f>
        <v>68789070.056570664</v>
      </c>
      <c r="B596">
        <v>222497335.21502814</v>
      </c>
    </row>
    <row r="597" spans="1:2" x14ac:dyDescent="0.25">
      <c r="A597">
        <f ca="1">34239.8623870127*((RANDBETWEEN(1587,2416)))</f>
        <v>61494792.847074896</v>
      </c>
      <c r="B597">
        <v>210917977.52430615</v>
      </c>
    </row>
    <row r="598" spans="1:2" x14ac:dyDescent="0.25">
      <c r="A598">
        <f ca="1">32860.0899904659*((RANDBETWEEN(1587,2416)))</f>
        <v>67856085.830312133</v>
      </c>
      <c r="B598">
        <v>250577795.68504497</v>
      </c>
    </row>
    <row r="599" spans="1:2" x14ac:dyDescent="0.25">
      <c r="A599">
        <f ca="1">33313.6245807584*((RANDBETWEEN(1587,2416)))</f>
        <v>70391688.739142403</v>
      </c>
      <c r="B599">
        <v>254390348.25939563</v>
      </c>
    </row>
    <row r="600" spans="1:2" x14ac:dyDescent="0.25">
      <c r="A600">
        <f ca="1">34373.7663263301*((RANDBETWEEN(1587,2416)))</f>
        <v>55582380.149675831</v>
      </c>
      <c r="B600">
        <v>244151024.55442038</v>
      </c>
    </row>
    <row r="601" spans="1:2" x14ac:dyDescent="0.25">
      <c r="A601">
        <f ca="1">29396.7429554435*((RANDBETWEEN(1587,2416)))</f>
        <v>49974463.024254009</v>
      </c>
      <c r="B601">
        <v>245365760.37089121</v>
      </c>
    </row>
    <row r="602" spans="1:2" x14ac:dyDescent="0.25">
      <c r="A602">
        <f ca="1">40511.1988074625*((RANDBETWEEN(1587,2416)))</f>
        <v>76809232.938949063</v>
      </c>
      <c r="B602">
        <v>224456863.32503137</v>
      </c>
    </row>
    <row r="603" spans="1:2" x14ac:dyDescent="0.25">
      <c r="A603">
        <f ca="1">30529.5695976794*((RANDBETWEEN(1587,2416)))</f>
        <v>67287171.393285468</v>
      </c>
      <c r="B603">
        <v>254777482.73187286</v>
      </c>
    </row>
    <row r="604" spans="1:2" x14ac:dyDescent="0.25">
      <c r="A604">
        <f ca="1">32843.1301155444*((RANDBETWEEN(1587,2416)))</f>
        <v>61843614.007570192</v>
      </c>
      <c r="B604">
        <v>232318210.3117235</v>
      </c>
    </row>
    <row r="605" spans="1:2" x14ac:dyDescent="0.25">
      <c r="A605">
        <f ca="1">41459.514247725*((RANDBETWEEN(1587,2416)))</f>
        <v>77446372.614750296</v>
      </c>
      <c r="B605">
        <v>217103533.18991432</v>
      </c>
    </row>
    <row r="606" spans="1:2" x14ac:dyDescent="0.25">
      <c r="A606">
        <f ca="1">31219.826856708*((RANDBETWEEN(1587,2416)))</f>
        <v>49608304.875309013</v>
      </c>
      <c r="B606">
        <v>227403133.12530339</v>
      </c>
    </row>
    <row r="607" spans="1:2" x14ac:dyDescent="0.25">
      <c r="A607">
        <f ca="1">34470.3933356968*((RANDBETWEEN(1587,2416)))</f>
        <v>63253171.771003567</v>
      </c>
      <c r="B607">
        <v>206709059.83617657</v>
      </c>
    </row>
    <row r="608" spans="1:2" x14ac:dyDescent="0.25">
      <c r="A608">
        <f ca="1">32348.9465120401*((RANDBETWEEN(1587,2416)))</f>
        <v>52631735.975089215</v>
      </c>
      <c r="B608">
        <v>217130545.82546797</v>
      </c>
    </row>
    <row r="609" spans="1:2" x14ac:dyDescent="0.25">
      <c r="A609">
        <f ca="1">32429.5199777855*((RANDBETWEEN(1587,2416)))</f>
        <v>62945698.276881576</v>
      </c>
      <c r="B609">
        <v>223097683.56261274</v>
      </c>
    </row>
    <row r="610" spans="1:2" x14ac:dyDescent="0.25">
      <c r="A610">
        <f ca="1">36636.9304760934*((RANDBETWEEN(1587,2416)))</f>
        <v>59608285.884604037</v>
      </c>
      <c r="B610">
        <v>235438471.46507302</v>
      </c>
    </row>
    <row r="611" spans="1:2" x14ac:dyDescent="0.25">
      <c r="A611">
        <f ca="1">30400.432299663*((RANDBETWEEN(1587,2416)))</f>
        <v>48519089.950262152</v>
      </c>
      <c r="B611">
        <v>212251896.60755539</v>
      </c>
    </row>
    <row r="612" spans="1:2" x14ac:dyDescent="0.25">
      <c r="A612">
        <f ca="1">36398.6374460225*((RANDBETWEEN(1587,2416)))</f>
        <v>71377728.031650305</v>
      </c>
      <c r="B612">
        <v>210477927.82951996</v>
      </c>
    </row>
    <row r="613" spans="1:2" x14ac:dyDescent="0.25">
      <c r="A613">
        <f ca="1">35299.5419823764*((RANDBETWEEN(1587,2416)))</f>
        <v>78823877.246646479</v>
      </c>
      <c r="B613">
        <v>206248581.66449267</v>
      </c>
    </row>
    <row r="614" spans="1:2" x14ac:dyDescent="0.25">
      <c r="A614">
        <f ca="1">37516.5450902938*((RANDBETWEEN(1587,2416)))</f>
        <v>64340874.829853937</v>
      </c>
      <c r="B614">
        <v>265731679.72667527</v>
      </c>
    </row>
    <row r="615" spans="1:2" x14ac:dyDescent="0.25">
      <c r="A615">
        <f ca="1">38708.1253108832*((RANDBETWEEN(1587,2416)))</f>
        <v>93131749.49798505</v>
      </c>
      <c r="B615">
        <v>255756185.63364726</v>
      </c>
    </row>
    <row r="616" spans="1:2" x14ac:dyDescent="0.25">
      <c r="A616">
        <f ca="1">29371.1171596323*((RANDBETWEEN(1587,2416)))</f>
        <v>59212172.193818659</v>
      </c>
      <c r="B616">
        <v>250846829.10220677</v>
      </c>
    </row>
    <row r="617" spans="1:2" x14ac:dyDescent="0.25">
      <c r="A617">
        <f ca="1">34381.0110831827*((RANDBETWEEN(1587,2416)))</f>
        <v>64051823.647969283</v>
      </c>
      <c r="B617">
        <v>240699159.31478441</v>
      </c>
    </row>
    <row r="618" spans="1:2" x14ac:dyDescent="0.25">
      <c r="A618">
        <f ca="1">35523.9125118478*((RANDBETWEEN(1587,2416)))</f>
        <v>67140194.647392303</v>
      </c>
      <c r="B618">
        <v>258128742.66253662</v>
      </c>
    </row>
    <row r="619" spans="1:2" x14ac:dyDescent="0.25">
      <c r="A619">
        <f ca="1">39547.9598039593*((RANDBETWEEN(1587,2416)))</f>
        <v>86689127.890278861</v>
      </c>
      <c r="B619">
        <v>241939861.20917213</v>
      </c>
    </row>
    <row r="620" spans="1:2" x14ac:dyDescent="0.25">
      <c r="A620">
        <f ca="1">38323.4182862267*((RANDBETWEEN(1587,2416)))</f>
        <v>88105538.640035138</v>
      </c>
      <c r="B620">
        <v>217902769.86401206</v>
      </c>
    </row>
    <row r="621" spans="1:2" x14ac:dyDescent="0.25">
      <c r="A621">
        <f ca="1">31710.4905214243*((RANDBETWEEN(1587,2416)))</f>
        <v>59774274.632884756</v>
      </c>
      <c r="B621">
        <v>245011716.25342578</v>
      </c>
    </row>
    <row r="622" spans="1:2" x14ac:dyDescent="0.25">
      <c r="A622">
        <f ca="1">32550.7404226479*((RANDBETWEEN(1587,2416)))</f>
        <v>70765309.678836614</v>
      </c>
      <c r="B622">
        <v>226190164.53033319</v>
      </c>
    </row>
    <row r="623" spans="1:2" x14ac:dyDescent="0.25">
      <c r="A623">
        <f ca="1">32571.0956509217*((RANDBETWEEN(1587,2416)))</f>
        <v>70874704.136405528</v>
      </c>
      <c r="B623">
        <v>243050783.13473961</v>
      </c>
    </row>
    <row r="624" spans="1:2" x14ac:dyDescent="0.25">
      <c r="A624">
        <f ca="1">29093.6302518373*((RANDBETWEEN(1587,2416)))</f>
        <v>58478196.806193002</v>
      </c>
      <c r="B624">
        <v>220110909.60430095</v>
      </c>
    </row>
    <row r="625" spans="1:2" x14ac:dyDescent="0.25">
      <c r="A625">
        <f ca="1">36645.233039969*((RANDBETWEEN(1587,2416)))</f>
        <v>80985965.018331513</v>
      </c>
      <c r="B625">
        <v>206107949.85357279</v>
      </c>
    </row>
    <row r="626" spans="1:2" x14ac:dyDescent="0.25">
      <c r="A626">
        <f ca="1">34498.7859077624*((RANDBETWEEN(1587,2416)))</f>
        <v>74724370.276213363</v>
      </c>
      <c r="B626">
        <v>214758717.56276625</v>
      </c>
    </row>
    <row r="627" spans="1:2" x14ac:dyDescent="0.25">
      <c r="A627">
        <f ca="1">35166.8721338372*((RANDBETWEEN(1587,2416)))</f>
        <v>78211123.625653878</v>
      </c>
      <c r="B627">
        <v>209513406.21087682</v>
      </c>
    </row>
    <row r="628" spans="1:2" x14ac:dyDescent="0.25">
      <c r="A628">
        <f ca="1">32662.4234288255*((RANDBETWEEN(1587,2416)))</f>
        <v>62613865.713058569</v>
      </c>
      <c r="B628">
        <v>204683902.10498518</v>
      </c>
    </row>
    <row r="629" spans="1:2" x14ac:dyDescent="0.25">
      <c r="A629">
        <f ca="1">41417.8478977178*((RANDBETWEEN(1587,2416)))</f>
        <v>80516296.313163489</v>
      </c>
      <c r="B629">
        <v>255205483.70828086</v>
      </c>
    </row>
    <row r="630" spans="1:2" x14ac:dyDescent="0.25">
      <c r="A630">
        <f ca="1">35739.1811293116*((RANDBETWEEN(1587,2416)))</f>
        <v>77982893.224157959</v>
      </c>
      <c r="B630">
        <v>265151884.16830817</v>
      </c>
    </row>
    <row r="631" spans="1:2" x14ac:dyDescent="0.25">
      <c r="A631">
        <f ca="1">30062.706582972*((RANDBETWEEN(1587,2416)))</f>
        <v>50655660.592307746</v>
      </c>
      <c r="B631">
        <v>218647837.54817152</v>
      </c>
    </row>
    <row r="632" spans="1:2" x14ac:dyDescent="0.25">
      <c r="A632">
        <f ca="1">39460.900383225*((RANDBETWEEN(1587,2416)))</f>
        <v>76633068.544222996</v>
      </c>
      <c r="B632">
        <v>220272786.41835189</v>
      </c>
    </row>
    <row r="633" spans="1:2" x14ac:dyDescent="0.25">
      <c r="A633">
        <f ca="1">31518.1781512932*((RANDBETWEEN(1587,2416)))</f>
        <v>57520675.126110084</v>
      </c>
      <c r="B633">
        <v>259026321.0488275</v>
      </c>
    </row>
    <row r="634" spans="1:2" x14ac:dyDescent="0.25">
      <c r="A634">
        <f ca="1">30785.8163254876*((RANDBETWEEN(1587,2416)))</f>
        <v>69175729.283370554</v>
      </c>
      <c r="B634">
        <v>205046646.40879029</v>
      </c>
    </row>
    <row r="635" spans="1:2" x14ac:dyDescent="0.25">
      <c r="A635">
        <f ca="1">30782.2821851705*((RANDBETWEEN(1587,2416)))</f>
        <v>67228504.29241246</v>
      </c>
      <c r="B635">
        <v>262277831.6229271</v>
      </c>
    </row>
    <row r="636" spans="1:2" x14ac:dyDescent="0.25">
      <c r="A636">
        <f ca="1">38506.7881189194*((RANDBETWEEN(1587,2416)))</f>
        <v>81210816.142800942</v>
      </c>
      <c r="B636">
        <v>252222265.31738612</v>
      </c>
    </row>
    <row r="637" spans="1:2" x14ac:dyDescent="0.25">
      <c r="A637">
        <f ca="1">31133.1295724502*((RANDBETWEEN(1587,2416)))</f>
        <v>62577590.440624967</v>
      </c>
      <c r="B637">
        <v>258977031.37498268</v>
      </c>
    </row>
    <row r="638" spans="1:2" x14ac:dyDescent="0.25">
      <c r="A638">
        <f ca="1">33528.7975377606*((RANDBETWEEN(1587,2416)))</f>
        <v>69806956.473617673</v>
      </c>
      <c r="B638">
        <v>265064109.78084791</v>
      </c>
    </row>
    <row r="639" spans="1:2" x14ac:dyDescent="0.25">
      <c r="A639">
        <f ca="1">39471.862567725*((RANDBETWEEN(1587,2416)))</f>
        <v>67852131.753919229</v>
      </c>
      <c r="B639">
        <v>247524751.02816653</v>
      </c>
    </row>
    <row r="640" spans="1:2" x14ac:dyDescent="0.25">
      <c r="A640">
        <f ca="1">34043.8389313862*((RANDBETWEEN(1587,2416)))</f>
        <v>74862401.810118169</v>
      </c>
      <c r="B640">
        <v>230545218.92959243</v>
      </c>
    </row>
    <row r="641" spans="1:2" x14ac:dyDescent="0.25">
      <c r="A641">
        <f ca="1">34793.5943370335*((RANDBETWEEN(1587,2416)))</f>
        <v>56887526.741049789</v>
      </c>
      <c r="B641">
        <v>240985514.10156518</v>
      </c>
    </row>
    <row r="642" spans="1:2" x14ac:dyDescent="0.25">
      <c r="A642">
        <f ca="1">38204.3503402999*((RANDBETWEEN(1587,2416)))</f>
        <v>71709565.588742822</v>
      </c>
      <c r="B642">
        <v>209152408.96426281</v>
      </c>
    </row>
    <row r="643" spans="1:2" x14ac:dyDescent="0.25">
      <c r="A643">
        <f ca="1">32867.36415941*((RANDBETWEEN(1587,2416)))</f>
        <v>73590028.352919027</v>
      </c>
      <c r="B643">
        <v>229707849.52847892</v>
      </c>
    </row>
    <row r="644" spans="1:2" x14ac:dyDescent="0.25">
      <c r="A644">
        <f ca="1">40968.7771196154*((RANDBETWEEN(1587,2416)))</f>
        <v>89926465.777555719</v>
      </c>
      <c r="B644">
        <v>213102075.19835201</v>
      </c>
    </row>
    <row r="645" spans="1:2" x14ac:dyDescent="0.25">
      <c r="A645">
        <f ca="1">30220.5564943345*((RANDBETWEEN(1587,2416)))</f>
        <v>57811924.573661886</v>
      </c>
      <c r="B645">
        <v>228024015.05248973</v>
      </c>
    </row>
    <row r="646" spans="1:2" x14ac:dyDescent="0.25">
      <c r="A646">
        <f ca="1">34865.4222704957*((RANDBETWEEN(1587,2416)))</f>
        <v>64431300.355876118</v>
      </c>
      <c r="B646">
        <v>229667115.59395522</v>
      </c>
    </row>
    <row r="647" spans="1:2" x14ac:dyDescent="0.25">
      <c r="A647">
        <f ca="1">30397.2972146059*((RANDBETWEEN(1587,2416)))</f>
        <v>55596656.605514206</v>
      </c>
      <c r="B647">
        <v>215096890.90332574</v>
      </c>
    </row>
    <row r="648" spans="1:2" x14ac:dyDescent="0.25">
      <c r="A648">
        <f ca="1">31491.4565471968*((RANDBETWEEN(1587,2416)))</f>
        <v>72020961.123439029</v>
      </c>
      <c r="B648">
        <v>211241156.32696187</v>
      </c>
    </row>
    <row r="649" spans="1:2" x14ac:dyDescent="0.25">
      <c r="A649">
        <f ca="1">30122.9829127566*((RANDBETWEEN(1587,2416)))</f>
        <v>59010923.526090115</v>
      </c>
      <c r="B649">
        <v>215586024.37423033</v>
      </c>
    </row>
    <row r="650" spans="1:2" x14ac:dyDescent="0.25">
      <c r="A650">
        <f ca="1">29997.7035750702*((RANDBETWEEN(1587,2416)))</f>
        <v>58975485.228588045</v>
      </c>
      <c r="B650">
        <v>220802584.78083569</v>
      </c>
    </row>
    <row r="651" spans="1:2" x14ac:dyDescent="0.25">
      <c r="A651">
        <f ca="1">31714.1724229*((RANDBETWEEN(1587,2416)))</f>
        <v>69105181.709499076</v>
      </c>
      <c r="B651">
        <v>252146446.63016576</v>
      </c>
    </row>
    <row r="652" spans="1:2" x14ac:dyDescent="0.25">
      <c r="A652">
        <f ca="1">35188.1152323133*((RANDBETWEEN(1587,2416)))</f>
        <v>75337754.712382734</v>
      </c>
      <c r="B652">
        <v>239767739.49015945</v>
      </c>
    </row>
    <row r="653" spans="1:2" x14ac:dyDescent="0.25">
      <c r="A653">
        <f ca="1">31024.6045514373*((RANDBETWEEN(1587,2416)))</f>
        <v>50725228.441599913</v>
      </c>
      <c r="B653">
        <v>206730416.53814626</v>
      </c>
    </row>
    <row r="654" spans="1:2" x14ac:dyDescent="0.25">
      <c r="A654">
        <f ca="1">40660.2279230355*((RANDBETWEEN(1587,2416)))</f>
        <v>77295093.281690523</v>
      </c>
      <c r="B654">
        <v>252850354.24000221</v>
      </c>
    </row>
    <row r="655" spans="1:2" x14ac:dyDescent="0.25">
      <c r="A655">
        <f ca="1">33752.88272896*((RANDBETWEEN(1587,2416)))</f>
        <v>73345014.170030132</v>
      </c>
      <c r="B655">
        <v>215129737.49802417</v>
      </c>
    </row>
    <row r="656" spans="1:2" x14ac:dyDescent="0.25">
      <c r="A656">
        <f ca="1">35272.4110893615*((RANDBETWEEN(1587,2416)))</f>
        <v>68534294.746629387</v>
      </c>
      <c r="B656">
        <v>235754669.65781838</v>
      </c>
    </row>
    <row r="657" spans="1:2" x14ac:dyDescent="0.25">
      <c r="A657">
        <f ca="1">32365.5108627865*((RANDBETWEEN(1587,2416)))</f>
        <v>66737683.399065763</v>
      </c>
      <c r="B657">
        <v>211825174.25068122</v>
      </c>
    </row>
    <row r="658" spans="1:2" x14ac:dyDescent="0.25">
      <c r="A658">
        <f ca="1">40785.4668044378*((RANDBETWEEN(1587,2416)))</f>
        <v>74351905.984490141</v>
      </c>
      <c r="B658">
        <v>216523321.45187187</v>
      </c>
    </row>
    <row r="659" spans="1:2" x14ac:dyDescent="0.25">
      <c r="A659">
        <f ca="1">35155.2790253387*((RANDBETWEEN(1587,2416)))</f>
        <v>77236148.018669114</v>
      </c>
      <c r="B659">
        <v>213804896.72551987</v>
      </c>
    </row>
    <row r="660" spans="1:2" x14ac:dyDescent="0.25">
      <c r="A660">
        <f ca="1">33518.9010167258*((RANDBETWEEN(1587,2416)))</f>
        <v>56144159.203015715</v>
      </c>
      <c r="B660">
        <v>215683891.47581935</v>
      </c>
    </row>
    <row r="661" spans="1:2" x14ac:dyDescent="0.25">
      <c r="A661">
        <f ca="1">28874.9229933105*((RANDBETWEEN(1587,2416)))</f>
        <v>48827494.781688005</v>
      </c>
      <c r="B661">
        <v>203783836.10117954</v>
      </c>
    </row>
    <row r="662" spans="1:2" x14ac:dyDescent="0.25">
      <c r="A662">
        <f ca="1">39020.2647457106*((RANDBETWEEN(1587,2416)))</f>
        <v>92946270.624282718</v>
      </c>
      <c r="B662">
        <v>260403262.11494711</v>
      </c>
    </row>
    <row r="663" spans="1:2" x14ac:dyDescent="0.25">
      <c r="A663">
        <f ca="1">31298.9752202959*((RANDBETWEEN(1587,2416)))</f>
        <v>62065867.861846767</v>
      </c>
      <c r="B663">
        <v>241529306.8099308</v>
      </c>
    </row>
    <row r="664" spans="1:2" x14ac:dyDescent="0.25">
      <c r="A664">
        <f ca="1">29114.6749757884*((RANDBETWEEN(1587,2416)))</f>
        <v>62334519.123163007</v>
      </c>
      <c r="B664">
        <v>249331065.82188737</v>
      </c>
    </row>
    <row r="665" spans="1:2" x14ac:dyDescent="0.25">
      <c r="A665">
        <f ca="1">34541.4197052801*((RANDBETWEEN(1587,2416)))</f>
        <v>59825738.929545164</v>
      </c>
      <c r="B665">
        <v>251497888.79922482</v>
      </c>
    </row>
    <row r="666" spans="1:2" x14ac:dyDescent="0.25">
      <c r="A666">
        <f ca="1">41829.4215316574*((RANDBETWEEN(1587,2416)))</f>
        <v>66508780.235335261</v>
      </c>
      <c r="B666">
        <v>266941014.86238763</v>
      </c>
    </row>
    <row r="667" spans="1:2" x14ac:dyDescent="0.25">
      <c r="A667">
        <f ca="1">39659.4001741541*((RANDBETWEEN(1587,2416)))</f>
        <v>89630244.393588319</v>
      </c>
      <c r="B667">
        <v>256203725.33219174</v>
      </c>
    </row>
    <row r="668" spans="1:2" x14ac:dyDescent="0.25">
      <c r="A668">
        <f ca="1">39144.2083058742*((RANDBETWEEN(1587,2416)))</f>
        <v>78249272.403442591</v>
      </c>
      <c r="B668">
        <v>244283509.66673148</v>
      </c>
    </row>
    <row r="669" spans="1:2" x14ac:dyDescent="0.25">
      <c r="A669">
        <f ca="1">33356.6709434225*((RANDBETWEEN(1587,2416)))</f>
        <v>63844668.185710691</v>
      </c>
      <c r="B669">
        <v>229330014.41761401</v>
      </c>
    </row>
    <row r="670" spans="1:2" x14ac:dyDescent="0.25">
      <c r="A670">
        <f ca="1">35159.6781447958*((RANDBETWEEN(1587,2416)))</f>
        <v>74292399.919953451</v>
      </c>
      <c r="B670">
        <v>245922265.07580125</v>
      </c>
    </row>
    <row r="671" spans="1:2" x14ac:dyDescent="0.25">
      <c r="A671">
        <f ca="1">31326.9425374953*((RANDBETWEEN(1587,2416)))</f>
        <v>59959768.016765922</v>
      </c>
      <c r="B671">
        <v>211308587.5516662</v>
      </c>
    </row>
    <row r="672" spans="1:2" x14ac:dyDescent="0.25">
      <c r="A672">
        <f ca="1">31307.1951515691*((RANDBETWEEN(1587,2416)))</f>
        <v>61456024.082530208</v>
      </c>
      <c r="B672">
        <v>225235387.32778099</v>
      </c>
    </row>
    <row r="673" spans="1:2" x14ac:dyDescent="0.25">
      <c r="A673">
        <f ca="1">41110.8208350706*((RANDBETWEEN(1587,2416)))</f>
        <v>67216192.06534043</v>
      </c>
      <c r="B673">
        <v>222931616.81800517</v>
      </c>
    </row>
    <row r="674" spans="1:2" x14ac:dyDescent="0.25">
      <c r="A674">
        <f ca="1">31572.9660661407*((RANDBETWEEN(1587,2416)))</f>
        <v>54494939.430158898</v>
      </c>
      <c r="B674">
        <v>238995404.32674536</v>
      </c>
    </row>
    <row r="675" spans="1:2" x14ac:dyDescent="0.25">
      <c r="A675">
        <f ca="1">35904.8733895064*((RANDBETWEEN(1587,2416)))</f>
        <v>81791301.581295624</v>
      </c>
      <c r="B675">
        <v>238744750.08180624</v>
      </c>
    </row>
    <row r="676" spans="1:2" x14ac:dyDescent="0.25">
      <c r="A676">
        <f ca="1">29479.9995332129*((RANDBETWEEN(1587,2416)))</f>
        <v>70073958.890446961</v>
      </c>
      <c r="B676">
        <v>246081927.09293982</v>
      </c>
    </row>
    <row r="677" spans="1:2" x14ac:dyDescent="0.25">
      <c r="A677">
        <f ca="1">36412.5607050019*((RANDBETWEEN(1587,2416)))</f>
        <v>60226375.406073123</v>
      </c>
      <c r="B677">
        <v>253286458.39128935</v>
      </c>
    </row>
    <row r="678" spans="1:2" x14ac:dyDescent="0.25">
      <c r="A678">
        <f ca="1">32544.605717975*((RANDBETWEEN(1587,2416)))</f>
        <v>55195651.297685653</v>
      </c>
      <c r="B678">
        <v>218637640.16987756</v>
      </c>
    </row>
    <row r="679" spans="1:2" x14ac:dyDescent="0.25">
      <c r="A679">
        <f ca="1">39169.2248670959*((RANDBETWEEN(1587,2416)))</f>
        <v>62318236.763549581</v>
      </c>
      <c r="B679">
        <v>242501104.75695813</v>
      </c>
    </row>
    <row r="680" spans="1:2" x14ac:dyDescent="0.25">
      <c r="A680">
        <f ca="1">33787.2860640401*((RANDBETWEEN(1587,2416)))</f>
        <v>77372885.086651921</v>
      </c>
      <c r="B680">
        <v>244212652.37325719</v>
      </c>
    </row>
    <row r="681" spans="1:2" x14ac:dyDescent="0.25">
      <c r="A681">
        <f ca="1">41683.3473102452*((RANDBETWEEN(1587,2416)))</f>
        <v>87326612.614963606</v>
      </c>
      <c r="B681">
        <v>249183683.48610315</v>
      </c>
    </row>
    <row r="682" spans="1:2" x14ac:dyDescent="0.25">
      <c r="A682">
        <f ca="1">32214.1873690596*((RANDBETWEEN(1587,2416)))</f>
        <v>56020471.834794685</v>
      </c>
      <c r="B682">
        <v>210552936.8866592</v>
      </c>
    </row>
    <row r="683" spans="1:2" x14ac:dyDescent="0.25">
      <c r="A683">
        <f ca="1">32545.1804942*((RANDBETWEEN(1587,2416)))</f>
        <v>77978252.464103267</v>
      </c>
      <c r="B683">
        <v>260148946.00541896</v>
      </c>
    </row>
    <row r="684" spans="1:2" x14ac:dyDescent="0.25">
      <c r="A684">
        <f ca="1">33237.6152646562*((RANDBETWEEN(1587,2416)))</f>
        <v>55872431.259887129</v>
      </c>
      <c r="B684">
        <v>256262249.70867169</v>
      </c>
    </row>
    <row r="685" spans="1:2" x14ac:dyDescent="0.25">
      <c r="A685">
        <f ca="1">31305.2168479781*((RANDBETWEEN(1587,2416)))</f>
        <v>68714950.981311977</v>
      </c>
      <c r="B685">
        <v>227345712.27869654</v>
      </c>
    </row>
    <row r="686" spans="1:2" x14ac:dyDescent="0.25">
      <c r="A686">
        <f ca="1">33711.6500428046*((RANDBETWEEN(1587,2416)))</f>
        <v>60343853.576620296</v>
      </c>
      <c r="B686">
        <v>209704216.47081807</v>
      </c>
    </row>
    <row r="687" spans="1:2" x14ac:dyDescent="0.25">
      <c r="A687">
        <f ca="1">30804.6688261841*((RANDBETWEEN(1587,2416)))</f>
        <v>58867722.126837879</v>
      </c>
      <c r="B687">
        <v>242206899.86553106</v>
      </c>
    </row>
    <row r="688" spans="1:2" x14ac:dyDescent="0.25">
      <c r="A688">
        <f ca="1">38837.3409876842*((RANDBETWEEN(1587,2416)))</f>
        <v>85247963.467966765</v>
      </c>
      <c r="B688">
        <v>231387235.24291316</v>
      </c>
    </row>
    <row r="689" spans="1:2" x14ac:dyDescent="0.25">
      <c r="A689">
        <f ca="1">31205.3076890664*((RANDBETWEEN(1587,2416)))</f>
        <v>57074507.763302431</v>
      </c>
      <c r="B689">
        <v>204294317.38275337</v>
      </c>
    </row>
    <row r="690" spans="1:2" x14ac:dyDescent="0.25">
      <c r="A690">
        <f ca="1">33499.8679550891*((RANDBETWEEN(1587,2416)))</f>
        <v>73130211.74595952</v>
      </c>
      <c r="B690">
        <v>263318649.03431022</v>
      </c>
    </row>
    <row r="691" spans="1:2" x14ac:dyDescent="0.25">
      <c r="A691">
        <f ca="1">31950.5566684548*((RANDBETWEEN(1587,2416)))</f>
        <v>57670754.786560848</v>
      </c>
      <c r="B691">
        <v>228157446.81594104</v>
      </c>
    </row>
    <row r="692" spans="1:2" x14ac:dyDescent="0.25">
      <c r="A692">
        <f ca="1">29800.3797882267*((RANDBETWEEN(1587,2416)))</f>
        <v>51673858.552785158</v>
      </c>
      <c r="B692">
        <v>207610973.6304419</v>
      </c>
    </row>
    <row r="693" spans="1:2" x14ac:dyDescent="0.25">
      <c r="A693">
        <f ca="1">35604.2318605018*((RANDBETWEEN(1587,2416)))</f>
        <v>66508705.115417324</v>
      </c>
      <c r="B693">
        <v>207655766.36005989</v>
      </c>
    </row>
    <row r="694" spans="1:2" x14ac:dyDescent="0.25">
      <c r="A694">
        <f ca="1">39646.0227441886*((RANDBETWEEN(1587,2416)))</f>
        <v>76754700.032749087</v>
      </c>
      <c r="B694">
        <v>246145328.18305928</v>
      </c>
    </row>
    <row r="695" spans="1:2" x14ac:dyDescent="0.25">
      <c r="A695">
        <f ca="1">30701.9936339051*((RANDBETWEEN(1587,2416)))</f>
        <v>69478611.593527183</v>
      </c>
      <c r="B695">
        <v>206797288.91362622</v>
      </c>
    </row>
    <row r="696" spans="1:2" x14ac:dyDescent="0.25">
      <c r="A696">
        <f ca="1">30105.9926563943*((RANDBETWEEN(1587,2416)))</f>
        <v>54672482.664012052</v>
      </c>
      <c r="B696">
        <v>214054461.98441935</v>
      </c>
    </row>
    <row r="697" spans="1:2" x14ac:dyDescent="0.25">
      <c r="A697">
        <f ca="1">32414.5835008014*((RANDBETWEEN(1587,2416)))</f>
        <v>66222994.092137299</v>
      </c>
      <c r="B697">
        <v>244241562.969302</v>
      </c>
    </row>
    <row r="698" spans="1:2" x14ac:dyDescent="0.25">
      <c r="A698">
        <f ca="1">39595.1383854776*((RANDBETWEEN(1587,2416)))</f>
        <v>79269467.047726095</v>
      </c>
      <c r="B698">
        <v>214656074.56795138</v>
      </c>
    </row>
    <row r="699" spans="1:2" x14ac:dyDescent="0.25">
      <c r="A699">
        <f ca="1">31011.0346445861*((RANDBETWEEN(1587,2416)))</f>
        <v>59045009.963291936</v>
      </c>
      <c r="B699">
        <v>245256251.95659426</v>
      </c>
    </row>
    <row r="700" spans="1:2" x14ac:dyDescent="0.25">
      <c r="A700">
        <f ca="1">33152.9634500715*((RANDBETWEEN(1587,2416)))</f>
        <v>54171942.277416863</v>
      </c>
      <c r="B700">
        <v>228032308.58707535</v>
      </c>
    </row>
    <row r="701" spans="1:2" x14ac:dyDescent="0.25">
      <c r="A701">
        <f ca="1">39939.5661725845*((RANDBETWEEN(1587,2416)))</f>
        <v>67298169.000804856</v>
      </c>
      <c r="B701">
        <v>233276139.14631867</v>
      </c>
    </row>
    <row r="702" spans="1:2" x14ac:dyDescent="0.25">
      <c r="A702">
        <f ca="1">39389.0534347453*((RANDBETWEEN(1587,2416)))</f>
        <v>74642256.258842289</v>
      </c>
      <c r="B702">
        <v>227284046.24292207</v>
      </c>
    </row>
    <row r="703" spans="1:2" x14ac:dyDescent="0.25">
      <c r="A703">
        <f ca="1">30456.2564333966*((RANDBETWEEN(1587,2416)))</f>
        <v>48760466.549867995</v>
      </c>
      <c r="B703">
        <v>225691196.89658594</v>
      </c>
    </row>
    <row r="704" spans="1:2" x14ac:dyDescent="0.25">
      <c r="A704">
        <f ca="1">36732.1315430885*((RANDBETWEEN(1587,2416)))</f>
        <v>75411066.057960778</v>
      </c>
      <c r="B704">
        <v>210522588.58756405</v>
      </c>
    </row>
    <row r="705" spans="1:2" x14ac:dyDescent="0.25">
      <c r="A705">
        <f ca="1">36173.3513981739*((RANDBETWEEN(1587,2416)))</f>
        <v>74300063.77184923</v>
      </c>
      <c r="B705">
        <v>244502455.33122942</v>
      </c>
    </row>
    <row r="706" spans="1:2" x14ac:dyDescent="0.25">
      <c r="A706">
        <f ca="1">35014.7872758775*((RANDBETWEEN(1587,2416)))</f>
        <v>74266363.812136218</v>
      </c>
      <c r="B706">
        <v>211255467.76391485</v>
      </c>
    </row>
    <row r="707" spans="1:2" x14ac:dyDescent="0.25">
      <c r="A707">
        <f ca="1">32567.11591975*((RANDBETWEEN(1587,2416)))</f>
        <v>53605472.803908505</v>
      </c>
      <c r="B707">
        <v>249218115.09949735</v>
      </c>
    </row>
    <row r="708" spans="1:2" x14ac:dyDescent="0.25">
      <c r="A708">
        <f ca="1">32791.468864792*((RANDBETWEEN(1587,2416)))</f>
        <v>71813316.81389454</v>
      </c>
      <c r="B708">
        <v>226822411.47338337</v>
      </c>
    </row>
    <row r="709" spans="1:2" x14ac:dyDescent="0.25">
      <c r="A709">
        <f ca="1">30422.0532324869*((RANDBETWEEN(1587,2416)))</f>
        <v>67628224.335818484</v>
      </c>
      <c r="B709">
        <v>264308142.75829983</v>
      </c>
    </row>
    <row r="710" spans="1:2" x14ac:dyDescent="0.25">
      <c r="A710">
        <f ca="1">30546.2173793324*((RANDBETWEEN(1587,2416)))</f>
        <v>60786972.58487156</v>
      </c>
      <c r="B710">
        <v>260978706.38856077</v>
      </c>
    </row>
    <row r="711" spans="1:2" x14ac:dyDescent="0.25">
      <c r="A711">
        <f ca="1">39117.1306643042*((RANDBETWEEN(1587,2416)))</f>
        <v>79368658.117873192</v>
      </c>
      <c r="B711">
        <v>246997397.18173492</v>
      </c>
    </row>
    <row r="712" spans="1:2" x14ac:dyDescent="0.25">
      <c r="A712">
        <f ca="1">35649.5241830878*((RANDBETWEEN(1587,2416)))</f>
        <v>67841044.520416126</v>
      </c>
      <c r="B712">
        <v>212328184.25132206</v>
      </c>
    </row>
    <row r="713" spans="1:2" x14ac:dyDescent="0.25">
      <c r="A713">
        <f ca="1">32270.3273351439*((RANDBETWEEN(1587,2416)))</f>
        <v>71091531.119322121</v>
      </c>
      <c r="B713">
        <v>206906207.37469476</v>
      </c>
    </row>
    <row r="714" spans="1:2" x14ac:dyDescent="0.25">
      <c r="A714">
        <f ca="1">38032.6924364674*((RANDBETWEEN(1587,2416)))</f>
        <v>79716523.346835703</v>
      </c>
      <c r="B714">
        <v>227918963.4875997</v>
      </c>
    </row>
    <row r="715" spans="1:2" x14ac:dyDescent="0.25">
      <c r="A715">
        <f ca="1">33646.1639402001*((RANDBETWEEN(1587,2416)))</f>
        <v>73483222.045396969</v>
      </c>
      <c r="B715">
        <v>229197467.66008675</v>
      </c>
    </row>
    <row r="716" spans="1:2" x14ac:dyDescent="0.25">
      <c r="A716">
        <f ca="1">38312.6014381934*((RANDBETWEEN(1587,2416)))</f>
        <v>71069875.667848736</v>
      </c>
      <c r="B716">
        <v>234319507.17645067</v>
      </c>
    </row>
    <row r="717" spans="1:2" x14ac:dyDescent="0.25">
      <c r="A717">
        <f ca="1">41037.3544290029*((RANDBETWEEN(1587,2416)))</f>
        <v>70132838.719165966</v>
      </c>
      <c r="B717">
        <v>214487969.91757596</v>
      </c>
    </row>
    <row r="718" spans="1:2" x14ac:dyDescent="0.25">
      <c r="A718">
        <f ca="1">29903.4655163679*((RANDBETWEEN(1587,2416)))</f>
        <v>54125272.584625982</v>
      </c>
      <c r="B718">
        <v>212518284.71079388</v>
      </c>
    </row>
    <row r="719" spans="1:2" x14ac:dyDescent="0.25">
      <c r="A719">
        <f ca="1">41593.4568999212*((RANDBETWEEN(1587,2416)))</f>
        <v>81731142.808345214</v>
      </c>
      <c r="B719">
        <v>230293982.91335696</v>
      </c>
    </row>
    <row r="720" spans="1:2" x14ac:dyDescent="0.25">
      <c r="A720">
        <f ca="1">32284.0435418174*((RANDBETWEEN(1587,2416)))</f>
        <v>75480093.800769195</v>
      </c>
      <c r="B720">
        <v>242412872.32762778</v>
      </c>
    </row>
    <row r="721" spans="1:2" x14ac:dyDescent="0.25">
      <c r="A721">
        <f ca="1">34617.8684124517*((RANDBETWEEN(1587,2416)))</f>
        <v>80555779.795774996</v>
      </c>
      <c r="B721">
        <v>251331207.57852355</v>
      </c>
    </row>
    <row r="722" spans="1:2" x14ac:dyDescent="0.25">
      <c r="A722">
        <f ca="1">31895.1847082026*((RANDBETWEEN(1587,2416)))</f>
        <v>59516414.66550611</v>
      </c>
      <c r="B722">
        <v>213795188.75362921</v>
      </c>
    </row>
    <row r="723" spans="1:2" x14ac:dyDescent="0.25">
      <c r="A723">
        <f ca="1">39349.3516838155*((RANDBETWEEN(1587,2416)))</f>
        <v>79249594.291204333</v>
      </c>
      <c r="B723">
        <v>207734300.65099636</v>
      </c>
    </row>
    <row r="724" spans="1:2" x14ac:dyDescent="0.25">
      <c r="A724">
        <f ca="1">39087.0397359587*((RANDBETWEEN(1587,2416)))</f>
        <v>92362674.896070302</v>
      </c>
      <c r="B724">
        <v>238632470.92640752</v>
      </c>
    </row>
    <row r="725" spans="1:2" x14ac:dyDescent="0.25">
      <c r="A725">
        <f ca="1">40333.8853031596*((RANDBETWEEN(1587,2416)))</f>
        <v>69495284.377343982</v>
      </c>
      <c r="B725">
        <v>266435941.27455881</v>
      </c>
    </row>
    <row r="726" spans="1:2" x14ac:dyDescent="0.25">
      <c r="A726">
        <f ca="1">28796.1022685738*((RANDBETWEEN(1587,2416)))</f>
        <v>54309448.878530249</v>
      </c>
      <c r="B726">
        <v>209403141.37647545</v>
      </c>
    </row>
    <row r="727" spans="1:2" x14ac:dyDescent="0.25">
      <c r="A727">
        <f ca="1">29309.1607662526*((RANDBETWEEN(1587,2416)))</f>
        <v>58823485.657868974</v>
      </c>
      <c r="B727">
        <v>243630908.59967768</v>
      </c>
    </row>
    <row r="728" spans="1:2" x14ac:dyDescent="0.25">
      <c r="A728">
        <f ca="1">38613.019805898*((RANDBETWEEN(1587,2416)))</f>
        <v>89080236.692206606</v>
      </c>
      <c r="B728">
        <v>254219231.22881198</v>
      </c>
    </row>
    <row r="729" spans="1:2" x14ac:dyDescent="0.25">
      <c r="A729">
        <f ca="1">27090.1982085478*((RANDBETWEEN(1587,2416)))</f>
        <v>57945933.968083635</v>
      </c>
      <c r="B729">
        <v>214510218.54039094</v>
      </c>
    </row>
    <row r="730" spans="1:2" x14ac:dyDescent="0.25">
      <c r="A730">
        <f ca="1">37635.0058673929*((RANDBETWEEN(1587,2416)))</f>
        <v>89947664.023068994</v>
      </c>
      <c r="B730">
        <v>248510113.71522927</v>
      </c>
    </row>
    <row r="731" spans="1:2" x14ac:dyDescent="0.25">
      <c r="A731">
        <f ca="1">40368.7210677304*((RANDBETWEEN(1587,2416)))</f>
        <v>88407499.138329521</v>
      </c>
      <c r="B731">
        <v>216543886.11285701</v>
      </c>
    </row>
    <row r="732" spans="1:2" x14ac:dyDescent="0.25">
      <c r="A732">
        <f ca="1">27413.524454271*((RANDBETWEEN(1587,2416)))</f>
        <v>48741246.479693793</v>
      </c>
      <c r="B732">
        <v>229633300.30722573</v>
      </c>
    </row>
    <row r="733" spans="1:2" x14ac:dyDescent="0.25">
      <c r="A733">
        <f ca="1">31358.7101344985*((RANDBETWEEN(1587,2416)))</f>
        <v>57637309.227208234</v>
      </c>
      <c r="B733">
        <v>265020315.52710456</v>
      </c>
    </row>
    <row r="734" spans="1:2" x14ac:dyDescent="0.25">
      <c r="A734">
        <f ca="1">31619.7576298869*((RANDBETWEEN(1587,2416)))</f>
        <v>50876190.026488058</v>
      </c>
      <c r="B734">
        <v>249118730.36533797</v>
      </c>
    </row>
    <row r="735" spans="1:2" x14ac:dyDescent="0.25">
      <c r="A735">
        <f ca="1">29227.7806820888*((RANDBETWEEN(1587,2416)))</f>
        <v>66931617.761983268</v>
      </c>
      <c r="B735">
        <v>231582057.01361555</v>
      </c>
    </row>
    <row r="736" spans="1:2" x14ac:dyDescent="0.25">
      <c r="A736">
        <f ca="1">36236.0266646231*((RANDBETWEEN(1587,2416)))</f>
        <v>72906885.649221584</v>
      </c>
      <c r="B736">
        <v>212133235.62849003</v>
      </c>
    </row>
    <row r="737" spans="1:2" x14ac:dyDescent="0.25">
      <c r="A737">
        <f ca="1">33761.8805158109*((RANDBETWEEN(1587,2416)))</f>
        <v>63607382.891787753</v>
      </c>
      <c r="B737">
        <v>265503252.88852546</v>
      </c>
    </row>
    <row r="738" spans="1:2" x14ac:dyDescent="0.25">
      <c r="A738">
        <f ca="1">33022.2396508447*((RANDBETWEEN(1587,2416)))</f>
        <v>53066739.118907407</v>
      </c>
      <c r="B738">
        <v>249163573.45519656</v>
      </c>
    </row>
    <row r="739" spans="1:2" x14ac:dyDescent="0.25">
      <c r="A739">
        <f ca="1">32343.6390206317*((RANDBETWEEN(1587,2416)))</f>
        <v>55857464.588630922</v>
      </c>
      <c r="B739">
        <v>228037964.24478298</v>
      </c>
    </row>
    <row r="740" spans="1:2" x14ac:dyDescent="0.25">
      <c r="A740">
        <f ca="1">32173.3850435764*((RANDBETWEEN(1587,2416)))</f>
        <v>53343472.402249649</v>
      </c>
      <c r="B740">
        <v>222383508.39511389</v>
      </c>
    </row>
    <row r="741" spans="1:2" x14ac:dyDescent="0.25">
      <c r="A741">
        <f ca="1">39002.4418047761*((RANDBETWEEN(1587,2416)))</f>
        <v>92084765.101076305</v>
      </c>
      <c r="B741">
        <v>267917924.26125795</v>
      </c>
    </row>
    <row r="742" spans="1:2" x14ac:dyDescent="0.25">
      <c r="A742">
        <f ca="1">31508.2183291119*((RANDBETWEEN(1587,2416)))</f>
        <v>59014892.93042659</v>
      </c>
      <c r="B742">
        <v>222826246.12225485</v>
      </c>
    </row>
    <row r="743" spans="1:2" x14ac:dyDescent="0.25">
      <c r="A743">
        <f ca="1">34646.7979364721*((RANDBETWEEN(1587,2416)))</f>
        <v>73693739.210876226</v>
      </c>
      <c r="B743">
        <v>252491665.44825783</v>
      </c>
    </row>
    <row r="744" spans="1:2" x14ac:dyDescent="0.25">
      <c r="A744">
        <f ca="1">32909.2377433467*((RANDBETWEEN(1587,2416)))</f>
        <v>72597778.461822733</v>
      </c>
      <c r="B744">
        <v>230058481.04540193</v>
      </c>
    </row>
    <row r="745" spans="1:2" x14ac:dyDescent="0.25">
      <c r="A745">
        <f ca="1">33288.2342380725*((RANDBETWEEN(1587,2416)))</f>
        <v>64312868.547956087</v>
      </c>
      <c r="B745">
        <v>205459169.18282086</v>
      </c>
    </row>
    <row r="746" spans="1:2" x14ac:dyDescent="0.25">
      <c r="A746">
        <f ca="1">36953.4447957999*((RANDBETWEEN(1587,2416)))</f>
        <v>79375999.42137827</v>
      </c>
      <c r="B746">
        <v>210696194.69639146</v>
      </c>
    </row>
    <row r="747" spans="1:2" x14ac:dyDescent="0.25">
      <c r="A747">
        <f ca="1">38111.945296245*((RANDBETWEEN(1587,2416)))</f>
        <v>75995218.920712441</v>
      </c>
      <c r="B747">
        <v>246449359.85869789</v>
      </c>
    </row>
    <row r="748" spans="1:2" x14ac:dyDescent="0.25">
      <c r="A748">
        <f ca="1">30334.0552522427*((RANDBETWEEN(1587,2416)))</f>
        <v>56057334.106144547</v>
      </c>
      <c r="B748">
        <v>210776971.04681474</v>
      </c>
    </row>
    <row r="749" spans="1:2" x14ac:dyDescent="0.25">
      <c r="A749">
        <f ca="1">33820.3613807527*((RANDBETWEEN(1587,2416)))</f>
        <v>63616099.75719583</v>
      </c>
      <c r="B749">
        <v>264088348.60942137</v>
      </c>
    </row>
    <row r="750" spans="1:2" x14ac:dyDescent="0.25">
      <c r="A750">
        <f ca="1">32862.1547803026*((RANDBETWEEN(1587,2416)))</f>
        <v>60597813.414878085</v>
      </c>
      <c r="B750">
        <v>233959772.02002075</v>
      </c>
    </row>
    <row r="751" spans="1:2" x14ac:dyDescent="0.25">
      <c r="A751">
        <f ca="1">34101.4333503649*((RANDBETWEEN(1587,2416)))</f>
        <v>68680286.767634928</v>
      </c>
      <c r="B751">
        <v>250233294.4585582</v>
      </c>
    </row>
    <row r="752" spans="1:2" x14ac:dyDescent="0.25">
      <c r="A752">
        <f ca="1">33419.0927318007*((RANDBETWEEN(1587,2416)))</f>
        <v>67941015.523750767</v>
      </c>
      <c r="B752">
        <v>226139160.88438201</v>
      </c>
    </row>
    <row r="753" spans="1:2" x14ac:dyDescent="0.25">
      <c r="A753">
        <f ca="1">38069.5813147179*((RANDBETWEEN(1587,2416)))</f>
        <v>79717703.273019224</v>
      </c>
      <c r="B753">
        <v>220647165.31175804</v>
      </c>
    </row>
    <row r="754" spans="1:2" x14ac:dyDescent="0.25">
      <c r="A754">
        <f ca="1">30516.2302680961*((RANDBETWEEN(1587,2416)))</f>
        <v>64175632.253806122</v>
      </c>
      <c r="B754">
        <v>241690130.81973761</v>
      </c>
    </row>
    <row r="755" spans="1:2" x14ac:dyDescent="0.25">
      <c r="A755">
        <f ca="1">31128.0286802169*((RANDBETWEEN(1587,2416)))</f>
        <v>68294894.924395815</v>
      </c>
      <c r="B755">
        <v>247414272.02477157</v>
      </c>
    </row>
    <row r="756" spans="1:2" x14ac:dyDescent="0.25">
      <c r="A756">
        <f ca="1">41103.1118927888*((RANDBETWEEN(1587,2416)))</f>
        <v>81630780.219078466</v>
      </c>
      <c r="B756">
        <v>264185726.60703346</v>
      </c>
    </row>
    <row r="757" spans="1:2" x14ac:dyDescent="0.25">
      <c r="A757">
        <f ca="1">39720.11551105*((RANDBETWEEN(1587,2416)))</f>
        <v>80671554.602942601</v>
      </c>
      <c r="B757">
        <v>225322586.52830228</v>
      </c>
    </row>
    <row r="758" spans="1:2" x14ac:dyDescent="0.25">
      <c r="A758">
        <f ca="1">31574.5944428144*((RANDBETWEEN(1587,2416)))</f>
        <v>61949354.296801828</v>
      </c>
      <c r="B758">
        <v>235147280.81104165</v>
      </c>
    </row>
    <row r="759" spans="1:2" x14ac:dyDescent="0.25">
      <c r="A759">
        <f ca="1">33976.166228316*((RANDBETWEEN(1587,2416)))</f>
        <v>64520739.667572103</v>
      </c>
      <c r="B759">
        <v>242222825.0181396</v>
      </c>
    </row>
    <row r="760" spans="1:2" x14ac:dyDescent="0.25">
      <c r="A760">
        <f ca="1">31657.7799267304*((RANDBETWEEN(1587,2416)))</f>
        <v>76168618.50371334</v>
      </c>
      <c r="B760">
        <v>228317292.62204748</v>
      </c>
    </row>
    <row r="761" spans="1:2" x14ac:dyDescent="0.25">
      <c r="A761">
        <f ca="1">32471.1066717206*((RANDBETWEEN(1587,2416)))</f>
        <v>67604844.090522334</v>
      </c>
      <c r="B761">
        <v>245373758.66737908</v>
      </c>
    </row>
    <row r="762" spans="1:2" x14ac:dyDescent="0.25">
      <c r="A762">
        <f ca="1">32965.6401348023*((RANDBETWEEN(1587,2416)))</f>
        <v>67019146.394053161</v>
      </c>
      <c r="B762">
        <v>266482712.23338059</v>
      </c>
    </row>
    <row r="763" spans="1:2" x14ac:dyDescent="0.25">
      <c r="A763">
        <f ca="1">32943.749806615*((RANDBETWEEN(1587,2416)))</f>
        <v>64141480.873479448</v>
      </c>
      <c r="B763">
        <v>217846017.75623387</v>
      </c>
    </row>
    <row r="764" spans="1:2" x14ac:dyDescent="0.25">
      <c r="A764">
        <f ca="1">36461.985083877*((RANDBETWEEN(1587,2416)))</f>
        <v>85393969.066439882</v>
      </c>
      <c r="B764">
        <v>217142668.8308278</v>
      </c>
    </row>
    <row r="765" spans="1:2" x14ac:dyDescent="0.25">
      <c r="A765">
        <f ca="1">35967.5300403139*((RANDBETWEEN(1587,2416)))</f>
        <v>68805884.967120484</v>
      </c>
      <c r="B765">
        <v>260365263.34845108</v>
      </c>
    </row>
    <row r="766" spans="1:2" x14ac:dyDescent="0.25">
      <c r="A766">
        <f ca="1">37275.6328122408*((RANDBETWEEN(1587,2416)))</f>
        <v>69705433.35889025</v>
      </c>
      <c r="B766">
        <v>210859410.18152654</v>
      </c>
    </row>
    <row r="767" spans="1:2" x14ac:dyDescent="0.25">
      <c r="A767">
        <f ca="1">38833.9661072868*((RANDBETWEEN(1587,2416)))</f>
        <v>68658452.077683002</v>
      </c>
      <c r="B767">
        <v>210479709.05402571</v>
      </c>
    </row>
    <row r="768" spans="1:2" x14ac:dyDescent="0.25">
      <c r="A768">
        <f ca="1">30315.8875243717*((RANDBETWEEN(1587,2416)))</f>
        <v>56145023.695136458</v>
      </c>
      <c r="B768">
        <v>264870917.6283471</v>
      </c>
    </row>
    <row r="769" spans="1:2" x14ac:dyDescent="0.25">
      <c r="A769">
        <f ca="1">31283.0344788221*((RANDBETWEEN(1587,2416)))</f>
        <v>52148818.476196438</v>
      </c>
      <c r="B769">
        <v>230274694.04472029</v>
      </c>
    </row>
    <row r="770" spans="1:2" x14ac:dyDescent="0.25">
      <c r="A770">
        <f ca="1">33822.1766139661*((RANDBETWEEN(1587,2416)))</f>
        <v>55840413.589658111</v>
      </c>
      <c r="B770">
        <v>239091894.37039271</v>
      </c>
    </row>
    <row r="771" spans="1:2" x14ac:dyDescent="0.25">
      <c r="A771">
        <f ca="1">39376.8822718192*((RANDBETWEEN(1587,2416)))</f>
        <v>67413222.449354529</v>
      </c>
      <c r="B771">
        <v>253370828.82649967</v>
      </c>
    </row>
    <row r="772" spans="1:2" x14ac:dyDescent="0.25">
      <c r="A772">
        <f ca="1">36153.1613621777*((RANDBETWEEN(1587,2416)))</f>
        <v>77729296.928681985</v>
      </c>
      <c r="B772">
        <v>208243952.68410748</v>
      </c>
    </row>
    <row r="773" spans="1:2" x14ac:dyDescent="0.25">
      <c r="A773">
        <f ca="1">35930.4347340787*((RANDBETWEEN(1587,2416)))</f>
        <v>84077217.277744234</v>
      </c>
      <c r="B773">
        <v>217015084.79797015</v>
      </c>
    </row>
    <row r="774" spans="1:2" x14ac:dyDescent="0.25">
      <c r="A774">
        <f ca="1">29295.7753854872*((RANDBETWEEN(1587,2416)))</f>
        <v>58357184.56789051</v>
      </c>
      <c r="B774">
        <v>228168695.50779819</v>
      </c>
    </row>
    <row r="775" spans="1:2" x14ac:dyDescent="0.25">
      <c r="A775">
        <f ca="1">40948.5273884921*((RANDBETWEEN(1587,2416)))</f>
        <v>66623254.061076574</v>
      </c>
      <c r="B775">
        <v>244650988.42729557</v>
      </c>
    </row>
    <row r="776" spans="1:2" x14ac:dyDescent="0.25">
      <c r="A776">
        <f ca="1">30046.9843199455*((RANDBETWEEN(1587,2416)))</f>
        <v>68447030.280835837</v>
      </c>
      <c r="B776">
        <v>216618451.59731165</v>
      </c>
    </row>
    <row r="777" spans="1:2" x14ac:dyDescent="0.25">
      <c r="A777">
        <f ca="1">33134.9717724779*((RANDBETWEEN(1587,2416)))</f>
        <v>58549495.121968508</v>
      </c>
      <c r="B777">
        <v>207006769.88244927</v>
      </c>
    </row>
    <row r="778" spans="1:2" x14ac:dyDescent="0.25">
      <c r="A778">
        <f ca="1">36497.2650592057*((RANDBETWEEN(1587,2416)))</f>
        <v>80074999.539897308</v>
      </c>
      <c r="B778">
        <v>257463599.84146675</v>
      </c>
    </row>
    <row r="779" spans="1:2" x14ac:dyDescent="0.25">
      <c r="A779">
        <f ca="1">31403.1315693462*((RANDBETWEEN(1587,2416)))</f>
        <v>73797359.187963665</v>
      </c>
      <c r="B779">
        <v>218474508.19563231</v>
      </c>
    </row>
    <row r="780" spans="1:2" x14ac:dyDescent="0.25">
      <c r="A780">
        <f ca="1">37092.0021253812*((RANDBETWEEN(1587,2416)))</f>
        <v>86127628.935135216</v>
      </c>
      <c r="B780">
        <v>222416933.34501326</v>
      </c>
    </row>
    <row r="781" spans="1:2" x14ac:dyDescent="0.25">
      <c r="A781">
        <f ca="1">32865.5563346249*((RANDBETWEEN(1587,2416)))</f>
        <v>65270994.880564973</v>
      </c>
      <c r="B781">
        <v>232721750.86621687</v>
      </c>
    </row>
    <row r="782" spans="1:2" x14ac:dyDescent="0.25">
      <c r="A782">
        <f ca="1">27776.1161802568*((RANDBETWEEN(1587,2416)))</f>
        <v>51941337.257080153</v>
      </c>
      <c r="B782">
        <v>209467918.11163312</v>
      </c>
    </row>
    <row r="783" spans="1:2" x14ac:dyDescent="0.25">
      <c r="A783">
        <f ca="1">41602.0331182091*((RANDBETWEEN(1587,2416)))</f>
        <v>84493729.263082698</v>
      </c>
      <c r="B783">
        <v>210758516.39862576</v>
      </c>
    </row>
    <row r="784" spans="1:2" x14ac:dyDescent="0.25">
      <c r="A784">
        <f ca="1">27338.3362217339*((RANDBETWEEN(1587,2416)))</f>
        <v>57000431.022315241</v>
      </c>
      <c r="B784">
        <v>236551260.65559408</v>
      </c>
    </row>
    <row r="785" spans="1:2" x14ac:dyDescent="0.25">
      <c r="A785">
        <f ca="1">30524.012756776*((RANDBETWEEN(1587,2416)))</f>
        <v>53569642.388141952</v>
      </c>
      <c r="B785">
        <v>214065921.70843446</v>
      </c>
    </row>
    <row r="786" spans="1:2" x14ac:dyDescent="0.25">
      <c r="A786">
        <f ca="1">40888.0459295144*((RANDBETWEEN(1587,2416)))</f>
        <v>73394042.443478391</v>
      </c>
      <c r="B786">
        <v>239172369.79053035</v>
      </c>
    </row>
    <row r="787" spans="1:2" x14ac:dyDescent="0.25">
      <c r="A787">
        <f ca="1">36915.0024288095*((RANDBETWEEN(1587,2416)))</f>
        <v>87045575.727132767</v>
      </c>
      <c r="B787">
        <v>257494372.25162157</v>
      </c>
    </row>
    <row r="788" spans="1:2" x14ac:dyDescent="0.25">
      <c r="A788">
        <f ca="1">30872.9321404144*((RANDBETWEEN(1587,2416)))</f>
        <v>70575522.872987241</v>
      </c>
      <c r="B788">
        <v>255319395.94554859</v>
      </c>
    </row>
    <row r="789" spans="1:2" x14ac:dyDescent="0.25">
      <c r="A789">
        <f ca="1">33010.2596919592*((RANDBETWEEN(1587,2416)))</f>
        <v>60243723.937825575</v>
      </c>
      <c r="B789">
        <v>228626097.56314799</v>
      </c>
    </row>
    <row r="790" spans="1:2" x14ac:dyDescent="0.25">
      <c r="A790">
        <f ca="1">31440.9046457075*((RANDBETWEEN(1587,2416)))</f>
        <v>56687951.076210581</v>
      </c>
      <c r="B790">
        <v>265834943.02297109</v>
      </c>
    </row>
    <row r="791" spans="1:2" x14ac:dyDescent="0.25">
      <c r="A791">
        <f ca="1">40234.7904052296*((RANDBETWEEN(1587,2416)))</f>
        <v>68479613.26970081</v>
      </c>
      <c r="B791">
        <v>207961206.90343836</v>
      </c>
    </row>
    <row r="792" spans="1:2" x14ac:dyDescent="0.25">
      <c r="A792">
        <f ca="1">34080.7201859603*((RANDBETWEEN(1587,2416)))</f>
        <v>76306732.496365175</v>
      </c>
      <c r="B792">
        <v>221748484.91867304</v>
      </c>
    </row>
    <row r="793" spans="1:2" x14ac:dyDescent="0.25">
      <c r="A793">
        <f ca="1">29397.2815864532*((RANDBETWEEN(1587,2416)))</f>
        <v>65320759.685099013</v>
      </c>
      <c r="B793">
        <v>226991797.9750343</v>
      </c>
    </row>
    <row r="794" spans="1:2" x14ac:dyDescent="0.25">
      <c r="A794">
        <f ca="1">32057.7787551379*((RANDBETWEEN(1587,2416)))</f>
        <v>66551948.695666246</v>
      </c>
      <c r="B794">
        <v>235231653.87790444</v>
      </c>
    </row>
    <row r="795" spans="1:2" x14ac:dyDescent="0.25">
      <c r="A795">
        <f ca="1">28749.7791188059*((RANDBETWEEN(1587,2416)))</f>
        <v>51404605.064424977</v>
      </c>
      <c r="B795">
        <v>219453674.00832826</v>
      </c>
    </row>
    <row r="796" spans="1:2" x14ac:dyDescent="0.25">
      <c r="A796">
        <f ca="1">32384.6421932788*((RANDBETWEEN(1587,2416)))</f>
        <v>77658371.979482576</v>
      </c>
      <c r="B796">
        <v>217447336.26507786</v>
      </c>
    </row>
    <row r="797" spans="1:2" x14ac:dyDescent="0.25">
      <c r="A797">
        <f ca="1">31172.3543849212*((RANDBETWEEN(1587,2416)))</f>
        <v>53959345.440298565</v>
      </c>
      <c r="B797">
        <v>228919930.31121325</v>
      </c>
    </row>
    <row r="798" spans="1:2" x14ac:dyDescent="0.25">
      <c r="A798">
        <f ca="1">32728.9534038906*((RANDBETWEEN(1587,2416)))</f>
        <v>68730802.148170248</v>
      </c>
      <c r="B798">
        <v>249821210.64611721</v>
      </c>
    </row>
    <row r="799" spans="1:2" x14ac:dyDescent="0.25">
      <c r="A799">
        <f ca="1">31065.1223274592*((RANDBETWEEN(1587,2416)))</f>
        <v>73562209.671423569</v>
      </c>
      <c r="B799">
        <v>215331644.90527117</v>
      </c>
    </row>
    <row r="800" spans="1:2" x14ac:dyDescent="0.25">
      <c r="A800">
        <f ca="1">36269.5985344083*((RANDBETWEEN(1587,2416)))</f>
        <v>69166124.405116588</v>
      </c>
      <c r="B800">
        <v>252369272.17519253</v>
      </c>
    </row>
    <row r="801" spans="1:2" x14ac:dyDescent="0.25">
      <c r="A801">
        <f ca="1">30900.9179507765*((RANDBETWEEN(1587,2416)))</f>
        <v>66189766.250563204</v>
      </c>
      <c r="B801">
        <v>231209854.4664408</v>
      </c>
    </row>
    <row r="802" spans="1:2" x14ac:dyDescent="0.25">
      <c r="A802">
        <f ca="1">39527.200816167*((RANDBETWEEN(1587,2416)))</f>
        <v>95141972.364513889</v>
      </c>
      <c r="B802">
        <v>228327475.1966624</v>
      </c>
    </row>
    <row r="803" spans="1:2" x14ac:dyDescent="0.25">
      <c r="A803">
        <f ca="1">32977.3875337718*((RANDBETWEEN(1587,2416)))</f>
        <v>78255340.6176406</v>
      </c>
      <c r="B803">
        <v>249323336.89870793</v>
      </c>
    </row>
    <row r="804" spans="1:2" x14ac:dyDescent="0.25">
      <c r="A804">
        <f ca="1">33116.4151713362*((RANDBETWEEN(1587,2416)))</f>
        <v>62358209.767625995</v>
      </c>
      <c r="B804">
        <v>217953163.42845133</v>
      </c>
    </row>
    <row r="805" spans="1:2" x14ac:dyDescent="0.25">
      <c r="A805">
        <f ca="1">32350.712195881*((RANDBETWEEN(1587,2416)))</f>
        <v>76056524.3725162</v>
      </c>
      <c r="B805">
        <v>207684317.99833667</v>
      </c>
    </row>
    <row r="806" spans="1:2" x14ac:dyDescent="0.25">
      <c r="A806">
        <f ca="1">31370.0643305089*((RANDBETWEEN(1587,2416)))</f>
        <v>61234365.573153444</v>
      </c>
      <c r="B806">
        <v>247402805.44478625</v>
      </c>
    </row>
    <row r="807" spans="1:2" x14ac:dyDescent="0.25">
      <c r="A807">
        <f ca="1">40522.1436051144*((RANDBETWEEN(1587,2416)))</f>
        <v>84853368.70910953</v>
      </c>
      <c r="B807">
        <v>205511938.3766169</v>
      </c>
    </row>
    <row r="808" spans="1:2" x14ac:dyDescent="0.25">
      <c r="A808">
        <f ca="1">36745.5932544018*((RANDBETWEEN(1587,2416)))</f>
        <v>76945272.274717435</v>
      </c>
      <c r="B808">
        <v>255656559.7904551</v>
      </c>
    </row>
    <row r="809" spans="1:2" x14ac:dyDescent="0.25">
      <c r="A809">
        <f ca="1">32190.5706172369*((RANDBETWEEN(1587,2416)))</f>
        <v>73780787.854706869</v>
      </c>
      <c r="B809">
        <v>245562919.20665097</v>
      </c>
    </row>
    <row r="810" spans="1:2" x14ac:dyDescent="0.25">
      <c r="A810">
        <f ca="1">32535.0437779714*((RANDBETWEEN(1587,2416)))</f>
        <v>69690063.772414789</v>
      </c>
      <c r="B810">
        <v>217038779.29297638</v>
      </c>
    </row>
    <row r="811" spans="1:2" x14ac:dyDescent="0.25">
      <c r="A811">
        <f ca="1">29676.0377425349*((RANDBETWEEN(1587,2416)))</f>
        <v>70065125.110124841</v>
      </c>
      <c r="B811">
        <v>212322019.85556632</v>
      </c>
    </row>
    <row r="812" spans="1:2" x14ac:dyDescent="0.25">
      <c r="A812">
        <f ca="1">35594.988421701*((RANDBETWEEN(1587,2416)))</f>
        <v>74108765.893981427</v>
      </c>
      <c r="B812">
        <v>263305013.72254264</v>
      </c>
    </row>
    <row r="813" spans="1:2" x14ac:dyDescent="0.25">
      <c r="A813">
        <f ca="1">40235.7755651803*((RANDBETWEEN(1587,2416)))</f>
        <v>65865964.600200169</v>
      </c>
      <c r="B813">
        <v>217364306.43859991</v>
      </c>
    </row>
    <row r="814" spans="1:2" x14ac:dyDescent="0.25">
      <c r="A814">
        <f ca="1">36285.4886921174*((RANDBETWEEN(1587,2416)))</f>
        <v>58601064.237769574</v>
      </c>
      <c r="B814">
        <v>227312006.73470956</v>
      </c>
    </row>
    <row r="815" spans="1:2" x14ac:dyDescent="0.25">
      <c r="A815">
        <f ca="1">41454.3747912006*((RANDBETWEEN(1587,2416)))</f>
        <v>71301524.640865088</v>
      </c>
      <c r="B815">
        <v>255457004.85855922</v>
      </c>
    </row>
    <row r="816" spans="1:2" x14ac:dyDescent="0.25">
      <c r="A816">
        <f ca="1">32550.3643370189*((RANDBETWEEN(1587,2416)))</f>
        <v>74735636.517795429</v>
      </c>
      <c r="B816">
        <v>267696667.53508943</v>
      </c>
    </row>
    <row r="817" spans="1:2" x14ac:dyDescent="0.25">
      <c r="A817">
        <f ca="1">41263.9264901374*((RANDBETWEEN(1587,2416)))</f>
        <v>90079151.527970046</v>
      </c>
      <c r="B817">
        <v>222574405.92192978</v>
      </c>
    </row>
    <row r="818" spans="1:2" x14ac:dyDescent="0.25">
      <c r="A818">
        <f ca="1">31510.7520599088*((RANDBETWEEN(1587,2416)))</f>
        <v>62485821.334799245</v>
      </c>
      <c r="B818">
        <v>256599262.69732162</v>
      </c>
    </row>
    <row r="819" spans="1:2" x14ac:dyDescent="0.25">
      <c r="A819">
        <f ca="1">28915.9526038007*((RANDBETWEEN(1587,2416)))</f>
        <v>57398165.918544322</v>
      </c>
      <c r="B819">
        <v>245538237.39461887</v>
      </c>
    </row>
    <row r="820" spans="1:2" x14ac:dyDescent="0.25">
      <c r="A820">
        <f ca="1">40306.3290069163*((RANDBETWEEN(1587,2416)))</f>
        <v>96654576.958585262</v>
      </c>
      <c r="B820">
        <v>216422723.19328249</v>
      </c>
    </row>
    <row r="821" spans="1:2" x14ac:dyDescent="0.25">
      <c r="A821">
        <f ca="1">31687.2404550226*((RANDBETWEEN(1587,2416)))</f>
        <v>52949378.800342806</v>
      </c>
      <c r="B821">
        <v>213648703.61526856</v>
      </c>
    </row>
    <row r="822" spans="1:2" x14ac:dyDescent="0.25">
      <c r="A822">
        <f ca="1">32090.2814708749*((RANDBETWEEN(1587,2416)))</f>
        <v>54842291.033725217</v>
      </c>
      <c r="B822">
        <v>225914156.52899745</v>
      </c>
    </row>
    <row r="823" spans="1:2" x14ac:dyDescent="0.25">
      <c r="A823">
        <f ca="1">32588.7207179658*((RANDBETWEEN(1587,2416)))</f>
        <v>56313309.400644861</v>
      </c>
      <c r="B823">
        <v>231415993.41442329</v>
      </c>
    </row>
    <row r="824" spans="1:2" x14ac:dyDescent="0.25">
      <c r="A824">
        <f ca="1">37554.5488276533*((RANDBETWEEN(1587,2416)))</f>
        <v>79653198.063452706</v>
      </c>
      <c r="B824">
        <v>225550316.78527036</v>
      </c>
    </row>
    <row r="825" spans="1:2" x14ac:dyDescent="0.25">
      <c r="A825">
        <f ca="1">32491.8870435664*((RANDBETWEEN(1587,2416)))</f>
        <v>56665851.003979728</v>
      </c>
      <c r="B825">
        <v>219415818.44289318</v>
      </c>
    </row>
    <row r="826" spans="1:2" x14ac:dyDescent="0.25">
      <c r="A826">
        <f ca="1">36182.6210821713*((RANDBETWEEN(1587,2416)))</f>
        <v>72799433.617328584</v>
      </c>
      <c r="B826">
        <v>234755830.23161945</v>
      </c>
    </row>
    <row r="827" spans="1:2" x14ac:dyDescent="0.25">
      <c r="A827">
        <f ca="1">41839.4054030541*((RANDBETWEEN(1587,2416)))</f>
        <v>97736851.021534428</v>
      </c>
      <c r="B827">
        <v>231413361.97513604</v>
      </c>
    </row>
    <row r="828" spans="1:2" x14ac:dyDescent="0.25">
      <c r="A828">
        <f ca="1">32939.3538516033*((RANDBETWEEN(1587,2416)))</f>
        <v>63968225.179813556</v>
      </c>
      <c r="B828">
        <v>224002142.62588853</v>
      </c>
    </row>
    <row r="829" spans="1:2" x14ac:dyDescent="0.25">
      <c r="A829">
        <f ca="1">35461.6477775292*((RANDBETWEEN(1587,2416)))</f>
        <v>73689304.081705764</v>
      </c>
      <c r="B829">
        <v>228584371.12657019</v>
      </c>
    </row>
    <row r="830" spans="1:2" x14ac:dyDescent="0.25">
      <c r="A830">
        <f ca="1">36799.5287529208*((RANDBETWEEN(1587,2416)))</f>
        <v>58474451.188391127</v>
      </c>
      <c r="B830">
        <v>213343131.24549061</v>
      </c>
    </row>
    <row r="831" spans="1:2" x14ac:dyDescent="0.25">
      <c r="A831">
        <f ca="1">32372.5060066922*((RANDBETWEEN(1587,2416)))</f>
        <v>72190688.394923583</v>
      </c>
      <c r="B831">
        <v>211188592.08272222</v>
      </c>
    </row>
    <row r="832" spans="1:2" x14ac:dyDescent="0.25">
      <c r="A832">
        <f ca="1">32031.0109760418*((RANDBETWEEN(1587,2416)))</f>
        <v>62812812.524017982</v>
      </c>
      <c r="B832">
        <v>267620890.63889873</v>
      </c>
    </row>
    <row r="833" spans="1:2" x14ac:dyDescent="0.25">
      <c r="A833">
        <f ca="1">36535.5361313844*((RANDBETWEEN(1587,2416)))</f>
        <v>84908585.96933724</v>
      </c>
      <c r="B833">
        <v>240514032.21592984</v>
      </c>
    </row>
    <row r="834" spans="1:2" x14ac:dyDescent="0.25">
      <c r="A834">
        <f ca="1">31761.9678102151*((RANDBETWEEN(1587,2416)))</f>
        <v>75561721.420501679</v>
      </c>
      <c r="B834">
        <v>247904908.41948837</v>
      </c>
    </row>
    <row r="835" spans="1:2" x14ac:dyDescent="0.25">
      <c r="A835">
        <f ca="1">42020.7575383281*((RANDBETWEEN(1587,2416)))</f>
        <v>82906954.623121262</v>
      </c>
      <c r="B835">
        <v>214640136.86926246</v>
      </c>
    </row>
    <row r="836" spans="1:2" x14ac:dyDescent="0.25">
      <c r="A836">
        <f ca="1">38439.9194456132*((RANDBETWEEN(1587,2416)))</f>
        <v>69576254.196559951</v>
      </c>
      <c r="B836">
        <v>221245449.72278172</v>
      </c>
    </row>
    <row r="837" spans="1:2" x14ac:dyDescent="0.25">
      <c r="A837">
        <f ca="1">40978.3510885607*((RANDBETWEEN(1587,2416)))</f>
        <v>73064399.990903661</v>
      </c>
      <c r="B837">
        <v>258973468.26106834</v>
      </c>
    </row>
    <row r="838" spans="1:2" x14ac:dyDescent="0.25">
      <c r="A838">
        <f ca="1">40175.8456703776*((RANDBETWEEN(1587,2416)))</f>
        <v>91158993.826086745</v>
      </c>
      <c r="B838">
        <v>214462387.24082497</v>
      </c>
    </row>
    <row r="839" spans="1:2" x14ac:dyDescent="0.25">
      <c r="A839">
        <f ca="1">28802.9857129433*((RANDBETWEEN(1587,2416)))</f>
        <v>49253105.56913311</v>
      </c>
      <c r="B839">
        <v>263466293.28977436</v>
      </c>
    </row>
    <row r="840" spans="1:2" x14ac:dyDescent="0.25">
      <c r="A840">
        <f ca="1">33830.5477696838*((RANDBETWEEN(1587,2416)))</f>
        <v>55955726.011057004</v>
      </c>
      <c r="B840">
        <v>259960699.36393267</v>
      </c>
    </row>
    <row r="841" spans="1:2" x14ac:dyDescent="0.25">
      <c r="A841">
        <f ca="1">29071.8809574561*((RANDBETWEEN(1587,2416)))</f>
        <v>66196672.940127596</v>
      </c>
      <c r="B841">
        <v>237186994.38358152</v>
      </c>
    </row>
    <row r="842" spans="1:2" x14ac:dyDescent="0.25">
      <c r="A842">
        <f ca="1">42345.8778870888*((RANDBETWEEN(1587,2416)))</f>
        <v>67795750.497229174</v>
      </c>
      <c r="B842">
        <v>239333812.48046768</v>
      </c>
    </row>
    <row r="843" spans="1:2" x14ac:dyDescent="0.25">
      <c r="A843">
        <f ca="1">35133.4179750079*((RANDBETWEEN(1587,2416)))</f>
        <v>79682591.967317924</v>
      </c>
      <c r="B843">
        <v>265608390.05525649</v>
      </c>
    </row>
    <row r="844" spans="1:2" x14ac:dyDescent="0.25">
      <c r="A844">
        <f ca="1">36923.9093821037*((RANDBETWEEN(1587,2416)))</f>
        <v>73035492.75780113</v>
      </c>
      <c r="B844">
        <v>250949005.69379628</v>
      </c>
    </row>
    <row r="845" spans="1:2" x14ac:dyDescent="0.25">
      <c r="A845">
        <f ca="1">38496.0559372752*((RANDBETWEEN(1587,2416)))</f>
        <v>68753955.903973475</v>
      </c>
      <c r="B845">
        <v>253873614.16512978</v>
      </c>
    </row>
    <row r="846" spans="1:2" x14ac:dyDescent="0.25">
      <c r="A846">
        <f ca="1">40583.0489374545*((RANDBETWEEN(1587,2416)))</f>
        <v>80435602.994034827</v>
      </c>
      <c r="B846">
        <v>247613292.78100577</v>
      </c>
    </row>
    <row r="847" spans="1:2" x14ac:dyDescent="0.25">
      <c r="A847">
        <f ca="1">41869.5521531901*((RANDBETWEEN(1587,2416)))</f>
        <v>80598887.89489089</v>
      </c>
      <c r="B847">
        <v>244028643.09348959</v>
      </c>
    </row>
    <row r="848" spans="1:2" x14ac:dyDescent="0.25">
      <c r="A848">
        <f ca="1">31223.567754609*((RANDBETWEEN(1587,2416)))</f>
        <v>72157665.080901459</v>
      </c>
      <c r="B848">
        <v>251887335.08409178</v>
      </c>
    </row>
    <row r="849" spans="1:2" x14ac:dyDescent="0.25">
      <c r="A849">
        <f ca="1">35661.6679070186*((RANDBETWEEN(1587,2416)))</f>
        <v>67115259.001009077</v>
      </c>
      <c r="B849">
        <v>233992948.23055387</v>
      </c>
    </row>
    <row r="850" spans="1:2" x14ac:dyDescent="0.25">
      <c r="A850">
        <f ca="1">31126.500083685*((RANDBETWEEN(1587,2416)))</f>
        <v>63093415.669629484</v>
      </c>
      <c r="B850">
        <v>261236966.70870122</v>
      </c>
    </row>
    <row r="851" spans="1:2" x14ac:dyDescent="0.25">
      <c r="A851">
        <f ca="1">37308.8045069591*((RANDBETWEEN(1587,2416)))</f>
        <v>69282449.969422981</v>
      </c>
      <c r="B851">
        <v>237482273.64085481</v>
      </c>
    </row>
    <row r="852" spans="1:2" x14ac:dyDescent="0.25">
      <c r="A852">
        <f ca="1">32640.6237072651*((RANDBETWEEN(1587,2416)))</f>
        <v>66064622.383504607</v>
      </c>
      <c r="B852">
        <v>260193982.3641631</v>
      </c>
    </row>
    <row r="853" spans="1:2" x14ac:dyDescent="0.25">
      <c r="A853">
        <f ca="1">29888.747479378*((RANDBETWEEN(1587,2416)))</f>
        <v>60584491.140699185</v>
      </c>
      <c r="B853">
        <v>254701149.18920213</v>
      </c>
    </row>
    <row r="854" spans="1:2" x14ac:dyDescent="0.25">
      <c r="A854">
        <f ca="1">37227.3386860134*((RANDBETWEEN(1587,2416)))</f>
        <v>68907803.907810897</v>
      </c>
      <c r="B854">
        <v>261686365.06526294</v>
      </c>
    </row>
    <row r="855" spans="1:2" x14ac:dyDescent="0.25">
      <c r="A855">
        <f ca="1">33484.1667446849*((RANDBETWEEN(1587,2416)))</f>
        <v>70584623.49779579</v>
      </c>
      <c r="B855">
        <v>209674025.24978098</v>
      </c>
    </row>
    <row r="856" spans="1:2" x14ac:dyDescent="0.25">
      <c r="A856">
        <f ca="1">31820.6324693445*((RANDBETWEEN(1587,2416)))</f>
        <v>73823867.328879327</v>
      </c>
      <c r="B856">
        <v>223427445.41379094</v>
      </c>
    </row>
    <row r="857" spans="1:2" x14ac:dyDescent="0.25">
      <c r="A857">
        <f ca="1">40622.9206955828*((RANDBETWEEN(1587,2416)))</f>
        <v>79214695.356386378</v>
      </c>
      <c r="B857">
        <v>226707320.75475895</v>
      </c>
    </row>
    <row r="858" spans="1:2" x14ac:dyDescent="0.25">
      <c r="A858">
        <f ca="1">38869.115211666*((RANDBETWEEN(1587,2416)))</f>
        <v>72218816.063275471</v>
      </c>
      <c r="B858">
        <v>206809298.76409072</v>
      </c>
    </row>
    <row r="859" spans="1:2" x14ac:dyDescent="0.25">
      <c r="A859">
        <f ca="1">37376.273497844*((RANDBETWEEN(1587,2416)))</f>
        <v>74603041.901696607</v>
      </c>
      <c r="B859">
        <v>205189509.08849221</v>
      </c>
    </row>
    <row r="860" spans="1:2" x14ac:dyDescent="0.25">
      <c r="A860">
        <f ca="1">32329.0407591359*((RANDBETWEEN(1587,2416)))</f>
        <v>70477308.854916364</v>
      </c>
      <c r="B860">
        <v>223920070.63680819</v>
      </c>
    </row>
    <row r="861" spans="1:2" x14ac:dyDescent="0.25">
      <c r="A861">
        <f ca="1">30373.6512518895*((RANDBETWEEN(1587,2416)))</f>
        <v>60473939.642511934</v>
      </c>
      <c r="B861">
        <v>210186053.38889331</v>
      </c>
    </row>
    <row r="862" spans="1:2" x14ac:dyDescent="0.25">
      <c r="A862">
        <f ca="1">35999.7279429086*((RANDBETWEEN(1587,2416)))</f>
        <v>83879366.106976941</v>
      </c>
      <c r="B862">
        <v>203737905.16261235</v>
      </c>
    </row>
    <row r="863" spans="1:2" x14ac:dyDescent="0.25">
      <c r="A863">
        <f ca="1">31814.0286481089*((RANDBETWEEN(1587,2416)))</f>
        <v>75271991.781425729</v>
      </c>
      <c r="B863">
        <v>213469354.73583567</v>
      </c>
    </row>
    <row r="864" spans="1:2" x14ac:dyDescent="0.25">
      <c r="A864">
        <f ca="1">30998.807839036*((RANDBETWEEN(1587,2416)))</f>
        <v>55146879.145645052</v>
      </c>
      <c r="B864">
        <v>209057736.65947407</v>
      </c>
    </row>
    <row r="865" spans="1:2" x14ac:dyDescent="0.25">
      <c r="A865">
        <f ca="1">32386.6298438897*((RANDBETWEEN(1587,2416)))</f>
        <v>59656172.172444776</v>
      </c>
      <c r="B865">
        <v>241533904.62188059</v>
      </c>
    </row>
    <row r="866" spans="1:2" x14ac:dyDescent="0.25">
      <c r="A866">
        <f ca="1">34999.3784353255*((RANDBETWEEN(1587,2416)))</f>
        <v>70803742.57466346</v>
      </c>
      <c r="B866">
        <v>241108840.13806871</v>
      </c>
    </row>
    <row r="867" spans="1:2" x14ac:dyDescent="0.25">
      <c r="A867">
        <f ca="1">30236.4735041429*((RANDBETWEEN(1587,2416)))</f>
        <v>54516361.727969691</v>
      </c>
      <c r="B867">
        <v>249558756.95155215</v>
      </c>
    </row>
    <row r="868" spans="1:2" x14ac:dyDescent="0.25">
      <c r="A868">
        <f ca="1">32757.8509926406*((RANDBETWEEN(1587,2416)))</f>
        <v>59717562.359583862</v>
      </c>
      <c r="B868">
        <v>266526450.37192488</v>
      </c>
    </row>
    <row r="869" spans="1:2" x14ac:dyDescent="0.25">
      <c r="A869">
        <f ca="1">32105.3799442788*((RANDBETWEEN(1587,2416)))</f>
        <v>53904932.926444113</v>
      </c>
      <c r="B869">
        <v>214265945.483477</v>
      </c>
    </row>
    <row r="870" spans="1:2" x14ac:dyDescent="0.25">
      <c r="A870">
        <f ca="1">29644.9414476959*((RANDBETWEEN(1587,2416)))</f>
        <v>47580131.023551978</v>
      </c>
      <c r="B870">
        <v>223545380.89210179</v>
      </c>
    </row>
    <row r="871" spans="1:2" x14ac:dyDescent="0.25">
      <c r="A871">
        <f ca="1">31538.3654164314*((RANDBETWEEN(1587,2416)))</f>
        <v>55318292.940420628</v>
      </c>
      <c r="B871">
        <v>225767692.31331062</v>
      </c>
    </row>
    <row r="872" spans="1:2" x14ac:dyDescent="0.25">
      <c r="A872">
        <f ca="1">35714.2196573509*((RANDBETWEEN(1587,2416)))</f>
        <v>85214128.10243918</v>
      </c>
      <c r="B872">
        <v>246633021.65772814</v>
      </c>
    </row>
    <row r="873" spans="1:2" x14ac:dyDescent="0.25">
      <c r="A873">
        <f ca="1">30328.4067409779*((RANDBETWEEN(1587,2416)))</f>
        <v>66692166.42341046</v>
      </c>
      <c r="B873">
        <v>214103889.22817218</v>
      </c>
    </row>
    <row r="874" spans="1:2" x14ac:dyDescent="0.25">
      <c r="A874">
        <f ca="1">37252.2262590666*((RANDBETWEEN(1587,2416)))</f>
        <v>72083057.8112939</v>
      </c>
      <c r="B874">
        <v>204607170.86228907</v>
      </c>
    </row>
    <row r="875" spans="1:2" x14ac:dyDescent="0.25">
      <c r="A875">
        <f ca="1">39320.8347172316*((RANDBETWEEN(1587,2416)))</f>
        <v>88747123.956791803</v>
      </c>
      <c r="B875">
        <v>215046994.55893767</v>
      </c>
    </row>
    <row r="876" spans="1:2" x14ac:dyDescent="0.25">
      <c r="A876">
        <f ca="1">31971.5153686009*((RANDBETWEEN(1587,2416)))</f>
        <v>63719230.12962158</v>
      </c>
      <c r="B876">
        <v>207787761.74037725</v>
      </c>
    </row>
    <row r="877" spans="1:2" x14ac:dyDescent="0.25">
      <c r="A877">
        <f ca="1">30497.3466622594*((RANDBETWEEN(1587,2416)))</f>
        <v>62977020.857565679</v>
      </c>
      <c r="B877">
        <v>248797291.79327163</v>
      </c>
    </row>
    <row r="878" spans="1:2" x14ac:dyDescent="0.25">
      <c r="A878">
        <f ca="1">35302.3116760477*((RANDBETWEEN(1587,2416)))</f>
        <v>80065642.881276265</v>
      </c>
      <c r="B878">
        <v>215717358.4592624</v>
      </c>
    </row>
    <row r="879" spans="1:2" x14ac:dyDescent="0.25">
      <c r="A879">
        <f ca="1">40844.1086315009*((RANDBETWEEN(1587,2416)))</f>
        <v>93369632.331610963</v>
      </c>
      <c r="B879">
        <v>231578293.73098058</v>
      </c>
    </row>
    <row r="880" spans="1:2" x14ac:dyDescent="0.25">
      <c r="A880">
        <f ca="1">33568.2115019643*((RANDBETWEEN(1587,2416)))</f>
        <v>55555390.035750948</v>
      </c>
      <c r="B880">
        <v>218996625.62526539</v>
      </c>
    </row>
    <row r="881" spans="1:2" x14ac:dyDescent="0.25">
      <c r="A881">
        <f ca="1">29997.5632106312*((RANDBETWEEN(1587,2416)))</f>
        <v>63384851.064063698</v>
      </c>
      <c r="B881">
        <v>254737014.62510169</v>
      </c>
    </row>
    <row r="882" spans="1:2" x14ac:dyDescent="0.25">
      <c r="A882">
        <f ca="1">37182.3324946825*((RANDBETWEEN(1587,2416)))</f>
        <v>80127926.526040837</v>
      </c>
      <c r="B882">
        <v>210207123.87819228</v>
      </c>
    </row>
    <row r="883" spans="1:2" x14ac:dyDescent="0.25">
      <c r="A883">
        <f ca="1">34194.4281725898*((RANDBETWEEN(1587,2416)))</f>
        <v>56352417.628428057</v>
      </c>
      <c r="B883">
        <v>223486120.00667375</v>
      </c>
    </row>
    <row r="884" spans="1:2" x14ac:dyDescent="0.25">
      <c r="A884">
        <f ca="1">34608.5665766726*((RANDBETWEEN(1587,2416)))</f>
        <v>56827266.318896435</v>
      </c>
      <c r="B884">
        <v>258352733.60784519</v>
      </c>
    </row>
    <row r="885" spans="1:2" x14ac:dyDescent="0.25">
      <c r="A885">
        <f ca="1">29170.653291154*((RANDBETWEEN(1587,2416)))</f>
        <v>48131577.930404171</v>
      </c>
      <c r="B885">
        <v>250370406.73458096</v>
      </c>
    </row>
    <row r="886" spans="1:2" x14ac:dyDescent="0.25">
      <c r="A886">
        <f ca="1">30111.2252501143*((RANDBETWEEN(1587,2416)))</f>
        <v>63474462.827241048</v>
      </c>
      <c r="B886">
        <v>209742521.94420174</v>
      </c>
    </row>
    <row r="887" spans="1:2" x14ac:dyDescent="0.25">
      <c r="A887">
        <f ca="1">32316.5777388323*((RANDBETWEEN(1587,2416)))</f>
        <v>57878990.730248623</v>
      </c>
      <c r="B887">
        <v>239421721.85268098</v>
      </c>
    </row>
    <row r="888" spans="1:2" x14ac:dyDescent="0.25">
      <c r="A888">
        <f ca="1">31005.5533432233*((RANDBETWEEN(1587,2416)))</f>
        <v>65948811.961036056</v>
      </c>
      <c r="B888">
        <v>238673232.13424468</v>
      </c>
    </row>
    <row r="889" spans="1:2" x14ac:dyDescent="0.25">
      <c r="A889">
        <f ca="1">28780.9421345045*((RANDBETWEEN(1587,2416)))</f>
        <v>59116055.144272305</v>
      </c>
      <c r="B889">
        <v>224769885.61875543</v>
      </c>
    </row>
    <row r="890" spans="1:2" x14ac:dyDescent="0.25">
      <c r="A890">
        <f ca="1">31441.4258809398*((RANDBETWEEN(1587,2416)))</f>
        <v>65712580.091164112</v>
      </c>
      <c r="B890">
        <v>243592838.16990098</v>
      </c>
    </row>
    <row r="891" spans="1:2" x14ac:dyDescent="0.25">
      <c r="A891">
        <f ca="1">32963.9513399585*((RANDBETWEEN(1587,2416)))</f>
        <v>59895499.584704667</v>
      </c>
      <c r="B891">
        <v>222349895.69647577</v>
      </c>
    </row>
    <row r="892" spans="1:2" x14ac:dyDescent="0.25">
      <c r="A892">
        <f ca="1">27099.4203957426*((RANDBETWEEN(1587,2416)))</f>
        <v>55391215.288897902</v>
      </c>
      <c r="B892">
        <v>220734495.29183072</v>
      </c>
    </row>
    <row r="893" spans="1:2" x14ac:dyDescent="0.25">
      <c r="A893">
        <f ca="1">33137.4326507295*((RANDBETWEEN(1587,2416)))</f>
        <v>60906601.212040827</v>
      </c>
      <c r="B893">
        <v>258886267.24421677</v>
      </c>
    </row>
    <row r="894" spans="1:2" x14ac:dyDescent="0.25">
      <c r="A894">
        <f ca="1">39733.4472893542*((RANDBETWEEN(1587,2416)))</f>
        <v>63335114.979230568</v>
      </c>
      <c r="B894">
        <v>227512305.74130294</v>
      </c>
    </row>
    <row r="895" spans="1:2" x14ac:dyDescent="0.25">
      <c r="A895">
        <f ca="1">34701.8110773968*((RANDBETWEEN(1587,2416)))</f>
        <v>75927562.637344196</v>
      </c>
      <c r="B895">
        <v>227742632.75585708</v>
      </c>
    </row>
    <row r="896" spans="1:2" x14ac:dyDescent="0.25">
      <c r="A896">
        <f ca="1">34692.3736982239*((RANDBETWEEN(1587,2416)))</f>
        <v>59532113.266152188</v>
      </c>
      <c r="B896">
        <v>251744389.14758271</v>
      </c>
    </row>
    <row r="897" spans="1:2" x14ac:dyDescent="0.25">
      <c r="A897">
        <f ca="1">33806.6903197895*((RANDBETWEEN(1587,2416)))</f>
        <v>64536971.820478089</v>
      </c>
      <c r="B897">
        <v>238116270.74227506</v>
      </c>
    </row>
    <row r="898" spans="1:2" x14ac:dyDescent="0.25">
      <c r="A898">
        <f ca="1">29021.6109236897*((RANDBETWEEN(1587,2416)))</f>
        <v>64660149.137980707</v>
      </c>
      <c r="B898">
        <v>207623189.88985956</v>
      </c>
    </row>
    <row r="899" spans="1:2" x14ac:dyDescent="0.25">
      <c r="A899">
        <f ca="1">38696.3159379992*((RANDBETWEEN(1587,2416)))</f>
        <v>91903750.352748185</v>
      </c>
      <c r="B899">
        <v>239997823.84617189</v>
      </c>
    </row>
    <row r="900" spans="1:2" x14ac:dyDescent="0.25">
      <c r="A900">
        <f ca="1">35068.1111093272*((RANDBETWEEN(1587,2416)))</f>
        <v>56038841.552704848</v>
      </c>
      <c r="B900">
        <v>247360009.39442587</v>
      </c>
    </row>
    <row r="901" spans="1:2" x14ac:dyDescent="0.25">
      <c r="A901">
        <f ca="1">40809.2397569337*((RANDBETWEEN(1587,2416)))</f>
        <v>65743685.248420224</v>
      </c>
      <c r="B901">
        <v>216501740.27526161</v>
      </c>
    </row>
    <row r="902" spans="1:2" x14ac:dyDescent="0.25">
      <c r="A902">
        <f ca="1">32416.859903561*((RANDBETWEEN(1587,2416)))</f>
        <v>66033143.623553716</v>
      </c>
      <c r="B902">
        <v>245754946.54925001</v>
      </c>
    </row>
    <row r="903" spans="1:2" x14ac:dyDescent="0.25">
      <c r="A903">
        <f ca="1">32527.6984724293*((RANDBETWEEN(1587,2416)))</f>
        <v>75106455.772839189</v>
      </c>
      <c r="B903">
        <v>255483067.47820151</v>
      </c>
    </row>
    <row r="904" spans="1:2" x14ac:dyDescent="0.25">
      <c r="A904">
        <f ca="1">28919.7557453592*((RANDBETWEEN(1587,2416)))</f>
        <v>58793863.430315174</v>
      </c>
      <c r="B904">
        <v>264962503.95072943</v>
      </c>
    </row>
    <row r="905" spans="1:2" x14ac:dyDescent="0.25">
      <c r="A905">
        <f ca="1">31175.1281036723*((RANDBETWEEN(1587,2416)))</f>
        <v>57019309.301616699</v>
      </c>
      <c r="B905">
        <v>248864390.3810575</v>
      </c>
    </row>
    <row r="906" spans="1:2" x14ac:dyDescent="0.25">
      <c r="A906">
        <f ca="1">35329.5949570495*((RANDBETWEEN(1587,2416)))</f>
        <v>61473495.225266203</v>
      </c>
      <c r="B906">
        <v>203813162.10958004</v>
      </c>
    </row>
    <row r="907" spans="1:2" x14ac:dyDescent="0.25">
      <c r="A907">
        <f ca="1">30832.6287689319*((RANDBETWEEN(1587,2416)))</f>
        <v>56547041.162221022</v>
      </c>
      <c r="B907">
        <v>213916424.72694746</v>
      </c>
    </row>
    <row r="908" spans="1:2" x14ac:dyDescent="0.25">
      <c r="A908">
        <f ca="1">30089.020789442*((RANDBETWEEN(1587,2416)))</f>
        <v>70017151.377031446</v>
      </c>
      <c r="B908">
        <v>265385312.16004336</v>
      </c>
    </row>
    <row r="909" spans="1:2" x14ac:dyDescent="0.25">
      <c r="A909">
        <f ca="1">38921.3919762269*((RANDBETWEEN(1587,2416)))</f>
        <v>93255655.175039649</v>
      </c>
      <c r="B909">
        <v>205559477.33252841</v>
      </c>
    </row>
    <row r="910" spans="1:2" x14ac:dyDescent="0.25">
      <c r="A910">
        <f ca="1">40487.3089878668*((RANDBETWEEN(1587,2416)))</f>
        <v>81055592.593709335</v>
      </c>
      <c r="B910">
        <v>237032289.80533534</v>
      </c>
    </row>
    <row r="911" spans="1:2" x14ac:dyDescent="0.25">
      <c r="A911">
        <f ca="1">34061.1199664442*((RANDBETWEEN(1587,2416)))</f>
        <v>79498654.001680851</v>
      </c>
      <c r="B911">
        <v>242047242.53496143</v>
      </c>
    </row>
    <row r="912" spans="1:2" x14ac:dyDescent="0.25">
      <c r="A912">
        <f ca="1">38974.7711091195*((RANDBETWEEN(1587,2416)))</f>
        <v>91006090.539793938</v>
      </c>
      <c r="B912">
        <v>247468420.47188643</v>
      </c>
    </row>
    <row r="913" spans="1:2" x14ac:dyDescent="0.25">
      <c r="A913">
        <f ca="1">31405.6165669103*((RANDBETWEEN(1587,2416)))</f>
        <v>56969788.452375293</v>
      </c>
      <c r="B913">
        <v>225288403.35466087</v>
      </c>
    </row>
    <row r="914" spans="1:2" x14ac:dyDescent="0.25">
      <c r="A914">
        <f ca="1">32041.0974446314*((RANDBETWEEN(1587,2416)))</f>
        <v>53572714.92742376</v>
      </c>
      <c r="B914">
        <v>223017560.60077414</v>
      </c>
    </row>
    <row r="915" spans="1:2" x14ac:dyDescent="0.25">
      <c r="A915">
        <f ca="1">32768.4946028647*((RANDBETWEEN(1587,2416)))</f>
        <v>65143767.270494983</v>
      </c>
      <c r="B915">
        <v>214088541.50670442</v>
      </c>
    </row>
    <row r="916" spans="1:2" x14ac:dyDescent="0.25">
      <c r="A916">
        <f ca="1">34278.5834846667*((RANDBETWEEN(1587,2416)))</f>
        <v>64992194.286928117</v>
      </c>
      <c r="B916">
        <v>256684407.79954758</v>
      </c>
    </row>
    <row r="917" spans="1:2" x14ac:dyDescent="0.25">
      <c r="A917">
        <f ca="1">30601.462945378*((RANDBETWEEN(1587,2416)))</f>
        <v>64232470.722348399</v>
      </c>
      <c r="B917">
        <v>244515484.47810683</v>
      </c>
    </row>
    <row r="918" spans="1:2" x14ac:dyDescent="0.25">
      <c r="A918">
        <f ca="1">33159.022458362*((RANDBETWEEN(1587,2416)))</f>
        <v>65091161.085764579</v>
      </c>
      <c r="B918">
        <v>262533244.71945828</v>
      </c>
    </row>
    <row r="919" spans="1:2" x14ac:dyDescent="0.25">
      <c r="A919">
        <f ca="1">38001.128849359*((RANDBETWEEN(1587,2416)))</f>
        <v>75508243.02367641</v>
      </c>
      <c r="B919">
        <v>253272763.86282331</v>
      </c>
    </row>
    <row r="920" spans="1:2" x14ac:dyDescent="0.25">
      <c r="A920">
        <f ca="1">40225.4468927099*((RANDBETWEEN(1587,2416)))</f>
        <v>90869284.530631751</v>
      </c>
      <c r="B920">
        <v>258985439.83895889</v>
      </c>
    </row>
    <row r="921" spans="1:2" x14ac:dyDescent="0.25">
      <c r="A921">
        <f ca="1">33519.1036252426*((RANDBETWEEN(1587,2416)))</f>
        <v>80345291.389706537</v>
      </c>
      <c r="B921">
        <v>223337269.38790476</v>
      </c>
    </row>
    <row r="922" spans="1:2" x14ac:dyDescent="0.25">
      <c r="A922">
        <f ca="1">31699.0834768309*((RANDBETWEEN(1587,2416)))</f>
        <v>62605689.866740942</v>
      </c>
      <c r="B922">
        <v>221388365.66426411</v>
      </c>
    </row>
    <row r="923" spans="1:2" x14ac:dyDescent="0.25">
      <c r="A923">
        <f ca="1">35568.9213173926*((RANDBETWEEN(1587,2416)))</f>
        <v>65126694.932145856</v>
      </c>
      <c r="B923">
        <v>266036052.60454017</v>
      </c>
    </row>
    <row r="924" spans="1:2" x14ac:dyDescent="0.25">
      <c r="A924">
        <f ca="1">34366.4095605394*((RANDBETWEEN(1587,2416)))</f>
        <v>76396528.453079164</v>
      </c>
      <c r="B924">
        <v>229092089.62314847</v>
      </c>
    </row>
    <row r="925" spans="1:2" x14ac:dyDescent="0.25">
      <c r="A925">
        <f ca="1">29358.744306841*((RANDBETWEEN(1587,2416)))</f>
        <v>65969098.457471751</v>
      </c>
      <c r="B925">
        <v>227590766.53824815</v>
      </c>
    </row>
    <row r="926" spans="1:2" x14ac:dyDescent="0.25">
      <c r="A926">
        <f ca="1">30543.9771506043*((RANDBETWEEN(1587,2416)))</f>
        <v>59255315.672172256</v>
      </c>
      <c r="B926">
        <v>257162727.04567489</v>
      </c>
    </row>
    <row r="927" spans="1:2" x14ac:dyDescent="0.25">
      <c r="A927">
        <f ca="1">35820.5211624609*((RANDBETWEEN(1587,2416)))</f>
        <v>78876787.599738806</v>
      </c>
      <c r="B927">
        <v>206066476.01558262</v>
      </c>
    </row>
    <row r="928" spans="1:2" x14ac:dyDescent="0.25">
      <c r="A928">
        <f ca="1">29637.6594855861*((RANDBETWEEN(1587,2416)))</f>
        <v>68462993.41170384</v>
      </c>
      <c r="B928">
        <v>242629082.17235553</v>
      </c>
    </row>
    <row r="929" spans="1:2" x14ac:dyDescent="0.25">
      <c r="A929">
        <f ca="1">35736.492189351*((RANDBETWEEN(1587,2416)))</f>
        <v>82694242.926158115</v>
      </c>
      <c r="B929">
        <v>228207176.08800793</v>
      </c>
    </row>
    <row r="930" spans="1:2" x14ac:dyDescent="0.25">
      <c r="A930">
        <f ca="1">31138.1269707028*((RANDBETWEEN(1587,2416)))</f>
        <v>74606952.221804023</v>
      </c>
      <c r="B930">
        <v>238753734.68447542</v>
      </c>
    </row>
    <row r="931" spans="1:2" x14ac:dyDescent="0.25">
      <c r="A931">
        <f ca="1">32416.4952762738*((RANDBETWEEN(1587,2416)))</f>
        <v>57831027.572872423</v>
      </c>
      <c r="B931">
        <v>216182877.15159637</v>
      </c>
    </row>
    <row r="932" spans="1:2" x14ac:dyDescent="0.25">
      <c r="A932">
        <f ca="1">33408.0178515994*((RANDBETWEEN(1587,2416)))</f>
        <v>65112226.792767167</v>
      </c>
      <c r="B932">
        <v>215813069.10651034</v>
      </c>
    </row>
    <row r="933" spans="1:2" x14ac:dyDescent="0.25">
      <c r="A933">
        <f ca="1">29053.9324300694*((RANDBETWEEN(1587,2416)))</f>
        <v>67724716.49449186</v>
      </c>
      <c r="B933">
        <v>225169627.9854849</v>
      </c>
    </row>
    <row r="934" spans="1:2" x14ac:dyDescent="0.25">
      <c r="A934">
        <f ca="1">32001.8862432148*((RANDBETWEEN(1587,2416)))</f>
        <v>68228021.470533952</v>
      </c>
      <c r="B934">
        <v>214814351.46103847</v>
      </c>
    </row>
    <row r="935" spans="1:2" x14ac:dyDescent="0.25">
      <c r="A935">
        <f ca="1">30025.9010588599*((RANDBETWEEN(1587,2416)))</f>
        <v>53626259.291123845</v>
      </c>
      <c r="B935">
        <v>232989299.93504158</v>
      </c>
    </row>
    <row r="936" spans="1:2" x14ac:dyDescent="0.25">
      <c r="A936">
        <f ca="1">28621.0609832398*((RANDBETWEEN(1587,2416)))</f>
        <v>51002730.672133312</v>
      </c>
      <c r="B936">
        <v>233658366.29186267</v>
      </c>
    </row>
    <row r="937" spans="1:2" x14ac:dyDescent="0.25">
      <c r="A937">
        <f ca="1">39319.4154709761*((RANDBETWEEN(1587,2416)))</f>
        <v>74785528.225796595</v>
      </c>
      <c r="B937">
        <v>265723477.77466077</v>
      </c>
    </row>
    <row r="938" spans="1:2" x14ac:dyDescent="0.25">
      <c r="A938">
        <f ca="1">34982.0119080547*((RANDBETWEEN(1587,2416)))</f>
        <v>80493609.400433853</v>
      </c>
      <c r="B938">
        <v>267290976.14762816</v>
      </c>
    </row>
    <row r="939" spans="1:2" x14ac:dyDescent="0.25">
      <c r="A939">
        <f ca="1">36093.0884573582*((RANDBETWEEN(1587,2416)))</f>
        <v>86695598.474574462</v>
      </c>
      <c r="B939">
        <v>235089136.21347857</v>
      </c>
    </row>
    <row r="940" spans="1:2" x14ac:dyDescent="0.25">
      <c r="A940">
        <f ca="1">41427.381568179*((RANDBETWEEN(1587,2416)))</f>
        <v>86210381.043380588</v>
      </c>
      <c r="B940">
        <v>207199786.20749372</v>
      </c>
    </row>
    <row r="941" spans="1:2" x14ac:dyDescent="0.25">
      <c r="A941">
        <f ca="1">36681.3072676672*((RANDBETWEEN(1587,2416)))</f>
        <v>59680486.924494572</v>
      </c>
      <c r="B941">
        <v>241736411.53222281</v>
      </c>
    </row>
    <row r="942" spans="1:2" x14ac:dyDescent="0.25">
      <c r="A942">
        <f ca="1">30477.1723446175*((RANDBETWEEN(1587,2416)))</f>
        <v>54249366.773419164</v>
      </c>
      <c r="B942">
        <v>222717426.91536677</v>
      </c>
    </row>
    <row r="943" spans="1:2" x14ac:dyDescent="0.25">
      <c r="A943">
        <f ca="1">29448.352102391*((RANDBETWEEN(1587,2416)))</f>
        <v>70352113.172612026</v>
      </c>
      <c r="B943">
        <v>249736463.20984575</v>
      </c>
    </row>
    <row r="944" spans="1:2" x14ac:dyDescent="0.25">
      <c r="A944">
        <f ca="1">36451.389595513*((RANDBETWEEN(1587,2416)))</f>
        <v>79026612.643072218</v>
      </c>
      <c r="B944">
        <v>251629094.14952287</v>
      </c>
    </row>
    <row r="945" spans="1:2" x14ac:dyDescent="0.25">
      <c r="A945">
        <f ca="1">40408.8544655757*((RANDBETWEEN(1587,2416)))</f>
        <v>91081557.965407655</v>
      </c>
      <c r="B945">
        <v>233867111.77701738</v>
      </c>
    </row>
    <row r="946" spans="1:2" x14ac:dyDescent="0.25">
      <c r="A946">
        <f ca="1">31563.4602233876*((RANDBETWEEN(1587,2416)))</f>
        <v>59812757.12331944</v>
      </c>
      <c r="B946">
        <v>211207378.60500652</v>
      </c>
    </row>
    <row r="947" spans="1:2" x14ac:dyDescent="0.25">
      <c r="A947">
        <f ca="1">33003.0234140715*((RANDBETWEEN(1587,2416)))</f>
        <v>75114881.290426686</v>
      </c>
      <c r="B947">
        <v>262305711.71064153</v>
      </c>
    </row>
    <row r="948" spans="1:2" x14ac:dyDescent="0.25">
      <c r="A948">
        <f ca="1">38575.8175149416*((RANDBETWEEN(1587,2416)))</f>
        <v>77537393.205032691</v>
      </c>
      <c r="B948">
        <v>210939294.44176033</v>
      </c>
    </row>
    <row r="949" spans="1:2" x14ac:dyDescent="0.25">
      <c r="A949">
        <f ca="1">36242.1518896895*((RANDBETWEEN(1587,2416)))</f>
        <v>73970232.006856278</v>
      </c>
      <c r="B949">
        <v>214788211.2641964</v>
      </c>
    </row>
    <row r="950" spans="1:2" x14ac:dyDescent="0.25">
      <c r="A950">
        <f ca="1">33478.5538012165*((RANDBETWEEN(1587,2416)))</f>
        <v>60328353.949792132</v>
      </c>
      <c r="B950">
        <v>258614992.42419863</v>
      </c>
    </row>
    <row r="951" spans="1:2" x14ac:dyDescent="0.25">
      <c r="A951">
        <f ca="1">32591.5952413825*((RANDBETWEEN(1587,2416)))</f>
        <v>75971008.507662505</v>
      </c>
      <c r="B951">
        <v>234116861.32754457</v>
      </c>
    </row>
    <row r="952" spans="1:2" x14ac:dyDescent="0.25">
      <c r="A952">
        <f ca="1">30611.246469427*((RANDBETWEEN(1587,2416)))</f>
        <v>69426306.992660418</v>
      </c>
      <c r="B952">
        <v>214714135.04929385</v>
      </c>
    </row>
    <row r="953" spans="1:2" x14ac:dyDescent="0.25">
      <c r="A953">
        <f ca="1">31195.8184420386*((RANDBETWEEN(1587,2416)))</f>
        <v>63483490.529548496</v>
      </c>
      <c r="B953">
        <v>248255739.47226721</v>
      </c>
    </row>
    <row r="954" spans="1:2" x14ac:dyDescent="0.25">
      <c r="A954">
        <f ca="1">35067.3068579109*((RANDBETWEEN(1587,2416)))</f>
        <v>69889142.567816406</v>
      </c>
      <c r="B954">
        <v>235633930.33505452</v>
      </c>
    </row>
    <row r="955" spans="1:2" x14ac:dyDescent="0.25">
      <c r="A955">
        <f ca="1">33023.8843864239*((RANDBETWEEN(1587,2416)))</f>
        <v>78233582.111438245</v>
      </c>
      <c r="B955">
        <v>261945656.28527397</v>
      </c>
    </row>
    <row r="956" spans="1:2" x14ac:dyDescent="0.25">
      <c r="A956">
        <f ca="1">28551.7110793411*((RANDBETWEEN(1587,2416)))</f>
        <v>60215558.666330442</v>
      </c>
      <c r="B956">
        <v>216542222.39585093</v>
      </c>
    </row>
    <row r="957" spans="1:2" x14ac:dyDescent="0.25">
      <c r="A957">
        <f ca="1">29580.7923563273*((RANDBETWEEN(1587,2416)))</f>
        <v>69485281.245012909</v>
      </c>
      <c r="B957">
        <v>243646653.87917513</v>
      </c>
    </row>
    <row r="958" spans="1:2" x14ac:dyDescent="0.25">
      <c r="A958">
        <f ca="1">32139.1556577858*((RANDBETWEEN(1587,2416)))</f>
        <v>73855779.701591834</v>
      </c>
      <c r="B958">
        <v>213022896.61541331</v>
      </c>
    </row>
    <row r="959" spans="1:2" x14ac:dyDescent="0.25">
      <c r="A959">
        <f ca="1">34467.6465141789*((RANDBETWEEN(1587,2416)))</f>
        <v>55044831.483143628</v>
      </c>
      <c r="B959">
        <v>246115723.11924699</v>
      </c>
    </row>
    <row r="960" spans="1:2" x14ac:dyDescent="0.25">
      <c r="A960">
        <f ca="1">40262.0993342664*((RANDBETWEEN(1587,2416)))</f>
        <v>73317282.887699082</v>
      </c>
      <c r="B960">
        <v>228724954.68155992</v>
      </c>
    </row>
    <row r="961" spans="1:2" x14ac:dyDescent="0.25">
      <c r="A961">
        <f ca="1">33869.8615722571*((RANDBETWEEN(1587,2416)))</f>
        <v>73125031.134503022</v>
      </c>
      <c r="B961">
        <v>267121906.43325019</v>
      </c>
    </row>
    <row r="962" spans="1:2" x14ac:dyDescent="0.25">
      <c r="A962">
        <f ca="1">34094.1106058225*((RANDBETWEEN(1587,2416)))</f>
        <v>78007325.066121995</v>
      </c>
      <c r="B962">
        <v>207048504.42853543</v>
      </c>
    </row>
    <row r="963" spans="1:2" x14ac:dyDescent="0.25">
      <c r="A963">
        <f ca="1">31380.4963059794*((RANDBETWEEN(1587,2416)))</f>
        <v>64643822.390317596</v>
      </c>
      <c r="B963">
        <v>221300828.25093383</v>
      </c>
    </row>
    <row r="964" spans="1:2" x14ac:dyDescent="0.25">
      <c r="A964">
        <f ca="1">30880.5449592205*((RANDBETWEEN(1587,2416)))</f>
        <v>56912844.359843358</v>
      </c>
      <c r="B964">
        <v>254094621.59109166</v>
      </c>
    </row>
    <row r="965" spans="1:2" x14ac:dyDescent="0.25">
      <c r="A965">
        <f ca="1">41856.8839143877*((RANDBETWEEN(1587,2416)))</f>
        <v>97442825.752694458</v>
      </c>
      <c r="B965">
        <v>250894901.08643708</v>
      </c>
    </row>
    <row r="966" spans="1:2" x14ac:dyDescent="0.25">
      <c r="A966">
        <f ca="1">31866.7867360071*((RANDBETWEEN(1587,2416)))</f>
        <v>58475553.660572961</v>
      </c>
      <c r="B966">
        <v>204024457.93547532</v>
      </c>
    </row>
    <row r="967" spans="1:2" x14ac:dyDescent="0.25">
      <c r="A967">
        <f ca="1">41287.4978850524*((RANDBETWEEN(1587,2416)))</f>
        <v>76794746.06619747</v>
      </c>
      <c r="B967">
        <v>239506015.10762817</v>
      </c>
    </row>
    <row r="968" spans="1:2" x14ac:dyDescent="0.25">
      <c r="A968">
        <f ca="1">38281.5256947656*((RANDBETWEEN(1587,2416)))</f>
        <v>91454564.884794965</v>
      </c>
      <c r="B968">
        <v>223522437.63817227</v>
      </c>
    </row>
    <row r="969" spans="1:2" x14ac:dyDescent="0.25">
      <c r="A969">
        <f ca="1">34304.4894632018*((RANDBETWEEN(1587,2416)))</f>
        <v>81644684.922420323</v>
      </c>
      <c r="B969">
        <v>223167521.70299527</v>
      </c>
    </row>
    <row r="970" spans="1:2" x14ac:dyDescent="0.25">
      <c r="A970">
        <f ca="1">31777.9307790944*((RANDBETWEEN(1587,2416)))</f>
        <v>54626263.009263307</v>
      </c>
      <c r="B970">
        <v>229563429.19378403</v>
      </c>
    </row>
    <row r="971" spans="1:2" x14ac:dyDescent="0.25">
      <c r="A971">
        <f ca="1">31931.621533661*((RANDBETWEEN(1587,2416)))</f>
        <v>54028303.634954467</v>
      </c>
      <c r="B971">
        <v>264591210.88136199</v>
      </c>
    </row>
    <row r="972" spans="1:2" x14ac:dyDescent="0.25">
      <c r="A972">
        <f ca="1">27961.8688047275*((RANDBETWEEN(1587,2416)))</f>
        <v>60761140.912672915</v>
      </c>
      <c r="B972">
        <v>224865165.63414776</v>
      </c>
    </row>
    <row r="973" spans="1:2" x14ac:dyDescent="0.25">
      <c r="A973">
        <f ca="1">35375.3896804561*((RANDBETWEEN(1587,2416)))</f>
        <v>79488500.611984879</v>
      </c>
      <c r="B973">
        <v>237842652.83986056</v>
      </c>
    </row>
    <row r="974" spans="1:2" x14ac:dyDescent="0.25">
      <c r="A974">
        <f ca="1">38140.82043724*((RANDBETWEEN(1587,2416)))</f>
        <v>87647605.364777565</v>
      </c>
      <c r="B974">
        <v>210357652.79455587</v>
      </c>
    </row>
    <row r="975" spans="1:2" x14ac:dyDescent="0.25">
      <c r="A975">
        <f ca="1">31637.3905810857*((RANDBETWEEN(1587,2416)))</f>
        <v>52043507.505886033</v>
      </c>
      <c r="B975">
        <v>204957943.79669341</v>
      </c>
    </row>
    <row r="976" spans="1:2" x14ac:dyDescent="0.25">
      <c r="A976">
        <f ca="1">31303.419268834*((RANDBETWEEN(1587,2416)))</f>
        <v>70213569.419994757</v>
      </c>
      <c r="B976">
        <v>216253457.09078738</v>
      </c>
    </row>
    <row r="977" spans="1:2" x14ac:dyDescent="0.25">
      <c r="A977">
        <f ca="1">39002.7903614315*((RANDBETWEEN(1587,2416)))</f>
        <v>92319604.785508454</v>
      </c>
      <c r="B977">
        <v>240006485.17615879</v>
      </c>
    </row>
    <row r="978" spans="1:2" x14ac:dyDescent="0.25">
      <c r="A978">
        <f ca="1">27726.417910962*((RANDBETWEEN(1587,2416)))</f>
        <v>61497194.926513672</v>
      </c>
      <c r="B978">
        <v>226116491.13064557</v>
      </c>
    </row>
    <row r="979" spans="1:2" x14ac:dyDescent="0.25">
      <c r="A979">
        <f ca="1">38985.5286370981*((RANDBETWEEN(1587,2416)))</f>
        <v>67678877.714002311</v>
      </c>
      <c r="B979">
        <v>205898158.12027687</v>
      </c>
    </row>
    <row r="980" spans="1:2" x14ac:dyDescent="0.25">
      <c r="A980">
        <f ca="1">37799.2158249869*((RANDBETWEEN(1587,2416)))</f>
        <v>79038160.290047526</v>
      </c>
      <c r="B980">
        <v>215771402.4174282</v>
      </c>
    </row>
    <row r="981" spans="1:2" x14ac:dyDescent="0.25">
      <c r="A981">
        <f ca="1">33093.8425321356*((RANDBETWEEN(1587,2416)))</f>
        <v>64599180.622728668</v>
      </c>
      <c r="B981">
        <v>205205914.47448635</v>
      </c>
    </row>
    <row r="982" spans="1:2" x14ac:dyDescent="0.25">
      <c r="A982">
        <f ca="1">35674.2289894687*((RANDBETWEEN(1587,2416)))</f>
        <v>67923731.99594833</v>
      </c>
      <c r="B982">
        <v>223879195.70551157</v>
      </c>
    </row>
    <row r="983" spans="1:2" x14ac:dyDescent="0.25">
      <c r="A983">
        <f ca="1">33908.2977308765*((RANDBETWEEN(1587,2416)))</f>
        <v>79548866.476636171</v>
      </c>
      <c r="B983">
        <v>222272153.63757041</v>
      </c>
    </row>
    <row r="984" spans="1:2" x14ac:dyDescent="0.25">
      <c r="A984">
        <f ca="1">29569.876591079*((RANDBETWEEN(1587,2416)))</f>
        <v>65526846.525830999</v>
      </c>
      <c r="B984">
        <v>213660107.85355005</v>
      </c>
    </row>
    <row r="985" spans="1:2" x14ac:dyDescent="0.25">
      <c r="A985">
        <f ca="1">33939.4997445215*((RANDBETWEEN(1587,2416)))</f>
        <v>65774750.504882634</v>
      </c>
      <c r="B985">
        <v>242467745.77668822</v>
      </c>
    </row>
    <row r="986" spans="1:2" x14ac:dyDescent="0.25">
      <c r="A986">
        <f ca="1">40305.387394301*((RANDBETWEEN(1587,2416)))</f>
        <v>64166176.731727242</v>
      </c>
      <c r="B986">
        <v>232050870.03759491</v>
      </c>
    </row>
    <row r="987" spans="1:2" x14ac:dyDescent="0.25">
      <c r="A987">
        <f ca="1">31417.9113224906*((RANDBETWEEN(1587,2416)))</f>
        <v>71664255.726601139</v>
      </c>
      <c r="B987">
        <v>241994140.56068057</v>
      </c>
    </row>
    <row r="988" spans="1:2" x14ac:dyDescent="0.25">
      <c r="A988">
        <f ca="1">30765.153628704*((RANDBETWEEN(1587,2416)))</f>
        <v>72698058.024627671</v>
      </c>
      <c r="B988">
        <v>224907696.19003862</v>
      </c>
    </row>
    <row r="989" spans="1:2" x14ac:dyDescent="0.25">
      <c r="A989">
        <f ca="1">40828.2590501623*((RANDBETWEEN(1587,2416)))</f>
        <v>95007358.809727654</v>
      </c>
      <c r="B989">
        <v>254993485.74559993</v>
      </c>
    </row>
    <row r="990" spans="1:2" x14ac:dyDescent="0.25">
      <c r="A990">
        <f ca="1">33196.5883333574*((RANDBETWEEN(1587,2416)))</f>
        <v>68285382.201716125</v>
      </c>
      <c r="B990">
        <v>214396563.73537594</v>
      </c>
    </row>
    <row r="991" spans="1:2" x14ac:dyDescent="0.25">
      <c r="A991">
        <f ca="1">30433.0163645701*((RANDBETWEEN(1587,2416)))</f>
        <v>50853570.345196672</v>
      </c>
      <c r="B991">
        <v>232565379.36967516</v>
      </c>
    </row>
    <row r="992" spans="1:2" x14ac:dyDescent="0.25">
      <c r="A992">
        <f ca="1">32427.5399181509*((RANDBETWEEN(1587,2416)))</f>
        <v>57331890.575290844</v>
      </c>
      <c r="B992">
        <v>250507621.75302976</v>
      </c>
    </row>
    <row r="993" spans="1:2" x14ac:dyDescent="0.25">
      <c r="A993">
        <f ca="1">39500.189083381*((RANDBETWEEN(1587,2416)))</f>
        <v>76393365.687258944</v>
      </c>
      <c r="B993">
        <v>229252512.51549298</v>
      </c>
    </row>
    <row r="994" spans="1:2" x14ac:dyDescent="0.25">
      <c r="A994">
        <f ca="1">30721.7829645997*((RANDBETWEEN(1587,2416)))</f>
        <v>70537213.686720967</v>
      </c>
      <c r="B994">
        <v>206264298.24431914</v>
      </c>
    </row>
    <row r="995" spans="1:2" x14ac:dyDescent="0.25">
      <c r="A995">
        <f ca="1">38140.8972716694*((RANDBETWEEN(1587,2416)))</f>
        <v>75900385.570622012</v>
      </c>
      <c r="B995">
        <v>254988960.65658808</v>
      </c>
    </row>
    <row r="996" spans="1:2" x14ac:dyDescent="0.25">
      <c r="A996">
        <f ca="1">41785.2543104668*((RANDBETWEEN(1587,2416)))</f>
        <v>85241918.793352351</v>
      </c>
      <c r="B996">
        <v>250103417.93120202</v>
      </c>
    </row>
    <row r="997" spans="1:2" x14ac:dyDescent="0.25">
      <c r="A997">
        <f ca="1">37117.1638515116*((RANDBETWEEN(1587,2416)))</f>
        <v>74568382.177686736</v>
      </c>
      <c r="B997">
        <v>254194429.4141826</v>
      </c>
    </row>
    <row r="998" spans="1:2" x14ac:dyDescent="0.25">
      <c r="A998">
        <f ca="1">42057.3959261526*((RANDBETWEEN(1587,2416)))</f>
        <v>69604990.257782504</v>
      </c>
      <c r="B998">
        <v>216757379.1101557</v>
      </c>
    </row>
    <row r="999" spans="1:2" x14ac:dyDescent="0.25">
      <c r="A999">
        <f ca="1">42559.5983381968*((RANDBETWEEN(1587,2416)))</f>
        <v>81799548.006014198</v>
      </c>
      <c r="B999">
        <v>238573904.68020844</v>
      </c>
    </row>
    <row r="1000" spans="1:2" x14ac:dyDescent="0.25">
      <c r="A1000">
        <f ca="1">30723.303354063*((RANDBETWEEN(1587,2416)))</f>
        <v>57206790.845265381</v>
      </c>
      <c r="B1000">
        <v>219765537.60333049</v>
      </c>
    </row>
    <row r="1001" spans="1:2" x14ac:dyDescent="0.25">
      <c r="A1001">
        <f ca="1">34107.113137587*((RANDBETWEEN(1587,2416)))</f>
        <v>75206184.468379438</v>
      </c>
      <c r="B1001">
        <v>239006752.38952616</v>
      </c>
    </row>
    <row r="1002" spans="1:2" x14ac:dyDescent="0.25">
      <c r="A1002">
        <f ca="1">42144.8449476173*((RANDBETWEEN(1587,2416)))</f>
        <v>93772280.008448541</v>
      </c>
      <c r="B1002">
        <v>244556706.32368958</v>
      </c>
    </row>
    <row r="1003" spans="1:2" x14ac:dyDescent="0.25">
      <c r="A1003">
        <f ca="1">39751.5319155334*((RANDBETWEEN(1587,2416)))</f>
        <v>66504312.89468734</v>
      </c>
      <c r="B1003">
        <v>226084156.48753339</v>
      </c>
    </row>
    <row r="1004" spans="1:2" x14ac:dyDescent="0.25">
      <c r="A1004">
        <f ca="1">31706.4939119922*((RANDBETWEEN(1587,2416)))</f>
        <v>57103395.535497971</v>
      </c>
      <c r="B1004">
        <v>239228373.80694497</v>
      </c>
    </row>
    <row r="1005" spans="1:2" x14ac:dyDescent="0.25">
      <c r="A1005">
        <f ca="1">30683.9780766303*((RANDBETWEEN(1587,2416)))</f>
        <v>72352820.304694265</v>
      </c>
      <c r="B1005">
        <v>233021437.07528836</v>
      </c>
    </row>
    <row r="1006" spans="1:2" x14ac:dyDescent="0.25">
      <c r="A1006">
        <f ca="1">29393.033446787*((RANDBETWEEN(1587,2416)))</f>
        <v>59756036.997317977</v>
      </c>
      <c r="B1006">
        <v>251453968.89866322</v>
      </c>
    </row>
    <row r="1007" spans="1:2" x14ac:dyDescent="0.25">
      <c r="A1007">
        <f ca="1">30702.4794680646*((RANDBETWEEN(1587,2416)))</f>
        <v>50966115.91698724</v>
      </c>
      <c r="B1007">
        <v>236101673.43327698</v>
      </c>
    </row>
    <row r="1008" spans="1:2" x14ac:dyDescent="0.25">
      <c r="A1008">
        <f ca="1">30600.4337211444*((RANDBETWEEN(1587,2416)))</f>
        <v>49756305.230580814</v>
      </c>
      <c r="B1008">
        <v>259707096.75591069</v>
      </c>
    </row>
    <row r="1009" spans="1:2" x14ac:dyDescent="0.25">
      <c r="A1009">
        <f ca="1">38899.9895140662*((RANDBETWEEN(1587,2416)))</f>
        <v>66907981.964193888</v>
      </c>
      <c r="B1009">
        <v>240470638.35290426</v>
      </c>
    </row>
    <row r="1010" spans="1:2" x14ac:dyDescent="0.25">
      <c r="A1010">
        <f ca="1">29338.055445866*((RANDBETWEEN(1587,2416)))</f>
        <v>49170580.927271374</v>
      </c>
      <c r="B1010">
        <v>216248571.99826658</v>
      </c>
    </row>
    <row r="1011" spans="1:2" x14ac:dyDescent="0.25">
      <c r="A1011">
        <f ca="1">40407.3703238276*((RANDBETWEEN(1587,2416)))</f>
        <v>78107446.835958704</v>
      </c>
      <c r="B1011">
        <v>219558815.67606473</v>
      </c>
    </row>
    <row r="1012" spans="1:2" x14ac:dyDescent="0.25">
      <c r="A1012">
        <f ca="1">37614.0032622905*((RANDBETWEEN(1587,2416)))</f>
        <v>62401631.412139982</v>
      </c>
      <c r="B1012">
        <v>259000644.18523163</v>
      </c>
    </row>
    <row r="1013" spans="1:2" x14ac:dyDescent="0.25">
      <c r="A1013">
        <f ca="1">33063.5514821232*((RANDBETWEEN(1587,2416)))</f>
        <v>53298444.989182539</v>
      </c>
      <c r="B1013">
        <v>205556136.81059137</v>
      </c>
    </row>
    <row r="1014" spans="1:2" x14ac:dyDescent="0.25">
      <c r="A1014">
        <f ca="1">28756.9439689545*((RANDBETWEEN(1587,2416)))</f>
        <v>59469360.127797924</v>
      </c>
      <c r="B1014">
        <v>227758425.45128888</v>
      </c>
    </row>
    <row r="1015" spans="1:2" x14ac:dyDescent="0.25">
      <c r="A1015">
        <f ca="1">36364.1227279854*((RANDBETWEEN(1587,2416)))</f>
        <v>70473669.846835881</v>
      </c>
      <c r="B1015">
        <v>204028823.07295617</v>
      </c>
    </row>
    <row r="1016" spans="1:2" x14ac:dyDescent="0.25">
      <c r="A1016">
        <f ca="1">32242.9306460831*((RANDBETWEEN(1587,2416)))</f>
        <v>63292872.85826119</v>
      </c>
      <c r="B1016">
        <v>265487737.86666876</v>
      </c>
    </row>
    <row r="1017" spans="1:2" x14ac:dyDescent="0.25">
      <c r="A1017">
        <f ca="1">40065.6161815918*((RANDBETWEEN(1587,2416)))</f>
        <v>94554854.188556746</v>
      </c>
      <c r="B1017">
        <v>265688456.58353913</v>
      </c>
    </row>
    <row r="1018" spans="1:2" x14ac:dyDescent="0.25">
      <c r="A1018">
        <f ca="1">30293.8511276898*((RANDBETWEEN(1587,2416)))</f>
        <v>58860952.741101228</v>
      </c>
      <c r="B1018">
        <v>215976044.54411662</v>
      </c>
    </row>
    <row r="1019" spans="1:2" x14ac:dyDescent="0.25">
      <c r="A1019">
        <f ca="1">32379.9719509852*((RANDBETWEEN(1587,2416)))</f>
        <v>67641761.405608177</v>
      </c>
      <c r="B1019">
        <v>222563534.21796167</v>
      </c>
    </row>
    <row r="1020" spans="1:2" x14ac:dyDescent="0.25">
      <c r="A1020">
        <f ca="1">31378.5977308903*((RANDBETWEEN(1587,2416)))</f>
        <v>72327667.769702181</v>
      </c>
      <c r="B1020">
        <v>259146410.71263772</v>
      </c>
    </row>
    <row r="1021" spans="1:2" x14ac:dyDescent="0.25">
      <c r="A1021">
        <f ca="1">37053.5044037317*((RANDBETWEEN(1587,2416)))</f>
        <v>78923964.379948527</v>
      </c>
      <c r="B1021">
        <v>251353618.01397735</v>
      </c>
    </row>
    <row r="1022" spans="1:2" x14ac:dyDescent="0.25">
      <c r="A1022">
        <f ca="1">33884.1149886763*((RANDBETWEEN(1587,2416)))</f>
        <v>74917778.239963189</v>
      </c>
      <c r="B1022">
        <v>205756963.50200742</v>
      </c>
    </row>
    <row r="1023" spans="1:2" x14ac:dyDescent="0.25">
      <c r="A1023">
        <f ca="1">38235.3450382064*((RANDBETWEEN(1587,2416)))</f>
        <v>80829519.410768345</v>
      </c>
      <c r="B1023">
        <v>255420707.61073655</v>
      </c>
    </row>
    <row r="1024" spans="1:2" x14ac:dyDescent="0.25">
      <c r="A1024">
        <f ca="1">39210.1159298685*((RANDBETWEEN(1587,2416)))</f>
        <v>77792870.00485903</v>
      </c>
      <c r="B1024">
        <v>259225645.64799204</v>
      </c>
    </row>
    <row r="1025" spans="1:2" x14ac:dyDescent="0.25">
      <c r="A1025">
        <f ca="1">32229.2998575472*((RANDBETWEEN(1587,2416)))</f>
        <v>57787134.644582152</v>
      </c>
      <c r="B1025">
        <v>221757907.15607774</v>
      </c>
    </row>
    <row r="1026" spans="1:2" x14ac:dyDescent="0.25">
      <c r="A1026">
        <f ca="1">32256.0337664058*((RANDBETWEEN(1587,2416)))</f>
        <v>53674040.18729917</v>
      </c>
      <c r="B1026">
        <v>247249323.7978074</v>
      </c>
    </row>
    <row r="1027" spans="1:2" x14ac:dyDescent="0.25">
      <c r="A1027">
        <f ca="1">30784.2500859349*((RANDBETWEEN(1587,2416)))</f>
        <v>58305369.662760749</v>
      </c>
      <c r="B1027">
        <v>226725183.01725805</v>
      </c>
    </row>
    <row r="1028" spans="1:2" x14ac:dyDescent="0.25">
      <c r="A1028">
        <f ca="1">29655.0779207111*((RANDBETWEEN(1587,2416)))</f>
        <v>71053566.6980239</v>
      </c>
      <c r="B1028">
        <v>213068005.64678618</v>
      </c>
    </row>
    <row r="1029" spans="1:2" x14ac:dyDescent="0.25">
      <c r="A1029">
        <f ca="1">32542.2392811099*((RANDBETWEEN(1587,2416)))</f>
        <v>71853264.33269076</v>
      </c>
      <c r="B1029">
        <v>246217565.2398957</v>
      </c>
    </row>
    <row r="1030" spans="1:2" x14ac:dyDescent="0.25">
      <c r="A1030">
        <f ca="1">41012.1775232093*((RANDBETWEEN(1587,2416)))</f>
        <v>75052284.867473006</v>
      </c>
      <c r="B1030">
        <v>262200417.48013711</v>
      </c>
    </row>
    <row r="1031" spans="1:2" x14ac:dyDescent="0.25">
      <c r="A1031">
        <f ca="1">32573.8754690925*((RANDBETWEEN(1587,2416)))</f>
        <v>52606808.882584319</v>
      </c>
      <c r="B1031">
        <v>254486847.57956496</v>
      </c>
    </row>
    <row r="1032" spans="1:2" x14ac:dyDescent="0.25">
      <c r="A1032">
        <f ca="1">34072.7428557954*((RANDBETWEEN(1587,2416)))</f>
        <v>64431556.740309052</v>
      </c>
      <c r="B1032">
        <v>239777224.30127183</v>
      </c>
    </row>
    <row r="1033" spans="1:2" x14ac:dyDescent="0.25">
      <c r="A1033">
        <f ca="1">37968.0726471462*((RANDBETWEEN(1587,2416)))</f>
        <v>60748916.235433914</v>
      </c>
      <c r="B1033">
        <v>247943492.74355596</v>
      </c>
    </row>
    <row r="1034" spans="1:2" x14ac:dyDescent="0.25">
      <c r="A1034">
        <f ca="1">30147.8822201307*((RANDBETWEEN(1587,2416)))</f>
        <v>59994285.618060075</v>
      </c>
      <c r="B1034">
        <v>262583202.5574286</v>
      </c>
    </row>
    <row r="1035" spans="1:2" x14ac:dyDescent="0.25">
      <c r="A1035">
        <f ca="1">36890.4092496731*((RANDBETWEEN(1587,2416)))</f>
        <v>85548859.049991906</v>
      </c>
      <c r="B1035">
        <v>215512149.97012359</v>
      </c>
    </row>
    <row r="1036" spans="1:2" x14ac:dyDescent="0.25">
      <c r="A1036">
        <f ca="1">39590.0996048096*((RANDBETWEEN(1587,2416)))</f>
        <v>63858830.662557893</v>
      </c>
      <c r="B1036">
        <v>228755349.21926498</v>
      </c>
    </row>
    <row r="1037" spans="1:2" x14ac:dyDescent="0.25">
      <c r="A1037">
        <f ca="1">32703.7694037648*((RANDBETWEEN(1587,2416)))</f>
        <v>79012306.879495874</v>
      </c>
      <c r="B1037">
        <v>208614580.97662362</v>
      </c>
    </row>
    <row r="1038" spans="1:2" x14ac:dyDescent="0.25">
      <c r="A1038">
        <f ca="1">32823.3933775159*((RANDBETWEEN(1587,2416)))</f>
        <v>68207011.438478157</v>
      </c>
      <c r="B1038">
        <v>258122927.38931227</v>
      </c>
    </row>
    <row r="1039" spans="1:2" x14ac:dyDescent="0.25">
      <c r="A1039">
        <f ca="1">37379.2417047541*((RANDBETWEEN(1587,2416)))</f>
        <v>78608545.305097863</v>
      </c>
      <c r="B1039">
        <v>260642692.84857684</v>
      </c>
    </row>
    <row r="1040" spans="1:2" x14ac:dyDescent="0.25">
      <c r="A1040">
        <f ca="1">34251.1958071685*((RANDBETWEEN(1587,2416)))</f>
        <v>82682386.678504795</v>
      </c>
      <c r="B1040">
        <v>226005228.10202861</v>
      </c>
    </row>
    <row r="1041" spans="1:2" x14ac:dyDescent="0.25">
      <c r="A1041">
        <f ca="1">36196.051607828*((RANDBETWEEN(1587,2416)))</f>
        <v>65949206.029462531</v>
      </c>
      <c r="B1041">
        <v>233980045.43303764</v>
      </c>
    </row>
    <row r="1042" spans="1:2" x14ac:dyDescent="0.25">
      <c r="A1042">
        <f ca="1">33238.9387022396*((RANDBETWEEN(1587,2416)))</f>
        <v>60494868.438076042</v>
      </c>
      <c r="B1042">
        <v>216565664.00000107</v>
      </c>
    </row>
    <row r="1043" spans="1:2" x14ac:dyDescent="0.25">
      <c r="A1043">
        <f ca="1">29808.0438413363*((RANDBETWEEN(1587,2416)))</f>
        <v>61076681.830897987</v>
      </c>
      <c r="B1043">
        <v>203981281.78220087</v>
      </c>
    </row>
    <row r="1044" spans="1:2" x14ac:dyDescent="0.25">
      <c r="A1044">
        <f ca="1">39912.6563400317*((RANDBETWEEN(1587,2416)))</f>
        <v>85133695.973287553</v>
      </c>
      <c r="B1044">
        <v>246549009.40024748</v>
      </c>
    </row>
    <row r="1045" spans="1:2" x14ac:dyDescent="0.25">
      <c r="A1045">
        <f ca="1">31594.4741965921*((RANDBETWEEN(1587,2416)))</f>
        <v>74468175.681367621</v>
      </c>
      <c r="B1045">
        <v>214381319.56761634</v>
      </c>
    </row>
    <row r="1046" spans="1:2" x14ac:dyDescent="0.25">
      <c r="A1046">
        <f ca="1">36096.333690219*((RANDBETWEEN(1587,2416)))</f>
        <v>57862422.905421078</v>
      </c>
      <c r="B1046">
        <v>216329967.06450611</v>
      </c>
    </row>
    <row r="1047" spans="1:2" x14ac:dyDescent="0.25">
      <c r="A1047">
        <f ca="1">39382.2684047382*((RANDBETWEEN(1587,2416)))</f>
        <v>69982290.95521982</v>
      </c>
      <c r="B1047">
        <v>217315352.65590447</v>
      </c>
    </row>
    <row r="1048" spans="1:2" x14ac:dyDescent="0.25">
      <c r="A1048">
        <f ca="1">36050.5943710787*((RANDBETWEEN(1587,2416)))</f>
        <v>61249959.836462669</v>
      </c>
      <c r="B1048">
        <v>252170499.59173134</v>
      </c>
    </row>
    <row r="1049" spans="1:2" x14ac:dyDescent="0.25">
      <c r="A1049">
        <f ca="1">31238.2515459675*((RANDBETWEEN(1587,2416)))</f>
        <v>62570217.846572921</v>
      </c>
      <c r="B1049">
        <v>234645794.63802871</v>
      </c>
    </row>
    <row r="1050" spans="1:2" x14ac:dyDescent="0.25">
      <c r="A1050">
        <f ca="1">31677.4142469682*((RANDBETWEEN(1587,2416)))</f>
        <v>50715540.209396154</v>
      </c>
      <c r="B1050">
        <v>247595499.17151174</v>
      </c>
    </row>
    <row r="1051" spans="1:2" x14ac:dyDescent="0.25">
      <c r="A1051">
        <f ca="1">30355.3715351285*((RANDBETWEEN(1587,2416)))</f>
        <v>71881519.79518418</v>
      </c>
      <c r="B1051">
        <v>264274519.26179457</v>
      </c>
    </row>
    <row r="1052" spans="1:2" x14ac:dyDescent="0.25">
      <c r="A1052">
        <f ca="1">33952.2004374909*((RANDBETWEEN(1587,2416)))</f>
        <v>81655042.052165583</v>
      </c>
      <c r="B1052">
        <v>267267449.64994967</v>
      </c>
    </row>
    <row r="1053" spans="1:2" x14ac:dyDescent="0.25">
      <c r="A1053">
        <f ca="1">33115.4694780284*((RANDBETWEEN(1587,2416)))</f>
        <v>70204795.293420285</v>
      </c>
      <c r="B1053">
        <v>210241821.52716097</v>
      </c>
    </row>
    <row r="1054" spans="1:2" x14ac:dyDescent="0.25">
      <c r="A1054">
        <f ca="1">33119.3383214224*((RANDBETWEEN(1587,2416)))</f>
        <v>60310315.083310261</v>
      </c>
      <c r="B1054">
        <v>227049686.96438757</v>
      </c>
    </row>
    <row r="1055" spans="1:2" x14ac:dyDescent="0.25">
      <c r="A1055">
        <f ca="1">35585.9345369796*((RANDBETWEEN(1587,2416)))</f>
        <v>82239094.714959785</v>
      </c>
      <c r="B1055">
        <v>244648954.99226427</v>
      </c>
    </row>
    <row r="1056" spans="1:2" x14ac:dyDescent="0.25">
      <c r="A1056">
        <f ca="1">30357.7386097424*((RANDBETWEEN(1587,2416)))</f>
        <v>59319021.24343662</v>
      </c>
      <c r="B1056">
        <v>263213644.9867253</v>
      </c>
    </row>
    <row r="1057" spans="1:2" x14ac:dyDescent="0.25">
      <c r="A1057">
        <f ca="1">35862.0096493748*((RANDBETWEEN(1587,2416)))</f>
        <v>56984733.332856558</v>
      </c>
      <c r="B1057">
        <v>260506429.63092509</v>
      </c>
    </row>
    <row r="1058" spans="1:2" x14ac:dyDescent="0.25">
      <c r="A1058">
        <f ca="1">38891.6901492144*((RANDBETWEEN(1587,2416)))</f>
        <v>63782371.844711609</v>
      </c>
      <c r="B1058">
        <v>218556423.25370005</v>
      </c>
    </row>
    <row r="1059" spans="1:2" x14ac:dyDescent="0.25">
      <c r="A1059">
        <f ca="1">32448.0519724965*((RANDBETWEEN(1587,2416)))</f>
        <v>70217584.468482509</v>
      </c>
      <c r="B1059">
        <v>252801665.67132032</v>
      </c>
    </row>
    <row r="1060" spans="1:2" x14ac:dyDescent="0.25">
      <c r="A1060">
        <f ca="1">32868.0811000371*((RANDBETWEEN(1587,2416)))</f>
        <v>60641609.629568376</v>
      </c>
      <c r="B1060">
        <v>254230884.07537451</v>
      </c>
    </row>
    <row r="1061" spans="1:2" x14ac:dyDescent="0.25">
      <c r="A1061">
        <f ca="1">33972.5652742353*((RANDBETWEEN(1587,2416)))</f>
        <v>58738565.359152921</v>
      </c>
      <c r="B1061">
        <v>243669034.56715375</v>
      </c>
    </row>
    <row r="1062" spans="1:2" x14ac:dyDescent="0.25">
      <c r="A1062">
        <f ca="1">39317.4447816985*((RANDBETWEEN(1587,2416)))</f>
        <v>88071076.311004713</v>
      </c>
      <c r="B1062">
        <v>223140809.35014731</v>
      </c>
    </row>
    <row r="1063" spans="1:2" x14ac:dyDescent="0.25">
      <c r="A1063">
        <f ca="1">33105.1438342448*((RANDBETWEEN(1587,2416)))</f>
        <v>64819871.62745139</v>
      </c>
      <c r="B1063">
        <v>204054805.10534322</v>
      </c>
    </row>
    <row r="1064" spans="1:2" x14ac:dyDescent="0.25">
      <c r="A1064">
        <f ca="1">32307.4289999097*((RANDBETWEEN(1587,2416)))</f>
        <v>64388705.99682001</v>
      </c>
      <c r="B1064">
        <v>239697416.42992356</v>
      </c>
    </row>
    <row r="1065" spans="1:2" x14ac:dyDescent="0.25">
      <c r="A1065">
        <f ca="1">30074.1365346241*((RANDBETWEEN(1587,2416)))</f>
        <v>55005595.721827529</v>
      </c>
      <c r="B1065">
        <v>214252365.31272337</v>
      </c>
    </row>
    <row r="1066" spans="1:2" x14ac:dyDescent="0.25">
      <c r="A1066">
        <f ca="1">28993.9449243322*((RANDBETWEEN(1587,2416)))</f>
        <v>46941196.832493767</v>
      </c>
      <c r="B1066">
        <v>231938950.56563821</v>
      </c>
    </row>
    <row r="1067" spans="1:2" x14ac:dyDescent="0.25">
      <c r="A1067">
        <f ca="1">41690.4813176211*((RANDBETWEEN(1587,2416)))</f>
        <v>71457484.97840248</v>
      </c>
      <c r="B1067">
        <v>236824809.48891908</v>
      </c>
    </row>
    <row r="1068" spans="1:2" x14ac:dyDescent="0.25">
      <c r="A1068">
        <f ca="1">29494.7373038442*((RANDBETWEEN(1587,2416)))</f>
        <v>48813790.23786217</v>
      </c>
      <c r="B1068">
        <v>224738512.17031807</v>
      </c>
    </row>
    <row r="1069" spans="1:2" x14ac:dyDescent="0.25">
      <c r="A1069">
        <f ca="1">33149.0342059966*((RANDBETWEEN(1587,2416)))</f>
        <v>57480425.313198105</v>
      </c>
      <c r="B1069">
        <v>213084025.14141276</v>
      </c>
    </row>
    <row r="1070" spans="1:2" x14ac:dyDescent="0.25">
      <c r="A1070">
        <f ca="1">30261.0911380393*((RANDBETWEEN(1587,2416)))</f>
        <v>62670719.746879302</v>
      </c>
      <c r="B1070">
        <v>216305499.34596527</v>
      </c>
    </row>
    <row r="1071" spans="1:2" x14ac:dyDescent="0.25">
      <c r="A1071">
        <f ca="1">38893.9883859695*((RANDBETWEEN(1587,2416)))</f>
        <v>66819872.047095671</v>
      </c>
      <c r="B1071">
        <v>208961115.1246382</v>
      </c>
    </row>
    <row r="1072" spans="1:2" x14ac:dyDescent="0.25">
      <c r="A1072">
        <f ca="1">30005.5881412047*((RANDBETWEEN(1587,2416)))</f>
        <v>52929857.481085114</v>
      </c>
      <c r="B1072">
        <v>250869849.46222049</v>
      </c>
    </row>
    <row r="1073" spans="1:2" x14ac:dyDescent="0.25">
      <c r="A1073">
        <f ca="1">39341.6209674608*((RANDBETWEEN(1587,2416)))</f>
        <v>78171800.862344638</v>
      </c>
      <c r="B1073">
        <v>257398813.44166064</v>
      </c>
    </row>
    <row r="1074" spans="1:2" x14ac:dyDescent="0.25">
      <c r="A1074">
        <f ca="1">34010.120519447*((RANDBETWEEN(1587,2416)))</f>
        <v>73903991.888758317</v>
      </c>
      <c r="B1074">
        <v>243021038.76294008</v>
      </c>
    </row>
    <row r="1075" spans="1:2" x14ac:dyDescent="0.25">
      <c r="A1075">
        <f ca="1">40450.2504107812*((RANDBETWEEN(1587,2416)))</f>
        <v>80698249.569508538</v>
      </c>
      <c r="B1075">
        <v>222827018.59664479</v>
      </c>
    </row>
    <row r="1076" spans="1:2" x14ac:dyDescent="0.25">
      <c r="A1076">
        <f ca="1">35206.0626238373*((RANDBETWEEN(1587,2416)))</f>
        <v>67102755.361033939</v>
      </c>
      <c r="B1076">
        <v>245756529.89766347</v>
      </c>
    </row>
    <row r="1077" spans="1:2" x14ac:dyDescent="0.25">
      <c r="A1077">
        <f ca="1">39101.605088023*((RANDBETWEEN(1587,2416)))</f>
        <v>75466097.819884449</v>
      </c>
      <c r="B1077">
        <v>240469881.10250956</v>
      </c>
    </row>
    <row r="1078" spans="1:2" x14ac:dyDescent="0.25">
      <c r="A1078">
        <f ca="1">37294.5580471728*((RANDBETWEEN(1587,2416)))</f>
        <v>88015156.991327807</v>
      </c>
      <c r="B1078">
        <v>260545403.97357112</v>
      </c>
    </row>
    <row r="1079" spans="1:2" x14ac:dyDescent="0.25">
      <c r="A1079">
        <f ca="1">30891.3626083593*((RANDBETWEEN(1587,2416)))</f>
        <v>51372336.017701514</v>
      </c>
      <c r="B1079">
        <v>264547621.88358399</v>
      </c>
    </row>
    <row r="1080" spans="1:2" x14ac:dyDescent="0.25">
      <c r="A1080">
        <f ca="1">32374.7511322098*((RANDBETWEEN(1587,2416)))</f>
        <v>78023150.228625551</v>
      </c>
      <c r="B1080">
        <v>250233308.19138741</v>
      </c>
    </row>
    <row r="1081" spans="1:2" x14ac:dyDescent="0.25">
      <c r="A1081">
        <f ca="1">29101.8357020246*((RANDBETWEEN(1587,2416)))</f>
        <v>60444512.753105037</v>
      </c>
      <c r="B1081">
        <v>242832001.72309402</v>
      </c>
    </row>
    <row r="1082" spans="1:2" x14ac:dyDescent="0.25">
      <c r="A1082">
        <f ca="1">30630.6577701037*((RANDBETWEEN(1587,2416)))</f>
        <v>57432483.318944454</v>
      </c>
      <c r="B1082">
        <v>229561993.55527318</v>
      </c>
    </row>
    <row r="1083" spans="1:2" x14ac:dyDescent="0.25">
      <c r="A1083">
        <f ca="1">31543.4362331994*((RANDBETWEEN(1587,2416)))</f>
        <v>55958055.877695806</v>
      </c>
      <c r="B1083">
        <v>265093603.79323411</v>
      </c>
    </row>
    <row r="1084" spans="1:2" x14ac:dyDescent="0.25">
      <c r="A1084">
        <f ca="1">36034.0344995979*((RANDBETWEEN(1587,2416)))</f>
        <v>67239508.376249716</v>
      </c>
      <c r="B1084">
        <v>225973823.89137369</v>
      </c>
    </row>
    <row r="1085" spans="1:2" x14ac:dyDescent="0.25">
      <c r="A1085">
        <f ca="1">29770.6338200093*((RANDBETWEEN(1587,2416)))</f>
        <v>57427552.638798021</v>
      </c>
      <c r="B1085">
        <v>242572545.23019525</v>
      </c>
    </row>
    <row r="1086" spans="1:2" x14ac:dyDescent="0.25">
      <c r="A1086">
        <f ca="1">30129.507697429*((RANDBETWEEN(1587,2416)))</f>
        <v>63181577.641508572</v>
      </c>
      <c r="B1086">
        <v>251945844.56939048</v>
      </c>
    </row>
    <row r="1087" spans="1:2" x14ac:dyDescent="0.25">
      <c r="A1087">
        <f ca="1">29819.5625257516*((RANDBETWEEN(1587,2416)))</f>
        <v>56895725.29913412</v>
      </c>
      <c r="B1087">
        <v>260626884.99971071</v>
      </c>
    </row>
    <row r="1088" spans="1:2" x14ac:dyDescent="0.25">
      <c r="A1088">
        <f ca="1">31581.1907849433*((RANDBETWEEN(1587,2416)))</f>
        <v>53372212.426554091</v>
      </c>
      <c r="B1088">
        <v>248497754.71132487</v>
      </c>
    </row>
    <row r="1089" spans="1:2" x14ac:dyDescent="0.25">
      <c r="A1089">
        <f ca="1">37041.9444941448*((RANDBETWEEN(1587,2416)))</f>
        <v>70638988.150334179</v>
      </c>
      <c r="B1089">
        <v>231722207.14386252</v>
      </c>
    </row>
    <row r="1090" spans="1:2" x14ac:dyDescent="0.25">
      <c r="A1090">
        <f ca="1">29975.2232236823*((RANDBETWEEN(1587,2416)))</f>
        <v>60310149.126048699</v>
      </c>
      <c r="B1090">
        <v>208398811.20960864</v>
      </c>
    </row>
    <row r="1091" spans="1:2" x14ac:dyDescent="0.25">
      <c r="A1091">
        <f ca="1">31881.7128236358*((RANDBETWEEN(1587,2416)))</f>
        <v>65644446.703866065</v>
      </c>
      <c r="B1091">
        <v>249905346.4900015</v>
      </c>
    </row>
    <row r="1092" spans="1:2" x14ac:dyDescent="0.25">
      <c r="A1092">
        <f ca="1">35876.8423013923*((RANDBETWEEN(1587,2416)))</f>
        <v>82767875.189311966</v>
      </c>
      <c r="B1092">
        <v>232259121.34288329</v>
      </c>
    </row>
    <row r="1093" spans="1:2" x14ac:dyDescent="0.25">
      <c r="A1093">
        <f ca="1">28268.2271346358*((RANDBETWEEN(1587,2416)))</f>
        <v>48423473.081631146</v>
      </c>
      <c r="B1093">
        <v>260159657.16289058</v>
      </c>
    </row>
    <row r="1094" spans="1:2" x14ac:dyDescent="0.25">
      <c r="A1094">
        <f ca="1">36662.382545933*((RANDBETWEEN(1587,2416)))</f>
        <v>83406920.291997597</v>
      </c>
      <c r="B1094">
        <v>246370584.52173385</v>
      </c>
    </row>
    <row r="1095" spans="1:2" x14ac:dyDescent="0.25">
      <c r="A1095">
        <f ca="1">32003.8972529323*((RANDBETWEEN(1587,2416)))</f>
        <v>69608476.525127783</v>
      </c>
      <c r="B1095">
        <v>225427100.96296406</v>
      </c>
    </row>
    <row r="1096" spans="1:2" x14ac:dyDescent="0.25">
      <c r="A1096">
        <f ca="1">37287.3556680666*((RANDBETWEEN(1587,2416)))</f>
        <v>64879998.86243581</v>
      </c>
      <c r="B1096">
        <v>263732748.31387997</v>
      </c>
    </row>
    <row r="1097" spans="1:2" x14ac:dyDescent="0.25">
      <c r="A1097">
        <f ca="1">40646.9608028073*((RANDBETWEEN(1587,2416)))</f>
        <v>97186883.279512152</v>
      </c>
      <c r="B1097">
        <v>237090211.5645088</v>
      </c>
    </row>
    <row r="1098" spans="1:2" x14ac:dyDescent="0.25">
      <c r="A1098">
        <f ca="1">40774.7812479555*((RANDBETWEEN(1587,2416)))</f>
        <v>71518966.308913901</v>
      </c>
      <c r="B1098">
        <v>253922020.9286283</v>
      </c>
    </row>
    <row r="1099" spans="1:2" x14ac:dyDescent="0.25">
      <c r="A1099">
        <f ca="1">32160.3354620617*((RANDBETWEEN(1587,2416)))</f>
        <v>62712654.151020288</v>
      </c>
      <c r="B1099">
        <v>220094135.28803539</v>
      </c>
    </row>
    <row r="1100" spans="1:2" x14ac:dyDescent="0.25">
      <c r="A1100">
        <f ca="1">37810.1009873833*((RANDBETWEEN(1587,2416)))</f>
        <v>90706432.268732473</v>
      </c>
      <c r="B1100">
        <v>216517296.34146816</v>
      </c>
    </row>
    <row r="1101" spans="1:2" x14ac:dyDescent="0.25">
      <c r="A1101">
        <f ca="1">28604.8845967125*((RANDBETWEEN(1587,2416)))</f>
        <v>54864168.656494536</v>
      </c>
      <c r="B1101">
        <v>244170038.70991114</v>
      </c>
    </row>
    <row r="1102" spans="1:2" x14ac:dyDescent="0.25">
      <c r="A1102">
        <f ca="1">30995.7353786013*((RANDBETWEEN(1587,2416)))</f>
        <v>73645867.2595568</v>
      </c>
      <c r="B1102">
        <v>209330753.58874193</v>
      </c>
    </row>
    <row r="1103" spans="1:2" x14ac:dyDescent="0.25">
      <c r="A1103">
        <f ca="1">30790.4635803883*((RANDBETWEEN(1587,2416)))</f>
        <v>68785895.638587445</v>
      </c>
      <c r="B1103">
        <v>228795626.40809679</v>
      </c>
    </row>
    <row r="1104" spans="1:2" x14ac:dyDescent="0.25">
      <c r="A1104">
        <f ca="1">35106.3517195542*((RANDBETWEEN(1587,2416)))</f>
        <v>72108446.431964412</v>
      </c>
      <c r="B1104">
        <v>262245700.0425235</v>
      </c>
    </row>
    <row r="1105" spans="1:2" x14ac:dyDescent="0.25">
      <c r="A1105">
        <f ca="1">37244.0154100479*((RANDBETWEEN(1587,2416)))</f>
        <v>79851169.039142609</v>
      </c>
      <c r="B1105">
        <v>215513407.7737416</v>
      </c>
    </row>
    <row r="1106" spans="1:2" x14ac:dyDescent="0.25">
      <c r="A1106">
        <f ca="1">30769.3860265421*((RANDBETWEEN(1587,2416)))</f>
        <v>62554161.791960225</v>
      </c>
      <c r="B1106">
        <v>232652232.79859713</v>
      </c>
    </row>
    <row r="1107" spans="1:2" x14ac:dyDescent="0.25">
      <c r="A1107">
        <f ca="1">36440.8958114355*((RANDBETWEEN(1587,2416)))</f>
        <v>64500385.586240768</v>
      </c>
      <c r="B1107">
        <v>258559793.24468586</v>
      </c>
    </row>
    <row r="1108" spans="1:2" x14ac:dyDescent="0.25">
      <c r="A1108">
        <f ca="1">31960.159635664*((RANDBETWEEN(1587,2416)))</f>
        <v>54044629.943907753</v>
      </c>
      <c r="B1108">
        <v>245204811.91192588</v>
      </c>
    </row>
    <row r="1109" spans="1:2" x14ac:dyDescent="0.25">
      <c r="A1109">
        <f ca="1">30649.1854414404*((RANDBETWEEN(1587,2416)))</f>
        <v>52011667.694124348</v>
      </c>
      <c r="B1109">
        <v>253190454.89501977</v>
      </c>
    </row>
    <row r="1110" spans="1:2" x14ac:dyDescent="0.25">
      <c r="A1110">
        <f ca="1">41484.2092400399*((RANDBETWEEN(1587,2416)))</f>
        <v>83341776.363240108</v>
      </c>
      <c r="B1110">
        <v>225429522.41102207</v>
      </c>
    </row>
    <row r="1111" spans="1:2" x14ac:dyDescent="0.25">
      <c r="A1111">
        <f ca="1">39570.1872494204*((RANDBETWEEN(1587,2416)))</f>
        <v>75776908.582639992</v>
      </c>
      <c r="B1111">
        <v>260426307.73696491</v>
      </c>
    </row>
    <row r="1112" spans="1:2" x14ac:dyDescent="0.25">
      <c r="A1112">
        <f ca="1">31187.6836267302*((RANDBETWEEN(1587,2416)))</f>
        <v>68862405.447820291</v>
      </c>
      <c r="B1112">
        <v>267693522.32899264</v>
      </c>
    </row>
    <row r="1113" spans="1:2" x14ac:dyDescent="0.25">
      <c r="A1113">
        <f ca="1">38137.3306620099*((RANDBETWEEN(1587,2416)))</f>
        <v>90804984.306245461</v>
      </c>
      <c r="B1113">
        <v>251894258.94273654</v>
      </c>
    </row>
    <row r="1114" spans="1:2" x14ac:dyDescent="0.25">
      <c r="A1114">
        <f ca="1">35117.6667636026*((RANDBETWEEN(1587,2416)))</f>
        <v>79295691.552214757</v>
      </c>
      <c r="B1114">
        <v>236715201.68501148</v>
      </c>
    </row>
    <row r="1115" spans="1:2" x14ac:dyDescent="0.25">
      <c r="A1115">
        <f ca="1">41821.149210172*((RANDBETWEEN(1587,2416)))</f>
        <v>93302983.887893677</v>
      </c>
      <c r="B1115">
        <v>244841565.5090988</v>
      </c>
    </row>
    <row r="1116" spans="1:2" x14ac:dyDescent="0.25">
      <c r="A1116">
        <f ca="1">37685.6715316494*((RANDBETWEEN(1587,2416)))</f>
        <v>85056560.646932587</v>
      </c>
      <c r="B1116">
        <v>262114114.90906125</v>
      </c>
    </row>
    <row r="1117" spans="1:2" x14ac:dyDescent="0.25">
      <c r="A1117">
        <f ca="1">39231.8719107774*((RANDBETWEEN(1587,2416)))</f>
        <v>82936177.219383478</v>
      </c>
      <c r="B1117">
        <v>257791380.82984099</v>
      </c>
    </row>
    <row r="1118" spans="1:2" x14ac:dyDescent="0.25">
      <c r="A1118">
        <f ca="1">32012.8119226223*((RANDBETWEEN(1587,2416)))</f>
        <v>69243712.188632116</v>
      </c>
      <c r="B1118">
        <v>239675435.54305536</v>
      </c>
    </row>
    <row r="1119" spans="1:2" x14ac:dyDescent="0.25">
      <c r="A1119">
        <f ca="1">40118.443950417*((RANDBETWEEN(1587,2416)))</f>
        <v>85412167.170437723</v>
      </c>
      <c r="B1119">
        <v>233947082.78213456</v>
      </c>
    </row>
    <row r="1120" spans="1:2" x14ac:dyDescent="0.25">
      <c r="A1120">
        <f ca="1">30816.6388067898*((RANDBETWEEN(1587,2416)))</f>
        <v>49953771.505806394</v>
      </c>
      <c r="B1120">
        <v>251494643.60313147</v>
      </c>
    </row>
    <row r="1121" spans="1:2" x14ac:dyDescent="0.25">
      <c r="A1121">
        <f ca="1">32175.8659044489*((RANDBETWEEN(1587,2416)))</f>
        <v>59107065.666472591</v>
      </c>
      <c r="B1121">
        <v>211465010.72871545</v>
      </c>
    </row>
    <row r="1122" spans="1:2" x14ac:dyDescent="0.25">
      <c r="A1122">
        <f ca="1">32626.580392577*((RANDBETWEEN(1587,2416)))</f>
        <v>67014996.126353249</v>
      </c>
      <c r="B1122">
        <v>232324491.64298266</v>
      </c>
    </row>
    <row r="1123" spans="1:2" x14ac:dyDescent="0.25">
      <c r="A1123">
        <f ca="1">31860.4915763719*((RANDBETWEEN(1587,2416)))</f>
        <v>50562600.131702162</v>
      </c>
      <c r="B1123">
        <v>265077391.76263189</v>
      </c>
    </row>
    <row r="1124" spans="1:2" x14ac:dyDescent="0.25">
      <c r="A1124">
        <f ca="1">38727.4649483846*((RANDBETWEEN(1587,2416)))</f>
        <v>88647167.266852319</v>
      </c>
      <c r="B1124">
        <v>236922304.01831117</v>
      </c>
    </row>
    <row r="1125" spans="1:2" x14ac:dyDescent="0.25">
      <c r="A1125">
        <f ca="1">29607.6416358892*((RANDBETWEEN(1587,2416)))</f>
        <v>47105757.842699729</v>
      </c>
      <c r="B1125">
        <v>225400415.8946175</v>
      </c>
    </row>
    <row r="1126" spans="1:2" x14ac:dyDescent="0.25">
      <c r="A1126">
        <f ca="1">38114.1485659528*((RANDBETWEEN(1587,2416)))</f>
        <v>72416882.275310338</v>
      </c>
      <c r="B1126">
        <v>218805635.1260432</v>
      </c>
    </row>
    <row r="1127" spans="1:2" x14ac:dyDescent="0.25">
      <c r="A1127">
        <f ca="1">31648.2427480458*((RANDBETWEEN(1587,2416)))</f>
        <v>56175630.877781242</v>
      </c>
      <c r="B1127">
        <v>241327548.43788171</v>
      </c>
    </row>
    <row r="1128" spans="1:2" x14ac:dyDescent="0.25">
      <c r="A1128">
        <f ca="1">38622.7060021096*((RANDBETWEEN(1587,2416)))</f>
        <v>86128634.384704411</v>
      </c>
      <c r="B1128">
        <v>256329271.7271522</v>
      </c>
    </row>
    <row r="1129" spans="1:2" x14ac:dyDescent="0.25">
      <c r="A1129">
        <f ca="1">39054.8649538879*((RANDBETWEEN(1587,2416)))</f>
        <v>69947263.132413164</v>
      </c>
      <c r="B1129">
        <v>226238839.43561655</v>
      </c>
    </row>
    <row r="1130" spans="1:2" x14ac:dyDescent="0.25">
      <c r="A1130">
        <f ca="1">35368.1945914474*((RANDBETWEEN(1587,2416)))</f>
        <v>56518374.957132943</v>
      </c>
      <c r="B1130">
        <v>209838392.0215047</v>
      </c>
    </row>
    <row r="1131" spans="1:2" x14ac:dyDescent="0.25">
      <c r="A1131">
        <f ca="1">31832.913137073*((RANDBETWEEN(1587,2416)))</f>
        <v>63474828.795323633</v>
      </c>
      <c r="B1131">
        <v>251280208.74245337</v>
      </c>
    </row>
    <row r="1132" spans="1:2" x14ac:dyDescent="0.25">
      <c r="A1132">
        <f ca="1">31226.1809722918*((RANDBETWEEN(1587,2416)))</f>
        <v>73693787.094608754</v>
      </c>
      <c r="B1132">
        <v>229018067.87060964</v>
      </c>
    </row>
    <row r="1133" spans="1:2" x14ac:dyDescent="0.25">
      <c r="A1133">
        <f ca="1">35451.1478126769*((RANDBETWEEN(1587,2416)))</f>
        <v>68810677.904405847</v>
      </c>
      <c r="B1133">
        <v>247813003.84709561</v>
      </c>
    </row>
    <row r="1134" spans="1:2" x14ac:dyDescent="0.25">
      <c r="A1134">
        <f ca="1">41503.9892844018*((RANDBETWEEN(1587,2416)))</f>
        <v>97243846.893353373</v>
      </c>
      <c r="B1134">
        <v>223073384.62587699</v>
      </c>
    </row>
    <row r="1135" spans="1:2" x14ac:dyDescent="0.25">
      <c r="A1135">
        <f ca="1">38587.5181853758*((RANDBETWEEN(1587,2416)))</f>
        <v>72428771.633950472</v>
      </c>
      <c r="B1135">
        <v>232964638.71946862</v>
      </c>
    </row>
    <row r="1136" spans="1:2" x14ac:dyDescent="0.25">
      <c r="A1136">
        <f ca="1">33031.0729182703*((RANDBETWEEN(1587,2416)))</f>
        <v>72701391.493113011</v>
      </c>
      <c r="B1136">
        <v>229439297.35736215</v>
      </c>
    </row>
    <row r="1137" spans="1:2" x14ac:dyDescent="0.25">
      <c r="A1137">
        <f ca="1">38311.5776022054*((RANDBETWEEN(1587,2416)))</f>
        <v>89189352.657934159</v>
      </c>
      <c r="B1137">
        <v>216164285.65761462</v>
      </c>
    </row>
    <row r="1138" spans="1:2" x14ac:dyDescent="0.25">
      <c r="A1138">
        <f ca="1">32022.7975838063*((RANDBETWEEN(1587,2416)))</f>
        <v>75605825.095366701</v>
      </c>
      <c r="B1138">
        <v>222271652.88154206</v>
      </c>
    </row>
    <row r="1139" spans="1:2" x14ac:dyDescent="0.25">
      <c r="A1139">
        <f ca="1">32784.1763964215*((RANDBETWEEN(1587,2416)))</f>
        <v>75370821.535372987</v>
      </c>
      <c r="B1139">
        <v>261527557.02079007</v>
      </c>
    </row>
    <row r="1140" spans="1:2" x14ac:dyDescent="0.25">
      <c r="A1140">
        <f ca="1">30654.4856408504*((RANDBETWEEN(1587,2416)))</f>
        <v>65447326.843215562</v>
      </c>
      <c r="B1140">
        <v>217616534.73809221</v>
      </c>
    </row>
    <row r="1141" spans="1:2" x14ac:dyDescent="0.25">
      <c r="A1141">
        <f ca="1">30488.5656855545*((RANDBETWEEN(1587,2416)))</f>
        <v>65123576.304344341</v>
      </c>
      <c r="B1141">
        <v>207224065.81826621</v>
      </c>
    </row>
    <row r="1142" spans="1:2" x14ac:dyDescent="0.25">
      <c r="A1142">
        <f ca="1">32613.0793681681*((RANDBETWEEN(1587,2416)))</f>
        <v>74977469.467418492</v>
      </c>
      <c r="B1142">
        <v>213701688.94060925</v>
      </c>
    </row>
    <row r="1143" spans="1:2" x14ac:dyDescent="0.25">
      <c r="A1143">
        <f ca="1">32520.386487603*((RANDBETWEEN(1587,2416)))</f>
        <v>78179009.11619772</v>
      </c>
      <c r="B1143">
        <v>233902874.0276531</v>
      </c>
    </row>
    <row r="1144" spans="1:2" x14ac:dyDescent="0.25">
      <c r="A1144">
        <f ca="1">33533.4451933943*((RANDBETWEEN(1587,2416)))</f>
        <v>63009343.518387847</v>
      </c>
      <c r="B1144">
        <v>214577785.03527734</v>
      </c>
    </row>
    <row r="1145" spans="1:2" x14ac:dyDescent="0.25">
      <c r="A1145">
        <f ca="1">36549.8873652402*((RANDBETWEEN(1587,2416)))</f>
        <v>60819012.575759739</v>
      </c>
      <c r="B1145">
        <v>204943244.10004321</v>
      </c>
    </row>
    <row r="1146" spans="1:2" x14ac:dyDescent="0.25">
      <c r="A1146">
        <f ca="1">32480.373605964*((RANDBETWEEN(1587,2416)))</f>
        <v>75257025.645018563</v>
      </c>
      <c r="B1146">
        <v>232046216.84444103</v>
      </c>
    </row>
    <row r="1147" spans="1:2" x14ac:dyDescent="0.25">
      <c r="A1147">
        <f ca="1">31698.7210583631*((RANDBETWEEN(1587,2416)))</f>
        <v>76203725.424304962</v>
      </c>
      <c r="B1147">
        <v>226901244.13465071</v>
      </c>
    </row>
    <row r="1148" spans="1:2" x14ac:dyDescent="0.25">
      <c r="A1148">
        <f ca="1">33974.0779505497*((RANDBETWEEN(1587,2416)))</f>
        <v>72025045.255165309</v>
      </c>
      <c r="B1148">
        <v>212891012.74928385</v>
      </c>
    </row>
    <row r="1149" spans="1:2" x14ac:dyDescent="0.25">
      <c r="A1149">
        <f ca="1">30860.8143514783*((RANDBETWEEN(1587,2416)))</f>
        <v>69961466.134801313</v>
      </c>
      <c r="B1149">
        <v>217049149.8717252</v>
      </c>
    </row>
    <row r="1150" spans="1:2" x14ac:dyDescent="0.25">
      <c r="A1150">
        <f ca="1">31768.5983650574*((RANDBETWEEN(1587,2416)))</f>
        <v>64426717.484336466</v>
      </c>
      <c r="B1150">
        <v>225059885.10750833</v>
      </c>
    </row>
    <row r="1151" spans="1:2" x14ac:dyDescent="0.25">
      <c r="A1151">
        <f ca="1">33413.0995907249*((RANDBETWEEN(1587,2416)))</f>
        <v>72673491.60982658</v>
      </c>
      <c r="B1151">
        <v>222823727.83656901</v>
      </c>
    </row>
    <row r="1152" spans="1:2" x14ac:dyDescent="0.25">
      <c r="A1152">
        <f ca="1">38515.1019515213*((RANDBETWEEN(1587,2416)))</f>
        <v>62394465.161464527</v>
      </c>
      <c r="B1152">
        <v>262151983.01469448</v>
      </c>
    </row>
    <row r="1153" spans="1:2" x14ac:dyDescent="0.25">
      <c r="A1153">
        <f ca="1">33056.3912245813*((RANDBETWEEN(1587,2416)))</f>
        <v>55237229.7362753</v>
      </c>
      <c r="B1153">
        <v>219251726.00765496</v>
      </c>
    </row>
    <row r="1154" spans="1:2" x14ac:dyDescent="0.25">
      <c r="A1154">
        <f ca="1">32568.5082502596*((RANDBETWEEN(1587,2416)))</f>
        <v>53770607.121178515</v>
      </c>
      <c r="B1154">
        <v>211401788.72619194</v>
      </c>
    </row>
    <row r="1155" spans="1:2" x14ac:dyDescent="0.25">
      <c r="A1155">
        <f ca="1">38026.3016045974*((RANDBETWEEN(1587,2416)))</f>
        <v>71755631.127875328</v>
      </c>
      <c r="B1155">
        <v>258193857.12518558</v>
      </c>
    </row>
    <row r="1156" spans="1:2" x14ac:dyDescent="0.25">
      <c r="A1156">
        <f ca="1">31886.3671964077*((RANDBETWEEN(1587,2416)))</f>
        <v>73147326.348559186</v>
      </c>
      <c r="B1156">
        <v>214234284.24765724</v>
      </c>
    </row>
    <row r="1157" spans="1:2" x14ac:dyDescent="0.25">
      <c r="A1157">
        <f ca="1">29686.0316516496*((RANDBETWEEN(1587,2416)))</f>
        <v>68634105.178613991</v>
      </c>
      <c r="B1157">
        <v>211631727.65437037</v>
      </c>
    </row>
    <row r="1158" spans="1:2" x14ac:dyDescent="0.25">
      <c r="A1158">
        <f ca="1">40864.6321822706*((RANDBETWEEN(1587,2416)))</f>
        <v>72452992.859165773</v>
      </c>
      <c r="B1158">
        <v>250496004.48774731</v>
      </c>
    </row>
    <row r="1159" spans="1:2" x14ac:dyDescent="0.25">
      <c r="A1159">
        <f ca="1">30114.8660778382*((RANDBETWEEN(1587,2416)))</f>
        <v>67005577.023190081</v>
      </c>
      <c r="B1159">
        <v>264506876.33153355</v>
      </c>
    </row>
    <row r="1160" spans="1:2" x14ac:dyDescent="0.25">
      <c r="A1160">
        <f ca="1">37321.8278101676*((RANDBETWEEN(1587,2416)))</f>
        <v>83115710.533243164</v>
      </c>
      <c r="B1160">
        <v>251047030.60508668</v>
      </c>
    </row>
    <row r="1161" spans="1:2" x14ac:dyDescent="0.25">
      <c r="A1161">
        <f ca="1">36839.9254990574*((RANDBETWEEN(1587,2416)))</f>
        <v>66275025.972804353</v>
      </c>
      <c r="B1161">
        <v>204227058.49726206</v>
      </c>
    </row>
    <row r="1162" spans="1:2" x14ac:dyDescent="0.25">
      <c r="A1162">
        <f ca="1">36051.0110267295*((RANDBETWEEN(1587,2416)))</f>
        <v>81943948.063756257</v>
      </c>
      <c r="B1162">
        <v>237469560.7587679</v>
      </c>
    </row>
    <row r="1163" spans="1:2" x14ac:dyDescent="0.25">
      <c r="A1163">
        <f ca="1">34043.1730165917*((RANDBETWEEN(1587,2416)))</f>
        <v>59677682.29808531</v>
      </c>
      <c r="B1163">
        <v>212456583.02236077</v>
      </c>
    </row>
    <row r="1164" spans="1:2" x14ac:dyDescent="0.25">
      <c r="A1164">
        <f ca="1">35667.2133725501*((RANDBETWEEN(1587,2416)))</f>
        <v>74045134.961414084</v>
      </c>
      <c r="B1164">
        <v>265400986.73704219</v>
      </c>
    </row>
    <row r="1165" spans="1:2" x14ac:dyDescent="0.25">
      <c r="A1165">
        <f ca="1">32244.0447652888*((RANDBETWEEN(1587,2416)))</f>
        <v>53879798.80279766</v>
      </c>
      <c r="B1165">
        <v>211512191.06798649</v>
      </c>
    </row>
    <row r="1166" spans="1:2" x14ac:dyDescent="0.25">
      <c r="A1166">
        <f ca="1">35341.3667206851*((RANDBETWEEN(1587,2416)))</f>
        <v>75277111.115059182</v>
      </c>
      <c r="B1166">
        <v>257689764.16538832</v>
      </c>
    </row>
    <row r="1167" spans="1:2" x14ac:dyDescent="0.25">
      <c r="A1167">
        <f ca="1">33365.9222967874*((RANDBETWEEN(1587,2416)))</f>
        <v>60158757.901107684</v>
      </c>
      <c r="B1167">
        <v>228740274.14313862</v>
      </c>
    </row>
    <row r="1168" spans="1:2" x14ac:dyDescent="0.25">
      <c r="A1168">
        <f ca="1">29558.989389373*((RANDBETWEEN(1587,2416)))</f>
        <v>61866964.791957609</v>
      </c>
      <c r="B1168">
        <v>210062813.26541483</v>
      </c>
    </row>
    <row r="1169" spans="1:2" x14ac:dyDescent="0.25">
      <c r="A1169">
        <f ca="1">30942.9877694916*((RANDBETWEEN(1587,2416)))</f>
        <v>73953740.769084826</v>
      </c>
      <c r="B1169">
        <v>247695434.46498698</v>
      </c>
    </row>
    <row r="1170" spans="1:2" x14ac:dyDescent="0.25">
      <c r="A1170">
        <f ca="1">29279.0250298994*((RANDBETWEEN(1587,2416)))</f>
        <v>46641486.872629791</v>
      </c>
      <c r="B1170">
        <v>213783953.61777797</v>
      </c>
    </row>
    <row r="1171" spans="1:2" x14ac:dyDescent="0.25">
      <c r="A1171">
        <f ca="1">31578.4275192929*((RANDBETWEEN(1587,2416)))</f>
        <v>69977795.382753</v>
      </c>
      <c r="B1171">
        <v>227280580.5154092</v>
      </c>
    </row>
    <row r="1172" spans="1:2" x14ac:dyDescent="0.25">
      <c r="A1172">
        <f ca="1">42910.9948762491*((RANDBETWEEN(1587,2416)))</f>
        <v>90628021.178638056</v>
      </c>
      <c r="B1172">
        <v>266940095.62925631</v>
      </c>
    </row>
    <row r="1173" spans="1:2" x14ac:dyDescent="0.25">
      <c r="A1173">
        <f ca="1">39572.1996243138*((RANDBETWEEN(1587,2416)))</f>
        <v>66837445.165466078</v>
      </c>
      <c r="B1173">
        <v>215548375.57789814</v>
      </c>
    </row>
    <row r="1174" spans="1:2" x14ac:dyDescent="0.25">
      <c r="A1174">
        <f ca="1">32477.2972388809*((RANDBETWEEN(1587,2416)))</f>
        <v>72424372.842704505</v>
      </c>
      <c r="B1174">
        <v>216221354.45264357</v>
      </c>
    </row>
    <row r="1175" spans="1:2" x14ac:dyDescent="0.25">
      <c r="A1175">
        <f ca="1">32397.5902428934*((RANDBETWEEN(1587,2416)))</f>
        <v>62656939.529755801</v>
      </c>
      <c r="B1175">
        <v>215956078.01076859</v>
      </c>
    </row>
    <row r="1176" spans="1:2" x14ac:dyDescent="0.25">
      <c r="A1176">
        <f ca="1">32199.4878370314*((RANDBETWEEN(1587,2416)))</f>
        <v>70710075.290121004</v>
      </c>
      <c r="B1176">
        <v>208241118.66469681</v>
      </c>
    </row>
    <row r="1177" spans="1:2" x14ac:dyDescent="0.25">
      <c r="A1177">
        <f ca="1">34426.960829616*((RANDBETWEEN(1587,2416)))</f>
        <v>58456979.48868791</v>
      </c>
      <c r="B1177">
        <v>256210483.1686812</v>
      </c>
    </row>
    <row r="1178" spans="1:2" x14ac:dyDescent="0.25">
      <c r="A1178">
        <f ca="1">32387.825075828*((RANDBETWEEN(1587,2416)))</f>
        <v>74880651.575314447</v>
      </c>
      <c r="B1178">
        <v>245328528.76183298</v>
      </c>
    </row>
    <row r="1179" spans="1:2" x14ac:dyDescent="0.25">
      <c r="A1179">
        <f ca="1">32028.0445627386*((RANDBETWEEN(1587,2416)))</f>
        <v>53518862.464336142</v>
      </c>
      <c r="B1179">
        <v>267513678.04199612</v>
      </c>
    </row>
    <row r="1180" spans="1:2" x14ac:dyDescent="0.25">
      <c r="A1180">
        <f ca="1">37442.9075570585*((RANDBETWEEN(1587,2416)))</f>
        <v>69419150.610786393</v>
      </c>
      <c r="B1180">
        <v>215168912.2573494</v>
      </c>
    </row>
    <row r="1181" spans="1:2" x14ac:dyDescent="0.25">
      <c r="A1181">
        <f ca="1">32321.3340506264*((RANDBETWEEN(1587,2416)))</f>
        <v>72335145.605301946</v>
      </c>
      <c r="B1181">
        <v>238939502.0049729</v>
      </c>
    </row>
    <row r="1182" spans="1:2" x14ac:dyDescent="0.25">
      <c r="A1182">
        <f ca="1">39656.5493452208*((RANDBETWEEN(1587,2416)))</f>
        <v>65671245.715685576</v>
      </c>
      <c r="B1182">
        <v>241475703.79161277</v>
      </c>
    </row>
    <row r="1183" spans="1:2" x14ac:dyDescent="0.25">
      <c r="A1183">
        <f ca="1">36737.0420190371*((RANDBETWEEN(1587,2416)))</f>
        <v>79792855.265348643</v>
      </c>
      <c r="B1183">
        <v>236716413.74633044</v>
      </c>
    </row>
    <row r="1184" spans="1:2" x14ac:dyDescent="0.25">
      <c r="A1184">
        <f ca="1">42058.9964449357*((RANDBETWEEN(1587,2416)))</f>
        <v>77851202.419576049</v>
      </c>
      <c r="B1184">
        <v>229392374.51847234</v>
      </c>
    </row>
    <row r="1185" spans="1:2" x14ac:dyDescent="0.25">
      <c r="A1185">
        <f ca="1">37594.5285476902*((RANDBETWEEN(1587,2416)))</f>
        <v>65640046.8442671</v>
      </c>
      <c r="B1185">
        <v>256646440.36578605</v>
      </c>
    </row>
    <row r="1186" spans="1:2" x14ac:dyDescent="0.25">
      <c r="A1186">
        <f ca="1">34655.5598344244*((RANDBETWEEN(1587,2416)))</f>
        <v>74405486.964509085</v>
      </c>
      <c r="B1186">
        <v>243748188.40753835</v>
      </c>
    </row>
    <row r="1187" spans="1:2" x14ac:dyDescent="0.25">
      <c r="A1187">
        <f ca="1">35674.6719636495*((RANDBETWEEN(1587,2416)))</f>
        <v>81195553.389266178</v>
      </c>
      <c r="B1187">
        <v>256335661.76973999</v>
      </c>
    </row>
    <row r="1188" spans="1:2" x14ac:dyDescent="0.25">
      <c r="A1188">
        <f ca="1">28186.8302898391*((RANDBETWEEN(1587,2416)))</f>
        <v>66887348.277788296</v>
      </c>
      <c r="B1188">
        <v>233910201.80715212</v>
      </c>
    </row>
    <row r="1189" spans="1:2" x14ac:dyDescent="0.25">
      <c r="A1189">
        <f ca="1">33611.4480074216*((RANDBETWEEN(1587,2416)))</f>
        <v>55358054.868223429</v>
      </c>
      <c r="B1189">
        <v>237802322.89113718</v>
      </c>
    </row>
    <row r="1190" spans="1:2" x14ac:dyDescent="0.25">
      <c r="A1190">
        <f ca="1">31905.8034073594*((RANDBETWEEN(1587,2416)))</f>
        <v>54750358.647028722</v>
      </c>
      <c r="B1190">
        <v>254998623.52968863</v>
      </c>
    </row>
    <row r="1191" spans="1:2" x14ac:dyDescent="0.25">
      <c r="A1191">
        <f ca="1">30603.015217493*((RANDBETWEEN(1587,2416)))</f>
        <v>68489548.056749359</v>
      </c>
      <c r="B1191">
        <v>217030247.64813459</v>
      </c>
    </row>
    <row r="1192" spans="1:2" x14ac:dyDescent="0.25">
      <c r="A1192">
        <f ca="1">31463.3042327043*((RANDBETWEEN(1587,2416)))</f>
        <v>69219269.311949492</v>
      </c>
      <c r="B1192">
        <v>210526665.85489163</v>
      </c>
    </row>
    <row r="1193" spans="1:2" x14ac:dyDescent="0.25">
      <c r="A1193">
        <f ca="1">39826.9124973724*((RANDBETWEEN(1587,2416)))</f>
        <v>89013149.431627363</v>
      </c>
      <c r="B1193">
        <v>239446871.19343704</v>
      </c>
    </row>
    <row r="1194" spans="1:2" x14ac:dyDescent="0.25">
      <c r="A1194">
        <f ca="1">39460.3296687374*((RANDBETWEEN(1587,2416)))</f>
        <v>79788786.590186983</v>
      </c>
      <c r="B1194">
        <v>263835987.46550429</v>
      </c>
    </row>
    <row r="1195" spans="1:2" x14ac:dyDescent="0.25">
      <c r="A1195">
        <f ca="1">32631.9455018222*((RANDBETWEEN(1587,2416)))</f>
        <v>62620703.417996787</v>
      </c>
      <c r="B1195">
        <v>204467863.97055385</v>
      </c>
    </row>
    <row r="1196" spans="1:2" x14ac:dyDescent="0.25">
      <c r="A1196">
        <f ca="1">34157.8836204953*((RANDBETWEEN(1587,2416)))</f>
        <v>66300452.107381284</v>
      </c>
      <c r="B1196">
        <v>243599354.47367576</v>
      </c>
    </row>
    <row r="1197" spans="1:2" x14ac:dyDescent="0.25">
      <c r="A1197">
        <f ca="1">31438.8612770927*((RANDBETWEEN(1587,2416)))</f>
        <v>57124410.940477476</v>
      </c>
      <c r="B1197">
        <v>260509942.05441526</v>
      </c>
    </row>
    <row r="1198" spans="1:2" x14ac:dyDescent="0.25">
      <c r="A1198">
        <f ca="1">31941.740911286*((RANDBETWEEN(1587,2416)))</f>
        <v>74871440.696054399</v>
      </c>
      <c r="B1198">
        <v>240626683.39996299</v>
      </c>
    </row>
    <row r="1199" spans="1:2" x14ac:dyDescent="0.25">
      <c r="A1199">
        <f ca="1">41284.3377226653*((RANDBETWEEN(1587,2416)))</f>
        <v>80421889.883752048</v>
      </c>
      <c r="B1199">
        <v>240430455.20981044</v>
      </c>
    </row>
    <row r="1200" spans="1:2" x14ac:dyDescent="0.25">
      <c r="A1200">
        <f ca="1">31233.8429694257*((RANDBETWEEN(1587,2416)))</f>
        <v>70994525.069504693</v>
      </c>
      <c r="B1200">
        <v>224454931.27790737</v>
      </c>
    </row>
    <row r="1201" spans="1:2" x14ac:dyDescent="0.25">
      <c r="A1201">
        <f ca="1">32173.6307607804*((RANDBETWEEN(1587,2416)))</f>
        <v>61033377.553200498</v>
      </c>
      <c r="B1201">
        <v>230858988.76543045</v>
      </c>
    </row>
    <row r="1202" spans="1:2" x14ac:dyDescent="0.25">
      <c r="A1202">
        <f ca="1">38915.6476278894*((RANDBETWEEN(1587,2416)))</f>
        <v>86314906.43865867</v>
      </c>
      <c r="B1202">
        <v>260944985.01861081</v>
      </c>
    </row>
    <row r="1203" spans="1:2" x14ac:dyDescent="0.25">
      <c r="A1203">
        <f ca="1">31726.005709837*((RANDBETWEEN(1587,2416)))</f>
        <v>50634705.112899899</v>
      </c>
      <c r="B1203">
        <v>216350765.27568123</v>
      </c>
    </row>
    <row r="1204" spans="1:2" x14ac:dyDescent="0.25">
      <c r="A1204">
        <f ca="1">30297.6103364043*((RANDBETWEEN(1587,2416)))</f>
        <v>67684861.491527215</v>
      </c>
      <c r="B1204">
        <v>221405420.26355746</v>
      </c>
    </row>
    <row r="1205" spans="1:2" x14ac:dyDescent="0.25">
      <c r="A1205">
        <f ca="1">33221.7253871045*((RANDBETWEEN(1587,2416)))</f>
        <v>70795496.799919695</v>
      </c>
      <c r="B1205">
        <v>207708420.66345286</v>
      </c>
    </row>
    <row r="1206" spans="1:2" x14ac:dyDescent="0.25">
      <c r="A1206">
        <f ca="1">31102.1899052369*((RANDBETWEEN(1587,2416)))</f>
        <v>58067788.553077385</v>
      </c>
      <c r="B1206">
        <v>245308911.58197868</v>
      </c>
    </row>
    <row r="1207" spans="1:2" x14ac:dyDescent="0.25">
      <c r="A1207">
        <f ca="1">38492.349785552*((RANDBETWEEN(1587,2416)))</f>
        <v>73597372.789975509</v>
      </c>
      <c r="B1207">
        <v>247669096.26680958</v>
      </c>
    </row>
    <row r="1208" spans="1:2" x14ac:dyDescent="0.25">
      <c r="A1208">
        <f ca="1">29459.2290090944*((RANDBETWEEN(1587,2416)))</f>
        <v>65605703.003253147</v>
      </c>
      <c r="B1208">
        <v>224045719.24688023</v>
      </c>
    </row>
    <row r="1209" spans="1:2" x14ac:dyDescent="0.25">
      <c r="A1209">
        <f ca="1">28894.763736913*((RANDBETWEEN(1587,2416)))</f>
        <v>56171420.704558931</v>
      </c>
      <c r="B1209">
        <v>259646238.00660968</v>
      </c>
    </row>
    <row r="1210" spans="1:2" x14ac:dyDescent="0.25">
      <c r="A1210">
        <f ca="1">31877.9375716431*((RANDBETWEEN(1587,2416)))</f>
        <v>69047612.780178949</v>
      </c>
      <c r="B1210">
        <v>210753843.85471463</v>
      </c>
    </row>
    <row r="1211" spans="1:2" x14ac:dyDescent="0.25">
      <c r="A1211">
        <f ca="1">31460.9932308352*((RANDBETWEEN(1587,2416)))</f>
        <v>56881475.761350028</v>
      </c>
      <c r="B1211">
        <v>240239706.4239153</v>
      </c>
    </row>
    <row r="1212" spans="1:2" x14ac:dyDescent="0.25">
      <c r="A1212">
        <f ca="1">31789.5484334384*((RANDBETWEEN(1587,2416)))</f>
        <v>59764351.054864101</v>
      </c>
      <c r="B1212">
        <v>226895120.04135662</v>
      </c>
    </row>
    <row r="1213" spans="1:2" x14ac:dyDescent="0.25">
      <c r="A1213">
        <f ca="1">35873.7012195878*((RANDBETWEEN(1587,2416)))</f>
        <v>81612670.274562344</v>
      </c>
      <c r="B1213">
        <v>247501263.19383734</v>
      </c>
    </row>
    <row r="1214" spans="1:2" x14ac:dyDescent="0.25">
      <c r="A1214">
        <f ca="1">39510.9183340932*((RANDBETWEEN(1587,2416)))</f>
        <v>70764054.736360997</v>
      </c>
      <c r="B1214">
        <v>262771805.73966891</v>
      </c>
    </row>
    <row r="1215" spans="1:2" x14ac:dyDescent="0.25">
      <c r="A1215">
        <f ca="1">36162.4863585872*((RANDBETWEEN(1587,2416)))</f>
        <v>84837192.997245535</v>
      </c>
      <c r="B1215">
        <v>212951209.33764294</v>
      </c>
    </row>
    <row r="1216" spans="1:2" x14ac:dyDescent="0.25">
      <c r="A1216">
        <f ca="1">32259.4708881657*((RANDBETWEEN(1587,2416)))</f>
        <v>71261171.191957936</v>
      </c>
      <c r="B1216">
        <v>212559763.06781548</v>
      </c>
    </row>
    <row r="1217" spans="1:2" x14ac:dyDescent="0.25">
      <c r="A1217">
        <f ca="1">29468.1966957289*((RANDBETWEEN(1587,2416)))</f>
        <v>53219563.232486397</v>
      </c>
      <c r="B1217">
        <v>208313418.69584957</v>
      </c>
    </row>
    <row r="1218" spans="1:2" x14ac:dyDescent="0.25">
      <c r="A1218">
        <f ca="1">39456.4997435339*((RANDBETWEEN(1587,2416)))</f>
        <v>62735834.592218965</v>
      </c>
      <c r="B1218">
        <v>254099851.92821762</v>
      </c>
    </row>
    <row r="1219" spans="1:2" x14ac:dyDescent="0.25">
      <c r="A1219">
        <f ca="1">33181.308094293*((RANDBETWEEN(1587,2416)))</f>
        <v>65864896.567171581</v>
      </c>
      <c r="B1219">
        <v>244342589.175026</v>
      </c>
    </row>
    <row r="1220" spans="1:2" x14ac:dyDescent="0.25">
      <c r="A1220">
        <f ca="1">35176.4568802488*((RANDBETWEEN(1587,2416)))</f>
        <v>73870559.448522389</v>
      </c>
      <c r="B1220">
        <v>224997163.26705942</v>
      </c>
    </row>
    <row r="1221" spans="1:2" x14ac:dyDescent="0.25">
      <c r="A1221">
        <f ca="1">35734.4088171202*((RANDBETWEEN(1587,2416)))</f>
        <v>61963464.888886377</v>
      </c>
      <c r="B1221">
        <v>221043094.79496777</v>
      </c>
    </row>
    <row r="1222" spans="1:2" x14ac:dyDescent="0.25">
      <c r="A1222">
        <f ca="1">31876.523187627*((RANDBETWEEN(1587,2416)))</f>
        <v>58525296.572483167</v>
      </c>
      <c r="B1222">
        <v>211752668.73137754</v>
      </c>
    </row>
    <row r="1223" spans="1:2" x14ac:dyDescent="0.25">
      <c r="A1223">
        <f ca="1">29651.0766028215*((RANDBETWEEN(1587,2416)))</f>
        <v>47738233.330542669</v>
      </c>
      <c r="B1223">
        <v>217027576.96966484</v>
      </c>
    </row>
    <row r="1224" spans="1:2" x14ac:dyDescent="0.25">
      <c r="A1224">
        <f ca="1">32847.8940596989*((RANDBETWEEN(1587,2416)))</f>
        <v>67403878.610502183</v>
      </c>
      <c r="B1224">
        <v>224325474.64001599</v>
      </c>
    </row>
    <row r="1225" spans="1:2" x14ac:dyDescent="0.25">
      <c r="A1225">
        <f ca="1">33528.318599088*((RANDBETWEEN(1587,2416)))</f>
        <v>59479237.194782175</v>
      </c>
      <c r="B1225">
        <v>254082994.15401259</v>
      </c>
    </row>
    <row r="1226" spans="1:2" x14ac:dyDescent="0.25">
      <c r="A1226">
        <f ca="1">30649.266822699*((RANDBETWEEN(1587,2416)))</f>
        <v>58969189.366872817</v>
      </c>
      <c r="B1226">
        <v>239182530.37949058</v>
      </c>
    </row>
    <row r="1227" spans="1:2" x14ac:dyDescent="0.25">
      <c r="A1227">
        <f ca="1">39871.6223878841*((RANDBETWEEN(1587,2416)))</f>
        <v>67502656.702687711</v>
      </c>
      <c r="B1227">
        <v>239740904.698713</v>
      </c>
    </row>
    <row r="1228" spans="1:2" x14ac:dyDescent="0.25">
      <c r="A1228">
        <f ca="1">31089.8296208541*((RANDBETWEEN(1587,2416)))</f>
        <v>59163945.76848533</v>
      </c>
      <c r="B1228">
        <v>229470160.2835356</v>
      </c>
    </row>
    <row r="1229" spans="1:2" x14ac:dyDescent="0.25">
      <c r="A1229">
        <f ca="1">41118.693405533*((RANDBETWEEN(1587,2416)))</f>
        <v>77344262.29580766</v>
      </c>
      <c r="B1229">
        <v>246924183.37049228</v>
      </c>
    </row>
    <row r="1230" spans="1:2" x14ac:dyDescent="0.25">
      <c r="A1230">
        <f ca="1">32713.7916927231*((RANDBETWEEN(1587,2416)))</f>
        <v>67521266.053780511</v>
      </c>
      <c r="B1230">
        <v>204798240.20598999</v>
      </c>
    </row>
    <row r="1231" spans="1:2" x14ac:dyDescent="0.25">
      <c r="A1231">
        <f ca="1">40032.1704060499*((RANDBETWEEN(1587,2416)))</f>
        <v>72858550.139010891</v>
      </c>
      <c r="B1231">
        <v>258194224.98974869</v>
      </c>
    </row>
    <row r="1232" spans="1:2" x14ac:dyDescent="0.25">
      <c r="A1232">
        <f ca="1">35840.3696145883*((RANDBETWEEN(1587,2416)))</f>
        <v>69171913.356155336</v>
      </c>
      <c r="B1232">
        <v>239381282.66905862</v>
      </c>
    </row>
    <row r="1233" spans="1:2" x14ac:dyDescent="0.25">
      <c r="A1233">
        <f ca="1">31639.5311445841*((RANDBETWEEN(1587,2416)))</f>
        <v>53850482.008082137</v>
      </c>
      <c r="B1233">
        <v>250195674.31102034</v>
      </c>
    </row>
    <row r="1234" spans="1:2" x14ac:dyDescent="0.25">
      <c r="A1234">
        <f ca="1">32429.8317176177*((RANDBETWEEN(1587,2416)))</f>
        <v>77085709.992777228</v>
      </c>
      <c r="B1234">
        <v>214057763.9707298</v>
      </c>
    </row>
    <row r="1235" spans="1:2" x14ac:dyDescent="0.25">
      <c r="A1235">
        <f ca="1">30113.8983935056*((RANDBETWEEN(1587,2416)))</f>
        <v>54686839.482606217</v>
      </c>
      <c r="B1235">
        <v>219952085.12954482</v>
      </c>
    </row>
    <row r="1236" spans="1:2" x14ac:dyDescent="0.25">
      <c r="A1236">
        <f ca="1">31882.1841699414*((RANDBETWEEN(1587,2416)))</f>
        <v>55219942.982338458</v>
      </c>
      <c r="B1236">
        <v>265844965.55991584</v>
      </c>
    </row>
    <row r="1237" spans="1:2" x14ac:dyDescent="0.25">
      <c r="A1237">
        <f ca="1">38507.5484286218*((RANDBETWEEN(1587,2416)))</f>
        <v>73895985.434525266</v>
      </c>
      <c r="B1237">
        <v>226922383.48207515</v>
      </c>
    </row>
    <row r="1238" spans="1:2" x14ac:dyDescent="0.25">
      <c r="A1238">
        <f ca="1">30910.6514449587*((RANDBETWEEN(1587,2416)))</f>
        <v>56628313.447164416</v>
      </c>
      <c r="B1238">
        <v>210620565.76614887</v>
      </c>
    </row>
    <row r="1239" spans="1:2" x14ac:dyDescent="0.25">
      <c r="A1239">
        <f ca="1">40402.4262886573*((RANDBETWEEN(1587,2416)))</f>
        <v>70381026.594840989</v>
      </c>
      <c r="B1239">
        <v>252158176.45849246</v>
      </c>
    </row>
    <row r="1240" spans="1:2" x14ac:dyDescent="0.25">
      <c r="A1240">
        <f ca="1">30633.0353011671*((RANDBETWEEN(1587,2416)))</f>
        <v>52382490.364995785</v>
      </c>
      <c r="B1240">
        <v>257943447.33642915</v>
      </c>
    </row>
    <row r="1241" spans="1:2" x14ac:dyDescent="0.25">
      <c r="A1241">
        <f ca="1">38773.3242750538*((RANDBETWEEN(1587,2416)))</f>
        <v>82238220.78738901</v>
      </c>
      <c r="B1241">
        <v>224274414.82581717</v>
      </c>
    </row>
    <row r="1242" spans="1:2" x14ac:dyDescent="0.25">
      <c r="A1242">
        <f ca="1">40437.8818554977*((RANDBETWEEN(1587,2416)))</f>
        <v>91874867.575690791</v>
      </c>
      <c r="B1242">
        <v>204659534.25209546</v>
      </c>
    </row>
    <row r="1243" spans="1:2" x14ac:dyDescent="0.25">
      <c r="A1243">
        <f ca="1">32455.2639964268*((RANDBETWEEN(1587,2416)))</f>
        <v>61567635.801221624</v>
      </c>
      <c r="B1243">
        <v>229586810.0432165</v>
      </c>
    </row>
    <row r="1244" spans="1:2" x14ac:dyDescent="0.25">
      <c r="A1244">
        <f ca="1">32966.2875876049*((RANDBETWEEN(1587,2416)))</f>
        <v>66855631.22766269</v>
      </c>
      <c r="B1244">
        <v>257171823.10721129</v>
      </c>
    </row>
    <row r="1245" spans="1:2" x14ac:dyDescent="0.25">
      <c r="A1245">
        <f ca="1">36587.4134271011*((RANDBETWEEN(1587,2416)))</f>
        <v>82102155.730414763</v>
      </c>
      <c r="B1245">
        <v>241421541.19865316</v>
      </c>
    </row>
    <row r="1246" spans="1:2" x14ac:dyDescent="0.25">
      <c r="A1246">
        <f ca="1">34119.6520852001*((RANDBETWEEN(1587,2416)))</f>
        <v>56468024.201006137</v>
      </c>
      <c r="B1246">
        <v>239200071.65202802</v>
      </c>
    </row>
    <row r="1247" spans="1:2" x14ac:dyDescent="0.25">
      <c r="A1247">
        <f ca="1">28842.7872795131*((RANDBETWEEN(1587,2416)))</f>
        <v>47821341.309432641</v>
      </c>
      <c r="B1247">
        <v>209092749.86974984</v>
      </c>
    </row>
    <row r="1248" spans="1:2" x14ac:dyDescent="0.25">
      <c r="A1248">
        <f ca="1">40759.1715167976*((RANDBETWEEN(1587,2416)))</f>
        <v>95784053.064474449</v>
      </c>
      <c r="B1248">
        <v>214091136.34278935</v>
      </c>
    </row>
    <row r="1249" spans="1:2" x14ac:dyDescent="0.25">
      <c r="A1249">
        <f ca="1">37807.6533120093*((RANDBETWEEN(1587,2416)))</f>
        <v>82231645.9536203</v>
      </c>
      <c r="B1249">
        <v>265471321.18824601</v>
      </c>
    </row>
    <row r="1250" spans="1:2" x14ac:dyDescent="0.25">
      <c r="A1250">
        <f ca="1">32688.4472653275*((RANDBETWEEN(1587,2416)))</f>
        <v>69757146.464208812</v>
      </c>
      <c r="B1250">
        <v>252938983.89857119</v>
      </c>
    </row>
    <row r="1251" spans="1:2" x14ac:dyDescent="0.25">
      <c r="A1251">
        <f ca="1">41923.1075391833*((RANDBETWEEN(1587,2416)))</f>
        <v>74455438.989589497</v>
      </c>
      <c r="B1251">
        <v>228423862.83326584</v>
      </c>
    </row>
    <row r="1252" spans="1:2" x14ac:dyDescent="0.25">
      <c r="A1252">
        <f ca="1">40161.0741294502*((RANDBETWEEN(1587,2416)))</f>
        <v>86065181.859411851</v>
      </c>
      <c r="B1252">
        <v>218589156.62146303</v>
      </c>
    </row>
    <row r="1253" spans="1:2" x14ac:dyDescent="0.25">
      <c r="A1253">
        <f ca="1">32069.371741468*((RANDBETWEEN(1587,2416)))</f>
        <v>76934422.807781681</v>
      </c>
      <c r="B1253">
        <v>210571252.75820041</v>
      </c>
    </row>
    <row r="1254" spans="1:2" x14ac:dyDescent="0.25">
      <c r="A1254">
        <f ca="1">30742.546170438*((RANDBETWEEN(1587,2416)))</f>
        <v>73013547.154790357</v>
      </c>
      <c r="B1254">
        <v>252077502.03418434</v>
      </c>
    </row>
    <row r="1255" spans="1:2" x14ac:dyDescent="0.25">
      <c r="A1255">
        <f ca="1">29517.3781464492*((RANDBETWEEN(1587,2416)))</f>
        <v>64082227.955941141</v>
      </c>
      <c r="B1255">
        <v>261847129.75416279</v>
      </c>
    </row>
    <row r="1256" spans="1:2" x14ac:dyDescent="0.25">
      <c r="A1256">
        <f ca="1">41946.5374997479*((RANDBETWEEN(1587,2416)))</f>
        <v>87332691.074475214</v>
      </c>
      <c r="B1256">
        <v>218674203.63349473</v>
      </c>
    </row>
    <row r="1257" spans="1:2" x14ac:dyDescent="0.25">
      <c r="A1257">
        <f ca="1">32472.9068009664*((RANDBETWEEN(1587,2416)))</f>
        <v>61178956.4130207</v>
      </c>
      <c r="B1257">
        <v>240500006.79833612</v>
      </c>
    </row>
    <row r="1258" spans="1:2" x14ac:dyDescent="0.25">
      <c r="A1258">
        <f ca="1">32452.3041998999*((RANDBETWEEN(1587,2416)))</f>
        <v>71297712.327180058</v>
      </c>
      <c r="B1258">
        <v>250038918.66066223</v>
      </c>
    </row>
    <row r="1259" spans="1:2" x14ac:dyDescent="0.25">
      <c r="A1259">
        <f ca="1">33834.1601599688*((RANDBETWEEN(1587,2416)))</f>
        <v>73826137.469051942</v>
      </c>
      <c r="B1259">
        <v>220497908.48389369</v>
      </c>
    </row>
    <row r="1260" spans="1:2" x14ac:dyDescent="0.25">
      <c r="A1260">
        <f ca="1">39196.1458303381*((RANDBETWEEN(1587,2416)))</f>
        <v>68358078.328109577</v>
      </c>
      <c r="B1260">
        <v>260091873.73387948</v>
      </c>
    </row>
    <row r="1261" spans="1:2" x14ac:dyDescent="0.25">
      <c r="A1261">
        <f ca="1">32918.9843915314*((RANDBETWEEN(1587,2416)))</f>
        <v>57213194.872481547</v>
      </c>
      <c r="B1261">
        <v>213053304.48478439</v>
      </c>
    </row>
    <row r="1262" spans="1:2" x14ac:dyDescent="0.25">
      <c r="A1262">
        <f ca="1">40110.7260921701*((RANDBETWEEN(1587,2416)))</f>
        <v>93257438.16429548</v>
      </c>
      <c r="B1262">
        <v>252035102.3701818</v>
      </c>
    </row>
    <row r="1263" spans="1:2" x14ac:dyDescent="0.25">
      <c r="A1263">
        <f ca="1">29491.032524717*((RANDBETWEEN(1587,2416)))</f>
        <v>55502123.211517461</v>
      </c>
      <c r="B1263">
        <v>267140359.2986089</v>
      </c>
    </row>
    <row r="1264" spans="1:2" x14ac:dyDescent="0.25">
      <c r="A1264">
        <f ca="1">33961.1319305835*((RANDBETWEEN(1587,2416)))</f>
        <v>67073235.562902465</v>
      </c>
      <c r="B1264">
        <v>266687491.04058689</v>
      </c>
    </row>
    <row r="1265" spans="1:2" x14ac:dyDescent="0.25">
      <c r="A1265">
        <f ca="1">28999.6301691713*((RANDBETWEEN(1587,2416)))</f>
        <v>53649315.812966935</v>
      </c>
      <c r="B1265">
        <v>227459684.80763918</v>
      </c>
    </row>
    <row r="1266" spans="1:2" x14ac:dyDescent="0.25">
      <c r="A1266">
        <f ca="1">32555.6669054404*((RANDBETWEEN(1587,2416)))</f>
        <v>72566581.532226682</v>
      </c>
      <c r="B1266">
        <v>259289291.11211756</v>
      </c>
    </row>
    <row r="1267" spans="1:2" x14ac:dyDescent="0.25">
      <c r="A1267">
        <f ca="1">31917.6961631145*((RANDBETWEEN(1587,2416)))</f>
        <v>58632807.851641364</v>
      </c>
      <c r="B1267">
        <v>220120713.89223048</v>
      </c>
    </row>
    <row r="1268" spans="1:2" x14ac:dyDescent="0.25">
      <c r="A1268">
        <f ca="1">32482.6791063563*((RANDBETWEEN(1587,2416)))</f>
        <v>51842355.853744678</v>
      </c>
      <c r="B1268">
        <v>260052124.35912427</v>
      </c>
    </row>
    <row r="1269" spans="1:2" x14ac:dyDescent="0.25">
      <c r="A1269">
        <f ca="1">30918.4740265741*((RANDBETWEEN(1587,2416)))</f>
        <v>54107329.546504624</v>
      </c>
      <c r="B1269">
        <v>216556653.48549372</v>
      </c>
    </row>
    <row r="1270" spans="1:2" x14ac:dyDescent="0.25">
      <c r="A1270">
        <f ca="1">35446.2414653668*((RANDBETWEEN(1587,2416)))</f>
        <v>82306172.682581767</v>
      </c>
      <c r="B1270">
        <v>214080621.51549613</v>
      </c>
    </row>
    <row r="1271" spans="1:2" x14ac:dyDescent="0.25">
      <c r="A1271">
        <f ca="1">31511.6248047998*((RANDBETWEEN(1587,2416)))</f>
        <v>65859295.842031583</v>
      </c>
      <c r="B1271">
        <v>236660175.79896826</v>
      </c>
    </row>
    <row r="1272" spans="1:2" x14ac:dyDescent="0.25">
      <c r="A1272">
        <f ca="1">31276.5317262022*((RANDBETWEEN(1587,2416)))</f>
        <v>49823515.039840117</v>
      </c>
      <c r="B1272">
        <v>225325468.27721778</v>
      </c>
    </row>
    <row r="1273" spans="1:2" x14ac:dyDescent="0.25">
      <c r="A1273">
        <f ca="1">32800.7338404953*((RANDBETWEEN(1587,2416)))</f>
        <v>64059833.190487288</v>
      </c>
      <c r="B1273">
        <v>253297957.14290488</v>
      </c>
    </row>
    <row r="1274" spans="1:2" x14ac:dyDescent="0.25">
      <c r="A1274">
        <f ca="1">31637.849602707*((RANDBETWEEN(1587,2416)))</f>
        <v>56283734.443215832</v>
      </c>
      <c r="B1274">
        <v>224645854.28109798</v>
      </c>
    </row>
    <row r="1275" spans="1:2" x14ac:dyDescent="0.25">
      <c r="A1275">
        <f ca="1">34305.0300117427*((RANDBETWEEN(1587,2416)))</f>
        <v>62538069.711406894</v>
      </c>
      <c r="B1275">
        <v>221497393.7800402</v>
      </c>
    </row>
    <row r="1276" spans="1:2" x14ac:dyDescent="0.25">
      <c r="A1276">
        <f ca="1">32559.9452573996*((RANDBETWEEN(1587,2416)))</f>
        <v>68017725.642707735</v>
      </c>
      <c r="B1276">
        <v>242767147.84842989</v>
      </c>
    </row>
    <row r="1277" spans="1:2" x14ac:dyDescent="0.25">
      <c r="A1277">
        <f ca="1">37299.2379011265*((RANDBETWEEN(1587,2416)))</f>
        <v>89667367.914308041</v>
      </c>
      <c r="B1277">
        <v>253933338.58807409</v>
      </c>
    </row>
    <row r="1278" spans="1:2" x14ac:dyDescent="0.25">
      <c r="A1278">
        <f ca="1">31616.8255725722*((RANDBETWEEN(1587,2416)))</f>
        <v>52389079.973752089</v>
      </c>
      <c r="B1278">
        <v>215682913.96975905</v>
      </c>
    </row>
    <row r="1279" spans="1:2" x14ac:dyDescent="0.25">
      <c r="A1279">
        <f ca="1">38182.4782645992*((RANDBETWEEN(1587,2416)))</f>
        <v>63573826.310557686</v>
      </c>
      <c r="B1279">
        <v>245101275.53800568</v>
      </c>
    </row>
    <row r="1280" spans="1:2" x14ac:dyDescent="0.25">
      <c r="A1280">
        <f ca="1">28534.8901132977*((RANDBETWEEN(1587,2416)))</f>
        <v>65316363.469338432</v>
      </c>
      <c r="B1280">
        <v>217914228.32966727</v>
      </c>
    </row>
    <row r="1281" spans="1:2" x14ac:dyDescent="0.25">
      <c r="A1281">
        <f ca="1">33899.0611737008*((RANDBETWEEN(1587,2416)))</f>
        <v>63560739.700688988</v>
      </c>
      <c r="B1281">
        <v>236076133.14064449</v>
      </c>
    </row>
    <row r="1282" spans="1:2" x14ac:dyDescent="0.25">
      <c r="A1282">
        <f ca="1">30890.9009295874*((RANDBETWEEN(1587,2416)))</f>
        <v>74601525.744953662</v>
      </c>
      <c r="B1282">
        <v>224403436.70579821</v>
      </c>
    </row>
    <row r="1283" spans="1:2" x14ac:dyDescent="0.25">
      <c r="A1283">
        <f ca="1">30249.9415583537*((RANDBETWEEN(1587,2416)))</f>
        <v>48914155.49985788</v>
      </c>
      <c r="B1283">
        <v>258432811.38919964</v>
      </c>
    </row>
    <row r="1284" spans="1:2" x14ac:dyDescent="0.25">
      <c r="A1284">
        <f ca="1">40737.0112535907*((RANDBETWEEN(1587,2416)))</f>
        <v>88562262.465306193</v>
      </c>
      <c r="B1284">
        <v>255149221.62553144</v>
      </c>
    </row>
    <row r="1285" spans="1:2" x14ac:dyDescent="0.25">
      <c r="A1285">
        <f ca="1">43023.9979736542*((RANDBETWEEN(1587,2416)))</f>
        <v>86435211.929071218</v>
      </c>
      <c r="B1285">
        <v>238655347.69161695</v>
      </c>
    </row>
    <row r="1286" spans="1:2" x14ac:dyDescent="0.25">
      <c r="A1286">
        <f ca="1">41341.7095420385*((RANDBETWEEN(1587,2416)))</f>
        <v>81649876.345525935</v>
      </c>
      <c r="B1286">
        <v>210923174.37332875</v>
      </c>
    </row>
    <row r="1287" spans="1:2" x14ac:dyDescent="0.25">
      <c r="A1287">
        <f ca="1">32082.2739515952*((RANDBETWEEN(1587,2416)))</f>
        <v>68912724.448026419</v>
      </c>
      <c r="B1287">
        <v>266091857.87024936</v>
      </c>
    </row>
    <row r="1288" spans="1:2" x14ac:dyDescent="0.25">
      <c r="A1288">
        <f ca="1">33806.4021106073*((RANDBETWEEN(1587,2416)))</f>
        <v>72818990.146248028</v>
      </c>
      <c r="B1288">
        <v>224002380.52559936</v>
      </c>
    </row>
    <row r="1289" spans="1:2" x14ac:dyDescent="0.25">
      <c r="A1289">
        <f ca="1">33778.0445583138*((RANDBETWEEN(1587,2416)))</f>
        <v>65867186.888711877</v>
      </c>
      <c r="B1289">
        <v>254745031.11687097</v>
      </c>
    </row>
    <row r="1290" spans="1:2" x14ac:dyDescent="0.25">
      <c r="A1290">
        <f ca="1">32958.1049722998*((RANDBETWEEN(1587,2416)))</f>
        <v>68355109.712549835</v>
      </c>
      <c r="B1290">
        <v>225200269.72081658</v>
      </c>
    </row>
    <row r="1291" spans="1:2" x14ac:dyDescent="0.25">
      <c r="A1291">
        <f ca="1">41834.512994153*((RANDBETWEEN(1587,2416)))</f>
        <v>81493631.312609985</v>
      </c>
      <c r="B1291">
        <v>226044919.58426017</v>
      </c>
    </row>
    <row r="1292" spans="1:2" x14ac:dyDescent="0.25">
      <c r="A1292">
        <f ca="1">32535.5986150221*((RANDBETWEEN(1587,2416)))</f>
        <v>54171771.69401186</v>
      </c>
      <c r="B1292">
        <v>233286036.66737294</v>
      </c>
    </row>
    <row r="1293" spans="1:2" x14ac:dyDescent="0.25">
      <c r="A1293">
        <f ca="1">32512.0057107166*((RANDBETWEEN(1587,2416)))</f>
        <v>63625995.17587246</v>
      </c>
      <c r="B1293">
        <v>206817508.03177238</v>
      </c>
    </row>
    <row r="1294" spans="1:2" x14ac:dyDescent="0.25">
      <c r="A1294">
        <f ca="1">38281.9332977385*((RANDBETWEEN(1587,2416)))</f>
        <v>91455538.64829722</v>
      </c>
      <c r="B1294">
        <v>239855164.99123165</v>
      </c>
    </row>
    <row r="1295" spans="1:2" x14ac:dyDescent="0.25">
      <c r="A1295">
        <f ca="1">35615.6641562083*((RANDBETWEEN(1587,2416)))</f>
        <v>62754800.243239053</v>
      </c>
      <c r="B1295">
        <v>231376693.55750993</v>
      </c>
    </row>
    <row r="1296" spans="1:2" x14ac:dyDescent="0.25">
      <c r="A1296">
        <f ca="1">32736.1820297804*((RANDBETWEEN(1587,2416)))</f>
        <v>52476099.793737911</v>
      </c>
      <c r="B1296">
        <v>266335762.22596395</v>
      </c>
    </row>
    <row r="1297" spans="1:2" x14ac:dyDescent="0.25">
      <c r="A1297">
        <f ca="1">31105.4576102474*((RANDBETWEEN(1587,2416)))</f>
        <v>61651016.98351036</v>
      </c>
      <c r="B1297">
        <v>224595950.57021296</v>
      </c>
    </row>
    <row r="1298" spans="1:2" x14ac:dyDescent="0.25">
      <c r="A1298">
        <f ca="1">36088.5681473559*((RANDBETWEEN(1587,2416)))</f>
        <v>85529906.50923349</v>
      </c>
      <c r="B1298">
        <v>252743219.36505473</v>
      </c>
    </row>
    <row r="1299" spans="1:2" x14ac:dyDescent="0.25">
      <c r="A1299">
        <f ca="1">31314.6595561169*((RANDBETWEEN(1587,2416)))</f>
        <v>59341279.858841605</v>
      </c>
      <c r="B1299">
        <v>255759498.40537617</v>
      </c>
    </row>
    <row r="1300" spans="1:2" x14ac:dyDescent="0.25">
      <c r="A1300">
        <f ca="1">28078.1783718234*((RANDBETWEEN(1587,2416)))</f>
        <v>62108930.558473267</v>
      </c>
      <c r="B1300">
        <v>219357870.73957431</v>
      </c>
    </row>
    <row r="1301" spans="1:2" x14ac:dyDescent="0.25">
      <c r="A1301">
        <f ca="1">34141.9167686606*((RANDBETWEEN(1587,2416)))</f>
        <v>69000813.789463162</v>
      </c>
      <c r="B1301">
        <v>235150797.39414841</v>
      </c>
    </row>
    <row r="1302" spans="1:2" x14ac:dyDescent="0.25">
      <c r="A1302">
        <f ca="1">33317.7481230685*((RANDBETWEEN(1587,2416)))</f>
        <v>68334701.400413588</v>
      </c>
      <c r="B1302">
        <v>253302098.32433429</v>
      </c>
    </row>
    <row r="1303" spans="1:2" x14ac:dyDescent="0.25">
      <c r="A1303">
        <f ca="1">39718.8358819384*((RANDBETWEEN(1587,2416)))</f>
        <v>84084775.56206353</v>
      </c>
      <c r="B1303">
        <v>247942593.34397572</v>
      </c>
    </row>
    <row r="1304" spans="1:2" x14ac:dyDescent="0.25">
      <c r="A1304">
        <f ca="1">40144.5929143924*((RANDBETWEEN(1587,2416)))</f>
        <v>66399156.680405088</v>
      </c>
      <c r="B1304">
        <v>255521285.24061549</v>
      </c>
    </row>
    <row r="1305" spans="1:2" x14ac:dyDescent="0.25">
      <c r="A1305">
        <f ca="1">32164.3834040564*((RANDBETWEEN(1587,2416)))</f>
        <v>67030575.014053576</v>
      </c>
      <c r="B1305">
        <v>215377728.90940601</v>
      </c>
    </row>
    <row r="1306" spans="1:2" x14ac:dyDescent="0.25">
      <c r="A1306">
        <f ca="1">42325.2584759187*((RANDBETWEEN(1587,2416)))</f>
        <v>78936607.057588398</v>
      </c>
      <c r="B1306">
        <v>254181263.60777223</v>
      </c>
    </row>
    <row r="1307" spans="1:2" x14ac:dyDescent="0.25">
      <c r="A1307">
        <f ca="1">28759.2345884081*((RANDBETWEEN(1587,2416)))</f>
        <v>56051748.212807328</v>
      </c>
      <c r="B1307">
        <v>259178223.66563386</v>
      </c>
    </row>
    <row r="1308" spans="1:2" x14ac:dyDescent="0.25">
      <c r="A1308">
        <f ca="1">30272.905717557*((RANDBETWEEN(1587,2416)))</f>
        <v>49829202.811098836</v>
      </c>
      <c r="B1308">
        <v>250458747.99263042</v>
      </c>
    </row>
    <row r="1309" spans="1:2" x14ac:dyDescent="0.25">
      <c r="A1309">
        <f ca="1">31476.4731400389*((RANDBETWEEN(1587,2416)))</f>
        <v>57444563.480571076</v>
      </c>
      <c r="B1309">
        <v>227301663.50119802</v>
      </c>
    </row>
    <row r="1310" spans="1:2" x14ac:dyDescent="0.25">
      <c r="A1310">
        <f ca="1">37295.7070263765*((RANDBETWEEN(1587,2416)))</f>
        <v>86078491.816876873</v>
      </c>
      <c r="B1310">
        <v>224428485.9406372</v>
      </c>
    </row>
    <row r="1311" spans="1:2" x14ac:dyDescent="0.25">
      <c r="A1311">
        <f ca="1">39562.236989029*((RANDBETWEEN(1587,2416)))</f>
        <v>89529342.30617258</v>
      </c>
      <c r="B1311">
        <v>267874408.80836815</v>
      </c>
    </row>
    <row r="1312" spans="1:2" x14ac:dyDescent="0.25">
      <c r="A1312">
        <f ca="1">38404.7665154304*((RANDBETWEEN(1587,2416)))</f>
        <v>91518558.606270596</v>
      </c>
      <c r="B1312">
        <v>226386201.8014605</v>
      </c>
    </row>
    <row r="1313" spans="1:2" x14ac:dyDescent="0.25">
      <c r="A1313">
        <f ca="1">37885.6442431295*((RANDBETWEEN(1587,2416)))</f>
        <v>80961621.747567832</v>
      </c>
      <c r="B1313">
        <v>246610635.8398357</v>
      </c>
    </row>
    <row r="1314" spans="1:2" x14ac:dyDescent="0.25">
      <c r="A1314">
        <f ca="1">29377.7556298003*((RANDBETWEEN(1587,2416)))</f>
        <v>51616716.641559184</v>
      </c>
      <c r="B1314">
        <v>218115567.79319447</v>
      </c>
    </row>
    <row r="1315" spans="1:2" x14ac:dyDescent="0.25">
      <c r="A1315">
        <f ca="1">31851.9270903505*((RANDBETWEEN(1587,2416)))</f>
        <v>66666083.400103599</v>
      </c>
      <c r="B1315">
        <v>243199502.66220784</v>
      </c>
    </row>
    <row r="1316" spans="1:2" x14ac:dyDescent="0.25">
      <c r="A1316">
        <f ca="1">37250.5739311487*((RANDBETWEEN(1587,2416)))</f>
        <v>74612899.584090874</v>
      </c>
      <c r="B1316">
        <v>224182094.652944</v>
      </c>
    </row>
    <row r="1317" spans="1:2" x14ac:dyDescent="0.25">
      <c r="A1317">
        <f ca="1">35912.594921497*((RANDBETWEEN(1587,2416)))</f>
        <v>59938120.92397853</v>
      </c>
      <c r="B1317">
        <v>241898342.80570808</v>
      </c>
    </row>
    <row r="1318" spans="1:2" x14ac:dyDescent="0.25">
      <c r="A1318">
        <f ca="1">32147.3451803417*((RANDBETWEEN(1587,2416)))</f>
        <v>62976649.208289474</v>
      </c>
      <c r="B1318">
        <v>233901538.25955376</v>
      </c>
    </row>
    <row r="1319" spans="1:2" x14ac:dyDescent="0.25">
      <c r="A1319">
        <f ca="1">31483.3489882388*((RANDBETWEEN(1587,2416)))</f>
        <v>73450653.189561054</v>
      </c>
      <c r="B1319">
        <v>231138308.1229454</v>
      </c>
    </row>
    <row r="1320" spans="1:2" x14ac:dyDescent="0.25">
      <c r="A1320">
        <f ca="1">32947.3687778088*((RANDBETWEEN(1587,2416)))</f>
        <v>73538527.112069324</v>
      </c>
      <c r="B1320">
        <v>220006991.47771734</v>
      </c>
    </row>
    <row r="1321" spans="1:2" x14ac:dyDescent="0.25">
      <c r="A1321">
        <f ca="1">40374.6822325681*((RANDBETWEEN(1587,2416)))</f>
        <v>64276494.114248492</v>
      </c>
      <c r="B1321">
        <v>229455115.73818833</v>
      </c>
    </row>
    <row r="1322" spans="1:2" x14ac:dyDescent="0.25">
      <c r="A1322">
        <f ca="1">42967.8781210305*((RANDBETWEEN(1587,2416)))</f>
        <v>87998214.391870514</v>
      </c>
      <c r="B1322">
        <v>259951866.83167893</v>
      </c>
    </row>
    <row r="1323" spans="1:2" x14ac:dyDescent="0.25">
      <c r="A1323">
        <f ca="1">31058.4853785375*((RANDBETWEEN(1587,2416)))</f>
        <v>72676855.785777748</v>
      </c>
      <c r="B1323">
        <v>264755940.01709625</v>
      </c>
    </row>
    <row r="1324" spans="1:2" x14ac:dyDescent="0.25">
      <c r="A1324">
        <f ca="1">33829.9191207926*((RANDBETWEEN(1587,2416)))</f>
        <v>55684046.872824602</v>
      </c>
      <c r="B1324">
        <v>243202114.50283375</v>
      </c>
    </row>
    <row r="1325" spans="1:2" x14ac:dyDescent="0.25">
      <c r="A1325">
        <f ca="1">31896.8977885096*((RANDBETWEEN(1587,2416)))</f>
        <v>73745627.68703422</v>
      </c>
      <c r="B1325">
        <v>247009152.72026235</v>
      </c>
    </row>
    <row r="1326" spans="1:2" x14ac:dyDescent="0.25">
      <c r="A1326">
        <f ca="1">31593.4433887674*((RANDBETWEEN(1587,2416)))</f>
        <v>62175896.589094281</v>
      </c>
      <c r="B1326">
        <v>240587475.76189795</v>
      </c>
    </row>
    <row r="1327" spans="1:2" x14ac:dyDescent="0.25">
      <c r="A1327">
        <f ca="1">30738.3373063421*((RANDBETWEEN(1587,2416)))</f>
        <v>62368086.394568183</v>
      </c>
      <c r="B1327">
        <v>243835131.53412554</v>
      </c>
    </row>
    <row r="1328" spans="1:2" x14ac:dyDescent="0.25">
      <c r="A1328">
        <f ca="1">29979.1062617269*((RANDBETWEEN(1587,2416)))</f>
        <v>62926144.043364853</v>
      </c>
      <c r="B1328">
        <v>217828870.74713114</v>
      </c>
    </row>
    <row r="1329" spans="1:2" x14ac:dyDescent="0.25">
      <c r="A1329">
        <f ca="1">31029.2803406648*((RANDBETWEEN(1587,2416)))</f>
        <v>58986661.927603871</v>
      </c>
      <c r="B1329">
        <v>218446318.60051957</v>
      </c>
    </row>
    <row r="1330" spans="1:2" x14ac:dyDescent="0.25">
      <c r="A1330">
        <f ca="1">28098.1443173606*((RANDBETWEEN(1587,2416)))</f>
        <v>54538498.119997017</v>
      </c>
      <c r="B1330">
        <v>230704881.19452775</v>
      </c>
    </row>
    <row r="1331" spans="1:2" x14ac:dyDescent="0.25">
      <c r="A1331">
        <f ca="1">34707.5092723485*((RANDBETWEEN(1587,2416)))</f>
        <v>58898643.235175379</v>
      </c>
      <c r="B1331">
        <v>207973683.85488692</v>
      </c>
    </row>
    <row r="1332" spans="1:2" x14ac:dyDescent="0.25">
      <c r="A1332">
        <f ca="1">30122.1644228128*((RANDBETWEEN(1587,2416)))</f>
        <v>55454904.702398315</v>
      </c>
      <c r="B1332">
        <v>248692900.28073916</v>
      </c>
    </row>
    <row r="1333" spans="1:2" x14ac:dyDescent="0.25">
      <c r="A1333">
        <f ca="1">35205.3538021422*((RANDBETWEEN(1587,2416)))</f>
        <v>65341136.656775884</v>
      </c>
      <c r="B1333">
        <v>211377962.24162203</v>
      </c>
    </row>
    <row r="1334" spans="1:2" x14ac:dyDescent="0.25">
      <c r="A1334">
        <f ca="1">38695.3205865169*((RANDBETWEEN(1587,2416)))</f>
        <v>87722291.76963371</v>
      </c>
      <c r="B1334">
        <v>208598906.53858113</v>
      </c>
    </row>
    <row r="1335" spans="1:2" x14ac:dyDescent="0.25">
      <c r="A1335">
        <f ca="1">32967.1339314399*((RANDBETWEEN(1587,2416)))</f>
        <v>77143093.399569288</v>
      </c>
      <c r="B1335">
        <v>231128302.82855338</v>
      </c>
    </row>
    <row r="1336" spans="1:2" x14ac:dyDescent="0.25">
      <c r="A1336">
        <f ca="1">30435.217741481*((RANDBETWEEN(1587,2416)))</f>
        <v>66409645.11191158</v>
      </c>
      <c r="B1336">
        <v>225420173.49743083</v>
      </c>
    </row>
    <row r="1337" spans="1:2" x14ac:dyDescent="0.25">
      <c r="A1337">
        <f ca="1">32554.8583527777*((RANDBETWEEN(1587,2416)))</f>
        <v>68202428.249069348</v>
      </c>
      <c r="B1337">
        <v>260856266.03985342</v>
      </c>
    </row>
    <row r="1338" spans="1:2" x14ac:dyDescent="0.25">
      <c r="A1338">
        <f ca="1">33718.207635136*((RANDBETWEEN(1587,2416)))</f>
        <v>68650270.745136857</v>
      </c>
      <c r="B1338">
        <v>216981521.47449261</v>
      </c>
    </row>
    <row r="1339" spans="1:2" x14ac:dyDescent="0.25">
      <c r="A1339">
        <f ca="1">37739.2023256079*((RANDBETWEEN(1587,2416)))</f>
        <v>62798032.669811577</v>
      </c>
      <c r="B1339">
        <v>262409361.58008876</v>
      </c>
    </row>
    <row r="1340" spans="1:2" x14ac:dyDescent="0.25">
      <c r="A1340">
        <f ca="1">35799.0510838538*((RANDBETWEEN(1587,2416)))</f>
        <v>82302018.441779822</v>
      </c>
      <c r="B1340">
        <v>238421744.15746412</v>
      </c>
    </row>
    <row r="1341" spans="1:2" x14ac:dyDescent="0.25">
      <c r="A1341">
        <f ca="1">36250.2731138968*((RANDBETWEEN(1587,2416)))</f>
        <v>82106868.602976337</v>
      </c>
      <c r="B1341">
        <v>227838485.30958498</v>
      </c>
    </row>
    <row r="1342" spans="1:2" x14ac:dyDescent="0.25">
      <c r="A1342">
        <f ca="1">32506.3088688613*((RANDBETWEEN(1587,2416)))</f>
        <v>74211903.147610277</v>
      </c>
      <c r="B1342">
        <v>210653859.84733838</v>
      </c>
    </row>
    <row r="1343" spans="1:2" x14ac:dyDescent="0.25">
      <c r="A1343">
        <f ca="1">33809.3654730315*((RANDBETWEEN(1587,2416)))</f>
        <v>66773496.809237145</v>
      </c>
      <c r="B1343">
        <v>236435927.15075073</v>
      </c>
    </row>
    <row r="1344" spans="1:2" x14ac:dyDescent="0.25">
      <c r="A1344">
        <f ca="1">39359.9806460395*((RANDBETWEEN(1587,2416)))</f>
        <v>70808605.182225034</v>
      </c>
      <c r="B1344">
        <v>208717979.08946514</v>
      </c>
    </row>
    <row r="1345" spans="1:2" x14ac:dyDescent="0.25">
      <c r="A1345">
        <f ca="1">42066.3898023248*((RANDBETWEEN(1587,2416)))</f>
        <v>84932041.010893837</v>
      </c>
      <c r="B1345">
        <v>220055954.02296039</v>
      </c>
    </row>
    <row r="1346" spans="1:2" x14ac:dyDescent="0.25">
      <c r="A1346">
        <f ca="1">32783.1787797241*((RANDBETWEEN(1587,2416)))</f>
        <v>68090662.325487018</v>
      </c>
      <c r="B1346">
        <v>207022150.81510824</v>
      </c>
    </row>
    <row r="1347" spans="1:2" x14ac:dyDescent="0.25">
      <c r="A1347">
        <f ca="1">31816.7435354061*((RANDBETWEEN(1587,2416)))</f>
        <v>58001923.465045251</v>
      </c>
      <c r="B1347">
        <v>243469084.20730954</v>
      </c>
    </row>
    <row r="1348" spans="1:2" x14ac:dyDescent="0.25">
      <c r="A1348">
        <f ca="1">37009.7143126972*((RANDBETWEEN(1587,2416)))</f>
        <v>65988320.61953906</v>
      </c>
      <c r="B1348">
        <v>225249977.8953436</v>
      </c>
    </row>
    <row r="1349" spans="1:2" x14ac:dyDescent="0.25">
      <c r="A1349">
        <f ca="1">38924.3199556388*((RANDBETWEEN(1587,2416)))</f>
        <v>75396407.754072279</v>
      </c>
      <c r="B1349">
        <v>248401315.42537546</v>
      </c>
    </row>
    <row r="1350" spans="1:2" x14ac:dyDescent="0.25">
      <c r="A1350">
        <f ca="1">38256.642953771*((RANDBETWEEN(1587,2416)))</f>
        <v>70315709.749031112</v>
      </c>
      <c r="B1350">
        <v>208438664.58001903</v>
      </c>
    </row>
    <row r="1351" spans="1:2" x14ac:dyDescent="0.25">
      <c r="A1351">
        <f ca="1">32800.729724179*((RANDBETWEEN(1587,2416)))</f>
        <v>56351653.666139551</v>
      </c>
      <c r="B1351">
        <v>226468390.2089991</v>
      </c>
    </row>
    <row r="1352" spans="1:2" x14ac:dyDescent="0.25">
      <c r="A1352">
        <f ca="1">29996.9653348916*((RANDBETWEEN(1587,2416)))</f>
        <v>72172698.595749274</v>
      </c>
      <c r="B1352">
        <v>243570569.81676674</v>
      </c>
    </row>
    <row r="1353" spans="1:2" x14ac:dyDescent="0.25">
      <c r="A1353">
        <f ca="1">30596.6142421165*((RANDBETWEEN(1587,2416)))</f>
        <v>59265641.786979713</v>
      </c>
      <c r="B1353">
        <v>226051328.16211426</v>
      </c>
    </row>
    <row r="1354" spans="1:2" x14ac:dyDescent="0.25">
      <c r="A1354">
        <f ca="1">31638.2714267439*((RANDBETWEEN(1587,2416)))</f>
        <v>58277695.968062259</v>
      </c>
      <c r="B1354">
        <v>256482182.00274509</v>
      </c>
    </row>
    <row r="1355" spans="1:2" x14ac:dyDescent="0.25">
      <c r="A1355">
        <f ca="1">34594.1043228512*((RANDBETWEEN(1587,2416)))</f>
        <v>79566439.942557663</v>
      </c>
      <c r="B1355">
        <v>242300739.82142979</v>
      </c>
    </row>
    <row r="1356" spans="1:2" x14ac:dyDescent="0.25">
      <c r="A1356">
        <f ca="1">32658.4737671391*((RANDBETWEEN(1587,2416)))</f>
        <v>61463247.629755698</v>
      </c>
      <c r="B1356">
        <v>235760774.53361967</v>
      </c>
    </row>
    <row r="1357" spans="1:2" x14ac:dyDescent="0.25">
      <c r="A1357">
        <f ca="1">35224.8923048765*((RANDBETWEEN(1587,2416)))</f>
        <v>65236500.548631288</v>
      </c>
      <c r="B1357">
        <v>239116217.76495558</v>
      </c>
    </row>
    <row r="1358" spans="1:2" x14ac:dyDescent="0.25">
      <c r="A1358">
        <f ca="1">29458.5260058701*((RANDBETWEEN(1587,2416)))</f>
        <v>68874033.801724389</v>
      </c>
      <c r="B1358">
        <v>223307440.2381416</v>
      </c>
    </row>
    <row r="1359" spans="1:2" x14ac:dyDescent="0.25">
      <c r="A1359">
        <f ca="1">40650.2594335847*((RANDBETWEEN(1587,2416)))</f>
        <v>91341132.947264776</v>
      </c>
      <c r="B1359">
        <v>231795014.11233163</v>
      </c>
    </row>
    <row r="1360" spans="1:2" x14ac:dyDescent="0.25">
      <c r="A1360">
        <f ca="1">31705.9973322958*((RANDBETWEEN(1587,2416)))</f>
        <v>75460273.650863916</v>
      </c>
      <c r="B1360">
        <v>221694662.5860182</v>
      </c>
    </row>
    <row r="1361" spans="1:2" x14ac:dyDescent="0.25">
      <c r="A1361">
        <f ca="1">36940.0481261058*((RANDBETWEEN(1587,2416)))</f>
        <v>68967069.851439506</v>
      </c>
      <c r="B1361">
        <v>266779747.16822666</v>
      </c>
    </row>
    <row r="1362" spans="1:2" x14ac:dyDescent="0.25">
      <c r="A1362">
        <f ca="1">34050.6582728342*((RANDBETWEEN(1587,2416)))</f>
        <v>57511561.822816983</v>
      </c>
      <c r="B1362">
        <v>250258877.77008951</v>
      </c>
    </row>
    <row r="1363" spans="1:2" x14ac:dyDescent="0.25">
      <c r="A1363">
        <f ca="1">38535.0934174123*((RANDBETWEEN(1587,2416)))</f>
        <v>75798528.752050072</v>
      </c>
      <c r="B1363">
        <v>246399932.24441499</v>
      </c>
    </row>
    <row r="1364" spans="1:2" x14ac:dyDescent="0.25">
      <c r="A1364">
        <f ca="1">32852.3130540293*((RANDBETWEEN(1587,2416)))</f>
        <v>55454704.435201406</v>
      </c>
      <c r="B1364">
        <v>249877526.39709496</v>
      </c>
    </row>
    <row r="1365" spans="1:2" x14ac:dyDescent="0.25">
      <c r="A1365">
        <f ca="1">31591.4068018921*((RANDBETWEEN(1587,2416)))</f>
        <v>62487802.654142529</v>
      </c>
      <c r="B1365">
        <v>236405112.48271847</v>
      </c>
    </row>
    <row r="1366" spans="1:2" x14ac:dyDescent="0.25">
      <c r="A1366">
        <f ca="1">32626.1162265417*((RANDBETWEEN(1587,2416)))</f>
        <v>77193390.991997749</v>
      </c>
      <c r="B1366">
        <v>265921169.73366439</v>
      </c>
    </row>
    <row r="1367" spans="1:2" x14ac:dyDescent="0.25">
      <c r="A1367">
        <f ca="1">33164.822597342*((RANDBETWEEN(1587,2416)))</f>
        <v>63709624.209494077</v>
      </c>
      <c r="B1367">
        <v>232743734.19776049</v>
      </c>
    </row>
    <row r="1368" spans="1:2" x14ac:dyDescent="0.25">
      <c r="A1368">
        <f ca="1">39316.4817033227*((RANDBETWEEN(1587,2416)))</f>
        <v>71555996.700047344</v>
      </c>
      <c r="B1368">
        <v>263268713.09779105</v>
      </c>
    </row>
    <row r="1369" spans="1:2" x14ac:dyDescent="0.25">
      <c r="A1369">
        <f ca="1">33095.1654038194*((RANDBETWEEN(1587,2416)))</f>
        <v>66918424.446522772</v>
      </c>
      <c r="B1369">
        <v>247386160.35546479</v>
      </c>
    </row>
    <row r="1370" spans="1:2" x14ac:dyDescent="0.25">
      <c r="A1370">
        <f ca="1">33444.437403859*((RANDBETWEEN(1587,2416)))</f>
        <v>77657983.651760653</v>
      </c>
      <c r="B1370">
        <v>252557324.82065058</v>
      </c>
    </row>
    <row r="1371" spans="1:2" x14ac:dyDescent="0.25">
      <c r="A1371">
        <f ca="1">30439.9969003508*((RANDBETWEEN(1587,2416)))</f>
        <v>49251914.984767675</v>
      </c>
      <c r="B1371">
        <v>225094649.11396611</v>
      </c>
    </row>
    <row r="1372" spans="1:2" x14ac:dyDescent="0.25">
      <c r="A1372">
        <f ca="1">30402.4818727486*((RANDBETWEEN(1587,2416)))</f>
        <v>55788554.236493632</v>
      </c>
      <c r="B1372">
        <v>245695136.74896199</v>
      </c>
    </row>
    <row r="1373" spans="1:2" x14ac:dyDescent="0.25">
      <c r="A1373">
        <f ca="1">30613.9598693808*((RANDBETWEEN(1587,2416)))</f>
        <v>67503781.511984631</v>
      </c>
      <c r="B1373">
        <v>261952685.77929574</v>
      </c>
    </row>
    <row r="1374" spans="1:2" x14ac:dyDescent="0.25">
      <c r="A1374">
        <f ca="1">33298.9664011826*((RANDBETWEEN(1587,2416)))</f>
        <v>61003706.446966551</v>
      </c>
      <c r="B1374">
        <v>207465772.88926268</v>
      </c>
    </row>
    <row r="1375" spans="1:2" x14ac:dyDescent="0.25">
      <c r="A1375">
        <f ca="1">38566.6450633008*((RANDBETWEEN(1587,2416)))</f>
        <v>84576652.623818561</v>
      </c>
      <c r="B1375">
        <v>237509065.1259459</v>
      </c>
    </row>
    <row r="1376" spans="1:2" x14ac:dyDescent="0.25">
      <c r="A1376">
        <f ca="1">31625.9240068525*((RANDBETWEEN(1587,2416)))</f>
        <v>74542302.88415134</v>
      </c>
      <c r="B1376">
        <v>262451447.68390816</v>
      </c>
    </row>
    <row r="1377" spans="1:2" x14ac:dyDescent="0.25">
      <c r="A1377">
        <f ca="1">29933.514950688*((RANDBETWEEN(1587,2416)))</f>
        <v>67530009.728752211</v>
      </c>
      <c r="B1377">
        <v>240545507.55471721</v>
      </c>
    </row>
    <row r="1378" spans="1:2" x14ac:dyDescent="0.25">
      <c r="A1378">
        <f ca="1">32559.225078594*((RANDBETWEEN(1587,2416)))</f>
        <v>77295600.336582243</v>
      </c>
      <c r="B1378">
        <v>206175901.01959848</v>
      </c>
    </row>
    <row r="1379" spans="1:2" x14ac:dyDescent="0.25">
      <c r="A1379">
        <f ca="1">38871.2644050735*((RANDBETWEEN(1587,2416)))</f>
        <v>77587043.7525267</v>
      </c>
      <c r="B1379">
        <v>204211305.19124958</v>
      </c>
    </row>
    <row r="1380" spans="1:2" x14ac:dyDescent="0.25">
      <c r="A1380">
        <f ca="1">37667.5529666984*((RANDBETWEEN(1587,2416)))</f>
        <v>83810305.350903958</v>
      </c>
      <c r="B1380">
        <v>252438539.86016643</v>
      </c>
    </row>
    <row r="1381" spans="1:2" x14ac:dyDescent="0.25">
      <c r="A1381">
        <f ca="1">32033.7342479361*((RANDBETWEEN(1587,2416)))</f>
        <v>75631646.559377134</v>
      </c>
      <c r="B1381">
        <v>259740376.75864017</v>
      </c>
    </row>
    <row r="1382" spans="1:2" x14ac:dyDescent="0.25">
      <c r="A1382">
        <f ca="1">29673.0980518812*((RANDBETWEEN(1587,2416)))</f>
        <v>59049465.123243578</v>
      </c>
      <c r="B1382">
        <v>240703297.48317236</v>
      </c>
    </row>
    <row r="1383" spans="1:2" x14ac:dyDescent="0.25">
      <c r="A1383">
        <f ca="1">31723.5923247191*((RANDBETWEEN(1587,2416)))</f>
        <v>59925865.901394449</v>
      </c>
      <c r="B1383">
        <v>215568486.56019264</v>
      </c>
    </row>
    <row r="1384" spans="1:2" x14ac:dyDescent="0.25">
      <c r="A1384">
        <f ca="1">28564.8467383218*((RANDBETWEEN(1587,2416)))</f>
        <v>46103662.635651454</v>
      </c>
      <c r="B1384">
        <v>260410420.21148089</v>
      </c>
    </row>
    <row r="1385" spans="1:2" x14ac:dyDescent="0.25">
      <c r="A1385">
        <f ca="1">43157.6253014108*((RANDBETWEEN(1587,2416)))</f>
        <v>84243684.588353932</v>
      </c>
      <c r="B1385">
        <v>213753399.59386709</v>
      </c>
    </row>
    <row r="1386" spans="1:2" x14ac:dyDescent="0.25">
      <c r="A1386">
        <f ca="1">28809.356303618*((RANDBETWEEN(1587,2416)))</f>
        <v>62516303.17885115</v>
      </c>
      <c r="B1386">
        <v>218037328.18882191</v>
      </c>
    </row>
    <row r="1387" spans="1:2" x14ac:dyDescent="0.25">
      <c r="A1387">
        <f ca="1">32475.9883698289*((RANDBETWEEN(1587,2416)))</f>
        <v>73265829.762334064</v>
      </c>
      <c r="B1387">
        <v>262633197.87553829</v>
      </c>
    </row>
    <row r="1388" spans="1:2" x14ac:dyDescent="0.25">
      <c r="A1388">
        <f ca="1">40126.367756909*((RANDBETWEEN(1587,2416)))</f>
        <v>78607554.435784683</v>
      </c>
      <c r="B1388">
        <v>224451269.52834222</v>
      </c>
    </row>
    <row r="1389" spans="1:2" x14ac:dyDescent="0.25">
      <c r="A1389">
        <f ca="1">36667.446539424*((RANDBETWEEN(1587,2416)))</f>
        <v>84555131.71991165</v>
      </c>
      <c r="B1389">
        <v>255800643.31759846</v>
      </c>
    </row>
    <row r="1390" spans="1:2" x14ac:dyDescent="0.25">
      <c r="A1390">
        <f ca="1">38847.8859084631*((RANDBETWEEN(1587,2416)))</f>
        <v>68488822.856620535</v>
      </c>
      <c r="B1390">
        <v>222734390.90365151</v>
      </c>
    </row>
    <row r="1391" spans="1:2" x14ac:dyDescent="0.25">
      <c r="A1391">
        <f ca="1">38186.5289417298*((RANDBETWEEN(1587,2416)))</f>
        <v>89891089.128831998</v>
      </c>
      <c r="B1391">
        <v>255552221.09605891</v>
      </c>
    </row>
    <row r="1392" spans="1:2" x14ac:dyDescent="0.25">
      <c r="A1392">
        <f ca="1">31541.3454644512*((RANDBETWEEN(1587,2416)))</f>
        <v>50150739.288477331</v>
      </c>
      <c r="B1392">
        <v>209712830.13497359</v>
      </c>
    </row>
    <row r="1393" spans="1:2" x14ac:dyDescent="0.25">
      <c r="A1393">
        <f ca="1">39294.1386846879*((RANDBETWEEN(1587,2416)))</f>
        <v>71043802.741915807</v>
      </c>
      <c r="B1393">
        <v>250756922.95872736</v>
      </c>
    </row>
    <row r="1394" spans="1:2" x14ac:dyDescent="0.25">
      <c r="A1394">
        <f ca="1">31211.9635578566*((RANDBETWEEN(1587,2416)))</f>
        <v>71569032.438165292</v>
      </c>
      <c r="B1394">
        <v>258539460.1133315</v>
      </c>
    </row>
    <row r="1395" spans="1:2" x14ac:dyDescent="0.25">
      <c r="A1395">
        <f ca="1">30001.4006610783*((RANDBETWEEN(1587,2416)))</f>
        <v>71583341.97733292</v>
      </c>
      <c r="B1395">
        <v>206667205.6254648</v>
      </c>
    </row>
    <row r="1396" spans="1:2" x14ac:dyDescent="0.25">
      <c r="A1396">
        <f ca="1">31241.3446825417*((RANDBETWEEN(1587,2416)))</f>
        <v>62701378.77786123</v>
      </c>
      <c r="B1396">
        <v>222316702.80273438</v>
      </c>
    </row>
    <row r="1397" spans="1:2" x14ac:dyDescent="0.25">
      <c r="A1397">
        <f ca="1">37054.5729024615*((RANDBETWEEN(1587,2416)))</f>
        <v>86818864.310467184</v>
      </c>
      <c r="B1397">
        <v>231493969.5567168</v>
      </c>
    </row>
    <row r="1398" spans="1:2" x14ac:dyDescent="0.25">
      <c r="A1398">
        <f ca="1">31498.9694051392*((RANDBETWEEN(1587,2416)))</f>
        <v>56005167.602337539</v>
      </c>
      <c r="B1398">
        <v>235727933.99457204</v>
      </c>
    </row>
    <row r="1399" spans="1:2" x14ac:dyDescent="0.25">
      <c r="A1399">
        <f ca="1">38315.6393457424*((RANDBETWEEN(1587,2416)))</f>
        <v>65328165.084490791</v>
      </c>
      <c r="B1399">
        <v>219968733.52547613</v>
      </c>
    </row>
    <row r="1400" spans="1:2" x14ac:dyDescent="0.25">
      <c r="A1400">
        <f ca="1">37080.5851546408*((RANDBETWEEN(1587,2416)))</f>
        <v>73345397.435879573</v>
      </c>
      <c r="B1400">
        <v>205393584.65166834</v>
      </c>
    </row>
    <row r="1401" spans="1:2" x14ac:dyDescent="0.25">
      <c r="A1401">
        <f ca="1">40049.9984874635*((RANDBETWEEN(1587,2416)))</f>
        <v>71889747.284996942</v>
      </c>
      <c r="B1401">
        <v>264441746.93202674</v>
      </c>
    </row>
    <row r="1402" spans="1:2" x14ac:dyDescent="0.25">
      <c r="A1402">
        <f ca="1">31666.6383539385*((RANDBETWEEN(1587,2416)))</f>
        <v>72706601.660642833</v>
      </c>
      <c r="B1402">
        <v>227801366.59936029</v>
      </c>
    </row>
    <row r="1403" spans="1:2" x14ac:dyDescent="0.25">
      <c r="A1403">
        <f ca="1">33977.6531834859*((RANDBETWEEN(1587,2416)))</f>
        <v>56742680.816421524</v>
      </c>
      <c r="B1403">
        <v>242318124.59983319</v>
      </c>
    </row>
    <row r="1404" spans="1:2" x14ac:dyDescent="0.25">
      <c r="A1404">
        <f ca="1">32480.0568461009*((RANDBETWEEN(1587,2416)))</f>
        <v>72560446.994189337</v>
      </c>
      <c r="B1404">
        <v>265868818.54110777</v>
      </c>
    </row>
    <row r="1405" spans="1:2" x14ac:dyDescent="0.25">
      <c r="A1405">
        <f ca="1">31277.8323980551*((RANDBETWEEN(1587,2416)))</f>
        <v>51170533.803218171</v>
      </c>
      <c r="B1405">
        <v>232156934.86495611</v>
      </c>
    </row>
    <row r="1406" spans="1:2" x14ac:dyDescent="0.25">
      <c r="A1406">
        <f ca="1">38327.1346148559*((RANDBETWEEN(1587,2416)))</f>
        <v>68030663.94136928</v>
      </c>
      <c r="B1406">
        <v>221476498.84196568</v>
      </c>
    </row>
    <row r="1407" spans="1:2" x14ac:dyDescent="0.25">
      <c r="A1407">
        <f ca="1">34049.7810018204*((RANDBETWEEN(1587,2416)))</f>
        <v>59825465.220198475</v>
      </c>
      <c r="B1407">
        <v>238500115.77370685</v>
      </c>
    </row>
    <row r="1408" spans="1:2" x14ac:dyDescent="0.25">
      <c r="A1408">
        <f ca="1">31541.3874130182*((RANDBETWEEN(1587,2416)))</f>
        <v>56742955.956019819</v>
      </c>
      <c r="B1408">
        <v>267032043.28495228</v>
      </c>
    </row>
    <row r="1409" spans="1:2" x14ac:dyDescent="0.25">
      <c r="A1409">
        <f ca="1">30838.8984835267*((RANDBETWEEN(1587,2416)))</f>
        <v>53474649.970435239</v>
      </c>
      <c r="B1409">
        <v>204209993.66270098</v>
      </c>
    </row>
    <row r="1410" spans="1:2" x14ac:dyDescent="0.25">
      <c r="A1410">
        <f ca="1">31963.551254803*((RANDBETWEEN(1587,2416)))</f>
        <v>72461370.694638297</v>
      </c>
      <c r="B1410">
        <v>231109733.08537513</v>
      </c>
    </row>
    <row r="1411" spans="1:2" x14ac:dyDescent="0.25">
      <c r="A1411">
        <f ca="1">31986.4091337469*((RANDBETWEEN(1587,2416)))</f>
        <v>70530032.139912009</v>
      </c>
      <c r="B1411">
        <v>249225737.96854877</v>
      </c>
    </row>
    <row r="1412" spans="1:2" x14ac:dyDescent="0.25">
      <c r="A1412">
        <f ca="1">32276.1549812547*((RANDBETWEEN(1587,2416)))</f>
        <v>56418718.907233238</v>
      </c>
      <c r="B1412">
        <v>222294801.70471561</v>
      </c>
    </row>
    <row r="1413" spans="1:2" x14ac:dyDescent="0.25">
      <c r="A1413">
        <f ca="1">36650.6946129763*((RANDBETWEEN(1587,2416)))</f>
        <v>66960819.05790776</v>
      </c>
      <c r="B1413">
        <v>234420399.76438224</v>
      </c>
    </row>
    <row r="1414" spans="1:2" x14ac:dyDescent="0.25">
      <c r="A1414">
        <f ca="1">39750.1501494496*((RANDBETWEEN(1587,2416)))</f>
        <v>69165261.260042265</v>
      </c>
      <c r="B1414">
        <v>213768532.76146421</v>
      </c>
    </row>
    <row r="1415" spans="1:2" x14ac:dyDescent="0.25">
      <c r="A1415">
        <f ca="1">33475.3863393905*((RANDBETWEEN(1587,2416)))</f>
        <v>71269097.516562283</v>
      </c>
      <c r="B1415">
        <v>259368746.81926554</v>
      </c>
    </row>
    <row r="1416" spans="1:2" x14ac:dyDescent="0.25">
      <c r="A1416">
        <f ca="1">28885.7953819226*((RANDBETWEEN(1587,2416)))</f>
        <v>57482732.81002593</v>
      </c>
      <c r="B1416">
        <v>216536535.77337557</v>
      </c>
    </row>
    <row r="1417" spans="1:2" x14ac:dyDescent="0.25">
      <c r="A1417">
        <f ca="1">33666.8818211414*((RANDBETWEEN(1587,2416)))</f>
        <v>80228179.379779994</v>
      </c>
      <c r="B1417">
        <v>226269355.49400428</v>
      </c>
    </row>
    <row r="1418" spans="1:2" x14ac:dyDescent="0.25">
      <c r="A1418">
        <f ca="1">40278.5868384547*((RANDBETWEEN(1587,2416)))</f>
        <v>95460250.807137668</v>
      </c>
      <c r="B1418">
        <v>251167023.5505138</v>
      </c>
    </row>
    <row r="1419" spans="1:2" x14ac:dyDescent="0.25">
      <c r="A1419">
        <f ca="1">40898.4259292422*((RANDBETWEEN(1587,2416)))</f>
        <v>69854511.487145722</v>
      </c>
      <c r="B1419">
        <v>206890688.84750193</v>
      </c>
    </row>
    <row r="1420" spans="1:2" x14ac:dyDescent="0.25">
      <c r="A1420">
        <f ca="1">28987.0877789174*((RANDBETWEEN(1587,2416)))</f>
        <v>55539260.184405647</v>
      </c>
      <c r="B1420">
        <v>225419579.2388863</v>
      </c>
    </row>
    <row r="1421" spans="1:2" x14ac:dyDescent="0.25">
      <c r="A1421">
        <f ca="1">32518.7394737674*((RANDBETWEEN(1587,2416)))</f>
        <v>67899128.021226391</v>
      </c>
      <c r="B1421">
        <v>255202738.39695883</v>
      </c>
    </row>
    <row r="1422" spans="1:2" x14ac:dyDescent="0.25">
      <c r="A1422">
        <f ca="1">31859.4228343623*((RANDBETWEEN(1587,2416)))</f>
        <v>55148660.926281087</v>
      </c>
      <c r="B1422">
        <v>263776222.87942123</v>
      </c>
    </row>
    <row r="1423" spans="1:2" x14ac:dyDescent="0.25">
      <c r="A1423">
        <f ca="1">36676.804028169*((RANDBETWEEN(1587,2416)))</f>
        <v>84503356.480901331</v>
      </c>
      <c r="B1423">
        <v>228283445.73931161</v>
      </c>
    </row>
    <row r="1424" spans="1:2" x14ac:dyDescent="0.25">
      <c r="A1424">
        <f ca="1">31793.2113160283*((RANDBETWEEN(1587,2416)))</f>
        <v>52045486.924338356</v>
      </c>
      <c r="B1424">
        <v>258092959.29817721</v>
      </c>
    </row>
    <row r="1425" spans="1:2" x14ac:dyDescent="0.25">
      <c r="A1425">
        <f ca="1">38431.5025223939*((RANDBETWEEN(1587,2416)))</f>
        <v>91236386.988163173</v>
      </c>
      <c r="B1425">
        <v>206088662.88516539</v>
      </c>
    </row>
    <row r="1426" spans="1:2" x14ac:dyDescent="0.25">
      <c r="A1426">
        <f ca="1">31096.4620661103*((RANDBETWEEN(1587,2416)))</f>
        <v>73512036.324284703</v>
      </c>
      <c r="B1426">
        <v>252555130.21176416</v>
      </c>
    </row>
    <row r="1427" spans="1:2" x14ac:dyDescent="0.25">
      <c r="A1427">
        <f ca="1">28755.3776904135*((RANDBETWEEN(1587,2416)))</f>
        <v>58057107.556944937</v>
      </c>
      <c r="B1427">
        <v>205418474.51286355</v>
      </c>
    </row>
    <row r="1428" spans="1:2" x14ac:dyDescent="0.25">
      <c r="A1428">
        <f ca="1">31405.8168724145*((RANDBETWEEN(1587,2416)))</f>
        <v>53358482.866232187</v>
      </c>
      <c r="B1428">
        <v>214127914.18610567</v>
      </c>
    </row>
    <row r="1429" spans="1:2" x14ac:dyDescent="0.25">
      <c r="A1429">
        <f ca="1">38768.6006390361*((RANDBETWEEN(1587,2416)))</f>
        <v>73233886.607139111</v>
      </c>
      <c r="B1429">
        <v>235934130.41225648</v>
      </c>
    </row>
    <row r="1430" spans="1:2" x14ac:dyDescent="0.25">
      <c r="A1430">
        <f ca="1">37897.8775630578*((RANDBETWEEN(1587,2416)))</f>
        <v>85459713.904695317</v>
      </c>
      <c r="B1430">
        <v>204416265.20600927</v>
      </c>
    </row>
    <row r="1431" spans="1:2" x14ac:dyDescent="0.25">
      <c r="A1431">
        <f ca="1">31011.3944359322*((RANDBETWEEN(1587,2416)))</f>
        <v>73869141.546390533</v>
      </c>
      <c r="B1431">
        <v>257134744.94451141</v>
      </c>
    </row>
    <row r="1432" spans="1:2" x14ac:dyDescent="0.25">
      <c r="A1432">
        <f ca="1">34776.7355421023*((RANDBETWEEN(1587,2416)))</f>
        <v>64928165.257104933</v>
      </c>
      <c r="B1432">
        <v>217207458.77662486</v>
      </c>
    </row>
    <row r="1433" spans="1:2" x14ac:dyDescent="0.25">
      <c r="A1433">
        <f ca="1">30822.0230789262*((RANDBETWEEN(1587,2416)))</f>
        <v>71876957.820055842</v>
      </c>
      <c r="B1433">
        <v>240381132.25364414</v>
      </c>
    </row>
    <row r="1434" spans="1:2" x14ac:dyDescent="0.25">
      <c r="A1434">
        <f ca="1">32667.196679666*((RANDBETWEEN(1587,2416)))</f>
        <v>52855524.227699652</v>
      </c>
      <c r="B1434">
        <v>235500230.75465202</v>
      </c>
    </row>
    <row r="1435" spans="1:2" x14ac:dyDescent="0.25">
      <c r="A1435">
        <f ca="1">30049.223430237*((RANDBETWEEN(1587,2416)))</f>
        <v>57754607.432915501</v>
      </c>
      <c r="B1435">
        <v>214053268.21187598</v>
      </c>
    </row>
    <row r="1436" spans="1:2" x14ac:dyDescent="0.25">
      <c r="A1436">
        <f ca="1">31482.1606506493*((RANDBETWEEN(1587,2416)))</f>
        <v>55156745.45993752</v>
      </c>
      <c r="B1436">
        <v>207723423.72889051</v>
      </c>
    </row>
    <row r="1437" spans="1:2" x14ac:dyDescent="0.25">
      <c r="A1437">
        <f ca="1">39285.7853131645*((RANDBETWEEN(1587,2416)))</f>
        <v>84660867.34986946</v>
      </c>
      <c r="B1437">
        <v>252236622.27335274</v>
      </c>
    </row>
    <row r="1438" spans="1:2" x14ac:dyDescent="0.25">
      <c r="A1438">
        <f ca="1">33491.6069996513*((RANDBETWEEN(1587,2416)))</f>
        <v>61624556.879358329</v>
      </c>
      <c r="B1438">
        <v>249329146.48761037</v>
      </c>
    </row>
    <row r="1439" spans="1:2" x14ac:dyDescent="0.25">
      <c r="A1439">
        <f ca="1">41795.9640001896*((RANDBETWEEN(1587,2416)))</f>
        <v>79077963.888358772</v>
      </c>
      <c r="B1439">
        <v>228491846.84039092</v>
      </c>
    </row>
    <row r="1440" spans="1:2" x14ac:dyDescent="0.25">
      <c r="A1440">
        <f ca="1">40155.7280266126*((RANDBETWEEN(1587,2416)))</f>
        <v>91996772.908969581</v>
      </c>
      <c r="B1440">
        <v>267883051.84882993</v>
      </c>
    </row>
    <row r="1441" spans="1:2" x14ac:dyDescent="0.25">
      <c r="A1441">
        <f ca="1">29691.2860357151*((RANDBETWEEN(1587,2416)))</f>
        <v>57215108.190822996</v>
      </c>
      <c r="B1441">
        <v>224859826.08901837</v>
      </c>
    </row>
    <row r="1442" spans="1:2" x14ac:dyDescent="0.25">
      <c r="A1442">
        <f ca="1">40276.1119843418*((RANDBETWEEN(1587,2416)))</f>
        <v>84056245.711321399</v>
      </c>
      <c r="B1442">
        <v>255498493.6635493</v>
      </c>
    </row>
    <row r="1443" spans="1:2" x14ac:dyDescent="0.25">
      <c r="A1443">
        <f ca="1">37908.4119161162*((RANDBETWEEN(1587,2416)))</f>
        <v>71078272.342717782</v>
      </c>
      <c r="B1443">
        <v>214336202.63333279</v>
      </c>
    </row>
    <row r="1444" spans="1:2" x14ac:dyDescent="0.25">
      <c r="A1444">
        <f ca="1">29972.2433181467*((RANDBETWEEN(1587,2416)))</f>
        <v>68036992.332193106</v>
      </c>
      <c r="B1444">
        <v>227198268.47046116</v>
      </c>
    </row>
    <row r="1445" spans="1:2" x14ac:dyDescent="0.25">
      <c r="A1445">
        <f ca="1">38653.239833966*((RANDBETWEEN(1587,2416)))</f>
        <v>70155630.298648328</v>
      </c>
      <c r="B1445">
        <v>246710538.84671342</v>
      </c>
    </row>
    <row r="1446" spans="1:2" x14ac:dyDescent="0.25">
      <c r="A1446">
        <f ca="1">32786.8774680397*((RANDBETWEEN(1587,2416)))</f>
        <v>57114740.549325101</v>
      </c>
      <c r="B1446">
        <v>219447042.18297684</v>
      </c>
    </row>
    <row r="1447" spans="1:2" x14ac:dyDescent="0.25">
      <c r="A1447">
        <f ca="1">31369.7385001868*((RANDBETWEEN(1587,2416)))</f>
        <v>57249772.76284083</v>
      </c>
      <c r="B1447">
        <v>250487607.18138668</v>
      </c>
    </row>
    <row r="1448" spans="1:2" x14ac:dyDescent="0.25">
      <c r="A1448">
        <f ca="1">37610.000954262*((RANDBETWEEN(1587,2416)))</f>
        <v>82365902.089833781</v>
      </c>
      <c r="B1448">
        <v>214779782.4306255</v>
      </c>
    </row>
    <row r="1449" spans="1:2" x14ac:dyDescent="0.25">
      <c r="A1449">
        <f ca="1">30321.779100119*((RANDBETWEEN(1587,2416)))</f>
        <v>68345290.091668218</v>
      </c>
      <c r="B1449">
        <v>232906581.39964864</v>
      </c>
    </row>
    <row r="1450" spans="1:2" x14ac:dyDescent="0.25">
      <c r="A1450">
        <f ca="1">33331.3008105013*((RANDBETWEEN(1587,2416)))</f>
        <v>79961790.644392535</v>
      </c>
      <c r="B1450">
        <v>244474979.85349846</v>
      </c>
    </row>
    <row r="1451" spans="1:2" x14ac:dyDescent="0.25">
      <c r="A1451">
        <f ca="1">32275.1977263249*((RANDBETWEEN(1587,2416)))</f>
        <v>64808597.034460358</v>
      </c>
      <c r="B1451">
        <v>216422645.33639863</v>
      </c>
    </row>
    <row r="1452" spans="1:2" x14ac:dyDescent="0.25">
      <c r="A1452">
        <f ca="1">39447.7010058642*((RANDBETWEEN(1587,2416)))</f>
        <v>93727737.589933231</v>
      </c>
      <c r="B1452">
        <v>225616988.80026618</v>
      </c>
    </row>
    <row r="1453" spans="1:2" x14ac:dyDescent="0.25">
      <c r="A1453">
        <f ca="1">32788.6272642547*((RANDBETWEEN(1587,2416)))</f>
        <v>69085637.645784721</v>
      </c>
      <c r="B1453">
        <v>226671191.40222967</v>
      </c>
    </row>
    <row r="1454" spans="1:2" x14ac:dyDescent="0.25">
      <c r="A1454">
        <f ca="1">33027.3032222955*((RANDBETWEEN(1587,2416)))</f>
        <v>68927981.824930802</v>
      </c>
      <c r="B1454">
        <v>255439410.05582571</v>
      </c>
    </row>
    <row r="1455" spans="1:2" x14ac:dyDescent="0.25">
      <c r="A1455">
        <f ca="1">28285.0434895311*((RANDBETWEEN(1587,2416)))</f>
        <v>53571872.369171903</v>
      </c>
      <c r="B1455">
        <v>251396284.01250291</v>
      </c>
    </row>
    <row r="1456" spans="1:2" x14ac:dyDescent="0.25">
      <c r="A1456">
        <f ca="1">37141.6459450602*((RANDBETWEEN(1587,2416)))</f>
        <v>59983758.201272383</v>
      </c>
      <c r="B1456">
        <v>234667751.64925337</v>
      </c>
    </row>
    <row r="1457" spans="1:2" x14ac:dyDescent="0.25">
      <c r="A1457">
        <f ca="1">34648.801965105*((RANDBETWEEN(1587,2416)))</f>
        <v>60773998.646794155</v>
      </c>
      <c r="B1457">
        <v>207018205.78839719</v>
      </c>
    </row>
    <row r="1458" spans="1:2" x14ac:dyDescent="0.25">
      <c r="A1458">
        <f ca="1">34599.5339426125*((RANDBETWEEN(1587,2416)))</f>
        <v>69406665.088880703</v>
      </c>
      <c r="B1458">
        <v>213559692.60917771</v>
      </c>
    </row>
    <row r="1459" spans="1:2" x14ac:dyDescent="0.25">
      <c r="A1459">
        <f ca="1">40706.9225276936*((RANDBETWEEN(1587,2416)))</f>
        <v>80721827.372416377</v>
      </c>
      <c r="B1459">
        <v>262880684.67089611</v>
      </c>
    </row>
    <row r="1460" spans="1:2" x14ac:dyDescent="0.25">
      <c r="A1460">
        <f ca="1">31750.8774339846*((RANDBETWEEN(1587,2416)))</f>
        <v>53849488.128037915</v>
      </c>
      <c r="B1460">
        <v>220366944.10237339</v>
      </c>
    </row>
    <row r="1461" spans="1:2" x14ac:dyDescent="0.25">
      <c r="A1461">
        <f ca="1">35217.1369024338*((RANDBETWEEN(1587,2416)))</f>
        <v>75822495.75093995</v>
      </c>
      <c r="B1461">
        <v>211905973.00652453</v>
      </c>
    </row>
    <row r="1462" spans="1:2" x14ac:dyDescent="0.25">
      <c r="A1462">
        <f ca="1">31034.0234288578*((RANDBETWEEN(1587,2416)))</f>
        <v>71781696.190948069</v>
      </c>
      <c r="B1462">
        <v>227931160.3831808</v>
      </c>
    </row>
    <row r="1463" spans="1:2" x14ac:dyDescent="0.25">
      <c r="A1463">
        <f ca="1">28921.888135693*((RANDBETWEEN(1587,2416)))</f>
        <v>51452038.993397884</v>
      </c>
      <c r="B1463">
        <v>245462584.2442517</v>
      </c>
    </row>
    <row r="1464" spans="1:2" x14ac:dyDescent="0.25">
      <c r="A1464">
        <f ca="1">37830.8894554259*((RANDBETWEEN(1587,2416)))</f>
        <v>87465016.420944721</v>
      </c>
      <c r="B1464">
        <v>255834715.43074679</v>
      </c>
    </row>
    <row r="1465" spans="1:2" x14ac:dyDescent="0.25">
      <c r="A1465">
        <f ca="1">31481.0515823145*((RANDBETWEEN(1587,2416)))</f>
        <v>55784423.403861232</v>
      </c>
      <c r="B1465">
        <v>253561186.49766719</v>
      </c>
    </row>
    <row r="1466" spans="1:2" x14ac:dyDescent="0.25">
      <c r="A1466">
        <f ca="1">32474.3734856709*((RANDBETWEEN(1587,2416)))</f>
        <v>65598234.441055156</v>
      </c>
      <c r="B1466">
        <v>224445711.85788476</v>
      </c>
    </row>
    <row r="1467" spans="1:2" x14ac:dyDescent="0.25">
      <c r="A1467">
        <f ca="1">41306.7977931775*((RANDBETWEEN(1587,2416)))</f>
        <v>88727001.659745201</v>
      </c>
      <c r="B1467">
        <v>205981330.49835378</v>
      </c>
    </row>
    <row r="1468" spans="1:2" x14ac:dyDescent="0.25">
      <c r="A1468">
        <f ca="1">32578.3763951402*((RANDBETWEEN(1587,2416)))</f>
        <v>76982703.421716347</v>
      </c>
      <c r="B1468">
        <v>217771457.83957344</v>
      </c>
    </row>
    <row r="1469" spans="1:2" x14ac:dyDescent="0.25">
      <c r="A1469">
        <f ca="1">30907.2921361619*((RANDBETWEEN(1587,2416)))</f>
        <v>67686969.778194577</v>
      </c>
      <c r="B1469">
        <v>216009691.51891428</v>
      </c>
    </row>
    <row r="1470" spans="1:2" x14ac:dyDescent="0.25">
      <c r="A1470">
        <f ca="1">37704.5258156363*((RANDBETWEEN(1587,2416)))</f>
        <v>66284556.383888662</v>
      </c>
      <c r="B1470">
        <v>213902215.91336372</v>
      </c>
    </row>
    <row r="1471" spans="1:2" x14ac:dyDescent="0.25">
      <c r="A1471">
        <f ca="1">30720.5563063189*((RANDBETWEEN(1587,2416)))</f>
        <v>54191061.324346617</v>
      </c>
      <c r="B1471">
        <v>250197544.1493746</v>
      </c>
    </row>
    <row r="1472" spans="1:2" x14ac:dyDescent="0.25">
      <c r="A1472">
        <f ca="1">37847.2536875755*((RANDBETWEEN(1587,2416)))</f>
        <v>89470907.717428371</v>
      </c>
      <c r="B1472">
        <v>209150611.86048502</v>
      </c>
    </row>
    <row r="1473" spans="1:2" x14ac:dyDescent="0.25">
      <c r="A1473">
        <f ca="1">32216.1650267708*((RANDBETWEEN(1587,2416)))</f>
        <v>59889850.78476692</v>
      </c>
      <c r="B1473">
        <v>224979372.39711785</v>
      </c>
    </row>
    <row r="1474" spans="1:2" x14ac:dyDescent="0.25">
      <c r="A1474">
        <f ca="1">31869.7973419276*((RANDBETWEEN(1587,2416)))</f>
        <v>51820290.477974236</v>
      </c>
      <c r="B1474">
        <v>221735098.11400577</v>
      </c>
    </row>
    <row r="1475" spans="1:2" x14ac:dyDescent="0.25">
      <c r="A1475">
        <f ca="1">32047.2906556738*((RANDBETWEEN(1587,2416)))</f>
        <v>51275665.04907804</v>
      </c>
      <c r="B1475">
        <v>266628607.7419613</v>
      </c>
    </row>
    <row r="1476" spans="1:2" x14ac:dyDescent="0.25">
      <c r="A1476">
        <f ca="1">32623.1487283405*((RANDBETWEEN(1587,2416)))</f>
        <v>68443366.032058373</v>
      </c>
      <c r="B1476">
        <v>224826919.65767995</v>
      </c>
    </row>
    <row r="1477" spans="1:2" x14ac:dyDescent="0.25">
      <c r="A1477">
        <f ca="1">34604.5864144224*((RANDBETWEEN(1587,2416)))</f>
        <v>71320052.600124553</v>
      </c>
      <c r="B1477">
        <v>213699323.44729349</v>
      </c>
    </row>
    <row r="1478" spans="1:2" x14ac:dyDescent="0.25">
      <c r="A1478">
        <f ca="1">33022.1379799642*((RANDBETWEEN(1587,2416)))</f>
        <v>62642995.747992009</v>
      </c>
      <c r="B1478">
        <v>236224680.0081273</v>
      </c>
    </row>
    <row r="1479" spans="1:2" x14ac:dyDescent="0.25">
      <c r="A1479">
        <f ca="1">38856.4442950363*((RANDBETWEEN(1587,2416)))</f>
        <v>87310430.33094649</v>
      </c>
      <c r="B1479">
        <v>232755044.00344661</v>
      </c>
    </row>
    <row r="1480" spans="1:2" x14ac:dyDescent="0.25">
      <c r="A1480">
        <f ca="1">37544.0527822421*((RANDBETWEEN(1587,2416)))</f>
        <v>86651673.821414813</v>
      </c>
      <c r="B1480">
        <v>217733984.64991322</v>
      </c>
    </row>
    <row r="1481" spans="1:2" x14ac:dyDescent="0.25">
      <c r="A1481">
        <f ca="1">31168.6921314582*((RANDBETWEEN(1587,2416)))</f>
        <v>53641319.158239633</v>
      </c>
      <c r="B1481">
        <v>229638052.81578994</v>
      </c>
    </row>
    <row r="1482" spans="1:2" x14ac:dyDescent="0.25">
      <c r="A1482">
        <f ca="1">37324.8906199341*((RANDBETWEEN(1587,2416)))</f>
        <v>66438305.303482674</v>
      </c>
      <c r="B1482">
        <v>246595970.0648908</v>
      </c>
    </row>
    <row r="1483" spans="1:2" x14ac:dyDescent="0.25">
      <c r="A1483">
        <f ca="1">37577.700135338*((RANDBETWEEN(1587,2416)))</f>
        <v>69330856.749698609</v>
      </c>
      <c r="B1483">
        <v>259327810.60249931</v>
      </c>
    </row>
    <row r="1484" spans="1:2" x14ac:dyDescent="0.25">
      <c r="A1484">
        <f ca="1">33070.854082772*((RANDBETWEEN(1587,2416)))</f>
        <v>79303908.090487182</v>
      </c>
      <c r="B1484">
        <v>260274807.70116842</v>
      </c>
    </row>
    <row r="1485" spans="1:2" x14ac:dyDescent="0.25">
      <c r="A1485">
        <f ca="1">35749.0163457555*((RANDBETWEEN(1587,2416)))</f>
        <v>75251679.407815412</v>
      </c>
      <c r="B1485">
        <v>265772443.44260836</v>
      </c>
    </row>
    <row r="1486" spans="1:2" x14ac:dyDescent="0.25">
      <c r="A1486">
        <f ca="1">31239.5884606922*((RANDBETWEEN(1587,2416)))</f>
        <v>69695521.85580422</v>
      </c>
      <c r="B1486">
        <v>214667800.39302269</v>
      </c>
    </row>
    <row r="1487" spans="1:2" x14ac:dyDescent="0.25">
      <c r="A1487">
        <f ca="1">31169.2072886069*((RANDBETWEEN(1587,2416)))</f>
        <v>63335829.210449301</v>
      </c>
      <c r="B1487">
        <v>241605917.67928481</v>
      </c>
    </row>
    <row r="1488" spans="1:2" x14ac:dyDescent="0.25">
      <c r="A1488">
        <f ca="1">35668.8321019289*((RANDBETWEEN(1587,2416)))</f>
        <v>62099436.689458191</v>
      </c>
      <c r="B1488">
        <v>259637319.91845745</v>
      </c>
    </row>
    <row r="1489" spans="1:2" x14ac:dyDescent="0.25">
      <c r="A1489">
        <f ca="1">35301.8810669855*((RANDBETWEEN(1587,2416)))</f>
        <v>68097328.578215048</v>
      </c>
      <c r="B1489">
        <v>252233712.48052219</v>
      </c>
    </row>
    <row r="1490" spans="1:2" x14ac:dyDescent="0.25">
      <c r="A1490">
        <f ca="1">40443.8600918938*((RANDBETWEEN(1587,2416)))</f>
        <v>79512628.940663174</v>
      </c>
      <c r="B1490">
        <v>236842102.88356468</v>
      </c>
    </row>
    <row r="1491" spans="1:2" x14ac:dyDescent="0.25">
      <c r="A1491">
        <f ca="1">33095.1581632584*((RANDBETWEEN(1587,2416)))</f>
        <v>62582944.086721711</v>
      </c>
      <c r="B1491">
        <v>246921412.00347257</v>
      </c>
    </row>
    <row r="1492" spans="1:2" x14ac:dyDescent="0.25">
      <c r="A1492">
        <f ca="1">32650.1460126429*((RANDBETWEEN(1587,2416)))</f>
        <v>76695192.983698174</v>
      </c>
      <c r="B1492">
        <v>219625249.53069508</v>
      </c>
    </row>
    <row r="1493" spans="1:2" x14ac:dyDescent="0.25">
      <c r="A1493">
        <f ca="1">28892.5110455229*((RANDBETWEEN(1587,2416)))</f>
        <v>61887758.659510016</v>
      </c>
      <c r="B1493">
        <v>217251827.94670489</v>
      </c>
    </row>
    <row r="1494" spans="1:2" x14ac:dyDescent="0.25">
      <c r="A1494">
        <f ca="1">30496.0862356145*((RANDBETWEEN(1587,2416)))</f>
        <v>64133269.353497356</v>
      </c>
      <c r="B1494">
        <v>204842151.4745124</v>
      </c>
    </row>
    <row r="1495" spans="1:2" x14ac:dyDescent="0.25">
      <c r="A1495">
        <f ca="1">31929.805574938*((RANDBETWEEN(1587,2416)))</f>
        <v>63029436.204927556</v>
      </c>
      <c r="B1495">
        <v>264356888.16213426</v>
      </c>
    </row>
    <row r="1496" spans="1:2" x14ac:dyDescent="0.25">
      <c r="A1496">
        <f ca="1">27966.6217897196*((RANDBETWEEN(1587,2416)))</f>
        <v>52940815.047939211</v>
      </c>
      <c r="B1496">
        <v>254217543.97127217</v>
      </c>
    </row>
    <row r="1497" spans="1:2" x14ac:dyDescent="0.25">
      <c r="A1497">
        <f ca="1">38182.4827389923*((RANDBETWEEN(1587,2416)))</f>
        <v>79381381.614365071</v>
      </c>
      <c r="B1497">
        <v>238397637.7552931</v>
      </c>
    </row>
    <row r="1498" spans="1:2" x14ac:dyDescent="0.25">
      <c r="A1498">
        <f ca="1">31638.608521532*((RANDBETWEEN(1587,2416)))</f>
        <v>69889686.224064127</v>
      </c>
      <c r="B1498">
        <v>212869189.26901352</v>
      </c>
    </row>
    <row r="1499" spans="1:2" x14ac:dyDescent="0.25">
      <c r="A1499">
        <f ca="1">39130.1446907799*((RANDBETWEEN(1587,2416)))</f>
        <v>93873217.11318095</v>
      </c>
      <c r="B1499">
        <v>248850928.93556774</v>
      </c>
    </row>
    <row r="1500" spans="1:2" x14ac:dyDescent="0.25">
      <c r="A1500">
        <f ca="1">40097.1604463246*((RANDBETWEEN(1587,2416)))</f>
        <v>91381428.657173783</v>
      </c>
      <c r="B1500">
        <v>205675762.13479334</v>
      </c>
    </row>
    <row r="1501" spans="1:2" x14ac:dyDescent="0.25">
      <c r="A1501">
        <f ca="1">33356.6888336214*((RANDBETWEEN(1587,2416)))</f>
        <v>72984435.167963579</v>
      </c>
      <c r="B1501">
        <v>209868178.00422239</v>
      </c>
    </row>
    <row r="1502" spans="1:2" x14ac:dyDescent="0.25">
      <c r="A1502">
        <f ca="1">30170.2616549482*((RANDBETWEEN(1587,2416)))</f>
        <v>70145858.347754613</v>
      </c>
      <c r="B1502">
        <v>220097074.0858492</v>
      </c>
    </row>
    <row r="1503" spans="1:2" x14ac:dyDescent="0.25">
      <c r="A1503">
        <f ca="1">39286.556880301*((RANDBETWEEN(1587,2416)))</f>
        <v>83562506.484400153</v>
      </c>
      <c r="B1503">
        <v>250929341.95321268</v>
      </c>
    </row>
    <row r="1504" spans="1:2" x14ac:dyDescent="0.25">
      <c r="A1504">
        <f ca="1">31284.150578022*((RANDBETWEEN(1587,2416)))</f>
        <v>70201633.89708136</v>
      </c>
      <c r="B1504">
        <v>237786831.30292046</v>
      </c>
    </row>
    <row r="1505" spans="1:2" x14ac:dyDescent="0.25">
      <c r="A1505">
        <f ca="1">30539.0857920875*((RANDBETWEEN(1587,2416)))</f>
        <v>61902726.900561407</v>
      </c>
      <c r="B1505">
        <v>249667475.165452</v>
      </c>
    </row>
    <row r="1506" spans="1:2" x14ac:dyDescent="0.25">
      <c r="A1506">
        <f ca="1">33883.3111195013*((RANDBETWEEN(1587,2416)))</f>
        <v>72950768.840286344</v>
      </c>
      <c r="B1506">
        <v>264712378.98904034</v>
      </c>
    </row>
    <row r="1507" spans="1:2" x14ac:dyDescent="0.25">
      <c r="A1507">
        <f ca="1">31642.3625195615*((RANDBETWEEN(1587,2416)))</f>
        <v>72397725.444756657</v>
      </c>
      <c r="B1507">
        <v>238959314.6903137</v>
      </c>
    </row>
    <row r="1508" spans="1:2" x14ac:dyDescent="0.25">
      <c r="A1508">
        <f ca="1">39005.7390493431*((RANDBETWEEN(1587,2416)))</f>
        <v>79610713.399709314</v>
      </c>
      <c r="B1508">
        <v>266564010.5827699</v>
      </c>
    </row>
    <row r="1509" spans="1:2" x14ac:dyDescent="0.25">
      <c r="A1509">
        <f ca="1">34303.5430098476*((RANDBETWEEN(1587,2416)))</f>
        <v>61094610.100538574</v>
      </c>
      <c r="B1509">
        <v>221353576.32432607</v>
      </c>
    </row>
    <row r="1510" spans="1:2" x14ac:dyDescent="0.25">
      <c r="A1510">
        <f ca="1">36678.3524114778*((RANDBETWEEN(1587,2416)))</f>
        <v>62830017.680861458</v>
      </c>
      <c r="B1510">
        <v>253573853.40034586</v>
      </c>
    </row>
    <row r="1511" spans="1:2" x14ac:dyDescent="0.25">
      <c r="A1511">
        <f ca="1">28418.3821266369*((RANDBETWEEN(1587,2416)))</f>
        <v>59735439.230190717</v>
      </c>
      <c r="B1511">
        <v>254747797.4030661</v>
      </c>
    </row>
    <row r="1512" spans="1:2" x14ac:dyDescent="0.25">
      <c r="A1512">
        <f ca="1">36006.1395549579*((RANDBETWEEN(1587,2416)))</f>
        <v>59374124.126125537</v>
      </c>
      <c r="B1512">
        <v>231871206.91762328</v>
      </c>
    </row>
    <row r="1513" spans="1:2" x14ac:dyDescent="0.25">
      <c r="A1513">
        <f ca="1">39412.6792837465*((RANDBETWEEN(1587,2416)))</f>
        <v>75987645.659063205</v>
      </c>
      <c r="B1513">
        <v>263895910.2513735</v>
      </c>
    </row>
    <row r="1514" spans="1:2" x14ac:dyDescent="0.25">
      <c r="A1514">
        <f ca="1">39860.476880434*((RANDBETWEEN(1587,2416)))</f>
        <v>75854487.503465995</v>
      </c>
      <c r="B1514">
        <v>219345198.93365046</v>
      </c>
    </row>
    <row r="1515" spans="1:2" x14ac:dyDescent="0.25">
      <c r="A1515">
        <f ca="1">29057.5334751664*((RANDBETWEEN(1587,2416)))</f>
        <v>53843609.529483415</v>
      </c>
      <c r="B1515">
        <v>234074626.82400608</v>
      </c>
    </row>
    <row r="1516" spans="1:2" x14ac:dyDescent="0.25">
      <c r="A1516">
        <f ca="1">29439.8719610048*((RANDBETWEEN(1587,2416)))</f>
        <v>54404883.383936837</v>
      </c>
      <c r="B1516">
        <v>229543511.45656589</v>
      </c>
    </row>
    <row r="1517" spans="1:2" x14ac:dyDescent="0.25">
      <c r="A1517">
        <f ca="1">40794.6321146227*((RANDBETWEEN(1587,2416)))</f>
        <v>75837221.101083592</v>
      </c>
      <c r="B1517">
        <v>205367870.32091093</v>
      </c>
    </row>
    <row r="1518" spans="1:2" x14ac:dyDescent="0.25">
      <c r="A1518">
        <f ca="1">31571.8960696812*((RANDBETWEEN(1587,2416)))</f>
        <v>71163053.741061524</v>
      </c>
      <c r="B1518">
        <v>243394814.53037691</v>
      </c>
    </row>
    <row r="1519" spans="1:2" x14ac:dyDescent="0.25">
      <c r="A1519">
        <f ca="1">33946.8190534158*((RANDBETWEEN(1587,2416)))</f>
        <v>65415520.315932177</v>
      </c>
      <c r="B1519">
        <v>227300902.32979459</v>
      </c>
    </row>
    <row r="1520" spans="1:2" x14ac:dyDescent="0.25">
      <c r="A1520">
        <f ca="1">35958.3194930191*((RANDBETWEEN(1587,2416)))</f>
        <v>84502050.808594853</v>
      </c>
      <c r="B1520">
        <v>255770437.32614601</v>
      </c>
    </row>
    <row r="1521" spans="1:2" x14ac:dyDescent="0.25">
      <c r="A1521">
        <f ca="1">32926.427872407*((RANDBETWEEN(1587,2416)))</f>
        <v>77640516.923135743</v>
      </c>
      <c r="B1521">
        <v>229171869.36351877</v>
      </c>
    </row>
    <row r="1522" spans="1:2" x14ac:dyDescent="0.25">
      <c r="A1522">
        <f ca="1">40802.8987220818*((RANDBETWEEN(1587,2416)))</f>
        <v>66835148.106770024</v>
      </c>
      <c r="B1522">
        <v>257999661.22329295</v>
      </c>
    </row>
    <row r="1523" spans="1:2" x14ac:dyDescent="0.25">
      <c r="A1523">
        <f ca="1">31720.2434191265*((RANDBETWEEN(1587,2416)))</f>
        <v>52116359.937624887</v>
      </c>
      <c r="B1523">
        <v>246039610.95882502</v>
      </c>
    </row>
    <row r="1524" spans="1:2" x14ac:dyDescent="0.25">
      <c r="A1524">
        <f ca="1">31767.2075870709*((RANDBETWEEN(1587,2416)))</f>
        <v>53623046.406975701</v>
      </c>
      <c r="B1524">
        <v>238871384.7547501</v>
      </c>
    </row>
    <row r="1525" spans="1:2" x14ac:dyDescent="0.25">
      <c r="A1525">
        <f ca="1">40504.859100307*((RANDBETWEEN(1587,2416)))</f>
        <v>67602609.83841233</v>
      </c>
      <c r="B1525">
        <v>239983128.82954326</v>
      </c>
    </row>
    <row r="1526" spans="1:2" x14ac:dyDescent="0.25">
      <c r="A1526">
        <f ca="1">35076.068543523*((RANDBETWEEN(1587,2416)))</f>
        <v>76115068.739444867</v>
      </c>
      <c r="B1526">
        <v>257170909.03638175</v>
      </c>
    </row>
    <row r="1527" spans="1:2" x14ac:dyDescent="0.25">
      <c r="A1527">
        <f ca="1">30246.9069478846*((RANDBETWEEN(1587,2416)))</f>
        <v>62127146.870954908</v>
      </c>
      <c r="B1527">
        <v>244216304.65687037</v>
      </c>
    </row>
    <row r="1528" spans="1:2" x14ac:dyDescent="0.25">
      <c r="A1528">
        <f ca="1">30842.5101010713*((RANDBETWEEN(1587,2416)))</f>
        <v>58384871.621327914</v>
      </c>
      <c r="B1528">
        <v>235670406.92492348</v>
      </c>
    </row>
    <row r="1529" spans="1:2" x14ac:dyDescent="0.25">
      <c r="A1529">
        <f ca="1">29554.0423257236*((RANDBETWEEN(1587,2416)))</f>
        <v>59846935.709590212</v>
      </c>
      <c r="B1529">
        <v>209505671.1294966</v>
      </c>
    </row>
    <row r="1530" spans="1:2" x14ac:dyDescent="0.25">
      <c r="A1530">
        <f ca="1">39438.8890756964*((RANDBETWEEN(1587,2416)))</f>
        <v>85897900.40686667</v>
      </c>
      <c r="B1530">
        <v>221571995.39042184</v>
      </c>
    </row>
    <row r="1531" spans="1:2" x14ac:dyDescent="0.25">
      <c r="A1531">
        <f ca="1">33150.8653767738*((RANDBETWEEN(1587,2416)))</f>
        <v>78335494.885316402</v>
      </c>
      <c r="B1531">
        <v>220319356.249286</v>
      </c>
    </row>
    <row r="1532" spans="1:2" x14ac:dyDescent="0.25">
      <c r="A1532">
        <f ca="1">31786.7129745736*((RANDBETWEEN(1587,2416)))</f>
        <v>56357842.103919037</v>
      </c>
      <c r="B1532">
        <v>230105703.95486826</v>
      </c>
    </row>
    <row r="1533" spans="1:2" x14ac:dyDescent="0.25">
      <c r="A1533">
        <f ca="1">34681.8781934526*((RANDBETWEEN(1587,2416)))</f>
        <v>75120948.167018265</v>
      </c>
      <c r="B1533">
        <v>261805332.41276979</v>
      </c>
    </row>
    <row r="1534" spans="1:2" x14ac:dyDescent="0.25">
      <c r="A1534">
        <f ca="1">38796.6290091642*((RANDBETWEEN(1587,2416)))</f>
        <v>70260695.135596439</v>
      </c>
      <c r="B1534">
        <v>262511833.99206156</v>
      </c>
    </row>
    <row r="1535" spans="1:2" x14ac:dyDescent="0.25">
      <c r="A1535">
        <f ca="1">32611.9737624707*((RANDBETWEEN(1587,2416)))</f>
        <v>58505880.929872438</v>
      </c>
      <c r="B1535">
        <v>219145620.50603211</v>
      </c>
    </row>
    <row r="1536" spans="1:2" x14ac:dyDescent="0.25">
      <c r="A1536">
        <f ca="1">29976.9768926831*((RANDBETWEEN(1587,2416)))</f>
        <v>53508903.753439493</v>
      </c>
      <c r="B1536">
        <v>264914251.69196603</v>
      </c>
    </row>
    <row r="1537" spans="1:2" x14ac:dyDescent="0.25">
      <c r="A1537">
        <f ca="1">40345.3436382439*((RANDBETWEEN(1587,2416)))</f>
        <v>70644696.71056512</v>
      </c>
      <c r="B1537">
        <v>225757205.55767211</v>
      </c>
    </row>
    <row r="1538" spans="1:2" x14ac:dyDescent="0.25">
      <c r="A1538">
        <f ca="1">36222.0245791012*((RANDBETWEEN(1587,2416)))</f>
        <v>67191855.594232664</v>
      </c>
      <c r="B1538">
        <v>263968902.16619521</v>
      </c>
    </row>
    <row r="1539" spans="1:2" x14ac:dyDescent="0.25">
      <c r="A1539">
        <f ca="1">32315.4064966132*((RANDBETWEEN(1587,2416)))</f>
        <v>78041706.689320892</v>
      </c>
      <c r="B1539">
        <v>254613923.16413301</v>
      </c>
    </row>
    <row r="1540" spans="1:2" x14ac:dyDescent="0.25">
      <c r="A1540">
        <f ca="1">32980.2525988706*((RANDBETWEEN(1587,2416)))</f>
        <v>67213754.796498269</v>
      </c>
      <c r="B1540">
        <v>224696604.82270357</v>
      </c>
    </row>
    <row r="1541" spans="1:2" x14ac:dyDescent="0.25">
      <c r="A1541">
        <f ca="1">34101.0406699491*((RANDBETWEEN(1587,2416)))</f>
        <v>59915528.457100533</v>
      </c>
      <c r="B1541">
        <v>230099542.02846462</v>
      </c>
    </row>
    <row r="1542" spans="1:2" x14ac:dyDescent="0.25">
      <c r="A1542">
        <f ca="1">31190.0255334942*((RANDBETWEEN(1587,2416)))</f>
        <v>52648763.100538209</v>
      </c>
      <c r="B1542">
        <v>208370670.97012362</v>
      </c>
    </row>
    <row r="1543" spans="1:2" x14ac:dyDescent="0.25">
      <c r="A1543">
        <f ca="1">36497.9847634883*((RANDBETWEEN(1587,2416)))</f>
        <v>64564935.046610788</v>
      </c>
      <c r="B1543">
        <v>237922887.92667285</v>
      </c>
    </row>
    <row r="1544" spans="1:2" x14ac:dyDescent="0.25">
      <c r="A1544">
        <f ca="1">39096.609152996*((RANDBETWEEN(1587,2416)))</f>
        <v>75769228.538506329</v>
      </c>
      <c r="B1544">
        <v>212615028.32146382</v>
      </c>
    </row>
    <row r="1545" spans="1:2" x14ac:dyDescent="0.25">
      <c r="A1545">
        <f ca="1">32487.8532979131*((RANDBETWEEN(1587,2416)))</f>
        <v>75664210.330839515</v>
      </c>
      <c r="B1545">
        <v>235897639.22105953</v>
      </c>
    </row>
    <row r="1546" spans="1:2" x14ac:dyDescent="0.25">
      <c r="A1546">
        <f ca="1">36603.4763533151*((RANDBETWEEN(1587,2416)))</f>
        <v>70754519.790958151</v>
      </c>
      <c r="B1546">
        <v>223155041.17794678</v>
      </c>
    </row>
    <row r="1547" spans="1:2" x14ac:dyDescent="0.25">
      <c r="A1547">
        <f ca="1">39430.0670133337*((RANDBETWEEN(1587,2416)))</f>
        <v>76139459.402747348</v>
      </c>
      <c r="B1547">
        <v>251445328.49907798</v>
      </c>
    </row>
    <row r="1548" spans="1:2" x14ac:dyDescent="0.25">
      <c r="A1548">
        <f ca="1">31120.7802158564*((RANDBETWEEN(1587,2416)))</f>
        <v>53029809.487819225</v>
      </c>
      <c r="B1548">
        <v>245348319.53220615</v>
      </c>
    </row>
    <row r="1549" spans="1:2" x14ac:dyDescent="0.25">
      <c r="A1549">
        <f ca="1">41607.1882007067*((RANDBETWEEN(1587,2416)))</f>
        <v>77597405.994317964</v>
      </c>
      <c r="B1549">
        <v>265142243.5231936</v>
      </c>
    </row>
    <row r="1550" spans="1:2" x14ac:dyDescent="0.25">
      <c r="A1550">
        <f ca="1">34242.725501531*((RANDBETWEEN(1587,2416)))</f>
        <v>78929482.28102906</v>
      </c>
      <c r="B1550">
        <v>221126453.30216205</v>
      </c>
    </row>
    <row r="1551" spans="1:2" x14ac:dyDescent="0.25">
      <c r="A1551">
        <f ca="1">33676.8366603989*((RANDBETWEEN(1587,2416)))</f>
        <v>57284299.159338601</v>
      </c>
      <c r="B1551">
        <v>265843450.77229097</v>
      </c>
    </row>
    <row r="1552" spans="1:2" x14ac:dyDescent="0.25">
      <c r="A1552">
        <f ca="1">33397.6817710063*((RANDBETWEEN(1587,2416)))</f>
        <v>74243046.576947004</v>
      </c>
      <c r="B1552">
        <v>227526202.49942398</v>
      </c>
    </row>
    <row r="1553" spans="1:2" x14ac:dyDescent="0.25">
      <c r="A1553">
        <f ca="1">37159.4389868495*((RANDBETWEEN(1587,2416)))</f>
        <v>76251168.801015183</v>
      </c>
      <c r="B1553">
        <v>266892712.47664773</v>
      </c>
    </row>
    <row r="1554" spans="1:2" x14ac:dyDescent="0.25">
      <c r="A1554">
        <f ca="1">40857.2602739084*((RANDBETWEEN(1587,2416)))</f>
        <v>83348810.958773196</v>
      </c>
      <c r="B1554">
        <v>233836151.91121033</v>
      </c>
    </row>
    <row r="1555" spans="1:2" x14ac:dyDescent="0.25">
      <c r="A1555">
        <f ca="1">31303.5001155558*((RANDBETWEEN(1587,2416)))</f>
        <v>53842020.19875592</v>
      </c>
      <c r="B1555">
        <v>232687856.45112813</v>
      </c>
    </row>
    <row r="1556" spans="1:2" x14ac:dyDescent="0.25">
      <c r="A1556">
        <f ca="1">35150.3854130763*((RANDBETWEEN(1587,2416)))</f>
        <v>74518817.075721785</v>
      </c>
      <c r="B1556">
        <v>263024194.06526932</v>
      </c>
    </row>
    <row r="1557" spans="1:2" x14ac:dyDescent="0.25">
      <c r="A1557">
        <f ca="1">37768.8026168901*((RANDBETWEEN(1587,2416)))</f>
        <v>74971073.194526806</v>
      </c>
      <c r="B1557">
        <v>231850838.73417777</v>
      </c>
    </row>
    <row r="1558" spans="1:2" x14ac:dyDescent="0.25">
      <c r="A1558">
        <f ca="1">33294.2971183303*((RANDBETWEEN(1587,2416)))</f>
        <v>61927392.640094332</v>
      </c>
      <c r="B1558">
        <v>232964477.18899786</v>
      </c>
    </row>
    <row r="1559" spans="1:2" x14ac:dyDescent="0.25">
      <c r="A1559">
        <f ca="1">33310.9124804762*((RANDBETWEEN(1587,2416)))</f>
        <v>55662534.754875697</v>
      </c>
      <c r="B1559">
        <v>244799537.51068971</v>
      </c>
    </row>
    <row r="1560" spans="1:2" x14ac:dyDescent="0.25">
      <c r="A1560">
        <f ca="1">31574.0453969734*((RANDBETWEEN(1587,2416)))</f>
        <v>53896895.492633626</v>
      </c>
      <c r="B1560">
        <v>223497535.05066454</v>
      </c>
    </row>
    <row r="1561" spans="1:2" x14ac:dyDescent="0.25">
      <c r="A1561">
        <f ca="1">38665.2950890416*((RANDBETWEEN(1587,2416)))</f>
        <v>79805169.063781947</v>
      </c>
      <c r="B1561">
        <v>267261885.47686997</v>
      </c>
    </row>
    <row r="1562" spans="1:2" x14ac:dyDescent="0.25">
      <c r="A1562">
        <f ca="1">37286.3614758778*((RANDBETWEEN(1587,2416)))</f>
        <v>83707881.513345644</v>
      </c>
      <c r="B1562">
        <v>266008951.14868203</v>
      </c>
    </row>
    <row r="1563" spans="1:2" x14ac:dyDescent="0.25">
      <c r="A1563">
        <f ca="1">39578.6949734129*((RANDBETWEEN(1587,2416)))</f>
        <v>66492207.555333726</v>
      </c>
      <c r="B1563">
        <v>232075781.29150555</v>
      </c>
    </row>
    <row r="1564" spans="1:2" x14ac:dyDescent="0.25">
      <c r="A1564">
        <f ca="1">40807.2869211181*((RANDBETWEEN(1587,2416)))</f>
        <v>89204729.209564224</v>
      </c>
      <c r="B1564">
        <v>260934587.64165306</v>
      </c>
    </row>
    <row r="1565" spans="1:2" x14ac:dyDescent="0.25">
      <c r="A1565">
        <f ca="1">40115.123139881*((RANDBETWEEN(1587,2416)))</f>
        <v>77863454.014509097</v>
      </c>
      <c r="B1565">
        <v>253729956.43182734</v>
      </c>
    </row>
    <row r="1566" spans="1:2" x14ac:dyDescent="0.25">
      <c r="A1566">
        <f ca="1">30791.28456268*((RANDBETWEEN(1587,2416)))</f>
        <v>61520986.556234635</v>
      </c>
      <c r="B1566">
        <v>244259381.82867798</v>
      </c>
    </row>
    <row r="1567" spans="1:2" x14ac:dyDescent="0.25">
      <c r="A1567">
        <f ca="1">39045.8388772585*((RANDBETWEEN(1587,2416)))</f>
        <v>69931097.429169968</v>
      </c>
      <c r="B1567">
        <v>220763506.84245837</v>
      </c>
    </row>
    <row r="1568" spans="1:2" x14ac:dyDescent="0.25">
      <c r="A1568">
        <f ca="1">37137.7590637971*((RANDBETWEEN(1587,2416)))</f>
        <v>62948501.613136113</v>
      </c>
      <c r="B1568">
        <v>218090476.91083783</v>
      </c>
    </row>
    <row r="1569" spans="1:2" x14ac:dyDescent="0.25">
      <c r="A1569">
        <f ca="1">33737.1767404009*((RANDBETWEEN(1587,2416)))</f>
        <v>57049565.868017875</v>
      </c>
      <c r="B1569">
        <v>267719511.04335725</v>
      </c>
    </row>
    <row r="1570" spans="1:2" x14ac:dyDescent="0.25">
      <c r="A1570">
        <f ca="1">36549.4996306267*((RANDBETWEEN(1587,2416)))</f>
        <v>85160334.139360189</v>
      </c>
      <c r="B1570">
        <v>239410352.58689404</v>
      </c>
    </row>
    <row r="1571" spans="1:2" x14ac:dyDescent="0.25">
      <c r="A1571">
        <f ca="1">34609.2654663259*((RANDBETWEEN(1587,2416)))</f>
        <v>78597641.874026</v>
      </c>
      <c r="B1571">
        <v>224365173.49318776</v>
      </c>
    </row>
    <row r="1572" spans="1:2" x14ac:dyDescent="0.25">
      <c r="A1572">
        <f ca="1">29518.467081713*((RANDBETWEEN(1587,2416)))</f>
        <v>64291221.30397097</v>
      </c>
      <c r="B1572">
        <v>214457299.08463189</v>
      </c>
    </row>
    <row r="1573" spans="1:2" x14ac:dyDescent="0.25">
      <c r="A1573">
        <f ca="1">36744.227697274*((RANDBETWEEN(1587,2416)))</f>
        <v>59562393.097281121</v>
      </c>
      <c r="B1573">
        <v>215758215.51113528</v>
      </c>
    </row>
    <row r="1574" spans="1:2" x14ac:dyDescent="0.25">
      <c r="A1574">
        <f ca="1">30439.5391407256*((RANDBETWEEN(1587,2416)))</f>
        <v>59204903.628711358</v>
      </c>
      <c r="B1574">
        <v>247465819.65927863</v>
      </c>
    </row>
    <row r="1575" spans="1:2" x14ac:dyDescent="0.25">
      <c r="A1575">
        <f ca="1">33233.4463931275*((RANDBETWEEN(1587,2416)))</f>
        <v>65503122.840854377</v>
      </c>
      <c r="B1575">
        <v>215018675.67210823</v>
      </c>
    </row>
    <row r="1576" spans="1:2" x14ac:dyDescent="0.25">
      <c r="A1576">
        <f ca="1">29729.3927673825*((RANDBETWEEN(1587,2416)))</f>
        <v>52175084.306756213</v>
      </c>
      <c r="B1576">
        <v>257542756.56370944</v>
      </c>
    </row>
    <row r="1577" spans="1:2" x14ac:dyDescent="0.25">
      <c r="A1577">
        <f ca="1">28622.4476259301*((RANDBETWEEN(1587,2416)))</f>
        <v>67234129.473309875</v>
      </c>
      <c r="B1577">
        <v>253242720.8526324</v>
      </c>
    </row>
    <row r="1578" spans="1:2" x14ac:dyDescent="0.25">
      <c r="A1578">
        <f ca="1">36660.4926531842*((RANDBETWEEN(1587,2416)))</f>
        <v>64339164.606338196</v>
      </c>
      <c r="B1578">
        <v>261084856.42781094</v>
      </c>
    </row>
    <row r="1579" spans="1:2" x14ac:dyDescent="0.25">
      <c r="A1579">
        <f ca="1">29730.6754359193*((RANDBETWEEN(1587,2416)))</f>
        <v>68350822.827178508</v>
      </c>
      <c r="B1579">
        <v>239692996.95282871</v>
      </c>
    </row>
    <row r="1580" spans="1:2" x14ac:dyDescent="0.25">
      <c r="A1580">
        <f ca="1">39184.3788488343*((RANDBETWEEN(1587,2416)))</f>
        <v>92906162.250586227</v>
      </c>
      <c r="B1580">
        <v>257171855.6982913</v>
      </c>
    </row>
    <row r="1581" spans="1:2" x14ac:dyDescent="0.25">
      <c r="A1581">
        <f ca="1">38849.0774737802*((RANDBETWEEN(1587,2416)))</f>
        <v>68490923.586274415</v>
      </c>
      <c r="B1581">
        <v>216060078.70468536</v>
      </c>
    </row>
    <row r="1582" spans="1:2" x14ac:dyDescent="0.25">
      <c r="A1582">
        <f ca="1">34088.6723392116*((RANDBETWEEN(1587,2416)))</f>
        <v>71177147.844273895</v>
      </c>
      <c r="B1582">
        <v>223239855.02266026</v>
      </c>
    </row>
    <row r="1583" spans="1:2" x14ac:dyDescent="0.25">
      <c r="A1583">
        <f ca="1">33080.6529348257*((RANDBETWEEN(1587,2416)))</f>
        <v>59776739.853230126</v>
      </c>
      <c r="B1583">
        <v>265759472.19705695</v>
      </c>
    </row>
    <row r="1584" spans="1:2" x14ac:dyDescent="0.25">
      <c r="A1584">
        <f ca="1">37024.8391164431*((RANDBETWEEN(1587,2416)))</f>
        <v>81417621.217058316</v>
      </c>
      <c r="B1584">
        <v>231793317.40569723</v>
      </c>
    </row>
    <row r="1585" spans="1:2" x14ac:dyDescent="0.25">
      <c r="A1585">
        <f ca="1">32120.4968955086*((RANDBETWEEN(1587,2416)))</f>
        <v>60322293.169765182</v>
      </c>
      <c r="B1585">
        <v>224962498.70086661</v>
      </c>
    </row>
    <row r="1586" spans="1:2" x14ac:dyDescent="0.25">
      <c r="A1586">
        <f ca="1">35507.6134194416*((RANDBETWEEN(1587,2416)))</f>
        <v>75347155.676055118</v>
      </c>
      <c r="B1586">
        <v>243609191.71832436</v>
      </c>
    </row>
    <row r="1587" spans="1:2" x14ac:dyDescent="0.25">
      <c r="A1587">
        <f ca="1">31199.0297382845*((RANDBETWEEN(1587,2416)))</f>
        <v>71258583.922241867</v>
      </c>
      <c r="B1587">
        <v>258522894.06710631</v>
      </c>
    </row>
    <row r="1588" spans="1:2" x14ac:dyDescent="0.25">
      <c r="A1588">
        <f ca="1">32689.1232907315*((RANDBETWEEN(1587,2416)))</f>
        <v>63416899.184019104</v>
      </c>
      <c r="B1588">
        <v>229719548.12893596</v>
      </c>
    </row>
    <row r="1589" spans="1:2" x14ac:dyDescent="0.25">
      <c r="A1589">
        <f ca="1">31109.6616125878*((RANDBETWEEN(1587,2416)))</f>
        <v>58610602.478115372</v>
      </c>
      <c r="B1589">
        <v>219396088.88573265</v>
      </c>
    </row>
    <row r="1590" spans="1:2" x14ac:dyDescent="0.25">
      <c r="A1590">
        <f ca="1">36787.9562370724*((RANDBETWEEN(1587,2416)))</f>
        <v>85274482.557533786</v>
      </c>
      <c r="B1590">
        <v>261341136.94148898</v>
      </c>
    </row>
    <row r="1591" spans="1:2" x14ac:dyDescent="0.25">
      <c r="A1591">
        <f ca="1">29724.0156548319*((RANDBETWEEN(1587,2416)))</f>
        <v>61439540.358537577</v>
      </c>
      <c r="B1591">
        <v>223938681.13246524</v>
      </c>
    </row>
    <row r="1592" spans="1:2" x14ac:dyDescent="0.25">
      <c r="A1592">
        <f ca="1">39122.2411285691*((RANDBETWEEN(1587,2416)))</f>
        <v>87633820.127994716</v>
      </c>
      <c r="B1592">
        <v>233611359.54100662</v>
      </c>
    </row>
    <row r="1593" spans="1:2" x14ac:dyDescent="0.25">
      <c r="A1593">
        <f ca="1">32395.2521867214*((RANDBETWEEN(1587,2416)))</f>
        <v>71107578.549853504</v>
      </c>
      <c r="B1593">
        <v>209832531.74248871</v>
      </c>
    </row>
    <row r="1594" spans="1:2" x14ac:dyDescent="0.25">
      <c r="A1594">
        <f ca="1">34205.1912856928*((RANDBETWEEN(1587,2416)))</f>
        <v>57977799.229249291</v>
      </c>
      <c r="B1594">
        <v>249557573.30165476</v>
      </c>
    </row>
    <row r="1595" spans="1:2" x14ac:dyDescent="0.25">
      <c r="A1595">
        <f ca="1">28436.622534544*((RANDBETWEEN(1587,2416)))</f>
        <v>63100865.404153205</v>
      </c>
      <c r="B1595">
        <v>250089180.20061386</v>
      </c>
    </row>
    <row r="1596" spans="1:2" x14ac:dyDescent="0.25">
      <c r="A1596">
        <f ca="1">32699.7464296858*((RANDBETWEEN(1587,2416)))</f>
        <v>60592630.134207718</v>
      </c>
      <c r="B1596">
        <v>253832581.03027308</v>
      </c>
    </row>
    <row r="1597" spans="1:2" x14ac:dyDescent="0.25">
      <c r="A1597">
        <f ca="1">32292.2008800775*((RANDBETWEEN(1587,2416)))</f>
        <v>56737396.946296141</v>
      </c>
      <c r="B1597">
        <v>259366549.73960921</v>
      </c>
    </row>
    <row r="1598" spans="1:2" x14ac:dyDescent="0.25">
      <c r="A1598">
        <f ca="1">39159.6713469461*((RANDBETWEEN(1587,2416)))</f>
        <v>88735815.272179812</v>
      </c>
      <c r="B1598">
        <v>228935776.81076917</v>
      </c>
    </row>
    <row r="1599" spans="1:2" x14ac:dyDescent="0.25">
      <c r="A1599">
        <f ca="1">32602.4918581741*((RANDBETWEEN(1587,2416)))</f>
        <v>64161703.976886578</v>
      </c>
      <c r="B1599">
        <v>237067499.20467326</v>
      </c>
    </row>
    <row r="1600" spans="1:2" x14ac:dyDescent="0.25">
      <c r="A1600">
        <f ca="1">33573.8383932987*((RANDBETWEEN(1587,2416)))</f>
        <v>61003664.360623658</v>
      </c>
      <c r="B1600">
        <v>232867494.34534609</v>
      </c>
    </row>
    <row r="1601" spans="1:2" x14ac:dyDescent="0.25">
      <c r="A1601">
        <f ca="1">38968.7646318836*((RANDBETWEEN(1587,2416)))</f>
        <v>90602377.76912947</v>
      </c>
      <c r="B1601">
        <v>210803994.21407622</v>
      </c>
    </row>
    <row r="1602" spans="1:2" x14ac:dyDescent="0.25">
      <c r="A1602">
        <f ca="1">41256.9272775703*((RANDBETWEEN(1587,2416)))</f>
        <v>66382395.989610657</v>
      </c>
      <c r="B1602">
        <v>248700752.50736737</v>
      </c>
    </row>
    <row r="1603" spans="1:2" x14ac:dyDescent="0.25">
      <c r="A1603">
        <f ca="1">35313.8714770164*((RANDBETWEEN(1587,2416)))</f>
        <v>57879435.350829847</v>
      </c>
      <c r="B1603">
        <v>207589552.53917366</v>
      </c>
    </row>
    <row r="1604" spans="1:2" x14ac:dyDescent="0.25">
      <c r="A1604">
        <f ca="1">34910.5423355772*((RANDBETWEEN(1587,2416)))</f>
        <v>83191822.385680526</v>
      </c>
      <c r="B1604">
        <v>221137742.2819117</v>
      </c>
    </row>
    <row r="1605" spans="1:2" x14ac:dyDescent="0.25">
      <c r="A1605">
        <f ca="1">31819.3961114338*((RANDBETWEEN(1587,2416)))</f>
        <v>70479962.3868258</v>
      </c>
      <c r="B1605">
        <v>251483933.31296429</v>
      </c>
    </row>
    <row r="1606" spans="1:2" x14ac:dyDescent="0.25">
      <c r="A1606">
        <f ca="1">33797.4352347218*((RANDBETWEEN(1587,2416)))</f>
        <v>76213216.454297632</v>
      </c>
      <c r="B1606">
        <v>265007388.32714003</v>
      </c>
    </row>
    <row r="1607" spans="1:2" x14ac:dyDescent="0.25">
      <c r="A1607">
        <f ca="1">31204.965278723*((RANDBETWEEN(1587,2416)))</f>
        <v>61068117.050460897</v>
      </c>
      <c r="B1607">
        <v>262073606.7949034</v>
      </c>
    </row>
    <row r="1608" spans="1:2" x14ac:dyDescent="0.25">
      <c r="A1608">
        <f ca="1">28787.7193820612*((RANDBETWEEN(1587,2416)))</f>
        <v>53573945.77001594</v>
      </c>
      <c r="B1608">
        <v>247139630.26379833</v>
      </c>
    </row>
    <row r="1609" spans="1:2" x14ac:dyDescent="0.25">
      <c r="A1609">
        <f ca="1">34877.8470623656*((RANDBETWEEN(1587,2416)))</f>
        <v>71464708.63078706</v>
      </c>
      <c r="B1609">
        <v>210657932.57696152</v>
      </c>
    </row>
    <row r="1610" spans="1:2" x14ac:dyDescent="0.25">
      <c r="A1610">
        <f ca="1">32364.4694960069*((RANDBETWEEN(1587,2416)))</f>
        <v>68677404.270526662</v>
      </c>
      <c r="B1610">
        <v>226923809.27581829</v>
      </c>
    </row>
    <row r="1611" spans="1:2" x14ac:dyDescent="0.25">
      <c r="A1611">
        <f ca="1">29728.5932085036*((RANDBETWEEN(1587,2416)))</f>
        <v>54641154.317229576</v>
      </c>
      <c r="B1611">
        <v>209775672.85051322</v>
      </c>
    </row>
    <row r="1612" spans="1:2" x14ac:dyDescent="0.25">
      <c r="A1612">
        <f ca="1">30073.0617026917*((RANDBETWEEN(1587,2416)))</f>
        <v>72355786.456676111</v>
      </c>
      <c r="B1612">
        <v>223032258.36562064</v>
      </c>
    </row>
    <row r="1613" spans="1:2" x14ac:dyDescent="0.25">
      <c r="A1613">
        <f ca="1">32442.5461253188*((RANDBETWEEN(1587,2416)))</f>
        <v>75201821.918488875</v>
      </c>
      <c r="B1613">
        <v>223596940.79198542</v>
      </c>
    </row>
    <row r="1614" spans="1:2" x14ac:dyDescent="0.25">
      <c r="A1614">
        <f ca="1">34902.9879037693*((RANDBETWEEN(1587,2416)))</f>
        <v>80940028.948840946</v>
      </c>
      <c r="B1614">
        <v>215216158.83577573</v>
      </c>
    </row>
    <row r="1615" spans="1:2" x14ac:dyDescent="0.25">
      <c r="A1615">
        <f ca="1">30696.3833303722*((RANDBETWEEN(1587,2416)))</f>
        <v>50464854.19513195</v>
      </c>
      <c r="B1615">
        <v>221667399.65107346</v>
      </c>
    </row>
    <row r="1616" spans="1:2" x14ac:dyDescent="0.25">
      <c r="A1616">
        <f ca="1">31937.0206939255*((RANDBETWEEN(1587,2416)))</f>
        <v>58348936.80780182</v>
      </c>
      <c r="B1616">
        <v>228009333.44887292</v>
      </c>
    </row>
    <row r="1617" spans="1:2" x14ac:dyDescent="0.25">
      <c r="A1617">
        <f ca="1">32156.8089179735*((RANDBETWEEN(1587,2416)))</f>
        <v>58814803.510973588</v>
      </c>
      <c r="B1617">
        <v>225287914.86192483</v>
      </c>
    </row>
    <row r="1618" spans="1:2" x14ac:dyDescent="0.25">
      <c r="A1618">
        <f ca="1">31754.9256148821*((RANDBETWEEN(1587,2416)))</f>
        <v>51824038.603487514</v>
      </c>
      <c r="B1618">
        <v>247936395.86774573</v>
      </c>
    </row>
    <row r="1619" spans="1:2" x14ac:dyDescent="0.25">
      <c r="A1619">
        <f ca="1">31644.4491336384*((RANDBETWEEN(1587,2416)))</f>
        <v>53732274.628918044</v>
      </c>
      <c r="B1619">
        <v>222021625.90928692</v>
      </c>
    </row>
    <row r="1620" spans="1:2" x14ac:dyDescent="0.25">
      <c r="A1620">
        <f ca="1">30798.8148777663*((RANDBETWEEN(1587,2416)))</f>
        <v>71730439.850317731</v>
      </c>
      <c r="B1620">
        <v>220666194.77079284</v>
      </c>
    </row>
    <row r="1621" spans="1:2" x14ac:dyDescent="0.25">
      <c r="A1621">
        <f ca="1">31280.439842664*((RANDBETWEEN(1587,2416)))</f>
        <v>60558931.535397559</v>
      </c>
      <c r="B1621">
        <v>246081217.28241825</v>
      </c>
    </row>
    <row r="1622" spans="1:2" x14ac:dyDescent="0.25">
      <c r="A1622">
        <f ca="1">31060.5547839191*((RANDBETWEEN(1587,2416)))</f>
        <v>64978680.607958749</v>
      </c>
      <c r="B1622">
        <v>234676552.13787535</v>
      </c>
    </row>
    <row r="1623" spans="1:2" x14ac:dyDescent="0.25">
      <c r="A1623">
        <f ca="1">30861.9447886513*((RANDBETWEEN(1587,2416)))</f>
        <v>52527030.030284457</v>
      </c>
      <c r="B1623">
        <v>206766254.10180071</v>
      </c>
    </row>
    <row r="1624" spans="1:2" x14ac:dyDescent="0.25">
      <c r="A1624">
        <f ca="1">30190.4860392374*((RANDBETWEEN(1587,2416)))</f>
        <v>58086495.139492773</v>
      </c>
      <c r="B1624">
        <v>212280537.34679374</v>
      </c>
    </row>
    <row r="1625" spans="1:2" x14ac:dyDescent="0.25">
      <c r="A1625">
        <f ca="1">30266.3574858617*((RANDBETWEEN(1587,2416)))</f>
        <v>48638036.479779676</v>
      </c>
      <c r="B1625">
        <v>233723259.32219779</v>
      </c>
    </row>
    <row r="1626" spans="1:2" x14ac:dyDescent="0.25">
      <c r="A1626">
        <f ca="1">32796.333745168*((RANDBETWEEN(1587,2416)))</f>
        <v>52670911.99473986</v>
      </c>
      <c r="B1626">
        <v>264635977.99098521</v>
      </c>
    </row>
    <row r="1627" spans="1:2" x14ac:dyDescent="0.25">
      <c r="A1627">
        <f ca="1">29315.534768167*((RANDBETWEEN(1587,2416)))</f>
        <v>55201151.968458384</v>
      </c>
      <c r="B1627">
        <v>231967509.63327345</v>
      </c>
    </row>
    <row r="1628" spans="1:2" x14ac:dyDescent="0.25">
      <c r="A1628">
        <f ca="1">30954.372273928*((RANDBETWEEN(1587,2416)))</f>
        <v>52127162.909294724</v>
      </c>
      <c r="B1628">
        <v>254453398.67483735</v>
      </c>
    </row>
    <row r="1629" spans="1:2" x14ac:dyDescent="0.25">
      <c r="A1629">
        <f ca="1">31295.2018211474*((RANDBETWEEN(1587,2416)))</f>
        <v>51261540.583039433</v>
      </c>
      <c r="B1629">
        <v>211509676.96949497</v>
      </c>
    </row>
    <row r="1630" spans="1:2" x14ac:dyDescent="0.25">
      <c r="A1630">
        <f ca="1">35402.4293095148*((RANDBETWEEN(1587,2416)))</f>
        <v>79018222.218836918</v>
      </c>
      <c r="B1630">
        <v>205236376.02046734</v>
      </c>
    </row>
    <row r="1631" spans="1:2" x14ac:dyDescent="0.25">
      <c r="A1631">
        <f ca="1">31928.7690759085*((RANDBETWEEN(1587,2416)))</f>
        <v>59642940.63379702</v>
      </c>
      <c r="B1631">
        <v>220991197.88202232</v>
      </c>
    </row>
    <row r="1632" spans="1:2" x14ac:dyDescent="0.25">
      <c r="A1632">
        <f ca="1">30839.8595659533*((RANDBETWEEN(1587,2416)))</f>
        <v>69142965.14686735</v>
      </c>
      <c r="B1632">
        <v>261373718.77830482</v>
      </c>
    </row>
    <row r="1633" spans="1:2" x14ac:dyDescent="0.25">
      <c r="A1633">
        <f ca="1">34093.5872083111*((RANDBETWEEN(1587,2416)))</f>
        <v>66959805.277123004</v>
      </c>
      <c r="B1633">
        <v>216471156.0532378</v>
      </c>
    </row>
    <row r="1634" spans="1:2" x14ac:dyDescent="0.25">
      <c r="A1634">
        <f ca="1">38555.9057170288*((RANDBETWEEN(1587,2416)))</f>
        <v>87252014.637636155</v>
      </c>
      <c r="B1634">
        <v>264285005.59471741</v>
      </c>
    </row>
    <row r="1635" spans="1:2" x14ac:dyDescent="0.25">
      <c r="A1635">
        <f ca="1">33053.1112186245*((RANDBETWEEN(1587,2416)))</f>
        <v>73741491.128751218</v>
      </c>
      <c r="B1635">
        <v>226682668.08360741</v>
      </c>
    </row>
    <row r="1636" spans="1:2" x14ac:dyDescent="0.25">
      <c r="A1636">
        <f ca="1">34887.0012389622*((RANDBETWEEN(1587,2416)))</f>
        <v>65064257.310664475</v>
      </c>
      <c r="B1636">
        <v>246524146.38905057</v>
      </c>
    </row>
    <row r="1637" spans="1:2" x14ac:dyDescent="0.25">
      <c r="A1637">
        <f ca="1">34567.3292406249*((RANDBETWEEN(1587,2416)))</f>
        <v>72072881.466702998</v>
      </c>
      <c r="B1637">
        <v>209228114.63522664</v>
      </c>
    </row>
    <row r="1638" spans="1:2" x14ac:dyDescent="0.25">
      <c r="A1638">
        <f ca="1">37759.3765684215*((RANDBETWEEN(1587,2416)))</f>
        <v>84883078.525811464</v>
      </c>
      <c r="B1638">
        <v>241897214.3008534</v>
      </c>
    </row>
    <row r="1639" spans="1:2" x14ac:dyDescent="0.25">
      <c r="A1639">
        <f ca="1">37981.1288768082*((RANDBETWEEN(1587,2416)))</f>
        <v>83634445.786731675</v>
      </c>
      <c r="B1639">
        <v>261055296.60685095</v>
      </c>
    </row>
    <row r="1640" spans="1:2" x14ac:dyDescent="0.25">
      <c r="A1640">
        <f ca="1">33201.5039132838*((RANDBETWEEN(1587,2416)))</f>
        <v>62983252.923499435</v>
      </c>
      <c r="B1640">
        <v>211399826.98984903</v>
      </c>
    </row>
    <row r="1641" spans="1:2" x14ac:dyDescent="0.25">
      <c r="A1641">
        <f ca="1">29558.6367049099*((RANDBETWEEN(1587,2416)))</f>
        <v>67068546.683440484</v>
      </c>
      <c r="B1641">
        <v>206006727.99567384</v>
      </c>
    </row>
    <row r="1642" spans="1:2" x14ac:dyDescent="0.25">
      <c r="A1642">
        <f ca="1">31102.9023568577*((RANDBETWEEN(1587,2416)))</f>
        <v>71878807.346698165</v>
      </c>
      <c r="B1642">
        <v>223283542.17154643</v>
      </c>
    </row>
    <row r="1643" spans="1:2" x14ac:dyDescent="0.25">
      <c r="A1643">
        <f ca="1">31270.9549477923*((RANDBETWEEN(1587,2416)))</f>
        <v>49877173.141728677</v>
      </c>
      <c r="B1643">
        <v>239232870.73808676</v>
      </c>
    </row>
    <row r="1644" spans="1:2" x14ac:dyDescent="0.25">
      <c r="A1644">
        <f ca="1">32340.2962146025*((RANDBETWEEN(1587,2416)))</f>
        <v>75643952.845955327</v>
      </c>
      <c r="B1644">
        <v>239434523.42458516</v>
      </c>
    </row>
    <row r="1645" spans="1:2" x14ac:dyDescent="0.25">
      <c r="A1645">
        <f ca="1">36123.6130360732*((RANDBETWEEN(1587,2416)))</f>
        <v>60254186.544170037</v>
      </c>
      <c r="B1645">
        <v>235003052.42015791</v>
      </c>
    </row>
    <row r="1646" spans="1:2" x14ac:dyDescent="0.25">
      <c r="A1646">
        <f ca="1">35559.9879428357*((RANDBETWEEN(1587,2416)))</f>
        <v>70871055.970071718</v>
      </c>
      <c r="B1646">
        <v>256032984.62511814</v>
      </c>
    </row>
    <row r="1647" spans="1:2" x14ac:dyDescent="0.25">
      <c r="A1647">
        <f ca="1">33203.6757488808*((RANDBETWEEN(1587,2416)))</f>
        <v>66540166.200757138</v>
      </c>
      <c r="B1647">
        <v>232940383.4276239</v>
      </c>
    </row>
    <row r="1648" spans="1:2" x14ac:dyDescent="0.25">
      <c r="A1648">
        <f ca="1">32839.6218148636*((RANDBETWEEN(1587,2416)))</f>
        <v>64694054.975281239</v>
      </c>
      <c r="B1648">
        <v>260519904.24730912</v>
      </c>
    </row>
    <row r="1649" spans="1:2" x14ac:dyDescent="0.25">
      <c r="A1649">
        <f ca="1">33385.403669686*((RANDBETWEEN(1587,2416)))</f>
        <v>63198569.146715663</v>
      </c>
      <c r="B1649">
        <v>233688889.8322812</v>
      </c>
    </row>
    <row r="1650" spans="1:2" x14ac:dyDescent="0.25">
      <c r="A1650">
        <f ca="1">35271.2296775334*((RANDBETWEEN(1587,2416)))</f>
        <v>73399428.958946913</v>
      </c>
      <c r="B1650">
        <v>265779497.36528346</v>
      </c>
    </row>
    <row r="1651" spans="1:2" x14ac:dyDescent="0.25">
      <c r="A1651">
        <f ca="1">37617.5996210709*((RANDBETWEEN(1587,2416)))</f>
        <v>60188159.3937134</v>
      </c>
      <c r="B1651">
        <v>256646407.72794032</v>
      </c>
    </row>
    <row r="1652" spans="1:2" x14ac:dyDescent="0.25">
      <c r="A1652">
        <f ca="1">30675.1278527552*((RANDBETWEEN(1587,2416)))</f>
        <v>56196834.226247437</v>
      </c>
      <c r="B1652">
        <v>222539710.354736</v>
      </c>
    </row>
    <row r="1653" spans="1:2" x14ac:dyDescent="0.25">
      <c r="A1653">
        <f ca="1">34522.037101697*((RANDBETWEEN(1587,2416)))</f>
        <v>71978447.357038304</v>
      </c>
      <c r="B1653">
        <v>227240648.49827155</v>
      </c>
    </row>
    <row r="1654" spans="1:2" x14ac:dyDescent="0.25">
      <c r="A1654">
        <f ca="1">32970.2899446274*((RANDBETWEEN(1587,2416)))</f>
        <v>63500778.433352374</v>
      </c>
      <c r="B1654">
        <v>249119801.60583171</v>
      </c>
    </row>
    <row r="1655" spans="1:2" x14ac:dyDescent="0.25">
      <c r="A1655">
        <f ca="1">37087.2812357481*((RANDBETWEEN(1587,2416)))</f>
        <v>88972387.684559628</v>
      </c>
      <c r="B1655">
        <v>237129547.85767671</v>
      </c>
    </row>
    <row r="1656" spans="1:2" x14ac:dyDescent="0.25">
      <c r="A1656">
        <f ca="1">31993.1765587094*((RANDBETWEEN(1587,2416)))</f>
        <v>68017493.363816082</v>
      </c>
      <c r="B1656">
        <v>248102186.39998522</v>
      </c>
    </row>
    <row r="1657" spans="1:2" x14ac:dyDescent="0.25">
      <c r="A1657">
        <f ca="1">31884.236116882*((RANDBETWEEN(1587,2416)))</f>
        <v>55127844.246089004</v>
      </c>
      <c r="B1657">
        <v>231163215.88225493</v>
      </c>
    </row>
    <row r="1658" spans="1:2" x14ac:dyDescent="0.25">
      <c r="A1658">
        <f ca="1">35142.3905549974*((RANDBETWEEN(1587,2416)))</f>
        <v>78683812.452639267</v>
      </c>
      <c r="B1658">
        <v>223834553.27571976</v>
      </c>
    </row>
    <row r="1659" spans="1:2" x14ac:dyDescent="0.25">
      <c r="A1659">
        <f ca="1">31318.8334740126*((RANDBETWEEN(1587,2416)))</f>
        <v>64673391.123836033</v>
      </c>
      <c r="B1659">
        <v>209020155.82086524</v>
      </c>
    </row>
    <row r="1660" spans="1:2" x14ac:dyDescent="0.25">
      <c r="A1660">
        <f ca="1">31706.9440509945*((RANDBETWEEN(1587,2416)))</f>
        <v>63921199.206804916</v>
      </c>
      <c r="B1660">
        <v>247406284.75698107</v>
      </c>
    </row>
    <row r="1661" spans="1:2" x14ac:dyDescent="0.25">
      <c r="A1661">
        <f ca="1">29447.8261995496*((RANDBETWEEN(1587,2416)))</f>
        <v>47970508.879066341</v>
      </c>
      <c r="B1661">
        <v>212704453.53100452</v>
      </c>
    </row>
    <row r="1662" spans="1:2" x14ac:dyDescent="0.25">
      <c r="A1662">
        <f ca="1">40733.9115259235*((RANDBETWEEN(1587,2416)))</f>
        <v>87577909.780735523</v>
      </c>
      <c r="B1662">
        <v>256038928.06370655</v>
      </c>
    </row>
    <row r="1663" spans="1:2" x14ac:dyDescent="0.25">
      <c r="A1663">
        <f ca="1">33920.5509675*((RANDBETWEEN(1587,2416)))</f>
        <v>76626524.635582522</v>
      </c>
      <c r="B1663">
        <v>239111375.12779593</v>
      </c>
    </row>
    <row r="1664" spans="1:2" x14ac:dyDescent="0.25">
      <c r="A1664">
        <f ca="1">32952.354534738*((RANDBETWEEN(1587,2416)))</f>
        <v>61884521.816237919</v>
      </c>
      <c r="B1664">
        <v>227810656.36105359</v>
      </c>
    </row>
    <row r="1665" spans="1:2" x14ac:dyDescent="0.25">
      <c r="A1665">
        <f ca="1">29608.1298967024*((RANDBETWEEN(1587,2416)))</f>
        <v>57262123.220222391</v>
      </c>
      <c r="B1665">
        <v>235702566.41627118</v>
      </c>
    </row>
    <row r="1666" spans="1:2" x14ac:dyDescent="0.25">
      <c r="A1666">
        <f ca="1">30081.6556607012*((RANDBETWEEN(1587,2416)))</f>
        <v>66119479.142221153</v>
      </c>
      <c r="B1666">
        <v>265913503.09735808</v>
      </c>
    </row>
    <row r="1667" spans="1:2" x14ac:dyDescent="0.25">
      <c r="A1667">
        <f ca="1">32358.8120385671*((RANDBETWEEN(1587,2416)))</f>
        <v>55009980.465564147</v>
      </c>
      <c r="B1667">
        <v>260189956.41873348</v>
      </c>
    </row>
    <row r="1668" spans="1:2" x14ac:dyDescent="0.25">
      <c r="A1668">
        <f ca="1">32163.584833452*((RANDBETWEEN(1587,2416)))</f>
        <v>76935294.921617299</v>
      </c>
      <c r="B1668">
        <v>221679833.3460339</v>
      </c>
    </row>
    <row r="1669" spans="1:2" x14ac:dyDescent="0.25">
      <c r="A1669">
        <f ca="1">38922.0012648009*((RANDBETWEEN(1587,2416)))</f>
        <v>92206220.996313229</v>
      </c>
      <c r="B1669">
        <v>225746773.62781128</v>
      </c>
    </row>
    <row r="1670" spans="1:2" x14ac:dyDescent="0.25">
      <c r="A1670">
        <f ca="1">35598.9440445755*((RANDBETWEEN(1587,2416)))</f>
        <v>78032885.345709383</v>
      </c>
      <c r="B1670">
        <v>255012872.35100374</v>
      </c>
    </row>
    <row r="1671" spans="1:2" x14ac:dyDescent="0.25">
      <c r="A1671">
        <f ca="1">31041.6512218193*((RANDBETWEEN(1587,2416)))</f>
        <v>58078929.436023884</v>
      </c>
      <c r="B1671">
        <v>244540839.90551659</v>
      </c>
    </row>
    <row r="1672" spans="1:2" x14ac:dyDescent="0.25">
      <c r="A1672">
        <f ca="1">41489.3131197124*((RANDBETWEEN(1587,2416)))</f>
        <v>98661586.59867616</v>
      </c>
      <c r="B1672">
        <v>213721330.12119609</v>
      </c>
    </row>
    <row r="1673" spans="1:2" x14ac:dyDescent="0.25">
      <c r="A1673">
        <f ca="1">34956.5633004291*((RANDBETWEEN(1587,2416)))</f>
        <v>59880592.933635049</v>
      </c>
      <c r="B1673">
        <v>225282418.15262374</v>
      </c>
    </row>
    <row r="1674" spans="1:2" x14ac:dyDescent="0.25">
      <c r="A1674">
        <f ca="1">31391.8483664064*((RANDBETWEEN(1587,2416)))</f>
        <v>50007214.447685324</v>
      </c>
      <c r="B1674">
        <v>264906075.01806244</v>
      </c>
    </row>
    <row r="1675" spans="1:2" x14ac:dyDescent="0.25">
      <c r="A1675">
        <f ca="1">38975.9244066965*((RANDBETWEEN(1587,2416)))</f>
        <v>76353835.912718445</v>
      </c>
      <c r="B1675">
        <v>215620191.2485373</v>
      </c>
    </row>
    <row r="1676" spans="1:2" x14ac:dyDescent="0.25">
      <c r="A1676">
        <f ca="1">39654.9830710671*((RANDBETWEEN(1587,2416)))</f>
        <v>95608164.184342891</v>
      </c>
      <c r="B1676">
        <v>253366052.98398528</v>
      </c>
    </row>
    <row r="1677" spans="1:2" x14ac:dyDescent="0.25">
      <c r="A1677">
        <f ca="1">30047.7927415023*((RANDBETWEEN(1587,2416)))</f>
        <v>58923721.566086099</v>
      </c>
      <c r="B1677">
        <v>238296448.7718541</v>
      </c>
    </row>
    <row r="1678" spans="1:2" x14ac:dyDescent="0.25">
      <c r="A1678">
        <f ca="1">37052.2043514939*((RANDBETWEEN(1587,2416)))</f>
        <v>88184246.356555462</v>
      </c>
      <c r="B1678">
        <v>252886478.94209209</v>
      </c>
    </row>
    <row r="1679" spans="1:2" x14ac:dyDescent="0.25">
      <c r="A1679">
        <f ca="1">30864.976354494*((RANDBETWEEN(1587,2416)))</f>
        <v>72131449.740452453</v>
      </c>
      <c r="B1679">
        <v>217000742.38311157</v>
      </c>
    </row>
    <row r="1680" spans="1:2" x14ac:dyDescent="0.25">
      <c r="A1680">
        <f ca="1">32598.6440030573*((RANDBETWEEN(1587,2416)))</f>
        <v>66012254.106190935</v>
      </c>
      <c r="B1680">
        <v>249780541.22377181</v>
      </c>
    </row>
    <row r="1681" spans="1:2" x14ac:dyDescent="0.25">
      <c r="A1681">
        <f ca="1">34255.7817656535*((RANDBETWEEN(1587,2416)))</f>
        <v>82590689.83699061</v>
      </c>
      <c r="B1681">
        <v>237043146.40417472</v>
      </c>
    </row>
    <row r="1682" spans="1:2" x14ac:dyDescent="0.25">
      <c r="A1682">
        <f ca="1">31787.6631571153*((RANDBETWEEN(1587,2416)))</f>
        <v>73493077.219250515</v>
      </c>
      <c r="B1682">
        <v>265763901.9160994</v>
      </c>
    </row>
    <row r="1683" spans="1:2" x14ac:dyDescent="0.25">
      <c r="A1683">
        <f ca="1">31328.1979010549*((RANDBETWEEN(1587,2416)))</f>
        <v>49811834.662677214</v>
      </c>
      <c r="B1683">
        <v>244806056.68259558</v>
      </c>
    </row>
    <row r="1684" spans="1:2" x14ac:dyDescent="0.25">
      <c r="A1684">
        <f ca="1">38802.1772028654*((RANDBETWEEN(1587,2416)))</f>
        <v>63325153.19507625</v>
      </c>
      <c r="B1684">
        <v>209353472.59904608</v>
      </c>
    </row>
    <row r="1685" spans="1:2" x14ac:dyDescent="0.25">
      <c r="A1685">
        <f ca="1">37770.0528922787*((RANDBETWEEN(1587,2416)))</f>
        <v>69874597.850715578</v>
      </c>
      <c r="B1685">
        <v>249421849.32064494</v>
      </c>
    </row>
    <row r="1686" spans="1:2" x14ac:dyDescent="0.25">
      <c r="A1686">
        <f ca="1">35495.2975219027*((RANDBETWEEN(1587,2416)))</f>
        <v>70316184.390889198</v>
      </c>
      <c r="B1686">
        <v>204775260.65917966</v>
      </c>
    </row>
    <row r="1687" spans="1:2" x14ac:dyDescent="0.25">
      <c r="A1687">
        <f ca="1">32006.2661369286*((RANDBETWEEN(1587,2416)))</f>
        <v>74734631.42972827</v>
      </c>
      <c r="B1687">
        <v>204450259.06633002</v>
      </c>
    </row>
    <row r="1688" spans="1:2" x14ac:dyDescent="0.25">
      <c r="A1688">
        <f ca="1">32692.0949456326*((RANDBETWEEN(1587,2416)))</f>
        <v>58420773.667845398</v>
      </c>
      <c r="B1688">
        <v>205663683.29547292</v>
      </c>
    </row>
    <row r="1689" spans="1:2" x14ac:dyDescent="0.25">
      <c r="A1689">
        <f ca="1">37087.0746663647*((RANDBETWEEN(1587,2416)))</f>
        <v>85448620.03130427</v>
      </c>
      <c r="B1689">
        <v>259675569.47451586</v>
      </c>
    </row>
    <row r="1690" spans="1:2" x14ac:dyDescent="0.25">
      <c r="A1690">
        <f ca="1">30462.528404597*((RANDBETWEEN(1587,2416)))</f>
        <v>63026971.269111201</v>
      </c>
      <c r="B1690">
        <v>246913711.85490423</v>
      </c>
    </row>
    <row r="1691" spans="1:2" x14ac:dyDescent="0.25">
      <c r="A1691">
        <f ca="1">30808.7598999763*((RANDBETWEEN(1587,2416)))</f>
        <v>59799802.965854079</v>
      </c>
      <c r="B1691">
        <v>248512264.43818861</v>
      </c>
    </row>
    <row r="1692" spans="1:2" x14ac:dyDescent="0.25">
      <c r="A1692">
        <f ca="1">34710.2027366038*((RANDBETWEEN(1587,2416)))</f>
        <v>62165973.101257421</v>
      </c>
      <c r="B1692">
        <v>214120144.92894319</v>
      </c>
    </row>
    <row r="1693" spans="1:2" x14ac:dyDescent="0.25">
      <c r="A1693">
        <f ca="1">30914.7539635964*((RANDBETWEEN(1587,2416)))</f>
        <v>73453455.417505011</v>
      </c>
      <c r="B1693">
        <v>238274434.83651391</v>
      </c>
    </row>
    <row r="1694" spans="1:2" x14ac:dyDescent="0.25">
      <c r="A1694">
        <f ca="1">40681.3831282465*((RANDBETWEEN(1587,2416)))</f>
        <v>95641931.734507635</v>
      </c>
      <c r="B1694">
        <v>236244896.11074606</v>
      </c>
    </row>
    <row r="1695" spans="1:2" x14ac:dyDescent="0.25">
      <c r="A1695">
        <f ca="1">27177.7369317081*((RANDBETWEEN(1587,2416)))</f>
        <v>56502515.08102119</v>
      </c>
      <c r="B1695">
        <v>229845352.67498934</v>
      </c>
    </row>
    <row r="1696" spans="1:2" x14ac:dyDescent="0.25">
      <c r="A1696">
        <f ca="1">39269.7272961807*((RANDBETWEEN(1587,2416)))</f>
        <v>88945932.325849175</v>
      </c>
      <c r="B1696">
        <v>246962558.74493456</v>
      </c>
    </row>
    <row r="1697" spans="1:2" x14ac:dyDescent="0.25">
      <c r="A1697">
        <f ca="1">30176.4978242533*((RANDBETWEEN(1587,2416)))</f>
        <v>49881750.903490692</v>
      </c>
      <c r="B1697">
        <v>246425089.70690358</v>
      </c>
    </row>
    <row r="1698" spans="1:2" x14ac:dyDescent="0.25">
      <c r="A1698">
        <f ca="1">38535.9075966296*((RANDBETWEEN(1587,2416)))</f>
        <v>81580516.382064879</v>
      </c>
      <c r="B1698">
        <v>237256957.59867734</v>
      </c>
    </row>
    <row r="1699" spans="1:2" x14ac:dyDescent="0.25">
      <c r="A1699">
        <f ca="1">30985.5552654314*((RANDBETWEEN(1587,2416)))</f>
        <v>52675443.951233417</v>
      </c>
      <c r="B1699">
        <v>241771756.10374272</v>
      </c>
    </row>
    <row r="1700" spans="1:2" x14ac:dyDescent="0.25">
      <c r="A1700">
        <f ca="1">36450.0729783358*((RANDBETWEEN(1587,2416)))</f>
        <v>70822491.796906516</v>
      </c>
      <c r="B1700">
        <v>210176085.7293179</v>
      </c>
    </row>
    <row r="1701" spans="1:2" x14ac:dyDescent="0.25">
      <c r="A1701">
        <f ca="1">31923.6087941816*((RANDBETWEEN(1587,2416)))</f>
        <v>65219932.766513102</v>
      </c>
      <c r="B1701">
        <v>212926652.48705488</v>
      </c>
    </row>
    <row r="1702" spans="1:2" x14ac:dyDescent="0.25">
      <c r="A1702">
        <f ca="1">36600.26952748*((RANDBETWEEN(1587,2416)))</f>
        <v>74701150.105586648</v>
      </c>
      <c r="B1702">
        <v>267266147.03233683</v>
      </c>
    </row>
    <row r="1703" spans="1:2" x14ac:dyDescent="0.25">
      <c r="A1703">
        <f ca="1">34140.114999886*((RANDBETWEEN(1587,2416)))</f>
        <v>57730934.464807257</v>
      </c>
      <c r="B1703">
        <v>214634235.24826497</v>
      </c>
    </row>
    <row r="1704" spans="1:2" x14ac:dyDescent="0.25">
      <c r="A1704">
        <f ca="1">32570.9824036322*((RANDBETWEEN(1587,2416)))</f>
        <v>66281949.19139161</v>
      </c>
      <c r="B1704">
        <v>205202376.93432689</v>
      </c>
    </row>
    <row r="1705" spans="1:2" x14ac:dyDescent="0.25">
      <c r="A1705">
        <f ca="1">30490.5277680503*((RANDBETWEEN(1587,2416)))</f>
        <v>51346048.761396743</v>
      </c>
      <c r="B1705">
        <v>211239853.74899226</v>
      </c>
    </row>
    <row r="1706" spans="1:2" x14ac:dyDescent="0.25">
      <c r="A1706">
        <f ca="1">39690.4155209298*((RANDBETWEEN(1587,2416)))</f>
        <v>77713833.589980647</v>
      </c>
      <c r="B1706">
        <v>257472770.51036978</v>
      </c>
    </row>
    <row r="1707" spans="1:2" x14ac:dyDescent="0.25">
      <c r="A1707">
        <f ca="1">28760.4833115919*((RANDBETWEEN(1587,2416)))</f>
        <v>63273063.285502166</v>
      </c>
      <c r="B1707">
        <v>221531220.7939457</v>
      </c>
    </row>
    <row r="1708" spans="1:2" x14ac:dyDescent="0.25">
      <c r="A1708">
        <f ca="1">31605.1679471364*((RANDBETWEEN(1587,2416)))</f>
        <v>63716018.581426919</v>
      </c>
      <c r="B1708">
        <v>255427858.03492737</v>
      </c>
    </row>
    <row r="1709" spans="1:2" x14ac:dyDescent="0.25">
      <c r="A1709">
        <f ca="1">31457.0902323484*((RANDBETWEEN(1587,2416)))</f>
        <v>61750268.126099877</v>
      </c>
      <c r="B1709">
        <v>210693511.6623891</v>
      </c>
    </row>
    <row r="1710" spans="1:2" x14ac:dyDescent="0.25">
      <c r="A1710">
        <f ca="1">31189.7278571639*((RANDBETWEEN(1587,2416)))</f>
        <v>71393287.065048248</v>
      </c>
      <c r="B1710">
        <v>218252247.64504141</v>
      </c>
    </row>
    <row r="1711" spans="1:2" x14ac:dyDescent="0.25">
      <c r="A1711">
        <f ca="1">41808.2746639418*((RANDBETWEEN(1587,2416)))</f>
        <v>82989425.207924485</v>
      </c>
      <c r="B1711">
        <v>209952459.17766342</v>
      </c>
    </row>
    <row r="1712" spans="1:2" x14ac:dyDescent="0.25">
      <c r="A1712">
        <f ca="1">31109.5114697004*((RANDBETWEEN(1587,2416)))</f>
        <v>52295088.780566312</v>
      </c>
      <c r="B1712">
        <v>224319342.89079338</v>
      </c>
    </row>
    <row r="1713" spans="1:2" x14ac:dyDescent="0.25">
      <c r="A1713">
        <f ca="1">33010.4847033484*((RANDBETWEEN(1587,2416)))</f>
        <v>62323795.119921714</v>
      </c>
      <c r="B1713">
        <v>250190683.75415927</v>
      </c>
    </row>
    <row r="1714" spans="1:2" x14ac:dyDescent="0.25">
      <c r="A1714">
        <f ca="1">37286.7968328707*((RANDBETWEEN(1587,2416)))</f>
        <v>67750109.845326081</v>
      </c>
      <c r="B1714">
        <v>221963495.95226401</v>
      </c>
    </row>
    <row r="1715" spans="1:2" x14ac:dyDescent="0.25">
      <c r="A1715">
        <f ca="1">39867.7048357795*((RANDBETWEEN(1587,2416)))</f>
        <v>65343168.225842662</v>
      </c>
      <c r="B1715">
        <v>244268875.51093778</v>
      </c>
    </row>
    <row r="1716" spans="1:2" x14ac:dyDescent="0.25">
      <c r="A1716">
        <f ca="1">30500.1398306341*((RANDBETWEEN(1587,2416)))</f>
        <v>66459804.690951802</v>
      </c>
      <c r="B1716">
        <v>210933653.46957564</v>
      </c>
    </row>
    <row r="1717" spans="1:2" x14ac:dyDescent="0.25">
      <c r="A1717">
        <f ca="1">36775.9148533855*((RANDBETWEEN(1587,2416)))</f>
        <v>69911014.136285752</v>
      </c>
      <c r="B1717">
        <v>259693738.17628089</v>
      </c>
    </row>
    <row r="1718" spans="1:2" x14ac:dyDescent="0.25">
      <c r="A1718">
        <f ca="1">30772.7482474123*((RANDBETWEEN(1587,2416)))</f>
        <v>69638729.283894077</v>
      </c>
      <c r="B1718">
        <v>254678558.68894997</v>
      </c>
    </row>
    <row r="1719" spans="1:2" x14ac:dyDescent="0.25">
      <c r="A1719">
        <f ca="1">32578.9722137456*((RANDBETWEEN(1587,2416)))</f>
        <v>52061197.597565427</v>
      </c>
      <c r="B1719">
        <v>230772330.77325207</v>
      </c>
    </row>
    <row r="1720" spans="1:2" x14ac:dyDescent="0.25">
      <c r="A1720">
        <f ca="1">36524.9246227845*((RANDBETWEEN(1587,2416)))</f>
        <v>74255171.758120894</v>
      </c>
      <c r="B1720">
        <v>209473683.61313039</v>
      </c>
    </row>
    <row r="1721" spans="1:2" x14ac:dyDescent="0.25">
      <c r="A1721">
        <f ca="1">32134.6422650058*((RANDBETWEEN(1587,2416)))</f>
        <v>51608235.477599293</v>
      </c>
      <c r="B1721">
        <v>213646104.24774474</v>
      </c>
    </row>
    <row r="1722" spans="1:2" x14ac:dyDescent="0.25">
      <c r="A1722">
        <f ca="1">31227.4264878977*((RANDBETWEEN(1587,2416)))</f>
        <v>63297993.490968689</v>
      </c>
      <c r="B1722">
        <v>210906690.81003752</v>
      </c>
    </row>
    <row r="1723" spans="1:2" x14ac:dyDescent="0.25">
      <c r="A1723">
        <f ca="1">31214.1994736318*((RANDBETWEEN(1587,2416)))</f>
        <v>72541799.576720327</v>
      </c>
      <c r="B1723">
        <v>212664757.36910906</v>
      </c>
    </row>
    <row r="1724" spans="1:2" x14ac:dyDescent="0.25">
      <c r="A1724">
        <f ca="1">34131.6017253674*((RANDBETWEEN(1587,2416)))</f>
        <v>80379922.06324023</v>
      </c>
      <c r="B1724">
        <v>214408034.13304368</v>
      </c>
    </row>
    <row r="1725" spans="1:2" x14ac:dyDescent="0.25">
      <c r="A1725">
        <f ca="1">34564.1287026643*((RANDBETWEEN(1587,2416)))</f>
        <v>64876869.57490091</v>
      </c>
      <c r="B1725">
        <v>253499508.90805441</v>
      </c>
    </row>
    <row r="1726" spans="1:2" x14ac:dyDescent="0.25">
      <c r="A1726">
        <f ca="1">39912.854839268*((RANDBETWEEN(1587,2416)))</f>
        <v>68729936.033219546</v>
      </c>
      <c r="B1726">
        <v>227967790.67782301</v>
      </c>
    </row>
    <row r="1727" spans="1:2" x14ac:dyDescent="0.25">
      <c r="A1727">
        <f ca="1">37254.4884177149*((RANDBETWEEN(1587,2416)))</f>
        <v>59569926.979926057</v>
      </c>
      <c r="B1727">
        <v>208455522.00225225</v>
      </c>
    </row>
    <row r="1728" spans="1:2" x14ac:dyDescent="0.25">
      <c r="A1728">
        <f ca="1">36443.3239335528*((RANDBETWEEN(1587,2416)))</f>
        <v>79373559.527278021</v>
      </c>
      <c r="B1728">
        <v>220876125.48612517</v>
      </c>
    </row>
    <row r="1729" spans="1:2" x14ac:dyDescent="0.25">
      <c r="A1729">
        <f ca="1">39330.380924078*((RANDBETWEEN(1587,2416)))</f>
        <v>69457452.711921722</v>
      </c>
      <c r="B1729">
        <v>266154650.09556991</v>
      </c>
    </row>
    <row r="1730" spans="1:2" x14ac:dyDescent="0.25">
      <c r="A1730">
        <f ca="1">33628.488188259*((RANDBETWEEN(1587,2416)))</f>
        <v>80002173.39986822</v>
      </c>
      <c r="B1730">
        <v>227505660.94901231</v>
      </c>
    </row>
    <row r="1731" spans="1:2" x14ac:dyDescent="0.25">
      <c r="A1731">
        <f ca="1">41355.7120318204*((RANDBETWEEN(1587,2416)))</f>
        <v>73365033.144449338</v>
      </c>
      <c r="B1731">
        <v>219486894.84141484</v>
      </c>
    </row>
    <row r="1732" spans="1:2" x14ac:dyDescent="0.25">
      <c r="A1732">
        <f ca="1">33708.9696555623*((RANDBETWEEN(1587,2416)))</f>
        <v>68294372.522169188</v>
      </c>
      <c r="B1732">
        <v>246484454.41284257</v>
      </c>
    </row>
    <row r="1733" spans="1:2" x14ac:dyDescent="0.25">
      <c r="A1733">
        <f ca="1">36021.8429452118*((RANDBETWEEN(1587,2416)))</f>
        <v>76942656.530972451</v>
      </c>
      <c r="B1733">
        <v>252892317.5120765</v>
      </c>
    </row>
    <row r="1734" spans="1:2" x14ac:dyDescent="0.25">
      <c r="A1734">
        <f ca="1">31438.5309839883*((RANDBETWEEN(1587,2416)))</f>
        <v>62374045.472232722</v>
      </c>
      <c r="B1734">
        <v>236335759.21914196</v>
      </c>
    </row>
    <row r="1735" spans="1:2" x14ac:dyDescent="0.25">
      <c r="A1735">
        <f ca="1">37103.55093329*((RANDBETWEEN(1587,2416)))</f>
        <v>72500338.523648739</v>
      </c>
      <c r="B1735">
        <v>257544651.69846448</v>
      </c>
    </row>
    <row r="1736" spans="1:2" x14ac:dyDescent="0.25">
      <c r="A1736">
        <f ca="1">32802.6684211576*((RANDBETWEEN(1587,2416)))</f>
        <v>55239693.621229321</v>
      </c>
      <c r="B1736">
        <v>254850008.90269506</v>
      </c>
    </row>
    <row r="1737" spans="1:2" x14ac:dyDescent="0.25">
      <c r="A1737">
        <f ca="1">39801.921329784*((RANDBETWEEN(1587,2416)))</f>
        <v>87086603.86956735</v>
      </c>
      <c r="B1737">
        <v>235620775.67607167</v>
      </c>
    </row>
    <row r="1738" spans="1:2" x14ac:dyDescent="0.25">
      <c r="A1738">
        <f ca="1">37555.150923859*((RANDBETWEEN(1587,2416)))</f>
        <v>86339291.973951861</v>
      </c>
      <c r="B1738">
        <v>237117791.43874434</v>
      </c>
    </row>
    <row r="1739" spans="1:2" x14ac:dyDescent="0.25">
      <c r="A1739">
        <f ca="1">29978.0961379051*((RANDBETWEEN(1587,2416)))</f>
        <v>55339565.470572755</v>
      </c>
      <c r="B1739">
        <v>247855360.5003033</v>
      </c>
    </row>
    <row r="1740" spans="1:2" x14ac:dyDescent="0.25">
      <c r="A1740">
        <f ca="1">32098.460092767*((RANDBETWEEN(1587,2416)))</f>
        <v>56108108.242156751</v>
      </c>
      <c r="B1740">
        <v>249086904.45682955</v>
      </c>
    </row>
    <row r="1741" spans="1:2" x14ac:dyDescent="0.25">
      <c r="A1741">
        <f ca="1">36110.366798032*((RANDBETWEEN(1587,2416)))</f>
        <v>77456736.781778798</v>
      </c>
      <c r="B1741">
        <v>234679095.75766832</v>
      </c>
    </row>
    <row r="1742" spans="1:2" x14ac:dyDescent="0.25">
      <c r="A1742">
        <f ca="1">31807.2196784916*((RANDBETWEEN(1587,2416)))</f>
        <v>67781185.134865671</v>
      </c>
      <c r="B1742">
        <v>258044921.55937818</v>
      </c>
    </row>
    <row r="1743" spans="1:2" x14ac:dyDescent="0.25">
      <c r="A1743">
        <f ca="1">32029.6728587927*((RANDBETWEEN(1587,2416)))</f>
        <v>61496971.888882056</v>
      </c>
      <c r="B1743">
        <v>220443380.5502477</v>
      </c>
    </row>
    <row r="1744" spans="1:2" x14ac:dyDescent="0.25">
      <c r="A1744">
        <f ca="1">40972.0227328791*((RANDBETWEEN(1587,2416)))</f>
        <v>84689170.988861114</v>
      </c>
      <c r="B1744">
        <v>204070372.88810414</v>
      </c>
    </row>
    <row r="1745" spans="1:2" x14ac:dyDescent="0.25">
      <c r="A1745">
        <f ca="1">32013.0068223938*((RANDBETWEEN(1587,2416)))</f>
        <v>65338546.924505703</v>
      </c>
      <c r="B1745">
        <v>229236021.59520188</v>
      </c>
    </row>
    <row r="1746" spans="1:2" x14ac:dyDescent="0.25">
      <c r="A1746">
        <f ca="1">31734.7211396886*((RANDBETWEEN(1587,2416)))</f>
        <v>70800162.862645209</v>
      </c>
      <c r="B1746">
        <v>221014567.58176473</v>
      </c>
    </row>
    <row r="1747" spans="1:2" x14ac:dyDescent="0.25">
      <c r="A1747">
        <f ca="1">30475.8640622614*((RANDBETWEEN(1587,2416)))</f>
        <v>63328845.52137921</v>
      </c>
      <c r="B1747">
        <v>243490803.79079607</v>
      </c>
    </row>
    <row r="1748" spans="1:2" x14ac:dyDescent="0.25">
      <c r="A1748">
        <f ca="1">33737.4323683745*((RANDBETWEEN(1587,2416)))</f>
        <v>80632463.360414997</v>
      </c>
      <c r="B1748">
        <v>262099788.64631802</v>
      </c>
    </row>
    <row r="1749" spans="1:2" x14ac:dyDescent="0.25">
      <c r="A1749">
        <f ca="1">32215.2530767648*((RANDBETWEEN(1587,2416)))</f>
        <v>76930024.347314283</v>
      </c>
      <c r="B1749">
        <v>227837377.06896365</v>
      </c>
    </row>
    <row r="1750" spans="1:2" x14ac:dyDescent="0.25">
      <c r="A1750">
        <f ca="1">40714.6268247271*((RANDBETWEEN(1587,2416)))</f>
        <v>87129301.404915899</v>
      </c>
      <c r="B1750">
        <v>266889772.25399503</v>
      </c>
    </row>
    <row r="1751" spans="1:2" x14ac:dyDescent="0.25">
      <c r="A1751">
        <f ca="1">36081.0050872187*((RANDBETWEEN(1587,2416)))</f>
        <v>79378211.19188112</v>
      </c>
      <c r="B1751">
        <v>214754032.58377302</v>
      </c>
    </row>
    <row r="1752" spans="1:2" x14ac:dyDescent="0.25">
      <c r="A1752">
        <f ca="1">35788.9496684749*((RANDBETWEEN(1587,2416)))</f>
        <v>85285067.059975803</v>
      </c>
      <c r="B1752">
        <v>242014349.97897762</v>
      </c>
    </row>
    <row r="1753" spans="1:2" x14ac:dyDescent="0.25">
      <c r="A1753">
        <f ca="1">36360.4959342847*((RANDBETWEEN(1587,2416)))</f>
        <v>67085114.998755321</v>
      </c>
      <c r="B1753">
        <v>215189615.4684712</v>
      </c>
    </row>
    <row r="1754" spans="1:2" x14ac:dyDescent="0.25">
      <c r="A1754">
        <f ca="1">42068.2933647039*((RANDBETWEEN(1587,2416)))</f>
        <v>100374947.96818341</v>
      </c>
      <c r="B1754">
        <v>246624586.43511152</v>
      </c>
    </row>
    <row r="1755" spans="1:2" x14ac:dyDescent="0.25">
      <c r="A1755">
        <f ca="1">31318.0248472046*((RANDBETWEEN(1587,2416)))</f>
        <v>71248506.527390406</v>
      </c>
      <c r="B1755">
        <v>226492259.53974199</v>
      </c>
    </row>
    <row r="1756" spans="1:2" x14ac:dyDescent="0.25">
      <c r="A1756">
        <f ca="1">33304.5844812234*((RANDBETWEEN(1587,2416)))</f>
        <v>72337557.493217409</v>
      </c>
      <c r="B1756">
        <v>220044050.67780459</v>
      </c>
    </row>
    <row r="1757" spans="1:2" x14ac:dyDescent="0.25">
      <c r="A1757">
        <f ca="1">35793.940308669*((RANDBETWEEN(1587,2416)))</f>
        <v>73377577.632771522</v>
      </c>
      <c r="B1757">
        <v>249456090.34606516</v>
      </c>
    </row>
    <row r="1758" spans="1:2" x14ac:dyDescent="0.25">
      <c r="A1758">
        <f ca="1">38968.6041269194*((RANDBETWEEN(1587,2416)))</f>
        <v>73806536.21638535</v>
      </c>
      <c r="B1758">
        <v>230003389.78774124</v>
      </c>
    </row>
    <row r="1759" spans="1:2" x14ac:dyDescent="0.25">
      <c r="A1759">
        <f ca="1">38488.0761301585*((RANDBETWEEN(1587,2416)))</f>
        <v>90677907.362653375</v>
      </c>
      <c r="B1759">
        <v>259369036.70491815</v>
      </c>
    </row>
    <row r="1760" spans="1:2" x14ac:dyDescent="0.25">
      <c r="A1760">
        <f ca="1">32311.5313865472*((RANDBETWEEN(1587,2416)))</f>
        <v>60422563.692843273</v>
      </c>
      <c r="B1760">
        <v>261482284.47229204</v>
      </c>
    </row>
    <row r="1761" spans="1:2" x14ac:dyDescent="0.25">
      <c r="A1761">
        <f ca="1">33766.5605750355*((RANDBETWEEN(1587,2416)))</f>
        <v>73915001.098752663</v>
      </c>
      <c r="B1761">
        <v>234394680.96543998</v>
      </c>
    </row>
    <row r="1762" spans="1:2" x14ac:dyDescent="0.25">
      <c r="A1762">
        <f ca="1">42010.1866623747*((RANDBETWEEN(1587,2416)))</f>
        <v>75450295.245624959</v>
      </c>
      <c r="B1762">
        <v>231027765.46902314</v>
      </c>
    </row>
    <row r="1763" spans="1:2" x14ac:dyDescent="0.25">
      <c r="A1763">
        <f ca="1">33589.3267300654*((RANDBETWEEN(1587,2416)))</f>
        <v>67447368.073971272</v>
      </c>
      <c r="B1763">
        <v>248474711.65471399</v>
      </c>
    </row>
    <row r="1764" spans="1:2" x14ac:dyDescent="0.25">
      <c r="A1764">
        <f ca="1">33551.1115897084*((RANDBETWEEN(1587,2416)))</f>
        <v>55426436.346198231</v>
      </c>
      <c r="B1764">
        <v>240675022.32521725</v>
      </c>
    </row>
    <row r="1765" spans="1:2" x14ac:dyDescent="0.25">
      <c r="A1765">
        <f ca="1">30362.3222114199*((RANDBETWEEN(1587,2416)))</f>
        <v>65764789.909935467</v>
      </c>
      <c r="B1765">
        <v>208198938.02592319</v>
      </c>
    </row>
    <row r="1766" spans="1:2" x14ac:dyDescent="0.25">
      <c r="A1766">
        <f ca="1">32581.0808919097*((RANDBETWEEN(1587,2416)))</f>
        <v>52716188.883109838</v>
      </c>
      <c r="B1766">
        <v>246509749.15776306</v>
      </c>
    </row>
    <row r="1767" spans="1:2" x14ac:dyDescent="0.25">
      <c r="A1767">
        <f ca="1">37624.0906271041*((RANDBETWEEN(1587,2416)))</f>
        <v>80666050.30451116</v>
      </c>
      <c r="B1767">
        <v>208340717.40245369</v>
      </c>
    </row>
    <row r="1768" spans="1:2" x14ac:dyDescent="0.25">
      <c r="A1768">
        <f ca="1">34517.3537630437*((RANDBETWEEN(1587,2416)))</f>
        <v>60060195.547696114</v>
      </c>
      <c r="B1768">
        <v>219015523.91933402</v>
      </c>
    </row>
    <row r="1769" spans="1:2" x14ac:dyDescent="0.25">
      <c r="A1769">
        <f ca="1">37219.3222890602*((RANDBETWEEN(1587,2416)))</f>
        <v>86348827.710619688</v>
      </c>
      <c r="B1769">
        <v>234047785.17739543</v>
      </c>
    </row>
    <row r="1770" spans="1:2" x14ac:dyDescent="0.25">
      <c r="A1770">
        <f ca="1">32204.0886848795*((RANDBETWEEN(1587,2416)))</f>
        <v>63409850.620527662</v>
      </c>
      <c r="B1770">
        <v>240726372.16005647</v>
      </c>
    </row>
    <row r="1771" spans="1:2" x14ac:dyDescent="0.25">
      <c r="A1771">
        <f ca="1">28781.5807848533*((RANDBETWEEN(1587,2416)))</f>
        <v>49619445.273087047</v>
      </c>
      <c r="B1771">
        <v>259459492.39074415</v>
      </c>
    </row>
    <row r="1772" spans="1:2" x14ac:dyDescent="0.25">
      <c r="A1772">
        <f ca="1">35816.3690275287*((RANDBETWEEN(1587,2416)))</f>
        <v>75572538.648085505</v>
      </c>
      <c r="B1772">
        <v>236184562.71707842</v>
      </c>
    </row>
    <row r="1773" spans="1:2" x14ac:dyDescent="0.25">
      <c r="A1773">
        <f ca="1">30832.934383797*((RANDBETWEEN(1587,2416)))</f>
        <v>73351550.899052948</v>
      </c>
      <c r="B1773">
        <v>221560582.13314325</v>
      </c>
    </row>
    <row r="1774" spans="1:2" x14ac:dyDescent="0.25">
      <c r="A1774">
        <f ca="1">27696.0123999888*((RANDBETWEEN(1587,2416)))</f>
        <v>65501069.3259736</v>
      </c>
      <c r="B1774">
        <v>229503744.86791682</v>
      </c>
    </row>
    <row r="1775" spans="1:2" x14ac:dyDescent="0.25">
      <c r="A1775">
        <f ca="1">41574.9425619819*((RANDBETWEEN(1587,2416)))</f>
        <v>67850306.261154383</v>
      </c>
      <c r="B1775">
        <v>231973400.22302637</v>
      </c>
    </row>
    <row r="1776" spans="1:2" x14ac:dyDescent="0.25">
      <c r="A1776">
        <f ca="1">29687.4762377278*((RANDBETWEEN(1587,2416)))</f>
        <v>61809325.526949182</v>
      </c>
      <c r="B1776">
        <v>253671538.53721836</v>
      </c>
    </row>
    <row r="1777" spans="1:2" x14ac:dyDescent="0.25">
      <c r="A1777">
        <f ca="1">41529.4817917435*((RANDBETWEEN(1587,2416)))</f>
        <v>95933102.938927382</v>
      </c>
      <c r="B1777">
        <v>215256081.00354093</v>
      </c>
    </row>
    <row r="1778" spans="1:2" x14ac:dyDescent="0.25">
      <c r="A1778">
        <f ca="1">33182.842378402*((RANDBETWEEN(1587,2416)))</f>
        <v>59463653.542096421</v>
      </c>
      <c r="B1778">
        <v>235037431.05308443</v>
      </c>
    </row>
    <row r="1779" spans="1:2" x14ac:dyDescent="0.25">
      <c r="A1779">
        <f ca="1">38420.1582308071*((RANDBETWEEN(1587,2416)))</f>
        <v>85984314.120546222</v>
      </c>
      <c r="B1779">
        <v>210198644.13333294</v>
      </c>
    </row>
    <row r="1780" spans="1:2" x14ac:dyDescent="0.25">
      <c r="A1780">
        <f ca="1">35198.6558641441*((RANDBETWEEN(1587,2416)))</f>
        <v>67475823.291564286</v>
      </c>
      <c r="B1780">
        <v>215116931.76346865</v>
      </c>
    </row>
    <row r="1781" spans="1:2" x14ac:dyDescent="0.25">
      <c r="A1781">
        <f ca="1">41549.5282968645*((RANDBETWEEN(1587,2416)))</f>
        <v>90702620.272055104</v>
      </c>
      <c r="B1781">
        <v>250536508.553321</v>
      </c>
    </row>
    <row r="1782" spans="1:2" x14ac:dyDescent="0.25">
      <c r="A1782">
        <f ca="1">35021.3553557975*((RANDBETWEEN(1587,2416)))</f>
        <v>59291154.617365114</v>
      </c>
      <c r="B1782">
        <v>211573642.37580609</v>
      </c>
    </row>
    <row r="1783" spans="1:2" x14ac:dyDescent="0.25">
      <c r="A1783">
        <f ca="1">31773.7937828843*((RANDBETWEEN(1587,2416)))</f>
        <v>54364961.162515089</v>
      </c>
      <c r="B1783">
        <v>246524754.90109718</v>
      </c>
    </row>
    <row r="1784" spans="1:2" x14ac:dyDescent="0.25">
      <c r="A1784">
        <f ca="1">29932.0773991323*((RANDBETWEEN(1587,2416)))</f>
        <v>71417936.674329624</v>
      </c>
      <c r="B1784">
        <v>242616354.20282906</v>
      </c>
    </row>
    <row r="1785" spans="1:2" x14ac:dyDescent="0.25">
      <c r="A1785">
        <f ca="1">30875.4985709449*((RANDBETWEEN(1587,2416)))</f>
        <v>67339462.383230731</v>
      </c>
      <c r="B1785">
        <v>259233442.41435689</v>
      </c>
    </row>
    <row r="1786" spans="1:2" x14ac:dyDescent="0.25">
      <c r="A1786">
        <f ca="1">31660.4374181374*((RANDBETWEEN(1587,2416)))</f>
        <v>62371061.713730663</v>
      </c>
      <c r="B1786">
        <v>203876278.46972266</v>
      </c>
    </row>
    <row r="1787" spans="1:2" x14ac:dyDescent="0.25">
      <c r="A1787">
        <f ca="1">39163.2733291883*((RANDBETWEEN(1587,2416)))</f>
        <v>77582444.465122014</v>
      </c>
      <c r="B1787">
        <v>219818952.57533067</v>
      </c>
    </row>
    <row r="1788" spans="1:2" x14ac:dyDescent="0.25">
      <c r="A1788">
        <f ca="1">35825.9566429503*((RANDBETWEEN(1587,2416)))</f>
        <v>77634848.045273229</v>
      </c>
      <c r="B1788">
        <v>260819743.69888204</v>
      </c>
    </row>
    <row r="1789" spans="1:2" x14ac:dyDescent="0.25">
      <c r="A1789">
        <f ca="1">32499.7359454566*((RANDBETWEEN(1587,2416)))</f>
        <v>67696949.974386066</v>
      </c>
      <c r="B1789">
        <v>215127434.31361583</v>
      </c>
    </row>
    <row r="1790" spans="1:2" x14ac:dyDescent="0.25">
      <c r="A1790">
        <f ca="1">33048.9123180102*((RANDBETWEEN(1587,2416)))</f>
        <v>52944357.533452354</v>
      </c>
      <c r="B1790">
        <v>211821894.96038651</v>
      </c>
    </row>
    <row r="1791" spans="1:2" x14ac:dyDescent="0.25">
      <c r="A1791">
        <f ca="1">42320.0151939257*((RANDBETWEEN(1587,2416)))</f>
        <v>75456587.090769559</v>
      </c>
      <c r="B1791">
        <v>264459336.56503648</v>
      </c>
    </row>
    <row r="1792" spans="1:2" x14ac:dyDescent="0.25">
      <c r="A1792">
        <f ca="1">29861.6355360028*((RANDBETWEEN(1587,2416)))</f>
        <v>63157359.158645958</v>
      </c>
      <c r="B1792">
        <v>205462036.25109187</v>
      </c>
    </row>
    <row r="1793" spans="1:2" x14ac:dyDescent="0.25">
      <c r="A1793">
        <f ca="1">31726.3356805401*((RANDBETWEEN(1587,2416)))</f>
        <v>62088438.926817141</v>
      </c>
      <c r="B1793">
        <v>209077423.23262075</v>
      </c>
    </row>
    <row r="1794" spans="1:2" x14ac:dyDescent="0.25">
      <c r="A1794">
        <f ca="1">35300.5888974303*((RANDBETWEEN(1587,2416)))</f>
        <v>63823464.726554066</v>
      </c>
      <c r="B1794">
        <v>264213146.27551046</v>
      </c>
    </row>
    <row r="1795" spans="1:2" x14ac:dyDescent="0.25">
      <c r="A1795">
        <f ca="1">30101.2594375006*((RANDBETWEEN(1587,2416)))</f>
        <v>64476897.715126351</v>
      </c>
      <c r="B1795">
        <v>262029173.40253657</v>
      </c>
    </row>
    <row r="1796" spans="1:2" x14ac:dyDescent="0.25">
      <c r="A1796">
        <f ca="1">30159.9405368198*((RANDBETWEEN(1587,2416)))</f>
        <v>56489568.625463553</v>
      </c>
      <c r="B1796">
        <v>211177059.58522135</v>
      </c>
    </row>
    <row r="1797" spans="1:2" x14ac:dyDescent="0.25">
      <c r="A1797">
        <f ca="1">32135.092282824*((RANDBETWEEN(1587,2416)))</f>
        <v>71629120.698414609</v>
      </c>
      <c r="B1797">
        <v>243376889.11882111</v>
      </c>
    </row>
    <row r="1798" spans="1:2" x14ac:dyDescent="0.25">
      <c r="A1798">
        <f ca="1">29538.1475251011*((RANDBETWEEN(1587,2416)))</f>
        <v>66135912.308701456</v>
      </c>
      <c r="B1798">
        <v>212975545.96255225</v>
      </c>
    </row>
    <row r="1799" spans="1:2" x14ac:dyDescent="0.25">
      <c r="A1799">
        <f ca="1">33476.1539514244*((RANDBETWEEN(1587,2416)))</f>
        <v>58114603.259672835</v>
      </c>
      <c r="B1799">
        <v>256522868.04074207</v>
      </c>
    </row>
    <row r="1800" spans="1:2" x14ac:dyDescent="0.25">
      <c r="A1800">
        <f ca="1">30985.5057641998*((RANDBETWEEN(1587,2416)))</f>
        <v>59894982.642198294</v>
      </c>
      <c r="B1800">
        <v>266803099.92274857</v>
      </c>
    </row>
    <row r="1801" spans="1:2" x14ac:dyDescent="0.25">
      <c r="A1801">
        <f ca="1">31733.4012833718*((RANDBETWEEN(1587,2416)))</f>
        <v>66100674.873263553</v>
      </c>
      <c r="B1801">
        <v>225626136.80017519</v>
      </c>
    </row>
    <row r="1802" spans="1:2" x14ac:dyDescent="0.25">
      <c r="A1802">
        <f ca="1">35399.5708568688*((RANDBETWEEN(1587,2416)))</f>
        <v>67329983.769764453</v>
      </c>
      <c r="B1802">
        <v>256959596.94706377</v>
      </c>
    </row>
    <row r="1803" spans="1:2" x14ac:dyDescent="0.25">
      <c r="A1803">
        <f ca="1">30419.9045338674*((RANDBETWEEN(1587,2416)))</f>
        <v>54117010.165750094</v>
      </c>
      <c r="B1803">
        <v>262956732.82404089</v>
      </c>
    </row>
    <row r="1804" spans="1:2" x14ac:dyDescent="0.25">
      <c r="A1804">
        <f ca="1">31586.0102800571*((RANDBETWEEN(1587,2416)))</f>
        <v>68320540.23576352</v>
      </c>
      <c r="B1804">
        <v>232186484.5907048</v>
      </c>
    </row>
    <row r="1805" spans="1:2" x14ac:dyDescent="0.25">
      <c r="A1805">
        <f ca="1">35190.5937660241*((RANDBETWEEN(1587,2416)))</f>
        <v>79601123.098746538</v>
      </c>
      <c r="B1805">
        <v>265553031.55543345</v>
      </c>
    </row>
    <row r="1806" spans="1:2" x14ac:dyDescent="0.25">
      <c r="A1806">
        <f ca="1">33589.054630143*((RANDBETWEEN(1587,2416)))</f>
        <v>67581177.915847704</v>
      </c>
      <c r="B1806">
        <v>241790227.57687113</v>
      </c>
    </row>
    <row r="1807" spans="1:2" x14ac:dyDescent="0.25">
      <c r="A1807">
        <f ca="1">28961.8164978111*((RANDBETWEEN(1587,2416)))</f>
        <v>67654803.338886797</v>
      </c>
      <c r="B1807">
        <v>260470243.70174989</v>
      </c>
    </row>
    <row r="1808" spans="1:2" x14ac:dyDescent="0.25">
      <c r="A1808">
        <f ca="1">32384.2548056947*((RANDBETWEEN(1587,2416)))</f>
        <v>75876309.009742916</v>
      </c>
      <c r="B1808">
        <v>264814494.40057203</v>
      </c>
    </row>
    <row r="1809" spans="1:2" x14ac:dyDescent="0.25">
      <c r="A1809">
        <f ca="1">37952.0637145496*((RANDBETWEEN(1587,2416)))</f>
        <v>89377110.047764361</v>
      </c>
      <c r="B1809">
        <v>262011116.43615323</v>
      </c>
    </row>
    <row r="1810" spans="1:2" x14ac:dyDescent="0.25">
      <c r="A1810">
        <f ca="1">32776.0170048891*((RANDBETWEEN(1587,2416)))</f>
        <v>52179419.071783379</v>
      </c>
      <c r="B1810">
        <v>203961678.15032455</v>
      </c>
    </row>
    <row r="1811" spans="1:2" x14ac:dyDescent="0.25">
      <c r="A1811">
        <f ca="1">31584.6972516053*((RANDBETWEEN(1587,2416)))</f>
        <v>76308628.559878334</v>
      </c>
      <c r="B1811">
        <v>224452848.20314479</v>
      </c>
    </row>
    <row r="1812" spans="1:2" x14ac:dyDescent="0.25">
      <c r="A1812">
        <f ca="1">33786.7795151077*((RANDBETWEEN(1587,2416)))</f>
        <v>64498962.0943406</v>
      </c>
      <c r="B1812">
        <v>258280822.23054233</v>
      </c>
    </row>
    <row r="1813" spans="1:2" x14ac:dyDescent="0.25">
      <c r="A1813">
        <f ca="1">33736.385665337*((RANDBETWEEN(1587,2416)))</f>
        <v>58296474.429702267</v>
      </c>
      <c r="B1813">
        <v>228727676.31335765</v>
      </c>
    </row>
    <row r="1814" spans="1:2" x14ac:dyDescent="0.25">
      <c r="A1814">
        <f ca="1">39241.06849681*((RANDBETWEEN(1587,2416)))</f>
        <v>67023744.992551461</v>
      </c>
      <c r="B1814">
        <v>235646448.43499991</v>
      </c>
    </row>
    <row r="1815" spans="1:2" x14ac:dyDescent="0.25">
      <c r="A1815">
        <f ca="1">30538.2682447933*((RANDBETWEEN(1587,2416)))</f>
        <v>48494769.972731695</v>
      </c>
      <c r="B1815">
        <v>218092743.91886431</v>
      </c>
    </row>
    <row r="1816" spans="1:2" x14ac:dyDescent="0.25">
      <c r="A1816">
        <f ca="1">29559.2633687146*((RANDBETWEEN(1587,2416)))</f>
        <v>65532886.888440199</v>
      </c>
      <c r="B1816">
        <v>224823711.41909939</v>
      </c>
    </row>
    <row r="1817" spans="1:2" x14ac:dyDescent="0.25">
      <c r="A1817">
        <f ca="1">39217.6845349481*((RANDBETWEEN(1587,2416)))</f>
        <v>93377306.877711415</v>
      </c>
      <c r="B1817">
        <v>225377825.87437722</v>
      </c>
    </row>
    <row r="1818" spans="1:2" x14ac:dyDescent="0.25">
      <c r="A1818">
        <f ca="1">40722.8000683624*((RANDBETWEEN(1587,2416)))</f>
        <v>78065607.731050789</v>
      </c>
      <c r="B1818">
        <v>219801795.26026404</v>
      </c>
    </row>
    <row r="1819" spans="1:2" x14ac:dyDescent="0.25">
      <c r="A1819">
        <f ca="1">35109.9794468981*((RANDBETWEEN(1587,2416)))</f>
        <v>74608706.324658573</v>
      </c>
      <c r="B1819">
        <v>228825333.29671109</v>
      </c>
    </row>
    <row r="1820" spans="1:2" x14ac:dyDescent="0.25">
      <c r="A1820">
        <f ca="1">37900.594913669*((RANDBETWEEN(1587,2416)))</f>
        <v>68410573.819172576</v>
      </c>
      <c r="B1820">
        <v>216331515.81088078</v>
      </c>
    </row>
    <row r="1821" spans="1:2" x14ac:dyDescent="0.25">
      <c r="A1821">
        <f ca="1">31139.8006636074*((RANDBETWEEN(1587,2416)))</f>
        <v>58480545.646254733</v>
      </c>
      <c r="B1821">
        <v>259231141.89058888</v>
      </c>
    </row>
    <row r="1822" spans="1:2" x14ac:dyDescent="0.25">
      <c r="A1822">
        <f ca="1">32603.55961254*((RANDBETWEEN(1587,2416)))</f>
        <v>67848007.553695723</v>
      </c>
      <c r="B1822">
        <v>255859364.98011193</v>
      </c>
    </row>
    <row r="1823" spans="1:2" x14ac:dyDescent="0.25">
      <c r="A1823">
        <f ca="1">32680.6516532477*((RANDBETWEEN(1587,2416)))</f>
        <v>77845312.238035962</v>
      </c>
      <c r="B1823">
        <v>220957351.63709602</v>
      </c>
    </row>
    <row r="1824" spans="1:2" x14ac:dyDescent="0.25">
      <c r="A1824">
        <f ca="1">33708.7407342639*((RANDBETWEEN(1587,2416)))</f>
        <v>61147655.691954657</v>
      </c>
      <c r="B1824">
        <v>204822684.69952875</v>
      </c>
    </row>
    <row r="1825" spans="1:2" x14ac:dyDescent="0.25">
      <c r="A1825">
        <f ca="1">34219.2744173342*((RANDBETWEEN(1587,2416)))</f>
        <v>72613300.31358321</v>
      </c>
      <c r="B1825">
        <v>216108706.2860747</v>
      </c>
    </row>
    <row r="1826" spans="1:2" x14ac:dyDescent="0.25">
      <c r="A1826">
        <f ca="1">30852.6519054253*((RANDBETWEEN(1587,2416)))</f>
        <v>55318804.866427563</v>
      </c>
      <c r="B1826">
        <v>260994596.04426402</v>
      </c>
    </row>
    <row r="1827" spans="1:2" x14ac:dyDescent="0.25">
      <c r="A1827">
        <f ca="1">35054.6631700179*((RANDBETWEEN(1587,2416)))</f>
        <v>68391647.844704911</v>
      </c>
      <c r="B1827">
        <v>266766857.12430963</v>
      </c>
    </row>
    <row r="1828" spans="1:2" x14ac:dyDescent="0.25">
      <c r="A1828">
        <f ca="1">34744.0844468225*((RANDBETWEEN(1587,2416)))</f>
        <v>76402241.698562652</v>
      </c>
      <c r="B1828">
        <v>218676547.30123365</v>
      </c>
    </row>
    <row r="1829" spans="1:2" x14ac:dyDescent="0.25">
      <c r="A1829">
        <f ca="1">31351.132302189*((RANDBETWEEN(1587,2416)))</f>
        <v>75462175.451368988</v>
      </c>
      <c r="B1829">
        <v>211963879.2800318</v>
      </c>
    </row>
    <row r="1830" spans="1:2" x14ac:dyDescent="0.25">
      <c r="A1830">
        <f ca="1">31833.4100048354*((RANDBETWEEN(1587,2416)))</f>
        <v>53734796.088162094</v>
      </c>
      <c r="B1830">
        <v>267087354.71691608</v>
      </c>
    </row>
    <row r="1831" spans="1:2" x14ac:dyDescent="0.25">
      <c r="A1831">
        <f ca="1">28390.0541437385*((RANDBETWEEN(1587,2416)))</f>
        <v>48121141.77363684</v>
      </c>
      <c r="B1831">
        <v>256901525.8498596</v>
      </c>
    </row>
    <row r="1832" spans="1:2" x14ac:dyDescent="0.25">
      <c r="A1832">
        <f ca="1">39935.3410910593*((RANDBETWEEN(1587,2416)))</f>
        <v>67450791.102799147</v>
      </c>
      <c r="B1832">
        <v>206464871.11654213</v>
      </c>
    </row>
    <row r="1833" spans="1:2" x14ac:dyDescent="0.25">
      <c r="A1833">
        <f ca="1">35592.9690179259*((RANDBETWEEN(1587,2416)))</f>
        <v>63141927.03780058</v>
      </c>
      <c r="B1833">
        <v>230297477.68686479</v>
      </c>
    </row>
    <row r="1834" spans="1:2" x14ac:dyDescent="0.25">
      <c r="A1834">
        <f ca="1">32046.0837142616*((RANDBETWEEN(1587,2416)))</f>
        <v>58772517.531955861</v>
      </c>
      <c r="B1834">
        <v>241555436.23303258</v>
      </c>
    </row>
    <row r="1835" spans="1:2" x14ac:dyDescent="0.25">
      <c r="A1835">
        <f ca="1">35731.7475848177*((RANDBETWEEN(1587,2416)))</f>
        <v>75644109.637059152</v>
      </c>
      <c r="B1835">
        <v>211515161.53798178</v>
      </c>
    </row>
    <row r="1836" spans="1:2" x14ac:dyDescent="0.25">
      <c r="A1836">
        <f ca="1">31147.6605216373*((RANDBETWEEN(1587,2416)))</f>
        <v>70206826.815770492</v>
      </c>
      <c r="B1836">
        <v>254643231.49043095</v>
      </c>
    </row>
    <row r="1837" spans="1:2" x14ac:dyDescent="0.25">
      <c r="A1837">
        <f ca="1">38230.185108539*((RANDBETWEEN(1587,2416)))</f>
        <v>76269219.291535318</v>
      </c>
      <c r="B1837">
        <v>261438809.0182761</v>
      </c>
    </row>
    <row r="1838" spans="1:2" x14ac:dyDescent="0.25">
      <c r="A1838">
        <f ca="1">32765.7632042614*((RANDBETWEEN(1587,2416)))</f>
        <v>59535391.74214302</v>
      </c>
      <c r="B1838">
        <v>216379145.56332046</v>
      </c>
    </row>
    <row r="1839" spans="1:2" x14ac:dyDescent="0.25">
      <c r="A1839">
        <f ca="1">34780.8121345489*((RANDBETWEEN(1587,2416)))</f>
        <v>60309928.24130775</v>
      </c>
      <c r="B1839">
        <v>218523556.5897463</v>
      </c>
    </row>
    <row r="1840" spans="1:2" x14ac:dyDescent="0.25">
      <c r="A1840">
        <f ca="1">35700.1502861122*((RANDBETWEEN(1587,2416)))</f>
        <v>82395946.860346973</v>
      </c>
      <c r="B1840">
        <v>250373221.26195669</v>
      </c>
    </row>
    <row r="1841" spans="1:2" x14ac:dyDescent="0.25">
      <c r="A1841">
        <f ca="1">39349.8763189746*((RANDBETWEEN(1587,2416)))</f>
        <v>69295132.197714239</v>
      </c>
      <c r="B1841">
        <v>238572653.19491756</v>
      </c>
    </row>
    <row r="1842" spans="1:2" x14ac:dyDescent="0.25">
      <c r="A1842">
        <f ca="1">32805.0660443447*((RANDBETWEEN(1587,2416)))</f>
        <v>63280972.399540864</v>
      </c>
      <c r="B1842">
        <v>249987889.72795433</v>
      </c>
    </row>
    <row r="1843" spans="1:2" x14ac:dyDescent="0.25">
      <c r="A1843">
        <f ca="1">31264.6674264341*((RANDBETWEEN(1587,2416)))</f>
        <v>75347848.497706115</v>
      </c>
      <c r="B1843">
        <v>259098000.08781552</v>
      </c>
    </row>
    <row r="1844" spans="1:2" x14ac:dyDescent="0.25">
      <c r="A1844">
        <f ca="1">32341.0517514599*((RANDBETWEEN(1587,2416)))</f>
        <v>76907021.064971551</v>
      </c>
      <c r="B1844">
        <v>223904843.58136231</v>
      </c>
    </row>
    <row r="1845" spans="1:2" x14ac:dyDescent="0.25">
      <c r="A1845">
        <f ca="1">31923.5404910072*((RANDBETWEEN(1587,2416)))</f>
        <v>75690714.504178092</v>
      </c>
      <c r="B1845">
        <v>246173776.63506731</v>
      </c>
    </row>
    <row r="1846" spans="1:2" x14ac:dyDescent="0.25">
      <c r="A1846">
        <f ca="1">39665.1847559928*((RANDBETWEEN(1587,2416)))</f>
        <v>88215370.897327974</v>
      </c>
      <c r="B1846">
        <v>227061193.3767786</v>
      </c>
    </row>
    <row r="1847" spans="1:2" x14ac:dyDescent="0.25">
      <c r="A1847">
        <f ca="1">40494.8869104305*((RANDBETWEEN(1587,2416)))</f>
        <v>88764792.107663631</v>
      </c>
      <c r="B1847">
        <v>220404375.06122959</v>
      </c>
    </row>
    <row r="1848" spans="1:2" x14ac:dyDescent="0.25">
      <c r="A1848">
        <f ca="1">38985.6055591683*((RANDBETWEEN(1587,2416)))</f>
        <v>88419353.408193693</v>
      </c>
      <c r="B1848">
        <v>214159033.25234362</v>
      </c>
    </row>
    <row r="1849" spans="1:2" x14ac:dyDescent="0.25">
      <c r="A1849">
        <f ca="1">35190.2813293085*((RANDBETWEEN(1587,2416)))</f>
        <v>71471461.379825622</v>
      </c>
      <c r="B1849">
        <v>232558848.16550145</v>
      </c>
    </row>
    <row r="1850" spans="1:2" x14ac:dyDescent="0.25">
      <c r="A1850">
        <f ca="1">36819.9509016639*((RANDBETWEEN(1587,2416)))</f>
        <v>64582193.881518543</v>
      </c>
      <c r="B1850">
        <v>251520234.0974943</v>
      </c>
    </row>
    <row r="1851" spans="1:2" x14ac:dyDescent="0.25">
      <c r="A1851">
        <f ca="1">35835.3188729729*((RANDBETWEEN(1587,2416)))</f>
        <v>83603798.930645749</v>
      </c>
      <c r="B1851">
        <v>254967871.69769889</v>
      </c>
    </row>
    <row r="1852" spans="1:2" x14ac:dyDescent="0.25">
      <c r="A1852">
        <f ca="1">28553.7101008037*((RANDBETWEEN(1587,2416)))</f>
        <v>61561798.97733286</v>
      </c>
      <c r="B1852">
        <v>229363971.69599658</v>
      </c>
    </row>
    <row r="1853" spans="1:2" x14ac:dyDescent="0.25">
      <c r="A1853">
        <f ca="1">32164.6053171712*((RANDBETWEEN(1587,2416)))</f>
        <v>61530889.971748583</v>
      </c>
      <c r="B1853">
        <v>263617659.38953996</v>
      </c>
    </row>
    <row r="1854" spans="1:2" x14ac:dyDescent="0.25">
      <c r="A1854">
        <f ca="1">34540.8478234767*((RANDBETWEEN(1587,2416)))</f>
        <v>82759871.385050148</v>
      </c>
      <c r="B1854">
        <v>209023529.08375967</v>
      </c>
    </row>
    <row r="1855" spans="1:2" x14ac:dyDescent="0.25">
      <c r="A1855">
        <f ca="1">41394.6664350235*((RANDBETWEEN(1587,2416)))</f>
        <v>69915591.60875462</v>
      </c>
      <c r="B1855">
        <v>264689871.50959414</v>
      </c>
    </row>
    <row r="1856" spans="1:2" x14ac:dyDescent="0.25">
      <c r="A1856">
        <f ca="1">38128.2825743579*((RANDBETWEEN(1587,2416)))</f>
        <v>67601445.004336521</v>
      </c>
      <c r="B1856">
        <v>263274351.33456439</v>
      </c>
    </row>
    <row r="1857" spans="1:2" x14ac:dyDescent="0.25">
      <c r="A1857">
        <f ca="1">37446.2871476082*((RANDBETWEEN(1587,2416)))</f>
        <v>74330879.988002211</v>
      </c>
      <c r="B1857">
        <v>234551596.94879803</v>
      </c>
    </row>
    <row r="1858" spans="1:2" x14ac:dyDescent="0.25">
      <c r="A1858">
        <f ca="1">42018.7995334938*((RANDBETWEEN(1587,2416)))</f>
        <v>93113659.766222268</v>
      </c>
      <c r="B1858">
        <v>245345784.04857892</v>
      </c>
    </row>
    <row r="1859" spans="1:2" x14ac:dyDescent="0.25">
      <c r="A1859">
        <f ca="1">31253.2502143452*((RANDBETWEEN(1587,2416)))</f>
        <v>74413988.760355935</v>
      </c>
      <c r="B1859">
        <v>216081859.84473935</v>
      </c>
    </row>
    <row r="1860" spans="1:2" x14ac:dyDescent="0.25">
      <c r="A1860">
        <f ca="1">31875.0833840659*((RANDBETWEEN(1587,2416)))</f>
        <v>58012651.759000003</v>
      </c>
      <c r="B1860">
        <v>222751199.76989523</v>
      </c>
    </row>
    <row r="1861" spans="1:2" x14ac:dyDescent="0.25">
      <c r="A1861">
        <f ca="1">34794.9221023131*((RANDBETWEEN(1587,2416)))</f>
        <v>72373437.972811326</v>
      </c>
      <c r="B1861">
        <v>240615376.80904537</v>
      </c>
    </row>
    <row r="1862" spans="1:2" x14ac:dyDescent="0.25">
      <c r="A1862">
        <f ca="1">33675.0666878764*((RANDBETWEEN(1587,2416)))</f>
        <v>69067561.776834548</v>
      </c>
      <c r="B1862">
        <v>217429087.04853433</v>
      </c>
    </row>
    <row r="1863" spans="1:2" x14ac:dyDescent="0.25">
      <c r="A1863">
        <f ca="1">31970.5480821157*((RANDBETWEEN(1587,2416)))</f>
        <v>60744041.356019847</v>
      </c>
      <c r="B1863">
        <v>234709944.53619388</v>
      </c>
    </row>
    <row r="1864" spans="1:2" x14ac:dyDescent="0.25">
      <c r="A1864">
        <f ca="1">31222.9094940474*((RANDBETWEEN(1587,2416)))</f>
        <v>63382506.272916153</v>
      </c>
      <c r="B1864">
        <v>260442146.27193898</v>
      </c>
    </row>
    <row r="1865" spans="1:2" x14ac:dyDescent="0.25">
      <c r="A1865">
        <f ca="1">39989.8071265199*((RANDBETWEEN(1587,2416)))</f>
        <v>80539471.552811027</v>
      </c>
      <c r="B1865">
        <v>215663105.51028478</v>
      </c>
    </row>
    <row r="1866" spans="1:2" x14ac:dyDescent="0.25">
      <c r="A1866">
        <f ca="1">40099.6740183537*((RANDBETWEEN(1587,2416)))</f>
        <v>94234233.943131283</v>
      </c>
      <c r="B1866">
        <v>249935839.92224458</v>
      </c>
    </row>
    <row r="1867" spans="1:2" x14ac:dyDescent="0.25">
      <c r="A1867">
        <f ca="1">36230.6961020062*((RANDBETWEEN(1587,2416)))</f>
        <v>77135152.001171261</v>
      </c>
      <c r="B1867">
        <v>213799110.33587164</v>
      </c>
    </row>
    <row r="1868" spans="1:2" x14ac:dyDescent="0.25">
      <c r="A1868">
        <f ca="1">37271.9285224578*((RANDBETWEEN(1587,2416)))</f>
        <v>70742120.335624903</v>
      </c>
      <c r="B1868">
        <v>246401328.52839386</v>
      </c>
    </row>
    <row r="1869" spans="1:2" x14ac:dyDescent="0.25">
      <c r="A1869">
        <f ca="1">36980.0388573873*((RANDBETWEEN(1587,2416)))</f>
        <v>64012447.26213745</v>
      </c>
      <c r="B1869">
        <v>246839649.73142701</v>
      </c>
    </row>
    <row r="1870" spans="1:2" x14ac:dyDescent="0.25">
      <c r="A1870">
        <f ca="1">37713.4221836072*((RANDBETWEEN(1587,2416)))</f>
        <v>64716232.467069961</v>
      </c>
      <c r="B1870">
        <v>265135774.2733435</v>
      </c>
    </row>
    <row r="1871" spans="1:2" x14ac:dyDescent="0.25">
      <c r="A1871">
        <f ca="1">32361.948416702*((RANDBETWEEN(1587,2416)))</f>
        <v>57895525.717479862</v>
      </c>
      <c r="B1871">
        <v>245405634.20305645</v>
      </c>
    </row>
    <row r="1872" spans="1:2" x14ac:dyDescent="0.25">
      <c r="A1872">
        <f ca="1">30291.5098057831*((RANDBETWEEN(1587,2416)))</f>
        <v>55736378.04264085</v>
      </c>
      <c r="B1872">
        <v>219288097.70948923</v>
      </c>
    </row>
    <row r="1873" spans="1:2" x14ac:dyDescent="0.25">
      <c r="A1873">
        <f ca="1">39388.065575081*((RANDBETWEEN(1587,2416)))</f>
        <v>85944759.084826633</v>
      </c>
      <c r="B1873">
        <v>245047238.42102844</v>
      </c>
    </row>
    <row r="1874" spans="1:2" x14ac:dyDescent="0.25">
      <c r="A1874">
        <f ca="1">32790.5502426417*((RANDBETWEEN(1587,2416)))</f>
        <v>78926854.434038609</v>
      </c>
      <c r="B1874">
        <v>209257871.41886705</v>
      </c>
    </row>
    <row r="1875" spans="1:2" x14ac:dyDescent="0.25">
      <c r="A1875">
        <f ca="1">34301.2505519784*((RANDBETWEEN(1587,2416)))</f>
        <v>64246242.283855617</v>
      </c>
      <c r="B1875">
        <v>263136647.3521952</v>
      </c>
    </row>
    <row r="1876" spans="1:2" x14ac:dyDescent="0.25">
      <c r="A1876">
        <f ca="1">38120.8602955562*((RANDBETWEEN(1587,2416)))</f>
        <v>83637167.488450199</v>
      </c>
      <c r="B1876">
        <v>267437209.57350254</v>
      </c>
    </row>
    <row r="1877" spans="1:2" x14ac:dyDescent="0.25">
      <c r="A1877">
        <f ca="1">34729.4235577079*((RANDBETWEEN(1587,2416)))</f>
        <v>71368965.411089808</v>
      </c>
      <c r="B1877">
        <v>218566353.23309392</v>
      </c>
    </row>
    <row r="1878" spans="1:2" x14ac:dyDescent="0.25">
      <c r="A1878">
        <f ca="1">38108.8313264227*((RANDBETWEEN(1587,2416)))</f>
        <v>68595896.387560859</v>
      </c>
      <c r="B1878">
        <v>215683938.02312586</v>
      </c>
    </row>
    <row r="1879" spans="1:2" x14ac:dyDescent="0.25">
      <c r="A1879">
        <f ca="1">33689.1553854941*((RANDBETWEEN(1587,2416)))</f>
        <v>54037405.238332585</v>
      </c>
      <c r="B1879">
        <v>252626191.14674133</v>
      </c>
    </row>
    <row r="1880" spans="1:2" x14ac:dyDescent="0.25">
      <c r="A1880">
        <f ca="1">39016.5710534408*((RANDBETWEEN(1587,2416)))</f>
        <v>81778732.928012028</v>
      </c>
      <c r="B1880">
        <v>210409517.38204142</v>
      </c>
    </row>
    <row r="1881" spans="1:2" x14ac:dyDescent="0.25">
      <c r="A1881">
        <f ca="1">31367.0982900794*((RANDBETWEEN(1587,2416)))</f>
        <v>75469238.485930979</v>
      </c>
      <c r="B1881">
        <v>257141874.36085415</v>
      </c>
    </row>
    <row r="1882" spans="1:2" x14ac:dyDescent="0.25">
      <c r="A1882">
        <f ca="1">41008.5253439795*((RANDBETWEEN(1587,2416)))</f>
        <v>85912860.595636964</v>
      </c>
      <c r="B1882">
        <v>237397572.08912602</v>
      </c>
    </row>
    <row r="1883" spans="1:2" x14ac:dyDescent="0.25">
      <c r="A1883">
        <f ca="1">31840.3612418653*((RANDBETWEEN(1587,2416)))</f>
        <v>72213939.296550497</v>
      </c>
      <c r="B1883">
        <v>253121113.72851542</v>
      </c>
    </row>
    <row r="1884" spans="1:2" x14ac:dyDescent="0.25">
      <c r="A1884">
        <f ca="1">31886.3985428456*((RANDBETWEEN(1587,2416)))</f>
        <v>71967601.511202455</v>
      </c>
      <c r="B1884">
        <v>261753118.88228863</v>
      </c>
    </row>
    <row r="1885" spans="1:2" x14ac:dyDescent="0.25">
      <c r="A1885">
        <f ca="1">31945.0005989876*((RANDBETWEEN(1587,2416)))</f>
        <v>60439941.133284613</v>
      </c>
      <c r="B1885">
        <v>252725170.86456582</v>
      </c>
    </row>
    <row r="1886" spans="1:2" x14ac:dyDescent="0.25">
      <c r="A1886">
        <f ca="1">34415.3694134995*((RANDBETWEEN(1587,2416)))</f>
        <v>71583968.380078956</v>
      </c>
      <c r="B1886">
        <v>237519476.46631387</v>
      </c>
    </row>
    <row r="1887" spans="1:2" x14ac:dyDescent="0.25">
      <c r="A1887">
        <f ca="1">35877.9262722208*((RANDBETWEEN(1587,2416)))</f>
        <v>71038294.018997148</v>
      </c>
      <c r="B1887">
        <v>248591129.85526517</v>
      </c>
    </row>
    <row r="1888" spans="1:2" x14ac:dyDescent="0.25">
      <c r="A1888">
        <f ca="1">29568.9066206641*((RANDBETWEEN(1587,2416)))</f>
        <v>60468414.0392581</v>
      </c>
      <c r="B1888">
        <v>215401669.91073817</v>
      </c>
    </row>
    <row r="1889" spans="1:2" x14ac:dyDescent="0.25">
      <c r="A1889">
        <f ca="1">32883.6944608183*((RANDBETWEEN(1587,2416)))</f>
        <v>65372784.588106744</v>
      </c>
      <c r="B1889">
        <v>250479044.32077461</v>
      </c>
    </row>
    <row r="1890" spans="1:2" x14ac:dyDescent="0.25">
      <c r="A1890">
        <f ca="1">28857.3277098462*((RANDBETWEEN(1587,2416)))</f>
        <v>48942027.795899086</v>
      </c>
      <c r="B1890">
        <v>257022825.14681751</v>
      </c>
    </row>
    <row r="1891" spans="1:2" x14ac:dyDescent="0.25">
      <c r="A1891">
        <f ca="1">40731.9400541744*((RANDBETWEEN(1587,2416)))</f>
        <v>75313357.160168499</v>
      </c>
      <c r="B1891">
        <v>257088529.91371834</v>
      </c>
    </row>
    <row r="1892" spans="1:2" x14ac:dyDescent="0.25">
      <c r="A1892">
        <f ca="1">37656.4506512868*((RANDBETWEEN(1587,2416)))</f>
        <v>77384006.088394403</v>
      </c>
      <c r="B1892">
        <v>217605972.36614782</v>
      </c>
    </row>
    <row r="1893" spans="1:2" x14ac:dyDescent="0.25">
      <c r="A1893">
        <f ca="1">35990.9870640121*((RANDBETWEEN(1587,2416)))</f>
        <v>63596074.142109342</v>
      </c>
      <c r="B1893">
        <v>208510387.2895447</v>
      </c>
    </row>
    <row r="1894" spans="1:2" x14ac:dyDescent="0.25">
      <c r="A1894">
        <f ca="1">32320.7332485022*((RANDBETWEEN(1587,2416)))</f>
        <v>70297594.815492362</v>
      </c>
      <c r="B1894">
        <v>229612012.7941722</v>
      </c>
    </row>
    <row r="1895" spans="1:2" x14ac:dyDescent="0.25">
      <c r="A1895">
        <f ca="1">37201.8220771657*((RANDBETWEEN(1587,2416)))</f>
        <v>70125434.615457341</v>
      </c>
      <c r="B1895">
        <v>221998128.98161471</v>
      </c>
    </row>
    <row r="1896" spans="1:2" x14ac:dyDescent="0.25">
      <c r="A1896">
        <f ca="1">33072.6489711962*((RANDBETWEEN(1587,2416)))</f>
        <v>70477814.957619235</v>
      </c>
      <c r="B1896">
        <v>205861633.70603406</v>
      </c>
    </row>
    <row r="1897" spans="1:2" x14ac:dyDescent="0.25">
      <c r="A1897">
        <f ca="1">33306.1137147658*((RANDBETWEEN(1587,2416)))</f>
        <v>65646350.131803468</v>
      </c>
      <c r="B1897">
        <v>248746390.03905699</v>
      </c>
    </row>
    <row r="1898" spans="1:2" x14ac:dyDescent="0.25">
      <c r="A1898">
        <f ca="1">32334.9159046513*((RANDBETWEEN(1587,2416)))</f>
        <v>73238584.524035275</v>
      </c>
      <c r="B1898">
        <v>219615542.48071054</v>
      </c>
    </row>
    <row r="1899" spans="1:2" x14ac:dyDescent="0.25">
      <c r="A1899">
        <f ca="1">37879.0878663765*((RANDBETWEEN(1587,2416)))</f>
        <v>85871892.193075493</v>
      </c>
      <c r="B1899">
        <v>209096977.26410678</v>
      </c>
    </row>
    <row r="1900" spans="1:2" x14ac:dyDescent="0.25">
      <c r="A1900">
        <f ca="1">29988.1711984257*((RANDBETWEEN(1587,2416)))</f>
        <v>53498897.417991534</v>
      </c>
      <c r="B1900">
        <v>255052613.63289201</v>
      </c>
    </row>
    <row r="1901" spans="1:2" x14ac:dyDescent="0.25">
      <c r="A1901">
        <f ca="1">39279.296231298*((RANDBETWEEN(1587,2416)))</f>
        <v>71252643.363574609</v>
      </c>
      <c r="B1901">
        <v>255817433.92116684</v>
      </c>
    </row>
    <row r="1902" spans="1:2" x14ac:dyDescent="0.25">
      <c r="A1902">
        <f ca="1">39777.6056683865*((RANDBETWEEN(1587,2416)))</f>
        <v>74821676.26223509</v>
      </c>
      <c r="B1902">
        <v>220031710.6063602</v>
      </c>
    </row>
    <row r="1903" spans="1:2" x14ac:dyDescent="0.25">
      <c r="A1903">
        <f ca="1">28153.7736703391*((RANDBETWEEN(1587,2416)))</f>
        <v>47439108.634521306</v>
      </c>
      <c r="B1903">
        <v>256908326.86018977</v>
      </c>
    </row>
    <row r="1904" spans="1:2" x14ac:dyDescent="0.25">
      <c r="A1904">
        <f ca="1">41970.343192318*((RANDBETWEEN(1587,2416)))</f>
        <v>81002762.361173749</v>
      </c>
      <c r="B1904">
        <v>211115853.32678095</v>
      </c>
    </row>
    <row r="1905" spans="1:2" x14ac:dyDescent="0.25">
      <c r="A1905">
        <f ca="1">33134.4783655316*((RANDBETWEEN(1587,2416)))</f>
        <v>54340544.519471854</v>
      </c>
      <c r="B1905">
        <v>216616257.90271297</v>
      </c>
    </row>
    <row r="1906" spans="1:2" x14ac:dyDescent="0.25">
      <c r="A1906">
        <f ca="1">30880.7454905276*((RANDBETWEEN(1587,2416)))</f>
        <v>63367289.746562578</v>
      </c>
      <c r="B1906">
        <v>234025536.4899478</v>
      </c>
    </row>
    <row r="1907" spans="1:2" x14ac:dyDescent="0.25">
      <c r="A1907">
        <f ca="1">31260.6112794159*((RANDBETWEEN(1587,2416)))</f>
        <v>67304096.084582418</v>
      </c>
      <c r="B1907">
        <v>237925628.95896396</v>
      </c>
    </row>
    <row r="1908" spans="1:2" x14ac:dyDescent="0.25">
      <c r="A1908">
        <f ca="1">31250.6534297296*((RANDBETWEEN(1587,2416)))</f>
        <v>68313928.39738895</v>
      </c>
      <c r="B1908">
        <v>252180352.25885397</v>
      </c>
    </row>
    <row r="1909" spans="1:2" x14ac:dyDescent="0.25">
      <c r="A1909">
        <f ca="1">32568.0509302479*((RANDBETWEEN(1587,2416)))</f>
        <v>51815769.030024342</v>
      </c>
      <c r="B1909">
        <v>226601898.59651357</v>
      </c>
    </row>
    <row r="1910" spans="1:2" x14ac:dyDescent="0.25">
      <c r="A1910">
        <f ca="1">33401.8724455144*((RANDBETWEEN(1587,2416)))</f>
        <v>74686586.788170129</v>
      </c>
      <c r="B1910">
        <v>247386597.44103909</v>
      </c>
    </row>
    <row r="1911" spans="1:2" x14ac:dyDescent="0.25">
      <c r="A1911">
        <f ca="1">41320.0086694274*((RANDBETWEEN(1587,2416)))</f>
        <v>92267579.358831376</v>
      </c>
      <c r="B1911">
        <v>262185130.82528976</v>
      </c>
    </row>
    <row r="1912" spans="1:2" x14ac:dyDescent="0.25">
      <c r="A1912">
        <f ca="1">33278.9134092217*((RANDBETWEEN(1587,2416)))</f>
        <v>65060275.715028495</v>
      </c>
      <c r="B1912">
        <v>263236566.13888496</v>
      </c>
    </row>
    <row r="1913" spans="1:2" x14ac:dyDescent="0.25">
      <c r="A1913">
        <f ca="1">32727.1242356327*((RANDBETWEEN(1587,2416)))</f>
        <v>78708733.786696672</v>
      </c>
      <c r="B1913">
        <v>212619148.24445149</v>
      </c>
    </row>
    <row r="1914" spans="1:2" x14ac:dyDescent="0.25">
      <c r="A1914">
        <f ca="1">32817.0779644536*((RANDBETWEEN(1587,2416)))</f>
        <v>67898534.308454484</v>
      </c>
      <c r="B1914">
        <v>227811621.12627792</v>
      </c>
    </row>
    <row r="1915" spans="1:2" x14ac:dyDescent="0.25">
      <c r="A1915">
        <f ca="1">31807.4493483863*((RANDBETWEEN(1587,2416)))</f>
        <v>71121456.742991865</v>
      </c>
      <c r="B1915">
        <v>210847510.89751038</v>
      </c>
    </row>
    <row r="1916" spans="1:2" x14ac:dyDescent="0.25">
      <c r="A1916">
        <f ca="1">30261.7854651675*((RANDBETWEEN(1587,2416)))</f>
        <v>63549749.476851813</v>
      </c>
      <c r="B1916">
        <v>265139195.0805949</v>
      </c>
    </row>
    <row r="1917" spans="1:2" x14ac:dyDescent="0.25">
      <c r="A1917">
        <f ca="1">31798.6097612888*((RANDBETWEEN(1587,2416)))</f>
        <v>56855914.25318443</v>
      </c>
      <c r="B1917">
        <v>210107947.65236738</v>
      </c>
    </row>
    <row r="1918" spans="1:2" x14ac:dyDescent="0.25">
      <c r="A1918">
        <f ca="1">39642.1041975789*((RANDBETWEEN(1587,2416)))</f>
        <v>93158944.864310533</v>
      </c>
      <c r="B1918">
        <v>257463111.07075143</v>
      </c>
    </row>
    <row r="1919" spans="1:2" x14ac:dyDescent="0.25">
      <c r="A1919">
        <f ca="1">31087.6861479648*((RANDBETWEEN(1587,2416)))</f>
        <v>53906047.780570939</v>
      </c>
      <c r="B1919">
        <v>251936270.13337302</v>
      </c>
    </row>
    <row r="1920" spans="1:2" x14ac:dyDescent="0.25">
      <c r="A1920">
        <f ca="1">36044.2030628571*((RANDBETWEEN(1587,2416)))</f>
        <v>63798239.421257026</v>
      </c>
      <c r="B1920">
        <v>243610916.37372896</v>
      </c>
    </row>
    <row r="1921" spans="1:2" x14ac:dyDescent="0.25">
      <c r="A1921">
        <f ca="1">40244.8902799599*((RANDBETWEEN(1587,2416)))</f>
        <v>79362923.632081002</v>
      </c>
      <c r="B1921">
        <v>215870938.15767998</v>
      </c>
    </row>
    <row r="1922" spans="1:2" x14ac:dyDescent="0.25">
      <c r="A1922">
        <f ca="1">37857.0025860275*((RANDBETWEEN(1587,2416)))</f>
        <v>87146819.953035384</v>
      </c>
      <c r="B1922">
        <v>225718510.88049084</v>
      </c>
    </row>
    <row r="1923" spans="1:2" x14ac:dyDescent="0.25">
      <c r="A1923">
        <f ca="1">41209.8189416792*((RANDBETWEEN(1587,2416)))</f>
        <v>85139485.933509305</v>
      </c>
      <c r="B1923">
        <v>255926307.81978402</v>
      </c>
    </row>
    <row r="1924" spans="1:2" x14ac:dyDescent="0.25">
      <c r="A1924">
        <f ca="1">30913.928239442*((RANDBETWEEN(1587,2416)))</f>
        <v>72554989.57797049</v>
      </c>
      <c r="B1924">
        <v>254626365.62588152</v>
      </c>
    </row>
    <row r="1925" spans="1:2" x14ac:dyDescent="0.25">
      <c r="A1925">
        <f ca="1">38466.0486097128*((RANDBETWEEN(1587,2416)))</f>
        <v>64776825.858756274</v>
      </c>
      <c r="B1925">
        <v>238789378.90234661</v>
      </c>
    </row>
    <row r="1926" spans="1:2" x14ac:dyDescent="0.25">
      <c r="A1926">
        <f ca="1">39267.365957589*((RANDBETWEEN(1587,2416)))</f>
        <v>67225730.519392326</v>
      </c>
      <c r="B1926">
        <v>252302958.1709547</v>
      </c>
    </row>
    <row r="1927" spans="1:2" x14ac:dyDescent="0.25">
      <c r="A1927">
        <f ca="1">34670.4850219921*((RANDBETWEEN(1587,2416)))</f>
        <v>69687674.894204199</v>
      </c>
      <c r="B1927">
        <v>241892670.43765143</v>
      </c>
    </row>
    <row r="1928" spans="1:2" x14ac:dyDescent="0.25">
      <c r="A1928">
        <f ca="1">38482.4716182173*((RANDBETWEEN(1587,2416)))</f>
        <v>83122138.695349395</v>
      </c>
      <c r="B1928">
        <v>263557229.59098616</v>
      </c>
    </row>
    <row r="1929" spans="1:2" x14ac:dyDescent="0.25">
      <c r="A1929">
        <f ca="1">40664.3094844546*((RANDBETWEEN(1587,2416)))</f>
        <v>94219205.075481415</v>
      </c>
      <c r="B1929">
        <v>221334507.06749931</v>
      </c>
    </row>
    <row r="1930" spans="1:2" x14ac:dyDescent="0.25">
      <c r="A1930">
        <f ca="1">30251.7436410359*((RANDBETWEEN(1587,2416)))</f>
        <v>55118676.913967453</v>
      </c>
      <c r="B1930">
        <v>217746820.29409313</v>
      </c>
    </row>
    <row r="1931" spans="1:2" x14ac:dyDescent="0.25">
      <c r="A1931">
        <f ca="1">28353.3492615761*((RANDBETWEEN(1587,2416)))</f>
        <v>55430797.806381293</v>
      </c>
      <c r="B1931">
        <v>238240393.5341486</v>
      </c>
    </row>
    <row r="1932" spans="1:2" x14ac:dyDescent="0.25">
      <c r="A1932">
        <f ca="1">35501.9230961638*((RANDBETWEEN(1587,2416)))</f>
        <v>75867609.656501949</v>
      </c>
      <c r="B1932">
        <v>208977381.07848594</v>
      </c>
    </row>
    <row r="1933" spans="1:2" x14ac:dyDescent="0.25">
      <c r="A1933">
        <f ca="1">38171.5998489717*((RANDBETWEEN(1587,2416)))</f>
        <v>89130685.64734897</v>
      </c>
      <c r="B1933">
        <v>259838091.63593721</v>
      </c>
    </row>
    <row r="1934" spans="1:2" x14ac:dyDescent="0.25">
      <c r="A1934">
        <f ca="1">29708.0805850959*((RANDBETWEEN(1587,2416)))</f>
        <v>57752508.657426469</v>
      </c>
      <c r="B1934">
        <v>209834788.66218576</v>
      </c>
    </row>
    <row r="1935" spans="1:2" x14ac:dyDescent="0.25">
      <c r="A1935">
        <f ca="1">34406.0626883392*((RANDBETWEEN(1587,2416)))</f>
        <v>78961913.869738355</v>
      </c>
      <c r="B1935">
        <v>255684983.67699382</v>
      </c>
    </row>
    <row r="1936" spans="1:2" x14ac:dyDescent="0.25">
      <c r="A1936">
        <f ca="1">30048.2780011503*((RANDBETWEEN(1587,2416)))</f>
        <v>66617032.328550234</v>
      </c>
      <c r="B1936">
        <v>233886024.97268507</v>
      </c>
    </row>
    <row r="1937" spans="1:2" x14ac:dyDescent="0.25">
      <c r="A1937">
        <f ca="1">36000.193299778*((RANDBETWEEN(1587,2416)))</f>
        <v>68364367.076278463</v>
      </c>
      <c r="B1937">
        <v>226968712.19499969</v>
      </c>
    </row>
    <row r="1938" spans="1:2" x14ac:dyDescent="0.25">
      <c r="A1938">
        <f ca="1">40190.6013731011*((RANDBETWEEN(1587,2416)))</f>
        <v>74031087.729252309</v>
      </c>
      <c r="B1938">
        <v>267626712.41463909</v>
      </c>
    </row>
    <row r="1939" spans="1:2" x14ac:dyDescent="0.25">
      <c r="A1939">
        <f ca="1">39038.7608946173*((RANDBETWEEN(1587,2416)))</f>
        <v>70855351.023730323</v>
      </c>
      <c r="B1939">
        <v>259914974.45652232</v>
      </c>
    </row>
    <row r="1940" spans="1:2" x14ac:dyDescent="0.25">
      <c r="A1940">
        <f ca="1">34168.2127165848*((RANDBETWEEN(1587,2416)))</f>
        <v>68814780.411201715</v>
      </c>
      <c r="B1940">
        <v>242017015.72751158</v>
      </c>
    </row>
    <row r="1941" spans="1:2" x14ac:dyDescent="0.25">
      <c r="A1941">
        <f ca="1">35259.0695848668*((RANDBETWEEN(1587,2416)))</f>
        <v>66040237.332455456</v>
      </c>
      <c r="B1941">
        <v>263583167.89179647</v>
      </c>
    </row>
    <row r="1942" spans="1:2" x14ac:dyDescent="0.25">
      <c r="A1942">
        <f ca="1">30221.809343458*((RANDBETWEEN(1587,2416)))</f>
        <v>56635670.709640346</v>
      </c>
      <c r="B1942">
        <v>209722867.2535367</v>
      </c>
    </row>
    <row r="1943" spans="1:2" x14ac:dyDescent="0.25">
      <c r="A1943">
        <f ca="1">30438.8312934071*((RANDBETWEEN(1587,2416)))</f>
        <v>64469444.679436155</v>
      </c>
      <c r="B1943">
        <v>265866337.26505655</v>
      </c>
    </row>
    <row r="1944" spans="1:2" x14ac:dyDescent="0.25">
      <c r="A1944">
        <f ca="1">37038.605671236*((RANDBETWEEN(1587,2416)))</f>
        <v>67076914.870608501</v>
      </c>
      <c r="B1944">
        <v>222939495.05036476</v>
      </c>
    </row>
    <row r="1945" spans="1:2" x14ac:dyDescent="0.25">
      <c r="A1945">
        <f ca="1">41698.8852899143*((RANDBETWEEN(1587,2416)))</f>
        <v>81354525.200622857</v>
      </c>
      <c r="B1945">
        <v>209056681.58434975</v>
      </c>
    </row>
    <row r="1946" spans="1:2" x14ac:dyDescent="0.25">
      <c r="A1946">
        <f ca="1">38828.8294185118*((RANDBETWEEN(1587,2416)))</f>
        <v>66358469.476236679</v>
      </c>
      <c r="B1946">
        <v>221731721.45688865</v>
      </c>
    </row>
    <row r="1947" spans="1:2" x14ac:dyDescent="0.25">
      <c r="A1947">
        <f ca="1">35238.2337125995*((RANDBETWEEN(1587,2416)))</f>
        <v>80871746.370415956</v>
      </c>
      <c r="B1947">
        <v>204647533.89580631</v>
      </c>
    </row>
    <row r="1948" spans="1:2" x14ac:dyDescent="0.25">
      <c r="A1948">
        <f ca="1">33223.1492706911*((RANDBETWEEN(1587,2416)))</f>
        <v>75549441.441551566</v>
      </c>
      <c r="B1948">
        <v>250086459.99788371</v>
      </c>
    </row>
    <row r="1949" spans="1:2" x14ac:dyDescent="0.25">
      <c r="A1949">
        <f ca="1">39050.4671300301*((RANDBETWEEN(1587,2416)))</f>
        <v>77319924.917459667</v>
      </c>
      <c r="B1949">
        <v>216416034.73573351</v>
      </c>
    </row>
    <row r="1950" spans="1:2" x14ac:dyDescent="0.25">
      <c r="A1950">
        <f ca="1">35728.1865462865*((RANDBETWEEN(1587,2416)))</f>
        <v>76243950.089775458</v>
      </c>
      <c r="B1950">
        <v>229560032.88623148</v>
      </c>
    </row>
    <row r="1951" spans="1:2" x14ac:dyDescent="0.25">
      <c r="A1951">
        <f ca="1">37437.5247482399*((RANDBETWEEN(1587,2416)))</f>
        <v>79330114.941520378</v>
      </c>
      <c r="B1951">
        <v>241617330.69793272</v>
      </c>
    </row>
    <row r="1952" spans="1:2" x14ac:dyDescent="0.25">
      <c r="A1952">
        <f ca="1">28471.8409977131*((RANDBETWEEN(1587,2416)))</f>
        <v>67734509.733559445</v>
      </c>
      <c r="B1952">
        <v>266930495.44266367</v>
      </c>
    </row>
    <row r="1953" spans="1:2" x14ac:dyDescent="0.25">
      <c r="A1953">
        <f ca="1">30138.595166074*((RANDBETWEEN(1587,2416)))</f>
        <v>61904674.471115991</v>
      </c>
      <c r="B1953">
        <v>265170813.92314446</v>
      </c>
    </row>
    <row r="1954" spans="1:2" x14ac:dyDescent="0.25">
      <c r="A1954">
        <f ca="1">28396.6160534337*((RANDBETWEEN(1587,2416)))</f>
        <v>65198630.458683796</v>
      </c>
      <c r="B1954">
        <v>260659062.0910753</v>
      </c>
    </row>
    <row r="1955" spans="1:2" x14ac:dyDescent="0.25">
      <c r="A1955">
        <f ca="1">32139.7444791909*((RANDBETWEEN(1587,2416)))</f>
        <v>54926823.314937279</v>
      </c>
      <c r="B1955">
        <v>245463018.51650828</v>
      </c>
    </row>
    <row r="1956" spans="1:2" x14ac:dyDescent="0.25">
      <c r="A1956">
        <f ca="1">36199.8202508245*((RANDBETWEEN(1587,2416)))</f>
        <v>67367865.486784384</v>
      </c>
      <c r="B1956">
        <v>247880916.96300727</v>
      </c>
    </row>
    <row r="1957" spans="1:2" x14ac:dyDescent="0.25">
      <c r="A1957">
        <f ca="1">34038.5328644847*((RANDBETWEEN(1587,2416)))</f>
        <v>68315335.459020704</v>
      </c>
      <c r="B1957">
        <v>245342046.35285246</v>
      </c>
    </row>
    <row r="1958" spans="1:2" x14ac:dyDescent="0.25">
      <c r="A1958">
        <f ca="1">29663.7626294406*((RANDBETWEEN(1587,2416)))</f>
        <v>69798833.467073753</v>
      </c>
      <c r="B1958">
        <v>237046133.46874723</v>
      </c>
    </row>
    <row r="1959" spans="1:2" x14ac:dyDescent="0.25">
      <c r="A1959">
        <f ca="1">32318.3146259842*((RANDBETWEEN(1587,2416)))</f>
        <v>51838576.660078734</v>
      </c>
      <c r="B1959">
        <v>206331121.2172516</v>
      </c>
    </row>
    <row r="1960" spans="1:2" x14ac:dyDescent="0.25">
      <c r="A1960">
        <f ca="1">30292.6099016214*((RANDBETWEEN(1587,2416)))</f>
        <v>51921533.371379055</v>
      </c>
      <c r="B1960">
        <v>260627308.65513343</v>
      </c>
    </row>
    <row r="1961" spans="1:2" x14ac:dyDescent="0.25">
      <c r="A1961">
        <f ca="1">33020.9151402839*((RANDBETWEEN(1587,2416)))</f>
        <v>77103836.852563024</v>
      </c>
      <c r="B1961">
        <v>264804803.79506758</v>
      </c>
    </row>
    <row r="1962" spans="1:2" x14ac:dyDescent="0.25">
      <c r="A1962">
        <f ca="1">32598.28220796*((RANDBETWEEN(1587,2416)))</f>
        <v>57829352.636921093</v>
      </c>
      <c r="B1962">
        <v>216938631.78660074</v>
      </c>
    </row>
    <row r="1963" spans="1:2" x14ac:dyDescent="0.25">
      <c r="A1963">
        <f ca="1">30179.979185548*((RANDBETWEEN(1587,2416)))</f>
        <v>63076156.497795321</v>
      </c>
      <c r="B1963">
        <v>217167840.8172327</v>
      </c>
    </row>
    <row r="1964" spans="1:2" x14ac:dyDescent="0.25">
      <c r="A1964">
        <f ca="1">38292.1020993869*((RANDBETWEEN(1587,2416)))</f>
        <v>70189423.148176238</v>
      </c>
      <c r="B1964">
        <v>267131393.10719171</v>
      </c>
    </row>
    <row r="1965" spans="1:2" x14ac:dyDescent="0.25">
      <c r="A1965">
        <f ca="1">31464.3060912699*((RANDBETWEEN(1587,2416)))</f>
        <v>62991540.794722408</v>
      </c>
      <c r="B1965">
        <v>205320348.17007014</v>
      </c>
    </row>
    <row r="1966" spans="1:2" x14ac:dyDescent="0.25">
      <c r="A1966">
        <f ca="1">30822.3542398265*((RANDBETWEEN(1587,2416)))</f>
        <v>54802145.838411577</v>
      </c>
      <c r="B1966">
        <v>215279066.90525842</v>
      </c>
    </row>
    <row r="1967" spans="1:2" x14ac:dyDescent="0.25">
      <c r="A1967">
        <f ca="1">39768.6939416614*((RANDBETWEEN(1587,2416)))</f>
        <v>78742014.00448963</v>
      </c>
      <c r="B1967">
        <v>249028911.54511279</v>
      </c>
    </row>
    <row r="1968" spans="1:2" x14ac:dyDescent="0.25">
      <c r="A1968">
        <f ca="1">36290.6314217504*((RANDBETWEEN(1587,2416)))</f>
        <v>85718471.418174431</v>
      </c>
      <c r="B1968">
        <v>243183191.46461555</v>
      </c>
    </row>
    <row r="1969" spans="1:2" x14ac:dyDescent="0.25">
      <c r="A1969">
        <f ca="1">31528.840817072*((RANDBETWEEN(1587,2416)))</f>
        <v>75385458.39361909</v>
      </c>
      <c r="B1969">
        <v>242709399.04333544</v>
      </c>
    </row>
    <row r="1970" spans="1:2" x14ac:dyDescent="0.25">
      <c r="A1970">
        <f ca="1">41564.8766741948*((RANDBETWEEN(1587,2416)))</f>
        <v>83171318.225063786</v>
      </c>
      <c r="B1970">
        <v>208061805.70878732</v>
      </c>
    </row>
    <row r="1971" spans="1:2" x14ac:dyDescent="0.25">
      <c r="A1971">
        <f ca="1">32606.8204612051*((RANDBETWEEN(1587,2416)))</f>
        <v>62507274.824130118</v>
      </c>
      <c r="B1971">
        <v>242035182.66321653</v>
      </c>
    </row>
    <row r="1972" spans="1:2" x14ac:dyDescent="0.25">
      <c r="A1972">
        <f ca="1">41262.8151883667*((RANDBETWEEN(1587,2416)))</f>
        <v>85744129.961426035</v>
      </c>
      <c r="B1972">
        <v>249772588.73414201</v>
      </c>
    </row>
    <row r="1973" spans="1:2" x14ac:dyDescent="0.25">
      <c r="A1973">
        <f ca="1">35155.7998459517*((RANDBETWEEN(1587,2416)))</f>
        <v>66796019.707308263</v>
      </c>
      <c r="B1973">
        <v>210714342.86523965</v>
      </c>
    </row>
    <row r="1974" spans="1:2" x14ac:dyDescent="0.25">
      <c r="A1974">
        <f ca="1">34071.4741483469*((RANDBETWEEN(1587,2416)))</f>
        <v>66269017.218534686</v>
      </c>
      <c r="B1974">
        <v>264483254.10386375</v>
      </c>
    </row>
    <row r="1975" spans="1:2" x14ac:dyDescent="0.25">
      <c r="A1975">
        <f ca="1">33790.6269759738*((RANDBETWEEN(1587,2416)))</f>
        <v>58491575.295410596</v>
      </c>
      <c r="B1975">
        <v>204316522.80957186</v>
      </c>
    </row>
    <row r="1976" spans="1:2" x14ac:dyDescent="0.25">
      <c r="A1976">
        <f ca="1">31163.9150300641*((RANDBETWEEN(1587,2416)))</f>
        <v>56624833.609626509</v>
      </c>
      <c r="B1976">
        <v>257499918.76844195</v>
      </c>
    </row>
    <row r="1977" spans="1:2" x14ac:dyDescent="0.25">
      <c r="A1977">
        <f ca="1">30931.8500382398*((RANDBETWEEN(1587,2416)))</f>
        <v>72380529.089481071</v>
      </c>
      <c r="B1977">
        <v>211030622.24903429</v>
      </c>
    </row>
    <row r="1978" spans="1:2" x14ac:dyDescent="0.25">
      <c r="A1978">
        <f ca="1">32270.3636522026*((RANDBETWEEN(1587,2416)))</f>
        <v>61410502.030141599</v>
      </c>
      <c r="B1978">
        <v>252765979.36106068</v>
      </c>
    </row>
    <row r="1979" spans="1:2" x14ac:dyDescent="0.25">
      <c r="A1979">
        <f ca="1">27968.5946222298*((RANDBETWEEN(1587,2416)))</f>
        <v>44973500.152545489</v>
      </c>
      <c r="B1979">
        <v>234176040.40120173</v>
      </c>
    </row>
    <row r="1980" spans="1:2" x14ac:dyDescent="0.25">
      <c r="A1980">
        <f ca="1">33423.9544189798*((RANDBETWEEN(1587,2416)))</f>
        <v>78078357.522736922</v>
      </c>
      <c r="B1980">
        <v>204121445.22508299</v>
      </c>
    </row>
    <row r="1981" spans="1:2" x14ac:dyDescent="0.25">
      <c r="A1981">
        <f ca="1">36373.8146876159*((RANDBETWEEN(1587,2416)))</f>
        <v>73111367.522108018</v>
      </c>
      <c r="B1981">
        <v>232229670.81157935</v>
      </c>
    </row>
    <row r="1982" spans="1:2" x14ac:dyDescent="0.25">
      <c r="A1982">
        <f ca="1">33822.5421033965*((RANDBETWEEN(1587,2416)))</f>
        <v>59189448.680943929</v>
      </c>
      <c r="B1982">
        <v>257105050.23258138</v>
      </c>
    </row>
    <row r="1983" spans="1:2" x14ac:dyDescent="0.25">
      <c r="A1983">
        <f ca="1">30587.3138128051*((RANDBETWEEN(1587,2416)))</f>
        <v>63591025.4168218</v>
      </c>
      <c r="B1983">
        <v>256060562.62614328</v>
      </c>
    </row>
    <row r="1984" spans="1:2" x14ac:dyDescent="0.25">
      <c r="A1984">
        <f ca="1">31208.7641131992*((RANDBETWEEN(1587,2416)))</f>
        <v>58297971.363456018</v>
      </c>
      <c r="B1984">
        <v>243456922.61611658</v>
      </c>
    </row>
    <row r="1985" spans="1:2" x14ac:dyDescent="0.25">
      <c r="A1985">
        <f ca="1">42038.8367496584*((RANDBETWEEN(1587,2416)))</f>
        <v>95596314.7687231</v>
      </c>
      <c r="B1985">
        <v>225867575.21932891</v>
      </c>
    </row>
    <row r="1986" spans="1:2" x14ac:dyDescent="0.25">
      <c r="A1986">
        <f ca="1">32853.9657858313*((RANDBETWEEN(1587,2416)))</f>
        <v>79276619.441210896</v>
      </c>
      <c r="B1986">
        <v>245768142.7179358</v>
      </c>
    </row>
    <row r="1987" spans="1:2" x14ac:dyDescent="0.25">
      <c r="A1987">
        <f ca="1">39159.7961897738*((RANDBETWEEN(1587,2416)))</f>
        <v>74560251.945329264</v>
      </c>
      <c r="B1987">
        <v>231640600.36219978</v>
      </c>
    </row>
    <row r="1988" spans="1:2" x14ac:dyDescent="0.25">
      <c r="A1988">
        <f ca="1">34799.4410791729*((RANDBETWEEN(1587,2416)))</f>
        <v>59402645.922148146</v>
      </c>
      <c r="B1988">
        <v>223351700.97950596</v>
      </c>
    </row>
    <row r="1989" spans="1:2" x14ac:dyDescent="0.25">
      <c r="A1989">
        <f ca="1">33234.3982199465*((RANDBETWEEN(1587,2416)))</f>
        <v>56498476.973909043</v>
      </c>
      <c r="B1989">
        <v>259656992.72851351</v>
      </c>
    </row>
    <row r="1990" spans="1:2" x14ac:dyDescent="0.25">
      <c r="A1990">
        <f ca="1">37233.2481162643*((RANDBETWEEN(1587,2416)))</f>
        <v>73610131.525854468</v>
      </c>
      <c r="B1990">
        <v>205297556.02430514</v>
      </c>
    </row>
    <row r="1991" spans="1:2" x14ac:dyDescent="0.25">
      <c r="A1991">
        <f ca="1">36158.2300820338*((RANDBETWEEN(1587,2416)))</f>
        <v>83995568.480564535</v>
      </c>
      <c r="B1991">
        <v>208706116.88925782</v>
      </c>
    </row>
    <row r="1992" spans="1:2" x14ac:dyDescent="0.25">
      <c r="A1992">
        <f ca="1">35443.1868739191*((RANDBETWEEN(1587,2416)))</f>
        <v>62380008.898097679</v>
      </c>
      <c r="B1992">
        <v>243139933.41156545</v>
      </c>
    </row>
    <row r="1993" spans="1:2" x14ac:dyDescent="0.25">
      <c r="A1993">
        <f ca="1">39547.7835096559*((RANDBETWEEN(1587,2416)))</f>
        <v>84039039.958018869</v>
      </c>
      <c r="B1993">
        <v>247326918.58743131</v>
      </c>
    </row>
    <row r="1994" spans="1:2" x14ac:dyDescent="0.25">
      <c r="A1994">
        <f ca="1">33543.4864269743*((RANDBETWEEN(1587,2416)))</f>
        <v>79095540.994805425</v>
      </c>
      <c r="B1994">
        <v>206845141.25515342</v>
      </c>
    </row>
    <row r="1995" spans="1:2" x14ac:dyDescent="0.25">
      <c r="A1995">
        <f ca="1">35477.1441281132*((RANDBETWEEN(1587,2416)))</f>
        <v>79291417.126332968</v>
      </c>
      <c r="B1995">
        <v>204230603.8785558</v>
      </c>
    </row>
    <row r="1996" spans="1:2" x14ac:dyDescent="0.25">
      <c r="A1996">
        <f ca="1">37306.908943952*((RANDBETWEEN(1587,2416)))</f>
        <v>60064123.39976275</v>
      </c>
      <c r="B1996">
        <v>205333493.15409526</v>
      </c>
    </row>
    <row r="1997" spans="1:2" x14ac:dyDescent="0.25">
      <c r="A1997">
        <f ca="1">33358.2766300623*((RANDBETWEEN(1587,2416)))</f>
        <v>73755149.629067644</v>
      </c>
      <c r="B1997">
        <v>267019520.16013792</v>
      </c>
    </row>
    <row r="1998" spans="1:2" x14ac:dyDescent="0.25">
      <c r="A1998">
        <f ca="1">31238.3737286727*((RANDBETWEEN(1587,2416)))</f>
        <v>61851979.982771926</v>
      </c>
      <c r="B1998">
        <v>250333295.04138267</v>
      </c>
    </row>
    <row r="1999" spans="1:2" x14ac:dyDescent="0.25">
      <c r="A1999">
        <f ca="1">34511.0118086633*((RANDBETWEEN(1587,2416)))</f>
        <v>55148596.870243922</v>
      </c>
      <c r="B1999">
        <v>236352559.77544844</v>
      </c>
    </row>
    <row r="2000" spans="1:2" x14ac:dyDescent="0.25">
      <c r="A2000">
        <f ca="1">36735.3605570637*((RANDBETWEEN(1587,2416)))</f>
        <v>77180992.530390799</v>
      </c>
      <c r="B2000">
        <v>210312859.6992771</v>
      </c>
    </row>
    <row r="2001" spans="1:2" x14ac:dyDescent="0.25">
      <c r="A2001">
        <f ca="1">33948.6794281919*((RANDBETWEEN(1587,2416)))</f>
        <v>71903303.028910518</v>
      </c>
      <c r="B2001">
        <v>234336274.40808931</v>
      </c>
    </row>
    <row r="2002" spans="1:2" x14ac:dyDescent="0.25">
      <c r="A2002">
        <f ca="1">30941.8617363688*((RANDBETWEEN(1587,2416)))</f>
        <v>53220002.18655432</v>
      </c>
      <c r="B2002">
        <v>248206571.8328509</v>
      </c>
    </row>
    <row r="2003" spans="1:2" x14ac:dyDescent="0.25">
      <c r="A2003">
        <f ca="1">36474.5630194518*((RANDBETWEEN(1587,2416)))</f>
        <v>58979368.402453527</v>
      </c>
      <c r="B2003">
        <v>240857191.36263078</v>
      </c>
    </row>
    <row r="2004" spans="1:2" x14ac:dyDescent="0.25">
      <c r="A2004">
        <f ca="1">39972.4663898544*((RANDBETWEEN(1587,2416)))</f>
        <v>80104822.645268172</v>
      </c>
      <c r="B2004">
        <v>264232366.14663395</v>
      </c>
    </row>
    <row r="2005" spans="1:2" x14ac:dyDescent="0.25">
      <c r="A2005">
        <f ca="1">35024.849447885*((RANDBETWEEN(1587,2416)))</f>
        <v>78735861.558845505</v>
      </c>
      <c r="B2005">
        <v>227133304.67427543</v>
      </c>
    </row>
    <row r="2006" spans="1:2" x14ac:dyDescent="0.25">
      <c r="A2006">
        <f ca="1">34232.0477473576*((RANDBETWEEN(1587,2416)))</f>
        <v>59016050.316444494</v>
      </c>
      <c r="B2006">
        <v>229159598.25574979</v>
      </c>
    </row>
    <row r="2007" spans="1:2" x14ac:dyDescent="0.25">
      <c r="A2007">
        <f ca="1">31889.704261567*((RANDBETWEEN(1587,2416)))</f>
        <v>57273908.853774376</v>
      </c>
      <c r="B2007">
        <v>204786381.07970956</v>
      </c>
    </row>
    <row r="2008" spans="1:2" x14ac:dyDescent="0.25">
      <c r="A2008">
        <f ca="1">36787.522582874*((RANDBETWEEN(1587,2416)))</f>
        <v>82367263.063054904</v>
      </c>
      <c r="B2008">
        <v>262175760.13102183</v>
      </c>
    </row>
    <row r="2009" spans="1:2" x14ac:dyDescent="0.25">
      <c r="A2009">
        <f ca="1">39687.1402930873*((RANDBETWEEN(1587,2416)))</f>
        <v>73976829.50631471</v>
      </c>
      <c r="B2009">
        <v>261293914.56703216</v>
      </c>
    </row>
    <row r="2010" spans="1:2" x14ac:dyDescent="0.25">
      <c r="A2010">
        <f ca="1">29528.7391739479*((RANDBETWEEN(1587,2416)))</f>
        <v>53919477.731628805</v>
      </c>
      <c r="B2010">
        <v>215969194.21511483</v>
      </c>
    </row>
    <row r="2011" spans="1:2" x14ac:dyDescent="0.25">
      <c r="A2011">
        <f ca="1">31975.9429530296*((RANDBETWEEN(1587,2416)))</f>
        <v>65326851.453039534</v>
      </c>
      <c r="B2011">
        <v>204569779.84654883</v>
      </c>
    </row>
    <row r="2012" spans="1:2" x14ac:dyDescent="0.25">
      <c r="A2012">
        <f ca="1">30154.7022810109*((RANDBETWEEN(1587,2416)))</f>
        <v>59857084.027806647</v>
      </c>
      <c r="B2012">
        <v>241243280.89562875</v>
      </c>
    </row>
    <row r="2013" spans="1:2" x14ac:dyDescent="0.25">
      <c r="A2013">
        <f ca="1">41375.0368449912*((RANDBETWEEN(1587,2416)))</f>
        <v>82625948.579447389</v>
      </c>
      <c r="B2013">
        <v>247265978.24584216</v>
      </c>
    </row>
    <row r="2014" spans="1:2" x14ac:dyDescent="0.25">
      <c r="A2014">
        <f ca="1">36360.9437072929*((RANDBETWEEN(1587,2416)))</f>
        <v>73049135.90795134</v>
      </c>
      <c r="B2014">
        <v>264478159.41358423</v>
      </c>
    </row>
    <row r="2015" spans="1:2" x14ac:dyDescent="0.25">
      <c r="A2015">
        <f ca="1">37808.2978765245*((RANDBETWEEN(1587,2416)))</f>
        <v>62043416.815376639</v>
      </c>
      <c r="B2015">
        <v>210946188.63439071</v>
      </c>
    </row>
    <row r="2016" spans="1:2" x14ac:dyDescent="0.25">
      <c r="A2016">
        <f ca="1">35802.4677039648*((RANDBETWEEN(1587,2416)))</f>
        <v>61293824.709187768</v>
      </c>
      <c r="B2016">
        <v>259581509.05318078</v>
      </c>
    </row>
    <row r="2017" spans="1:2" x14ac:dyDescent="0.25">
      <c r="A2017">
        <f ca="1">32577.6595508715*((RANDBETWEEN(1587,2416)))</f>
        <v>77567407.390624985</v>
      </c>
      <c r="B2017">
        <v>233275702.89054927</v>
      </c>
    </row>
    <row r="2018" spans="1:2" x14ac:dyDescent="0.25">
      <c r="A2018">
        <f ca="1">38964.7668035549*((RANDBETWEEN(1587,2416)))</f>
        <v>78436075.575555936</v>
      </c>
      <c r="B2018">
        <v>221899747.83901617</v>
      </c>
    </row>
    <row r="2019" spans="1:2" x14ac:dyDescent="0.25">
      <c r="A2019">
        <f ca="1">31913.3224485051*((RANDBETWEEN(1587,2416)))</f>
        <v>68262596.71735236</v>
      </c>
      <c r="B2019">
        <v>249768728.71135315</v>
      </c>
    </row>
    <row r="2020" spans="1:2" x14ac:dyDescent="0.25">
      <c r="A2020">
        <f ca="1">32016.8120410465*((RANDBETWEEN(1587,2416)))</f>
        <v>61536312.742891394</v>
      </c>
      <c r="B2020">
        <v>226838558.68530273</v>
      </c>
    </row>
    <row r="2021" spans="1:2" x14ac:dyDescent="0.25">
      <c r="A2021">
        <f ca="1">42040.8251476383*((RANDBETWEEN(1587,2416)))</f>
        <v>96525734.538977563</v>
      </c>
      <c r="B2021">
        <v>256326689.60823724</v>
      </c>
    </row>
    <row r="2022" spans="1:2" x14ac:dyDescent="0.25">
      <c r="A2022">
        <f ca="1">37767.1481115647*((RANDBETWEEN(1587,2416)))</f>
        <v>84862781.806685984</v>
      </c>
      <c r="B2022">
        <v>239729282.860659</v>
      </c>
    </row>
    <row r="2023" spans="1:2" x14ac:dyDescent="0.25">
      <c r="A2023">
        <f ca="1">31367.1101818018*((RANDBETWEEN(1587,2416)))</f>
        <v>66059134.0428745</v>
      </c>
      <c r="B2023">
        <v>221167893.39437106</v>
      </c>
    </row>
    <row r="2024" spans="1:2" x14ac:dyDescent="0.25">
      <c r="A2024">
        <f ca="1">32323.0345781854*((RANDBETWEEN(1587,2416)))</f>
        <v>59829937.004221246</v>
      </c>
      <c r="B2024">
        <v>229251601.82838035</v>
      </c>
    </row>
    <row r="2025" spans="1:2" x14ac:dyDescent="0.25">
      <c r="A2025">
        <f ca="1">31418.8078879873*((RANDBETWEEN(1587,2416)))</f>
        <v>67644693.38283661</v>
      </c>
      <c r="B2025">
        <v>229263646.96168032</v>
      </c>
    </row>
    <row r="2026" spans="1:2" x14ac:dyDescent="0.25">
      <c r="A2026">
        <f ca="1">29845.869440847*((RANDBETWEEN(1587,2416)))</f>
        <v>64586461.469992861</v>
      </c>
      <c r="B2026">
        <v>209983544.55060244</v>
      </c>
    </row>
    <row r="2027" spans="1:2" x14ac:dyDescent="0.25">
      <c r="A2027">
        <f ca="1">30102.7374687812*((RANDBETWEEN(1587,2416)))</f>
        <v>60446296.837312564</v>
      </c>
      <c r="B2027">
        <v>245501368.389927</v>
      </c>
    </row>
    <row r="2028" spans="1:2" x14ac:dyDescent="0.25">
      <c r="A2028">
        <f ca="1">39210.4142628796*((RANDBETWEEN(1587,2416)))</f>
        <v>78185566.040181831</v>
      </c>
      <c r="B2028">
        <v>229654179.92553619</v>
      </c>
    </row>
    <row r="2029" spans="1:2" x14ac:dyDescent="0.25">
      <c r="A2029">
        <f ca="1">31544.4029144716*((RANDBETWEEN(1587,2416)))</f>
        <v>57820890.542226486</v>
      </c>
      <c r="B2029">
        <v>206822060.45217878</v>
      </c>
    </row>
    <row r="2030" spans="1:2" x14ac:dyDescent="0.25">
      <c r="A2030">
        <f ca="1">32440.4208424734*((RANDBETWEEN(1587,2416)))</f>
        <v>67086790.302235037</v>
      </c>
      <c r="B2030">
        <v>263058356.40043762</v>
      </c>
    </row>
    <row r="2031" spans="1:2" x14ac:dyDescent="0.25">
      <c r="A2031">
        <f ca="1">29890.7396650306*((RANDBETWEEN(1587,2416)))</f>
        <v>67702525.341294348</v>
      </c>
      <c r="B2031">
        <v>233461632.3149336</v>
      </c>
    </row>
    <row r="2032" spans="1:2" x14ac:dyDescent="0.25">
      <c r="A2032">
        <f ca="1">37265.1080723471*((RANDBETWEEN(1587,2416)))</f>
        <v>59176991.618887253</v>
      </c>
      <c r="B2032">
        <v>251244530.91693866</v>
      </c>
    </row>
    <row r="2033" spans="1:2" x14ac:dyDescent="0.25">
      <c r="A2033">
        <f ca="1">35060.9203512226*((RANDBETWEEN(1587,2416)))</f>
        <v>68859647.569801196</v>
      </c>
      <c r="B2033">
        <v>261804777.64012474</v>
      </c>
    </row>
    <row r="2034" spans="1:2" x14ac:dyDescent="0.25">
      <c r="A2034">
        <f ca="1">29472.6538285349*((RANDBETWEEN(1587,2416)))</f>
        <v>69820716.919799134</v>
      </c>
      <c r="B2034">
        <v>207041693.52250502</v>
      </c>
    </row>
    <row r="2035" spans="1:2" x14ac:dyDescent="0.25">
      <c r="A2035">
        <f ca="1">31572.5269525348*((RANDBETWEEN(1587,2416)))</f>
        <v>63555496.755452484</v>
      </c>
      <c r="B2035">
        <v>213311138.32341731</v>
      </c>
    </row>
    <row r="2036" spans="1:2" x14ac:dyDescent="0.25">
      <c r="A2036">
        <f ca="1">33333.2611121498*((RANDBETWEEN(1587,2416)))</f>
        <v>77366499.041299641</v>
      </c>
      <c r="B2036">
        <v>242508966.68960279</v>
      </c>
    </row>
    <row r="2037" spans="1:2" x14ac:dyDescent="0.25">
      <c r="A2037">
        <f ca="1">33337.4318007795*((RANDBETWEEN(1587,2416)))</f>
        <v>76509405.98278901</v>
      </c>
      <c r="B2037">
        <v>220778557.35935426</v>
      </c>
    </row>
    <row r="2038" spans="1:2" x14ac:dyDescent="0.25">
      <c r="A2038">
        <f ca="1">30735.7978673079*((RANDBETWEEN(1587,2416)))</f>
        <v>55631794.139827378</v>
      </c>
      <c r="B2038">
        <v>215642147.06699839</v>
      </c>
    </row>
    <row r="2039" spans="1:2" x14ac:dyDescent="0.25">
      <c r="A2039">
        <f ca="1">30607.771766593*((RANDBETWEEN(1587,2416)))</f>
        <v>63327479.785080902</v>
      </c>
      <c r="B2039">
        <v>247050174.14574283</v>
      </c>
    </row>
    <row r="2040" spans="1:2" x14ac:dyDescent="0.25">
      <c r="A2040">
        <f ca="1">32399.2294669329*((RANDBETWEEN(1587,2416)))</f>
        <v>62822105.93638292</v>
      </c>
      <c r="B2040">
        <v>247603837.17552468</v>
      </c>
    </row>
    <row r="2041" spans="1:2" x14ac:dyDescent="0.25">
      <c r="A2041">
        <f ca="1">40009.5219215307*((RANDBETWEEN(1587,2416)))</f>
        <v>96102871.655516848</v>
      </c>
      <c r="B2041">
        <v>231072703.74630734</v>
      </c>
    </row>
    <row r="2042" spans="1:2" x14ac:dyDescent="0.25">
      <c r="A2042">
        <f ca="1">32987.7952778513*((RANDBETWEEN(1587,2416)))</f>
        <v>56673032.287348516</v>
      </c>
      <c r="B2042">
        <v>215665400.41219598</v>
      </c>
    </row>
    <row r="2043" spans="1:2" x14ac:dyDescent="0.25">
      <c r="A2043">
        <f ca="1">29857.6422504117*((RANDBETWEEN(1587,2416)))</f>
        <v>65985389.373409897</v>
      </c>
      <c r="B2043">
        <v>255364973.48812097</v>
      </c>
    </row>
    <row r="2044" spans="1:2" x14ac:dyDescent="0.25">
      <c r="A2044">
        <f ca="1">40084.6985882545*((RANDBETWEEN(1587,2416)))</f>
        <v>89388877.85180755</v>
      </c>
      <c r="B2044">
        <v>219519923.71055481</v>
      </c>
    </row>
    <row r="2045" spans="1:2" x14ac:dyDescent="0.25">
      <c r="A2045">
        <f ca="1">39441.9906733318*((RANDBETWEEN(1587,2416)))</f>
        <v>70837815.249303952</v>
      </c>
      <c r="B2045">
        <v>252299800.67833322</v>
      </c>
    </row>
    <row r="2046" spans="1:2" x14ac:dyDescent="0.25">
      <c r="A2046">
        <f ca="1">37146.0795630653*((RANDBETWEEN(1587,2416)))</f>
        <v>68497370.714292422</v>
      </c>
      <c r="B2046">
        <v>205950485.01316166</v>
      </c>
    </row>
    <row r="2047" spans="1:2" x14ac:dyDescent="0.25">
      <c r="A2047">
        <f ca="1">29732.2348664992*((RANDBETWEEN(1587,2416)))</f>
        <v>61872780.757184915</v>
      </c>
      <c r="B2047">
        <v>250983995.06485695</v>
      </c>
    </row>
    <row r="2048" spans="1:2" x14ac:dyDescent="0.25">
      <c r="A2048">
        <f ca="1">37494.9930067964*((RANDBETWEEN(1587,2416)))</f>
        <v>80614234.964612186</v>
      </c>
      <c r="B2048">
        <v>257610460.72136125</v>
      </c>
    </row>
    <row r="2049" spans="1:2" x14ac:dyDescent="0.25">
      <c r="A2049">
        <f ca="1">28456.4214627389*((RANDBETWEEN(1587,2416)))</f>
        <v>48688937.122746319</v>
      </c>
      <c r="B2049">
        <v>244400793.1457918</v>
      </c>
    </row>
    <row r="2050" spans="1:2" x14ac:dyDescent="0.25">
      <c r="A2050">
        <f ca="1">36929.8435929089*((RANDBETWEEN(1587,2416)))</f>
        <v>59530907.871769197</v>
      </c>
      <c r="B2050">
        <v>247430018.5403184</v>
      </c>
    </row>
    <row r="2051" spans="1:2" x14ac:dyDescent="0.25">
      <c r="A2051">
        <f ca="1">41664.6122129739*((RANDBETWEEN(1587,2416)))</f>
        <v>72871406.760491431</v>
      </c>
      <c r="B2051">
        <v>206090701.85286951</v>
      </c>
    </row>
    <row r="2052" spans="1:2" x14ac:dyDescent="0.25">
      <c r="A2052">
        <f ca="1">36708.1357389852*((RANDBETWEEN(1587,2416)))</f>
        <v>72865649.441885695</v>
      </c>
      <c r="B2052">
        <v>247000716.5975526</v>
      </c>
    </row>
    <row r="2053" spans="1:2" x14ac:dyDescent="0.25">
      <c r="A2053">
        <f ca="1">32816.8647156613*((RANDBETWEEN(1587,2416)))</f>
        <v>78924559.641165376</v>
      </c>
      <c r="B2053">
        <v>216931854.44635397</v>
      </c>
    </row>
    <row r="2054" spans="1:2" x14ac:dyDescent="0.25">
      <c r="A2054">
        <f ca="1">38264.5217922631*((RANDBETWEEN(1587,2416)))</f>
        <v>71172010.533609301</v>
      </c>
      <c r="B2054">
        <v>219620661.17024502</v>
      </c>
    </row>
    <row r="2055" spans="1:2" x14ac:dyDescent="0.25">
      <c r="A2055">
        <f ca="1">33195.6800061327*((RANDBETWEEN(1587,2416)))</f>
        <v>59885006.731063418</v>
      </c>
      <c r="B2055">
        <v>227945704.08993429</v>
      </c>
    </row>
    <row r="2056" spans="1:2" x14ac:dyDescent="0.25">
      <c r="A2056">
        <f ca="1">39236.0989546506*((RANDBETWEEN(1587,2416)))</f>
        <v>73606921.638924524</v>
      </c>
      <c r="B2056">
        <v>228221910.66356125</v>
      </c>
    </row>
    <row r="2057" spans="1:2" x14ac:dyDescent="0.25">
      <c r="A2057">
        <f ca="1">30933.7421358797*((RANDBETWEEN(1587,2416)))</f>
        <v>50143596.00226099</v>
      </c>
      <c r="B2057">
        <v>237352351.15389746</v>
      </c>
    </row>
    <row r="2058" spans="1:2" x14ac:dyDescent="0.25">
      <c r="A2058">
        <f ca="1">35695.7610534352*((RANDBETWEEN(1587,2416)))</f>
        <v>63359975.869847566</v>
      </c>
      <c r="B2058">
        <v>204801098.1588842</v>
      </c>
    </row>
    <row r="2059" spans="1:2" x14ac:dyDescent="0.25">
      <c r="A2059">
        <f ca="1">37276.3019310132*((RANDBETWEEN(1587,2416)))</f>
        <v>85176349.912365258</v>
      </c>
      <c r="B2059">
        <v>217680421.89916199</v>
      </c>
    </row>
    <row r="2060" spans="1:2" x14ac:dyDescent="0.25">
      <c r="A2060">
        <f ca="1">28196.5184471512*((RANDBETWEEN(1587,2416)))</f>
        <v>56618609.041879527</v>
      </c>
      <c r="B2060">
        <v>233045727.64486912</v>
      </c>
    </row>
    <row r="2061" spans="1:2" x14ac:dyDescent="0.25">
      <c r="A2061">
        <f ca="1">33122.1820240285*((RANDBETWEEN(1587,2416)))</f>
        <v>56572686.897040643</v>
      </c>
      <c r="B2061">
        <v>220797451.74421477</v>
      </c>
    </row>
    <row r="2062" spans="1:2" x14ac:dyDescent="0.25">
      <c r="A2062">
        <f ca="1">29788.0312983786*((RANDBETWEEN(1587,2416)))</f>
        <v>66278369.638892472</v>
      </c>
      <c r="B2062">
        <v>219037938.37512252</v>
      </c>
    </row>
    <row r="2063" spans="1:2" x14ac:dyDescent="0.25">
      <c r="A2063">
        <f ca="1">31270.666241379*((RANDBETWEEN(1587,2416)))</f>
        <v>51659140.630758055</v>
      </c>
      <c r="B2063">
        <v>209388816.2460767</v>
      </c>
    </row>
    <row r="2064" spans="1:2" x14ac:dyDescent="0.25">
      <c r="A2064">
        <f ca="1">29346.4767119687*((RANDBETWEEN(1587,2416)))</f>
        <v>55728959.276028544</v>
      </c>
      <c r="B2064">
        <v>217728787.94289279</v>
      </c>
    </row>
    <row r="2065" spans="1:2" x14ac:dyDescent="0.25">
      <c r="A2065">
        <f ca="1">32488.2894688629*((RANDBETWEEN(1587,2416)))</f>
        <v>71279307.094685152</v>
      </c>
      <c r="B2065">
        <v>216353609.49460822</v>
      </c>
    </row>
    <row r="2066" spans="1:2" x14ac:dyDescent="0.25">
      <c r="A2066">
        <f ca="1">36504.7982675864*((RANDBETWEEN(1587,2416)))</f>
        <v>70198727.068568587</v>
      </c>
      <c r="B2066">
        <v>205484477.4812555</v>
      </c>
    </row>
    <row r="2067" spans="1:2" x14ac:dyDescent="0.25">
      <c r="A2067">
        <f ca="1">31931.6466504323*((RANDBETWEEN(1587,2416)))</f>
        <v>54347662.599035725</v>
      </c>
      <c r="B2067">
        <v>238582205.35434192</v>
      </c>
    </row>
    <row r="2068" spans="1:2" x14ac:dyDescent="0.25">
      <c r="A2068">
        <f ca="1">40438.700576068*((RANDBETWEEN(1587,2416)))</f>
        <v>68786229.679891661</v>
      </c>
      <c r="B2068">
        <v>256143019.69331855</v>
      </c>
    </row>
    <row r="2069" spans="1:2" x14ac:dyDescent="0.25">
      <c r="A2069">
        <f ca="1">30671.0353294902*((RANDBETWEEN(1587,2416)))</f>
        <v>61311399.623650923</v>
      </c>
      <c r="B2069">
        <v>209193353.53238386</v>
      </c>
    </row>
    <row r="2070" spans="1:2" x14ac:dyDescent="0.25">
      <c r="A2070">
        <f ca="1">38610.6149586*((RANDBETWEEN(1587,2416)))</f>
        <v>90194396.543289617</v>
      </c>
      <c r="B2070">
        <v>259845586.28529561</v>
      </c>
    </row>
    <row r="2071" spans="1:2" x14ac:dyDescent="0.25">
      <c r="A2071">
        <f ca="1">34468.1143936123*((RANDBETWEEN(1587,2416)))</f>
        <v>74657935.776564315</v>
      </c>
      <c r="B2071">
        <v>209749851.20831841</v>
      </c>
    </row>
    <row r="2072" spans="1:2" x14ac:dyDescent="0.25">
      <c r="A2072">
        <f ca="1">31350.4937763175*((RANDBETWEEN(1587,2416)))</f>
        <v>73548258.399240851</v>
      </c>
      <c r="B2072">
        <v>251069043.98830605</v>
      </c>
    </row>
    <row r="2073" spans="1:2" x14ac:dyDescent="0.25">
      <c r="A2073">
        <f ca="1">41537.0374255202*((RANDBETWEEN(1587,2416)))</f>
        <v>81121834.092040926</v>
      </c>
      <c r="B2073">
        <v>239000863.67516357</v>
      </c>
    </row>
    <row r="2074" spans="1:2" x14ac:dyDescent="0.25">
      <c r="A2074">
        <f ca="1">40074.2354045502*((RANDBETWEEN(1587,2416)))</f>
        <v>87121387.769492164</v>
      </c>
      <c r="B2074">
        <v>242967804.59696478</v>
      </c>
    </row>
    <row r="2075" spans="1:2" x14ac:dyDescent="0.25">
      <c r="A2075">
        <f ca="1">34432.0403097333*((RANDBETWEEN(1587,2416)))</f>
        <v>71962964.247342691</v>
      </c>
      <c r="B2075">
        <v>233532888.55544442</v>
      </c>
    </row>
    <row r="2076" spans="1:2" x14ac:dyDescent="0.25">
      <c r="A2076">
        <f ca="1">33515.4765524155*((RANDBETWEEN(1587,2416)))</f>
        <v>59691063.739852071</v>
      </c>
      <c r="B2076">
        <v>257606281.43762279</v>
      </c>
    </row>
    <row r="2077" spans="1:2" x14ac:dyDescent="0.25">
      <c r="A2077">
        <f ca="1">31827.5365582715*((RANDBETWEEN(1587,2416)))</f>
        <v>59803941.19299224</v>
      </c>
      <c r="B2077">
        <v>234847066.67419803</v>
      </c>
    </row>
    <row r="2078" spans="1:2" x14ac:dyDescent="0.25">
      <c r="A2078">
        <f ca="1">31521.0472886647*((RANDBETWEEN(1587,2416)))</f>
        <v>63042094.577329442</v>
      </c>
      <c r="B2078">
        <v>216963868.40607697</v>
      </c>
    </row>
    <row r="2079" spans="1:2" x14ac:dyDescent="0.25">
      <c r="A2079">
        <f ca="1">41745.1671553067*((RANDBETWEEN(1587,2416)))</f>
        <v>68837780.639100835</v>
      </c>
      <c r="B2079">
        <v>220496430.77882937</v>
      </c>
    </row>
    <row r="2080" spans="1:2" x14ac:dyDescent="0.25">
      <c r="A2080">
        <f ca="1">31295.5730762302*((RANDBETWEEN(1587,2416)))</f>
        <v>62685032.871689059</v>
      </c>
      <c r="B2080">
        <v>221705804.71609217</v>
      </c>
    </row>
    <row r="2081" spans="1:2" x14ac:dyDescent="0.25">
      <c r="A2081">
        <f ca="1">38273.4283370721*((RANDBETWEEN(1587,2416)))</f>
        <v>76853044.100840747</v>
      </c>
      <c r="B2081">
        <v>263202029.37167189</v>
      </c>
    </row>
    <row r="2082" spans="1:2" x14ac:dyDescent="0.25">
      <c r="A2082">
        <f ca="1">31590.179106446*((RANDBETWEEN(1587,2416)))</f>
        <v>52502877.674913317</v>
      </c>
      <c r="B2082">
        <v>262878772.23562229</v>
      </c>
    </row>
    <row r="2083" spans="1:2" x14ac:dyDescent="0.25">
      <c r="A2083">
        <f ca="1">31186.5815097208*((RANDBETWEEN(1587,2416)))</f>
        <v>75066101.693897858</v>
      </c>
      <c r="B2083">
        <v>227148020.87757629</v>
      </c>
    </row>
    <row r="2084" spans="1:2" x14ac:dyDescent="0.25">
      <c r="A2084">
        <f ca="1">41625.1891394829*((RANDBETWEEN(1587,2416)))</f>
        <v>71969952.02216588</v>
      </c>
      <c r="B2084">
        <v>213774764.46588272</v>
      </c>
    </row>
    <row r="2085" spans="1:2" x14ac:dyDescent="0.25">
      <c r="A2085">
        <f ca="1">29795.0222154463*((RANDBETWEEN(1587,2416)))</f>
        <v>60424305.052925013</v>
      </c>
      <c r="B2085">
        <v>243501629.21662685</v>
      </c>
    </row>
    <row r="2086" spans="1:2" x14ac:dyDescent="0.25">
      <c r="A2086">
        <f ca="1">31302.6734001708*((RANDBETWEEN(1587,2416)))</f>
        <v>74531665.365806833</v>
      </c>
      <c r="B2086">
        <v>262433898.25711673</v>
      </c>
    </row>
    <row r="2087" spans="1:2" x14ac:dyDescent="0.25">
      <c r="A2087">
        <f ca="1">40214.7774037068*((RANDBETWEEN(1587,2416)))</f>
        <v>66113094.051694028</v>
      </c>
      <c r="B2087">
        <v>253156507.17950329</v>
      </c>
    </row>
    <row r="2088" spans="1:2" x14ac:dyDescent="0.25">
      <c r="A2088">
        <f ca="1">35696.109794107*((RANDBETWEEN(1587,2416)))</f>
        <v>69536021.878920436</v>
      </c>
      <c r="B2088">
        <v>243240261.31255317</v>
      </c>
    </row>
    <row r="2089" spans="1:2" x14ac:dyDescent="0.25">
      <c r="A2089">
        <f ca="1">28270.9855064914*((RANDBETWEEN(1587,2416)))</f>
        <v>65334247.50550162</v>
      </c>
      <c r="B2089">
        <v>249610345.6167767</v>
      </c>
    </row>
    <row r="2090" spans="1:2" x14ac:dyDescent="0.25">
      <c r="A2090">
        <f ca="1">38729.0672783503*((RANDBETWEEN(1587,2416)))</f>
        <v>83422410.917566493</v>
      </c>
      <c r="B2090">
        <v>244984020.36991608</v>
      </c>
    </row>
    <row r="2091" spans="1:2" x14ac:dyDescent="0.25">
      <c r="A2091">
        <f ca="1">32703.4653745538*((RANDBETWEEN(1587,2416)))</f>
        <v>60763038.665920995</v>
      </c>
      <c r="B2091">
        <v>223706830.13795602</v>
      </c>
    </row>
    <row r="2092" spans="1:2" x14ac:dyDescent="0.25">
      <c r="A2092">
        <f ca="1">30376.375987666*((RANDBETWEEN(1587,2416)))</f>
        <v>68741738.860088199</v>
      </c>
      <c r="B2092">
        <v>217827077.85779029</v>
      </c>
    </row>
    <row r="2093" spans="1:2" x14ac:dyDescent="0.25">
      <c r="A2093">
        <f ca="1">38517.1581345595*((RANDBETWEEN(1587,2416)))</f>
        <v>65402134.512481965</v>
      </c>
      <c r="B2093">
        <v>208208579.78300077</v>
      </c>
    </row>
    <row r="2094" spans="1:2" x14ac:dyDescent="0.25">
      <c r="A2094">
        <f ca="1">29883.4849524807*((RANDBETWEEN(1587,2416)))</f>
        <v>50742157.449312188</v>
      </c>
      <c r="B2094">
        <v>229775186.38813895</v>
      </c>
    </row>
    <row r="2095" spans="1:2" x14ac:dyDescent="0.25">
      <c r="A2095">
        <f ca="1">31943.6652936091*((RANDBETWEEN(1587,2416)))</f>
        <v>68742767.711846709</v>
      </c>
      <c r="B2095">
        <v>258069946.38146996</v>
      </c>
    </row>
    <row r="2096" spans="1:2" x14ac:dyDescent="0.25">
      <c r="A2096">
        <f ca="1">39762.7197555269*((RANDBETWEEN(1587,2416)))</f>
        <v>69306420.533883452</v>
      </c>
      <c r="B2096">
        <v>248961758.82525405</v>
      </c>
    </row>
    <row r="2097" spans="1:2" x14ac:dyDescent="0.25">
      <c r="A2097">
        <f ca="1">37045.3995142066*((RANDBETWEEN(1587,2416)))</f>
        <v>70089895.880879045</v>
      </c>
      <c r="B2097">
        <v>219347014.83846536</v>
      </c>
    </row>
    <row r="2098" spans="1:2" x14ac:dyDescent="0.25">
      <c r="A2098">
        <f ca="1">33205.3802732741*((RANDBETWEEN(1587,2416)))</f>
        <v>68403083.362944648</v>
      </c>
      <c r="B2098">
        <v>214832022.1805228</v>
      </c>
    </row>
    <row r="2099" spans="1:2" x14ac:dyDescent="0.25">
      <c r="A2099">
        <f ca="1">40206.1646141594*((RANDBETWEEN(1587,2416)))</f>
        <v>75989651.120761186</v>
      </c>
      <c r="B2099">
        <v>213884073.82181048</v>
      </c>
    </row>
    <row r="2100" spans="1:2" x14ac:dyDescent="0.25">
      <c r="A2100">
        <f ca="1">31232.6245802082*((RANDBETWEEN(1587,2416)))</f>
        <v>70179707.431727767</v>
      </c>
      <c r="B2100">
        <v>259794201.67821673</v>
      </c>
    </row>
    <row r="2101" spans="1:2" x14ac:dyDescent="0.25">
      <c r="A2101">
        <f ca="1">34914.1442477669*((RANDBETWEEN(1587,2416)))</f>
        <v>74541697.968982354</v>
      </c>
      <c r="B2101">
        <v>218564484.15085125</v>
      </c>
    </row>
    <row r="2102" spans="1:2" x14ac:dyDescent="0.25">
      <c r="A2102">
        <f ca="1">30428.830295012*((RANDBETWEEN(1587,2416)))</f>
        <v>67521574.424631521</v>
      </c>
      <c r="B2102">
        <v>266455655.41160071</v>
      </c>
    </row>
    <row r="2103" spans="1:2" x14ac:dyDescent="0.25">
      <c r="A2103">
        <f ca="1">32264.2530478989*((RANDBETWEEN(1587,2416)))</f>
        <v>54171680.867422231</v>
      </c>
      <c r="B2103">
        <v>244593217.61224568</v>
      </c>
    </row>
    <row r="2104" spans="1:2" x14ac:dyDescent="0.25">
      <c r="A2104">
        <f ca="1">30070.5462702295*((RANDBETWEEN(1587,2416)))</f>
        <v>49195413.698095441</v>
      </c>
      <c r="B2104">
        <v>255237425.90604368</v>
      </c>
    </row>
    <row r="2105" spans="1:2" x14ac:dyDescent="0.25">
      <c r="A2105">
        <f ca="1">40834.9232936103*((RANDBETWEEN(1587,2416)))</f>
        <v>69582709.292312026</v>
      </c>
      <c r="B2105">
        <v>242204034.00090522</v>
      </c>
    </row>
    <row r="2106" spans="1:2" x14ac:dyDescent="0.25">
      <c r="A2106">
        <f ca="1">32344.5511988396*((RANDBETWEEN(1587,2416)))</f>
        <v>61260579.970602229</v>
      </c>
      <c r="B2106">
        <v>211742182.69101387</v>
      </c>
    </row>
    <row r="2107" spans="1:2" x14ac:dyDescent="0.25">
      <c r="A2107">
        <f ca="1">36670.4013095226*((RANDBETWEEN(1587,2416)))</f>
        <v>70297159.310354859</v>
      </c>
      <c r="B2107">
        <v>209819664.33424991</v>
      </c>
    </row>
    <row r="2108" spans="1:2" x14ac:dyDescent="0.25">
      <c r="A2108">
        <f ca="1">39850.270406972*((RANDBETWEEN(1587,2416)))</f>
        <v>68024411.584701151</v>
      </c>
      <c r="B2108">
        <v>253017702.60517606</v>
      </c>
    </row>
    <row r="2109" spans="1:2" x14ac:dyDescent="0.25">
      <c r="A2109">
        <f ca="1">33484.1890843377*((RANDBETWEEN(1587,2416)))</f>
        <v>64356611.42009712</v>
      </c>
      <c r="B2109">
        <v>264739850.82536262</v>
      </c>
    </row>
    <row r="2110" spans="1:2" x14ac:dyDescent="0.25">
      <c r="A2110">
        <f ca="1">32633.9235250273*((RANDBETWEEN(1587,2416)))</f>
        <v>56293518.080672167</v>
      </c>
      <c r="B2110">
        <v>246341277.79264811</v>
      </c>
    </row>
    <row r="2111" spans="1:2" x14ac:dyDescent="0.25">
      <c r="A2111">
        <f ca="1">34128.7385095436*((RANDBETWEEN(1587,2416)))</f>
        <v>74741937.335900381</v>
      </c>
      <c r="B2111">
        <v>258276362.75125629</v>
      </c>
    </row>
    <row r="2112" spans="1:2" x14ac:dyDescent="0.25">
      <c r="A2112">
        <f ca="1">32908.9803154962*((RANDBETWEEN(1587,2416)))</f>
        <v>56965444.926123969</v>
      </c>
      <c r="B2112">
        <v>267309487.11580524</v>
      </c>
    </row>
    <row r="2113" spans="1:2" x14ac:dyDescent="0.25">
      <c r="A2113">
        <f ca="1">32381.758491092*((RANDBETWEEN(1587,2416)))</f>
        <v>57639530.114143834</v>
      </c>
      <c r="B2113">
        <v>223540506.25635651</v>
      </c>
    </row>
    <row r="2114" spans="1:2" x14ac:dyDescent="0.25">
      <c r="A2114">
        <f ca="1">35348.3926382178*((RANDBETWEEN(1587,2416)))</f>
        <v>75928347.386891782</v>
      </c>
      <c r="B2114">
        <v>267314098.64577591</v>
      </c>
    </row>
    <row r="2115" spans="1:2" x14ac:dyDescent="0.25">
      <c r="A2115">
        <f ca="1">30856.6866768594*((RANDBETWEEN(1587,2416)))</f>
        <v>53073501.084198102</v>
      </c>
      <c r="B2115">
        <v>249757327.69368598</v>
      </c>
    </row>
    <row r="2116" spans="1:2" x14ac:dyDescent="0.25">
      <c r="A2116">
        <f ca="1">36631.8013469709*((RANDBETWEEN(1587,2416)))</f>
        <v>73446761.700676635</v>
      </c>
      <c r="B2116">
        <v>257571029.45418727</v>
      </c>
    </row>
    <row r="2117" spans="1:2" x14ac:dyDescent="0.25">
      <c r="A2117">
        <f ca="1">32071.9785929595*((RANDBETWEEN(1587,2416)))</f>
        <v>52598044.892453574</v>
      </c>
      <c r="B2117">
        <v>252760912.3750906</v>
      </c>
    </row>
    <row r="2118" spans="1:2" x14ac:dyDescent="0.25">
      <c r="A2118">
        <f ca="1">34962.0602953707*((RANDBETWEEN(1587,2416)))</f>
        <v>57477627.125589371</v>
      </c>
      <c r="B2118">
        <v>228675144.64498958</v>
      </c>
    </row>
    <row r="2119" spans="1:2" x14ac:dyDescent="0.25">
      <c r="A2119">
        <f ca="1">38138.6317263757*((RANDBETWEEN(1587,2416)))</f>
        <v>82150612.738613307</v>
      </c>
      <c r="B2119">
        <v>246326312.26656744</v>
      </c>
    </row>
    <row r="2120" spans="1:2" x14ac:dyDescent="0.25">
      <c r="A2120">
        <f ca="1">30425.2232679076*((RANDBETWEEN(1587,2416)))</f>
        <v>58659830.460525826</v>
      </c>
      <c r="B2120">
        <v>209368314.14319462</v>
      </c>
    </row>
    <row r="2121" spans="1:2" x14ac:dyDescent="0.25">
      <c r="A2121">
        <f ca="1">38367.9812050331*((RANDBETWEEN(1587,2416)))</f>
        <v>68218270.582548931</v>
      </c>
      <c r="B2121">
        <v>265372480.62195694</v>
      </c>
    </row>
    <row r="2122" spans="1:2" x14ac:dyDescent="0.25">
      <c r="A2122">
        <f ca="1">36970.4685643354*((RANDBETWEEN(1587,2416)))</f>
        <v>88248508.463068664</v>
      </c>
      <c r="B2122">
        <v>223569721.29761368</v>
      </c>
    </row>
    <row r="2123" spans="1:2" x14ac:dyDescent="0.25">
      <c r="A2123">
        <f ca="1">33394.0139193646*((RANDBETWEEN(1587,2416)))</f>
        <v>60342983.152291775</v>
      </c>
      <c r="B2123">
        <v>261169160.59713531</v>
      </c>
    </row>
    <row r="2124" spans="1:2" x14ac:dyDescent="0.25">
      <c r="A2124">
        <f ca="1">30166.1299293655*((RANDBETWEEN(1587,2416)))</f>
        <v>56320164.57812538</v>
      </c>
      <c r="B2124">
        <v>222041277.44701231</v>
      </c>
    </row>
    <row r="2125" spans="1:2" x14ac:dyDescent="0.25">
      <c r="A2125">
        <f ca="1">42135.408672148*((RANDBETWEEN(1587,2416)))</f>
        <v>76517902.148620725</v>
      </c>
      <c r="B2125">
        <v>267530825.45053947</v>
      </c>
    </row>
    <row r="2126" spans="1:2" x14ac:dyDescent="0.25">
      <c r="A2126">
        <f ca="1">29948.0160580533*((RANDBETWEEN(1587,2416)))</f>
        <v>68281476.612361565</v>
      </c>
      <c r="B2126">
        <v>219331274.49108967</v>
      </c>
    </row>
    <row r="2127" spans="1:2" x14ac:dyDescent="0.25">
      <c r="A2127">
        <f ca="1">39902.3502342798*((RANDBETWEEN(1587,2416)))</f>
        <v>74138566.735291868</v>
      </c>
      <c r="B2127">
        <v>256485974.84625039</v>
      </c>
    </row>
    <row r="2128" spans="1:2" x14ac:dyDescent="0.25">
      <c r="A2128">
        <f ca="1">32998.4540850548*((RANDBETWEEN(1587,2416)))</f>
        <v>71705640.726824179</v>
      </c>
      <c r="B2128">
        <v>240507772.72487873</v>
      </c>
    </row>
    <row r="2129" spans="1:2" x14ac:dyDescent="0.25">
      <c r="A2129">
        <f ca="1">32915.3483976846*((RANDBETWEEN(1587,2416)))</f>
        <v>78832259.412454501</v>
      </c>
      <c r="B2129">
        <v>211429219.04156259</v>
      </c>
    </row>
    <row r="2130" spans="1:2" x14ac:dyDescent="0.25">
      <c r="A2130">
        <f ca="1">32084.8676320882*((RANDBETWEEN(1587,2416)))</f>
        <v>58811562.369617589</v>
      </c>
      <c r="B2130">
        <v>234344729.49621177</v>
      </c>
    </row>
    <row r="2131" spans="1:2" x14ac:dyDescent="0.25">
      <c r="A2131">
        <f ca="1">30528.5928654357*((RANDBETWEEN(1587,2416)))</f>
        <v>63438415.974375471</v>
      </c>
      <c r="B2131">
        <v>207108893.82153437</v>
      </c>
    </row>
    <row r="2132" spans="1:2" x14ac:dyDescent="0.25">
      <c r="A2132">
        <f ca="1">32145.2081290374*((RANDBETWEEN(1587,2416)))</f>
        <v>61943816.064655103</v>
      </c>
      <c r="B2132">
        <v>249876703.73249727</v>
      </c>
    </row>
    <row r="2133" spans="1:2" x14ac:dyDescent="0.25">
      <c r="A2133">
        <f ca="1">31019.8531998985*((RANDBETWEEN(1587,2416)))</f>
        <v>65265771.132586516</v>
      </c>
      <c r="B2133">
        <v>254570792.59766924</v>
      </c>
    </row>
    <row r="2134" spans="1:2" x14ac:dyDescent="0.25">
      <c r="A2134">
        <f ca="1">36835.5038737909*((RANDBETWEEN(1587,2416)))</f>
        <v>85495204.491068572</v>
      </c>
      <c r="B2134">
        <v>208022930.41654855</v>
      </c>
    </row>
    <row r="2135" spans="1:2" x14ac:dyDescent="0.25">
      <c r="A2135">
        <f ca="1">35531.1716539616*((RANDBETWEEN(1587,2416)))</f>
        <v>58804089.087306462</v>
      </c>
      <c r="B2135">
        <v>229591643.49366656</v>
      </c>
    </row>
    <row r="2136" spans="1:2" x14ac:dyDescent="0.25">
      <c r="A2136">
        <f ca="1">41055.965260752*((RANDBETWEEN(1587,2416)))</f>
        <v>92622257.628256485</v>
      </c>
      <c r="B2136">
        <v>249468773.73966911</v>
      </c>
    </row>
    <row r="2137" spans="1:2" x14ac:dyDescent="0.25">
      <c r="A2137">
        <f ca="1">40158.6909109925*((RANDBETWEEN(1587,2416)))</f>
        <v>72325802.330697536</v>
      </c>
      <c r="B2137">
        <v>248524456.03899047</v>
      </c>
    </row>
    <row r="2138" spans="1:2" x14ac:dyDescent="0.25">
      <c r="A2138">
        <f ca="1">33597.188888373*((RANDBETWEEN(1587,2416)))</f>
        <v>73880218.365532339</v>
      </c>
      <c r="B2138">
        <v>258553302.04722929</v>
      </c>
    </row>
    <row r="2139" spans="1:2" x14ac:dyDescent="0.25">
      <c r="A2139">
        <f ca="1">31049.9396706674*((RANDBETWEEN(1587,2416)))</f>
        <v>51356600.215283886</v>
      </c>
      <c r="B2139">
        <v>251940235.38213158</v>
      </c>
    </row>
    <row r="2140" spans="1:2" x14ac:dyDescent="0.25">
      <c r="A2140">
        <f ca="1">32248.8283766219*((RANDBETWEEN(1587,2416)))</f>
        <v>72140629.078503236</v>
      </c>
      <c r="B2140">
        <v>224132635.94220555</v>
      </c>
    </row>
    <row r="2141" spans="1:2" x14ac:dyDescent="0.25">
      <c r="A2141">
        <f ca="1">32283.2885113204*((RANDBETWEEN(1587,2416)))</f>
        <v>77576742.292702928</v>
      </c>
      <c r="B2141">
        <v>243571562.41621</v>
      </c>
    </row>
    <row r="2142" spans="1:2" x14ac:dyDescent="0.25">
      <c r="A2142">
        <f ca="1">30141.2652423719*((RANDBETWEEN(1587,2416)))</f>
        <v>67245162.755731672</v>
      </c>
      <c r="B2142">
        <v>219668942.34308934</v>
      </c>
    </row>
    <row r="2143" spans="1:2" x14ac:dyDescent="0.25">
      <c r="A2143">
        <f ca="1">31023.4677494056*((RANDBETWEEN(1587,2416)))</f>
        <v>68034464.774446502</v>
      </c>
      <c r="B2143">
        <v>213569084.1781095</v>
      </c>
    </row>
    <row r="2144" spans="1:2" x14ac:dyDescent="0.25">
      <c r="A2144">
        <f ca="1">35291.4912063552*((RANDBETWEEN(1587,2416)))</f>
        <v>83746708.632680848</v>
      </c>
      <c r="B2144">
        <v>237415113.97901234</v>
      </c>
    </row>
    <row r="2145" spans="1:2" x14ac:dyDescent="0.25">
      <c r="A2145">
        <f ca="1">32445.4937418654*((RANDBETWEEN(1587,2416)))</f>
        <v>60673073.297288209</v>
      </c>
      <c r="B2145">
        <v>223848284.79033354</v>
      </c>
    </row>
    <row r="2146" spans="1:2" x14ac:dyDescent="0.25">
      <c r="A2146">
        <f ca="1">31746.5487665633*((RANDBETWEEN(1587,2416)))</f>
        <v>52127833.074696973</v>
      </c>
      <c r="B2146">
        <v>245438924.82565039</v>
      </c>
    </row>
    <row r="2147" spans="1:2" x14ac:dyDescent="0.25">
      <c r="A2147">
        <f ca="1">33161.9364084475*((RANDBETWEEN(1587,2416)))</f>
        <v>72757288.480133876</v>
      </c>
      <c r="B2147">
        <v>230564715.16949344</v>
      </c>
    </row>
    <row r="2148" spans="1:2" x14ac:dyDescent="0.25">
      <c r="A2148">
        <f ca="1">31938.505498717*((RANDBETWEEN(1587,2416)))</f>
        <v>67805447.173776209</v>
      </c>
      <c r="B2148">
        <v>240820752.05638683</v>
      </c>
    </row>
    <row r="2149" spans="1:2" x14ac:dyDescent="0.25">
      <c r="A2149">
        <f ca="1">39938.8146347105*((RANDBETWEEN(1587,2416)))</f>
        <v>75564237.288872287</v>
      </c>
      <c r="B2149">
        <v>231012552.38431686</v>
      </c>
    </row>
    <row r="2150" spans="1:2" x14ac:dyDescent="0.25">
      <c r="A2150">
        <f ca="1">33197.1364319988*((RANDBETWEEN(1587,2416)))</f>
        <v>57696623.11881391</v>
      </c>
      <c r="B2150">
        <v>262662274.17059299</v>
      </c>
    </row>
    <row r="2151" spans="1:2" x14ac:dyDescent="0.25">
      <c r="A2151">
        <f ca="1">32565.3977441453*((RANDBETWEEN(1587,2416)))</f>
        <v>70145866.740888968</v>
      </c>
      <c r="B2151">
        <v>208788157.50851798</v>
      </c>
    </row>
    <row r="2152" spans="1:2" x14ac:dyDescent="0.25">
      <c r="A2152">
        <f ca="1">32359.3645118075*((RANDBETWEEN(1587,2416)))</f>
        <v>67792868.652236655</v>
      </c>
      <c r="B2152">
        <v>252580260.32626003</v>
      </c>
    </row>
    <row r="2153" spans="1:2" x14ac:dyDescent="0.25">
      <c r="A2153">
        <f ca="1">37781.605891003*((RANDBETWEEN(1587,2416)))</f>
        <v>88824555.449748039</v>
      </c>
      <c r="B2153">
        <v>238354057.767647</v>
      </c>
    </row>
    <row r="2154" spans="1:2" x14ac:dyDescent="0.25">
      <c r="A2154">
        <f ca="1">35612.9874670942*((RANDBETWEEN(1587,2416)))</f>
        <v>66952416.438137084</v>
      </c>
      <c r="B2154">
        <v>239053513.28677124</v>
      </c>
    </row>
    <row r="2155" spans="1:2" x14ac:dyDescent="0.25">
      <c r="A2155">
        <f ca="1">30195.589350097*((RANDBETWEEN(1587,2416)))</f>
        <v>48705485.621706426</v>
      </c>
      <c r="B2155">
        <v>252596032.38109797</v>
      </c>
    </row>
    <row r="2156" spans="1:2" x14ac:dyDescent="0.25">
      <c r="A2156">
        <f ca="1">30698.9520000084*((RANDBETWEEN(1587,2416)))</f>
        <v>52126820.496014245</v>
      </c>
      <c r="B2156">
        <v>252803536.68924206</v>
      </c>
    </row>
    <row r="2157" spans="1:2" x14ac:dyDescent="0.25">
      <c r="A2157">
        <f ca="1">30749.2294317112*((RANDBETWEEN(1587,2416)))</f>
        <v>72106943.017362818</v>
      </c>
      <c r="B2157">
        <v>264874638.40283453</v>
      </c>
    </row>
    <row r="2158" spans="1:2" x14ac:dyDescent="0.25">
      <c r="A2158">
        <f ca="1">30733.3208117139*((RANDBETWEEN(1587,2416)))</f>
        <v>53291578.287511967</v>
      </c>
      <c r="B2158">
        <v>231661340.28202954</v>
      </c>
    </row>
    <row r="2159" spans="1:2" x14ac:dyDescent="0.25">
      <c r="A2159">
        <f ca="1">32250.8526694531*((RANDBETWEEN(1587,2416)))</f>
        <v>69339333.239324078</v>
      </c>
      <c r="B2159">
        <v>219992880.45339105</v>
      </c>
    </row>
    <row r="2160" spans="1:2" x14ac:dyDescent="0.25">
      <c r="A2160">
        <f ca="1">37888.7680444328*((RANDBETWEEN(1587,2416)))</f>
        <v>66570565.454068415</v>
      </c>
      <c r="B2160">
        <v>247064971.39854863</v>
      </c>
    </row>
    <row r="2161" spans="1:2" x14ac:dyDescent="0.25">
      <c r="A2161">
        <f ca="1">32558.6140833607*((RANDBETWEEN(1587,2416)))</f>
        <v>58117126.138798766</v>
      </c>
      <c r="B2161">
        <v>229378438.13096768</v>
      </c>
    </row>
    <row r="2162" spans="1:2" x14ac:dyDescent="0.25">
      <c r="A2162">
        <f ca="1">34849.9858092837*((RANDBETWEEN(1587,2416)))</f>
        <v>58269176.273122385</v>
      </c>
      <c r="B2162">
        <v>237894516.62728941</v>
      </c>
    </row>
    <row r="2163" spans="1:2" x14ac:dyDescent="0.25">
      <c r="A2163">
        <f ca="1">32438.3172331397*((RANDBETWEEN(1587,2416)))</f>
        <v>63222280.287389182</v>
      </c>
      <c r="B2163">
        <v>208428428.20347565</v>
      </c>
    </row>
    <row r="2164" spans="1:2" x14ac:dyDescent="0.25">
      <c r="A2164">
        <f ca="1">32400.4438043681*((RANDBETWEEN(1587,2416)))</f>
        <v>66032104.473302104</v>
      </c>
      <c r="B2164">
        <v>213017072.87660062</v>
      </c>
    </row>
    <row r="2165" spans="1:2" x14ac:dyDescent="0.25">
      <c r="A2165">
        <f ca="1">35941.2929383041*((RANDBETWEEN(1587,2416)))</f>
        <v>63652029.793736503</v>
      </c>
      <c r="B2165">
        <v>249460016.50687718</v>
      </c>
    </row>
    <row r="2166" spans="1:2" x14ac:dyDescent="0.25">
      <c r="A2166">
        <f ca="1">32263.1409360764*((RANDBETWEEN(1587,2416)))</f>
        <v>54073024.208863966</v>
      </c>
      <c r="B2166">
        <v>246993591.02221832</v>
      </c>
    </row>
    <row r="2167" spans="1:2" x14ac:dyDescent="0.25">
      <c r="A2167">
        <f ca="1">32609.2982827044*((RANDBETWEEN(1587,2416)))</f>
        <v>70827395.870033965</v>
      </c>
      <c r="B2167">
        <v>264062360.82245073</v>
      </c>
    </row>
    <row r="2168" spans="1:2" x14ac:dyDescent="0.25">
      <c r="A2168">
        <f ca="1">41197.535684538*((RANDBETWEEN(1587,2416)))</f>
        <v>92529665.147472337</v>
      </c>
      <c r="B2168">
        <v>249342533.33947659</v>
      </c>
    </row>
    <row r="2169" spans="1:2" x14ac:dyDescent="0.25">
      <c r="A2169">
        <f ca="1">32663.4835659403*((RANDBETWEEN(1587,2416)))</f>
        <v>73231530.15483807</v>
      </c>
      <c r="B2169">
        <v>204918843.50483048</v>
      </c>
    </row>
    <row r="2170" spans="1:2" x14ac:dyDescent="0.25">
      <c r="A2170">
        <f ca="1">33396.4496999802*((RANDBETWEEN(1587,2416)))</f>
        <v>56406603.543266632</v>
      </c>
      <c r="B2170">
        <v>250440703.73693746</v>
      </c>
    </row>
    <row r="2171" spans="1:2" x14ac:dyDescent="0.25">
      <c r="A2171">
        <f ca="1">38302.606663033*((RANDBETWEEN(1587,2416)))</f>
        <v>76566910.719403043</v>
      </c>
      <c r="B2171">
        <v>223108733.7349745</v>
      </c>
    </row>
    <row r="2172" spans="1:2" x14ac:dyDescent="0.25">
      <c r="A2172">
        <f ca="1">31134.8486665245*((RANDBETWEEN(1587,2416)))</f>
        <v>70115679.197013259</v>
      </c>
      <c r="B2172">
        <v>245314411.68903697</v>
      </c>
    </row>
    <row r="2173" spans="1:2" x14ac:dyDescent="0.25">
      <c r="A2173">
        <f ca="1">30648.1332115072*((RANDBETWEEN(1587,2416)))</f>
        <v>53695529.386560552</v>
      </c>
      <c r="B2173">
        <v>217563136.81016803</v>
      </c>
    </row>
    <row r="2174" spans="1:2" x14ac:dyDescent="0.25">
      <c r="A2174">
        <f ca="1">29916.2967353554*((RANDBETWEEN(1587,2416)))</f>
        <v>62106232.02259782</v>
      </c>
      <c r="B2174">
        <v>251737611.07534772</v>
      </c>
    </row>
    <row r="2175" spans="1:2" x14ac:dyDescent="0.25">
      <c r="A2175">
        <f ca="1">32917.7017858832*((RANDBETWEEN(1587,2416)))</f>
        <v>68896749.837853536</v>
      </c>
      <c r="B2175">
        <v>236384544.46983147</v>
      </c>
    </row>
    <row r="2176" spans="1:2" x14ac:dyDescent="0.25">
      <c r="A2176">
        <f ca="1">35722.3279302778*((RANDBETWEEN(1587,2416)))</f>
        <v>78803455.414192781</v>
      </c>
      <c r="B2176">
        <v>225709104.86625105</v>
      </c>
    </row>
    <row r="2177" spans="1:2" x14ac:dyDescent="0.25">
      <c r="A2177">
        <f ca="1">32652.6644415542*((RANDBETWEEN(1587,2416)))</f>
        <v>64652275.594277322</v>
      </c>
      <c r="B2177">
        <v>210012838.25856367</v>
      </c>
    </row>
    <row r="2178" spans="1:2" x14ac:dyDescent="0.25">
      <c r="A2178">
        <f ca="1">40323.5704182958*((RANDBETWEEN(1587,2416)))</f>
        <v>79840669.428225607</v>
      </c>
      <c r="B2178">
        <v>208710142.34551778</v>
      </c>
    </row>
    <row r="2179" spans="1:2" x14ac:dyDescent="0.25">
      <c r="A2179">
        <f ca="1">37060.795452311*((RANDBETWEEN(1587,2416)))</f>
        <v>59927306.246386833</v>
      </c>
      <c r="B2179">
        <v>231642011.42369395</v>
      </c>
    </row>
    <row r="2180" spans="1:2" x14ac:dyDescent="0.25">
      <c r="A2180">
        <f ca="1">31507.5605602715*((RANDBETWEEN(1587,2416)))</f>
        <v>73255078.302631274</v>
      </c>
      <c r="B2180">
        <v>242027036.59093577</v>
      </c>
    </row>
    <row r="2181" spans="1:2" x14ac:dyDescent="0.25">
      <c r="A2181">
        <f ca="1">32863.0011580339*((RANDBETWEEN(1587,2416)))</f>
        <v>72200013.544200525</v>
      </c>
      <c r="B2181">
        <v>259435565.04232478</v>
      </c>
    </row>
    <row r="2182" spans="1:2" x14ac:dyDescent="0.25">
      <c r="A2182">
        <f ca="1">36725.4493126484*((RANDBETWEEN(1587,2416)))</f>
        <v>72422586.0445427</v>
      </c>
      <c r="B2182">
        <v>207858626.27406713</v>
      </c>
    </row>
    <row r="2183" spans="1:2" x14ac:dyDescent="0.25">
      <c r="A2183">
        <f ca="1">38155.6276126469*((RANDBETWEEN(1587,2416)))</f>
        <v>91459039.387514591</v>
      </c>
      <c r="B2183">
        <v>225986492.39142978</v>
      </c>
    </row>
    <row r="2184" spans="1:2" x14ac:dyDescent="0.25">
      <c r="A2184">
        <f ca="1">37647.9252197636*((RANDBETWEEN(1587,2416)))</f>
        <v>61064934.706456549</v>
      </c>
      <c r="B2184">
        <v>241575387.29607308</v>
      </c>
    </row>
    <row r="2185" spans="1:2" x14ac:dyDescent="0.25">
      <c r="A2185">
        <f ca="1">30090.4394795317*((RANDBETWEEN(1587,2416)))</f>
        <v>55637222.597654194</v>
      </c>
      <c r="B2185">
        <v>246890526.72872743</v>
      </c>
    </row>
    <row r="2186" spans="1:2" x14ac:dyDescent="0.25">
      <c r="A2186">
        <f ca="1">34625.8309326907*((RANDBETWEEN(1587,2416)))</f>
        <v>72714244.958650514</v>
      </c>
      <c r="B2186">
        <v>235168187.24050614</v>
      </c>
    </row>
    <row r="2187" spans="1:2" x14ac:dyDescent="0.25">
      <c r="A2187">
        <f ca="1">30876.4164593391*((RANDBETWEEN(1587,2416)))</f>
        <v>70027712.529781118</v>
      </c>
      <c r="B2187">
        <v>263031831.42193103</v>
      </c>
    </row>
    <row r="2188" spans="1:2" x14ac:dyDescent="0.25">
      <c r="A2188">
        <f ca="1">37561.002287756*((RANDBETWEEN(1587,2416)))</f>
        <v>88418599.385377541</v>
      </c>
      <c r="B2188">
        <v>234085457.06903163</v>
      </c>
    </row>
    <row r="2189" spans="1:2" x14ac:dyDescent="0.25">
      <c r="A2189">
        <f ca="1">42732.1304581176*((RANDBETWEEN(1587,2416)))</f>
        <v>89096492.005175173</v>
      </c>
      <c r="B2189">
        <v>261409198.34796956</v>
      </c>
    </row>
    <row r="2190" spans="1:2" x14ac:dyDescent="0.25">
      <c r="A2190">
        <f ca="1">33947.0927676842*((RANDBETWEEN(1587,2416)))</f>
        <v>56284279.808820486</v>
      </c>
      <c r="B2190">
        <v>214776002.98630944</v>
      </c>
    </row>
    <row r="2191" spans="1:2" x14ac:dyDescent="0.25">
      <c r="A2191">
        <f ca="1">30162.0125709184*((RANDBETWEEN(1587,2416)))</f>
        <v>61681315.707528114</v>
      </c>
      <c r="B2191">
        <v>216785935.06110942</v>
      </c>
    </row>
    <row r="2192" spans="1:2" x14ac:dyDescent="0.25">
      <c r="A2192">
        <f ca="1">40294.6860729516*((RANDBETWEEN(1587,2416)))</f>
        <v>88608014.674420461</v>
      </c>
      <c r="B2192">
        <v>240598176.63442919</v>
      </c>
    </row>
    <row r="2193" spans="1:2" x14ac:dyDescent="0.25">
      <c r="A2193">
        <f ca="1">34386.4352155213*((RANDBETWEEN(1587,2416)))</f>
        <v>64233860.982593827</v>
      </c>
      <c r="B2193">
        <v>252859116.01509726</v>
      </c>
    </row>
    <row r="2194" spans="1:2" x14ac:dyDescent="0.25">
      <c r="A2194">
        <f ca="1">39383.2208824473*((RANDBETWEEN(1587,2416)))</f>
        <v>92629335.515516058</v>
      </c>
      <c r="B2194">
        <v>247664211.26336014</v>
      </c>
    </row>
    <row r="2195" spans="1:2" x14ac:dyDescent="0.25">
      <c r="A2195">
        <f ca="1">33161.8335227186*((RANDBETWEEN(1587,2416)))</f>
        <v>63007483.693165347</v>
      </c>
      <c r="B2195">
        <v>205170754.89066166</v>
      </c>
    </row>
    <row r="2196" spans="1:2" x14ac:dyDescent="0.25">
      <c r="A2196">
        <f ca="1">39027.5922829461*((RANDBETWEEN(1587,2416)))</f>
        <v>93978442.217334256</v>
      </c>
      <c r="B2196">
        <v>220172433.20789611</v>
      </c>
    </row>
    <row r="2197" spans="1:2" x14ac:dyDescent="0.25">
      <c r="A2197">
        <f ca="1">32154.0334330494*((RANDBETWEEN(1587,2416)))</f>
        <v>65787152.404019132</v>
      </c>
      <c r="B2197">
        <v>264684190.04448363</v>
      </c>
    </row>
    <row r="2198" spans="1:2" x14ac:dyDescent="0.25">
      <c r="A2198">
        <f ca="1">35482.4592260704*((RANDBETWEEN(1587,2416)))</f>
        <v>61633031.67568431</v>
      </c>
      <c r="B2198">
        <v>244558444.34352893</v>
      </c>
    </row>
    <row r="2199" spans="1:2" x14ac:dyDescent="0.25">
      <c r="A2199">
        <f ca="1">29316.6999508345*((RANDBETWEEN(1587,2416)))</f>
        <v>51245591.514058754</v>
      </c>
      <c r="B2199">
        <v>240520497.39838129</v>
      </c>
    </row>
    <row r="2200" spans="1:2" x14ac:dyDescent="0.25">
      <c r="A2200">
        <f ca="1">31607.6835534697*((RANDBETWEEN(1587,2416)))</f>
        <v>54776115.598162919</v>
      </c>
      <c r="B2200">
        <v>218575645.38599759</v>
      </c>
    </row>
    <row r="2201" spans="1:2" x14ac:dyDescent="0.25">
      <c r="A2201">
        <f ca="1">34192.8960248248*((RANDBETWEEN(1587,2416)))</f>
        <v>76523701.303557813</v>
      </c>
      <c r="B2201">
        <v>227187622.11391437</v>
      </c>
    </row>
    <row r="2202" spans="1:2" x14ac:dyDescent="0.25">
      <c r="A2202">
        <f ca="1">39132.8406509341*((RANDBETWEEN(1587,2416)))</f>
        <v>90318596.222355887</v>
      </c>
      <c r="B2202">
        <v>264110686.43259344</v>
      </c>
    </row>
    <row r="2203" spans="1:2" x14ac:dyDescent="0.25">
      <c r="A2203">
        <f ca="1">32630.1013443256*((RANDBETWEEN(1587,2416)))</f>
        <v>60789878.804478586</v>
      </c>
      <c r="B2203">
        <v>206319823.47700229</v>
      </c>
    </row>
    <row r="2204" spans="1:2" x14ac:dyDescent="0.25">
      <c r="A2204">
        <f ca="1">31247.1645851976*((RANDBETWEEN(1587,2416)))</f>
        <v>55057503.99911809</v>
      </c>
      <c r="B2204">
        <v>244882798.70940346</v>
      </c>
    </row>
    <row r="2205" spans="1:2" x14ac:dyDescent="0.25">
      <c r="A2205">
        <f ca="1">31013.4771515758*((RANDBETWEEN(1587,2416)))</f>
        <v>69563229.25098455</v>
      </c>
      <c r="B2205">
        <v>208175734.24952227</v>
      </c>
    </row>
    <row r="2206" spans="1:2" x14ac:dyDescent="0.25">
      <c r="A2206">
        <f ca="1">37780.2410906205*((RANDBETWEEN(1587,2416)))</f>
        <v>75749383.386694103</v>
      </c>
      <c r="B2206">
        <v>210588079.15142533</v>
      </c>
    </row>
    <row r="2207" spans="1:2" x14ac:dyDescent="0.25">
      <c r="A2207">
        <f ca="1">31444.6740839063*((RANDBETWEEN(1587,2416)))</f>
        <v>56128743.239772789</v>
      </c>
      <c r="B2207">
        <v>254802042.21331742</v>
      </c>
    </row>
    <row r="2208" spans="1:2" x14ac:dyDescent="0.25">
      <c r="A2208">
        <f ca="1">31301.9794576085*((RANDBETWEEN(1587,2416)))</f>
        <v>61195369.839624651</v>
      </c>
      <c r="B2208">
        <v>248195202.17910314</v>
      </c>
    </row>
    <row r="2209" spans="1:2" x14ac:dyDescent="0.25">
      <c r="A2209">
        <f ca="1">40253.319917074*((RANDBETWEEN(1587,2416)))</f>
        <v>64204045.267733105</v>
      </c>
      <c r="B2209">
        <v>216332995.86235097</v>
      </c>
    </row>
    <row r="2210" spans="1:2" x14ac:dyDescent="0.25">
      <c r="A2210">
        <f ca="1">30736.0895814934*((RANDBETWEEN(1587,2416)))</f>
        <v>54679503.36547675</v>
      </c>
      <c r="B2210">
        <v>219115171.19607264</v>
      </c>
    </row>
    <row r="2211" spans="1:2" x14ac:dyDescent="0.25">
      <c r="A2211">
        <f ca="1">34363.9680326837*((RANDBETWEEN(1587,2416)))</f>
        <v>64226256.253085814</v>
      </c>
      <c r="B2211">
        <v>252994989.26475331</v>
      </c>
    </row>
    <row r="2212" spans="1:2" x14ac:dyDescent="0.25">
      <c r="A2212">
        <f ca="1">30493.3883243461*((RANDBETWEEN(1587,2416)))</f>
        <v>66658546.877020471</v>
      </c>
      <c r="B2212">
        <v>263501390.62707353</v>
      </c>
    </row>
    <row r="2213" spans="1:2" x14ac:dyDescent="0.25">
      <c r="A2213">
        <f ca="1">34742.1795313303*((RANDBETWEEN(1587,2416)))</f>
        <v>55344291.993409149</v>
      </c>
      <c r="B2213">
        <v>252833951.54418048</v>
      </c>
    </row>
    <row r="2214" spans="1:2" x14ac:dyDescent="0.25">
      <c r="A2214">
        <f ca="1">39286.0776910948*((RANDBETWEEN(1587,2416)))</f>
        <v>85407932.900440171</v>
      </c>
      <c r="B2214">
        <v>261558151.28331643</v>
      </c>
    </row>
    <row r="2215" spans="1:2" x14ac:dyDescent="0.25">
      <c r="A2215">
        <f ca="1">34497.738885544*((RANDBETWEEN(1587,2416)))</f>
        <v>65442210.66587697</v>
      </c>
      <c r="B2215">
        <v>204323158.1238544</v>
      </c>
    </row>
    <row r="2216" spans="1:2" x14ac:dyDescent="0.25">
      <c r="A2216">
        <f ca="1">34285.8509619333*((RANDBETWEEN(1587,2416)))</f>
        <v>79063172.318218246</v>
      </c>
      <c r="B2216">
        <v>206410012.46426469</v>
      </c>
    </row>
    <row r="2217" spans="1:2" x14ac:dyDescent="0.25">
      <c r="A2217">
        <f ca="1">36239.2845367388*((RANDBETWEEN(1587,2416)))</f>
        <v>74652926.145681962</v>
      </c>
      <c r="B2217">
        <v>241847717.2246154</v>
      </c>
    </row>
    <row r="2218" spans="1:2" x14ac:dyDescent="0.25">
      <c r="A2218">
        <f ca="1">38489.1762916539*((RANDBETWEEN(1587,2416)))</f>
        <v>67317569.334102631</v>
      </c>
      <c r="B2218">
        <v>227692575.5181281</v>
      </c>
    </row>
    <row r="2219" spans="1:2" x14ac:dyDescent="0.25">
      <c r="A2219">
        <f ca="1">40417.8155371126*((RANDBETWEEN(1587,2416)))</f>
        <v>71458697.869615048</v>
      </c>
      <c r="B2219">
        <v>245052023.78812</v>
      </c>
    </row>
    <row r="2220" spans="1:2" x14ac:dyDescent="0.25">
      <c r="A2220">
        <f ca="1">34500.6739075838*((RANDBETWEEN(1587,2416)))</f>
        <v>82353108.617402628</v>
      </c>
      <c r="B2220">
        <v>247636646.69929352</v>
      </c>
    </row>
    <row r="2221" spans="1:2" x14ac:dyDescent="0.25">
      <c r="A2221">
        <f ca="1">39166.7821186113*((RANDBETWEEN(1587,2416)))</f>
        <v>78842732.404764578</v>
      </c>
      <c r="B2221">
        <v>253306046.08140436</v>
      </c>
    </row>
    <row r="2222" spans="1:2" x14ac:dyDescent="0.25">
      <c r="A2222">
        <f ca="1">36310.1700318121*((RANDBETWEEN(1587,2416)))</f>
        <v>86999167.396221742</v>
      </c>
      <c r="B2222">
        <v>209434293.20963725</v>
      </c>
    </row>
    <row r="2223" spans="1:2" x14ac:dyDescent="0.25">
      <c r="A2223">
        <f ca="1">38472.9922719583*((RANDBETWEEN(1587,2416)))</f>
        <v>80023823.925673246</v>
      </c>
      <c r="B2223">
        <v>214242557.69575128</v>
      </c>
    </row>
    <row r="2224" spans="1:2" x14ac:dyDescent="0.25">
      <c r="A2224">
        <f ca="1">32129.7882904316*((RANDBETWEEN(1587,2416)))</f>
        <v>68886266.094685376</v>
      </c>
      <c r="B2224">
        <v>204958835.07170624</v>
      </c>
    </row>
    <row r="2225" spans="1:2" x14ac:dyDescent="0.25">
      <c r="A2225">
        <f ca="1">34064.1316271139*((RANDBETWEEN(1587,2416)))</f>
        <v>76337718.976362288</v>
      </c>
      <c r="B2225">
        <v>208678755.81530207</v>
      </c>
    </row>
    <row r="2226" spans="1:2" x14ac:dyDescent="0.25">
      <c r="A2226">
        <f ca="1">32952.8509533053*((RANDBETWEEN(1587,2416)))</f>
        <v>72990564.861571178</v>
      </c>
      <c r="B2226">
        <v>266231971.72824863</v>
      </c>
    </row>
    <row r="2227" spans="1:2" x14ac:dyDescent="0.25">
      <c r="A2227">
        <f ca="1">32543.1196139616*((RANDBETWEEN(1587,2416)))</f>
        <v>62775677.735331878</v>
      </c>
      <c r="B2227">
        <v>219996588.55315381</v>
      </c>
    </row>
    <row r="2228" spans="1:2" x14ac:dyDescent="0.25">
      <c r="A2228">
        <f ca="1">31307.1244212583*((RANDBETWEEN(1587,2416)))</f>
        <v>63146469.957677953</v>
      </c>
      <c r="B2228">
        <v>210286515.29197863</v>
      </c>
    </row>
    <row r="2229" spans="1:2" x14ac:dyDescent="0.25">
      <c r="A2229">
        <f ca="1">37879.7079982868*((RANDBETWEEN(1587,2416)))</f>
        <v>89812787.663937956</v>
      </c>
      <c r="B2229">
        <v>234475575.45238751</v>
      </c>
    </row>
    <row r="2230" spans="1:2" x14ac:dyDescent="0.25">
      <c r="A2230">
        <f ca="1">30799.203760424*((RANDBETWEEN(1587,2416)))</f>
        <v>71053763.07529825</v>
      </c>
      <c r="B2230">
        <v>240737821.18526208</v>
      </c>
    </row>
    <row r="2231" spans="1:2" x14ac:dyDescent="0.25">
      <c r="A2231">
        <f ca="1">38962.7952345656*((RANDBETWEEN(1587,2416)))</f>
        <v>84393414.478069082</v>
      </c>
      <c r="B2231">
        <v>262477672.75134137</v>
      </c>
    </row>
    <row r="2232" spans="1:2" x14ac:dyDescent="0.25">
      <c r="A2232">
        <f ca="1">27448.1893691489*((RANDBETWEEN(1587,2416)))</f>
        <v>50202738.356173299</v>
      </c>
      <c r="B2232">
        <v>252869969.86773375</v>
      </c>
    </row>
    <row r="2233" spans="1:2" x14ac:dyDescent="0.25">
      <c r="A2233">
        <f ca="1">31640.7458320098*((RANDBETWEEN(1587,2416)))</f>
        <v>69546359.33875744</v>
      </c>
      <c r="B2233">
        <v>244224329.27377868</v>
      </c>
    </row>
    <row r="2234" spans="1:2" x14ac:dyDescent="0.25">
      <c r="A2234">
        <f ca="1">34237.7325654194*((RANDBETWEEN(1587,2416)))</f>
        <v>60943163.966446541</v>
      </c>
      <c r="B2234">
        <v>242091546.4361721</v>
      </c>
    </row>
    <row r="2235" spans="1:2" x14ac:dyDescent="0.25">
      <c r="A2235">
        <f ca="1">38635.9236635988*((RANDBETWEEN(1587,2416)))</f>
        <v>76885488.090561643</v>
      </c>
      <c r="B2235">
        <v>210804202.92769176</v>
      </c>
    </row>
    <row r="2236" spans="1:2" x14ac:dyDescent="0.25">
      <c r="A2236">
        <f ca="1">35833.8807695996*((RANDBETWEEN(1587,2416)))</f>
        <v>74283634.835379988</v>
      </c>
      <c r="B2236">
        <v>231364656.82622322</v>
      </c>
    </row>
    <row r="2237" spans="1:2" x14ac:dyDescent="0.25">
      <c r="A2237">
        <f ca="1">31388.1924413954*((RANDBETWEEN(1587,2416)))</f>
        <v>75111944.512259394</v>
      </c>
      <c r="B2237">
        <v>254836921.63539848</v>
      </c>
    </row>
    <row r="2238" spans="1:2" x14ac:dyDescent="0.25">
      <c r="A2238">
        <f ca="1">39082.805990144*((RANDBETWEEN(1587,2416)))</f>
        <v>76211471.680780843</v>
      </c>
      <c r="B2238">
        <v>219661578.95058128</v>
      </c>
    </row>
    <row r="2239" spans="1:2" x14ac:dyDescent="0.25">
      <c r="A2239">
        <f ca="1">32149.2522484993*((RANDBETWEEN(1587,2416)))</f>
        <v>51856743.876829393</v>
      </c>
      <c r="B2239">
        <v>221902806.35781983</v>
      </c>
    </row>
    <row r="2240" spans="1:2" x14ac:dyDescent="0.25">
      <c r="A2240">
        <f ca="1">39031.6327554876*((RANDBETWEEN(1587,2416)))</f>
        <v>75213956.319824606</v>
      </c>
      <c r="B2240">
        <v>239513395.43023005</v>
      </c>
    </row>
    <row r="2241" spans="1:2" x14ac:dyDescent="0.25">
      <c r="A2241">
        <f ca="1">34567.7213414787*((RANDBETWEEN(1587,2416)))</f>
        <v>71555183.176860899</v>
      </c>
      <c r="B2241">
        <v>240851311.06756577</v>
      </c>
    </row>
    <row r="2242" spans="1:2" x14ac:dyDescent="0.25">
      <c r="A2242">
        <f ca="1">32399.0687563192*((RANDBETWEEN(1587,2416)))</f>
        <v>73999473.039432973</v>
      </c>
      <c r="B2242">
        <v>261542341.33537626</v>
      </c>
    </row>
    <row r="2243" spans="1:2" x14ac:dyDescent="0.25">
      <c r="A2243">
        <f ca="1">40544.9928496859*((RANDBETWEEN(1587,2416)))</f>
        <v>70345562.594205111</v>
      </c>
      <c r="B2243">
        <v>249182431.06297833</v>
      </c>
    </row>
    <row r="2244" spans="1:2" x14ac:dyDescent="0.25">
      <c r="A2244">
        <f ca="1">30079.5959859422*((RANDBETWEEN(1587,2416)))</f>
        <v>63467947.530338012</v>
      </c>
      <c r="B2244">
        <v>255484986.63232619</v>
      </c>
    </row>
    <row r="2245" spans="1:2" x14ac:dyDescent="0.25">
      <c r="A2245">
        <f ca="1">35259.8866149711*((RANDBETWEEN(1587,2416)))</f>
        <v>83037032.978256941</v>
      </c>
      <c r="B2245">
        <v>229669527.24405971</v>
      </c>
    </row>
    <row r="2246" spans="1:2" x14ac:dyDescent="0.25">
      <c r="A2246">
        <f ca="1">31721.8916833522*((RANDBETWEEN(1587,2416)))</f>
        <v>72579688.171509922</v>
      </c>
      <c r="B2246">
        <v>237470625.30962425</v>
      </c>
    </row>
    <row r="2247" spans="1:2" x14ac:dyDescent="0.25">
      <c r="A2247">
        <f ca="1">31307.9284213527*((RANDBETWEEN(1587,2416)))</f>
        <v>56135115.65948534</v>
      </c>
      <c r="B2247">
        <v>250686194.21131182</v>
      </c>
    </row>
    <row r="2248" spans="1:2" x14ac:dyDescent="0.25">
      <c r="A2248">
        <f ca="1">33042.3709904345*((RANDBETWEEN(1587,2416)))</f>
        <v>74114038.13154462</v>
      </c>
      <c r="B2248">
        <v>227583601.01409104</v>
      </c>
    </row>
    <row r="2249" spans="1:2" x14ac:dyDescent="0.25">
      <c r="A2249">
        <f ca="1">40612.5655270498*((RANDBETWEEN(1587,2416)))</f>
        <v>69000748.830457628</v>
      </c>
      <c r="B2249">
        <v>226490553.35702631</v>
      </c>
    </row>
    <row r="2250" spans="1:2" x14ac:dyDescent="0.25">
      <c r="A2250">
        <f ca="1">31567.6158138039*((RANDBETWEEN(1587,2416)))</f>
        <v>56947978.9281023</v>
      </c>
      <c r="B2250">
        <v>246619319.40089706</v>
      </c>
    </row>
    <row r="2251" spans="1:2" x14ac:dyDescent="0.25">
      <c r="A2251">
        <f ca="1">37932.3696557118*((RANDBETWEEN(1587,2416)))</f>
        <v>67026497.181642815</v>
      </c>
      <c r="B2251">
        <v>243549082.1608009</v>
      </c>
    </row>
    <row r="2252" spans="1:2" x14ac:dyDescent="0.25">
      <c r="A2252">
        <f ca="1">32976.1164580435*((RANDBETWEEN(1587,2416)))</f>
        <v>78977798.917014271</v>
      </c>
      <c r="B2252">
        <v>238531112.26102287</v>
      </c>
    </row>
    <row r="2253" spans="1:2" x14ac:dyDescent="0.25">
      <c r="A2253">
        <f ca="1">29538.8191424368*((RANDBETWEEN(1587,2416)))</f>
        <v>47646115.27675055</v>
      </c>
      <c r="B2253">
        <v>212006552.1024681</v>
      </c>
    </row>
    <row r="2254" spans="1:2" x14ac:dyDescent="0.25">
      <c r="A2254">
        <f ca="1">33757.0663509235*((RANDBETWEEN(1587,2416)))</f>
        <v>64509753.796614744</v>
      </c>
      <c r="B2254">
        <v>237035685.83943415</v>
      </c>
    </row>
    <row r="2255" spans="1:2" x14ac:dyDescent="0.25">
      <c r="A2255">
        <f ca="1">31231.8539467666*((RANDBETWEEN(1587,2416)))</f>
        <v>51813645.697685786</v>
      </c>
      <c r="B2255">
        <v>235785080.32545102</v>
      </c>
    </row>
    <row r="2256" spans="1:2" x14ac:dyDescent="0.25">
      <c r="A2256">
        <f ca="1">29452.481372647*((RANDBETWEEN(1587,2416)))</f>
        <v>51924724.659976706</v>
      </c>
      <c r="B2256">
        <v>257599872.12552822</v>
      </c>
    </row>
    <row r="2257" spans="1:2" x14ac:dyDescent="0.25">
      <c r="A2257">
        <f ca="1">40297.7743690265*((RANDBETWEEN(1587,2416)))</f>
        <v>69513660.786570698</v>
      </c>
      <c r="B2257">
        <v>246921997.54589891</v>
      </c>
    </row>
    <row r="2258" spans="1:2" x14ac:dyDescent="0.25">
      <c r="A2258">
        <f ca="1">36361.2188093379*((RANDBETWEEN(1587,2416)))</f>
        <v>84394388.856473371</v>
      </c>
      <c r="B2258">
        <v>221079402.6264807</v>
      </c>
    </row>
    <row r="2259" spans="1:2" x14ac:dyDescent="0.25">
      <c r="A2259">
        <f ca="1">37896.694721801*((RANDBETWEEN(1587,2416)))</f>
        <v>70374162.098384529</v>
      </c>
      <c r="B2259">
        <v>225293871.52409613</v>
      </c>
    </row>
    <row r="2260" spans="1:2" x14ac:dyDescent="0.25">
      <c r="A2260">
        <f ca="1">42543.4340572825*((RANDBETWEEN(1587,2416)))</f>
        <v>72026033.858979344</v>
      </c>
      <c r="B2260">
        <v>266010731.34868419</v>
      </c>
    </row>
    <row r="2261" spans="1:2" x14ac:dyDescent="0.25">
      <c r="A2261">
        <f ca="1">41723.4039163493*((RANDBETWEEN(1587,2416)))</f>
        <v>81569254.656462908</v>
      </c>
      <c r="B2261">
        <v>206032604.06605017</v>
      </c>
    </row>
    <row r="2262" spans="1:2" x14ac:dyDescent="0.25">
      <c r="A2262">
        <f ca="1">31098.8792999599*((RANDBETWEEN(1587,2416)))</f>
        <v>58590288.601124525</v>
      </c>
      <c r="B2262">
        <v>254451894.13217685</v>
      </c>
    </row>
    <row r="2263" spans="1:2" x14ac:dyDescent="0.25">
      <c r="A2263">
        <f ca="1">29091.4137768793*((RANDBETWEEN(1587,2416)))</f>
        <v>57630090.691997863</v>
      </c>
      <c r="B2263">
        <v>215408247.60211667</v>
      </c>
    </row>
    <row r="2264" spans="1:2" x14ac:dyDescent="0.25">
      <c r="A2264">
        <f ca="1">42283.9337883884*((RANDBETWEEN(1587,2416)))</f>
        <v>100297490.94605736</v>
      </c>
      <c r="B2264">
        <v>224886978.20351693</v>
      </c>
    </row>
    <row r="2265" spans="1:2" x14ac:dyDescent="0.25">
      <c r="A2265">
        <f ca="1">29989.9430861732*((RANDBETWEEN(1587,2416)))</f>
        <v>50683003.815632671</v>
      </c>
      <c r="B2265">
        <v>253875828.86820942</v>
      </c>
    </row>
    <row r="2266" spans="1:2" x14ac:dyDescent="0.25">
      <c r="A2266">
        <f ca="1">37375.3045785527*((RANDBETWEEN(1587,2416)))</f>
        <v>65332032.403310053</v>
      </c>
      <c r="B2266">
        <v>243104042.80199134</v>
      </c>
    </row>
    <row r="2267" spans="1:2" x14ac:dyDescent="0.25">
      <c r="A2267">
        <f ca="1">30515.6089384551*((RANDBETWEEN(1587,2416)))</f>
        <v>60542968.133894995</v>
      </c>
      <c r="B2267">
        <v>239311045.1034351</v>
      </c>
    </row>
    <row r="2268" spans="1:2" x14ac:dyDescent="0.25">
      <c r="A2268">
        <f ca="1">31620.3043417966*((RANDBETWEEN(1587,2416)))</f>
        <v>53280212.815927237</v>
      </c>
      <c r="B2268">
        <v>208195328.62291652</v>
      </c>
    </row>
    <row r="2269" spans="1:2" x14ac:dyDescent="0.25">
      <c r="A2269">
        <f ca="1">41530.4095462656*((RANDBETWEEN(1587,2416)))</f>
        <v>87006207.99942635</v>
      </c>
      <c r="B2269">
        <v>242854273.11589831</v>
      </c>
    </row>
    <row r="2270" spans="1:2" x14ac:dyDescent="0.25">
      <c r="A2270">
        <f ca="1">31985.7338447595*((RANDBETWEEN(1587,2416)))</f>
        <v>53927947.262264475</v>
      </c>
      <c r="B2270">
        <v>209483068.58319163</v>
      </c>
    </row>
    <row r="2271" spans="1:2" x14ac:dyDescent="0.25">
      <c r="A2271">
        <f ca="1">30613.3010554341*((RANDBETWEEN(1587,2416)))</f>
        <v>52961010.825901076</v>
      </c>
      <c r="B2271">
        <v>226507990.39871407</v>
      </c>
    </row>
    <row r="2272" spans="1:2" x14ac:dyDescent="0.25">
      <c r="A2272">
        <f ca="1">39291.9055468169*((RANDBETWEEN(1587,2416)))</f>
        <v>81491412.104098186</v>
      </c>
      <c r="B2272">
        <v>217816140.05244774</v>
      </c>
    </row>
    <row r="2273" spans="1:2" x14ac:dyDescent="0.25">
      <c r="A2273">
        <f ca="1">32791.1979685196*((RANDBETWEEN(1587,2416)))</f>
        <v>72402965.114491284</v>
      </c>
      <c r="B2273">
        <v>225419865.80509168</v>
      </c>
    </row>
    <row r="2274" spans="1:2" x14ac:dyDescent="0.25">
      <c r="A2274">
        <f ca="1">35874.5523048795*((RANDBETWEEN(1587,2416)))</f>
        <v>74260323.271100491</v>
      </c>
      <c r="B2274">
        <v>253634398.92801777</v>
      </c>
    </row>
    <row r="2275" spans="1:2" x14ac:dyDescent="0.25">
      <c r="A2275">
        <f ca="1">31294.3326804762*((RANDBETWEEN(1587,2416)))</f>
        <v>60961360.061567552</v>
      </c>
      <c r="B2275">
        <v>244510702.58042705</v>
      </c>
    </row>
    <row r="2276" spans="1:2" x14ac:dyDescent="0.25">
      <c r="A2276">
        <f ca="1">35423.4976995582*((RANDBETWEEN(1587,2416)))</f>
        <v>67446339.619958907</v>
      </c>
      <c r="B2276">
        <v>261683735.07121789</v>
      </c>
    </row>
    <row r="2277" spans="1:2" x14ac:dyDescent="0.25">
      <c r="A2277">
        <f ca="1">31557.0384729599*((RANDBETWEEN(1587,2416)))</f>
        <v>66111995.600850999</v>
      </c>
      <c r="B2277">
        <v>225916669.9063586</v>
      </c>
    </row>
    <row r="2278" spans="1:2" x14ac:dyDescent="0.25">
      <c r="A2278">
        <f ca="1">29447.1274996244*((RANDBETWEEN(1587,2416)))</f>
        <v>61338366.581717663</v>
      </c>
      <c r="B2278">
        <v>241702136.68600413</v>
      </c>
    </row>
    <row r="2279" spans="1:2" x14ac:dyDescent="0.25">
      <c r="A2279">
        <f ca="1">38167.5975951503*((RANDBETWEEN(1587,2416)))</f>
        <v>91602234.228360817</v>
      </c>
      <c r="B2279">
        <v>215963103.20215148</v>
      </c>
    </row>
    <row r="2280" spans="1:2" x14ac:dyDescent="0.25">
      <c r="A2280">
        <f ca="1">33446.5265940016*((RANDBETWEEN(1587,2416)))</f>
        <v>58063170.167186759</v>
      </c>
      <c r="B2280">
        <v>254810084.24034625</v>
      </c>
    </row>
    <row r="2281" spans="1:2" x14ac:dyDescent="0.25">
      <c r="A2281">
        <f ca="1">33954.1938508853*((RANDBETWEEN(1587,2416)))</f>
        <v>56431870.180171378</v>
      </c>
      <c r="B2281">
        <v>211800288.99107167</v>
      </c>
    </row>
    <row r="2282" spans="1:2" x14ac:dyDescent="0.25">
      <c r="A2282">
        <f ca="1">34022.5071336671*((RANDBETWEEN(1587,2416)))</f>
        <v>78115676.378899664</v>
      </c>
      <c r="B2282">
        <v>212142405.70053908</v>
      </c>
    </row>
    <row r="2283" spans="1:2" x14ac:dyDescent="0.25">
      <c r="A2283">
        <f ca="1">30966.8816431277*((RANDBETWEEN(1587,2416)))</f>
        <v>53479804.59768153</v>
      </c>
      <c r="B2283">
        <v>254078275.15826562</v>
      </c>
    </row>
    <row r="2284" spans="1:2" x14ac:dyDescent="0.25">
      <c r="A2284">
        <f ca="1">30625.3698360726*((RANDBETWEEN(1587,2416)))</f>
        <v>56075052.16984906</v>
      </c>
      <c r="B2284">
        <v>260370646.49534103</v>
      </c>
    </row>
    <row r="2285" spans="1:2" x14ac:dyDescent="0.25">
      <c r="A2285">
        <f ca="1">32502.6613416138*((RANDBETWEEN(1587,2416)))</f>
        <v>56814652.025141008</v>
      </c>
      <c r="B2285">
        <v>226431506.78278345</v>
      </c>
    </row>
    <row r="2286" spans="1:2" x14ac:dyDescent="0.25">
      <c r="A2286">
        <f ca="1">36268.01460135*((RANDBETWEEN(1587,2416)))</f>
        <v>60458780.34045051</v>
      </c>
      <c r="B2286">
        <v>239458691.78781661</v>
      </c>
    </row>
    <row r="2287" spans="1:2" x14ac:dyDescent="0.25">
      <c r="A2287">
        <f ca="1">31407.8746211285*((RANDBETWEEN(1587,2416)))</f>
        <v>64417550.847934529</v>
      </c>
      <c r="B2287">
        <v>204518532.61035812</v>
      </c>
    </row>
    <row r="2288" spans="1:2" x14ac:dyDescent="0.25">
      <c r="A2288">
        <f ca="1">31536.9258071636*((RANDBETWEEN(1587,2416)))</f>
        <v>59257883.591660351</v>
      </c>
      <c r="B2288">
        <v>224090984.38907558</v>
      </c>
    </row>
    <row r="2289" spans="1:2" x14ac:dyDescent="0.25">
      <c r="A2289">
        <f ca="1">39330.8575765327*((RANDBETWEEN(1587,2416)))</f>
        <v>89556362.701765016</v>
      </c>
      <c r="B2289">
        <v>262700581.98495898</v>
      </c>
    </row>
    <row r="2290" spans="1:2" x14ac:dyDescent="0.25">
      <c r="A2290">
        <f ca="1">30955.0259382651*((RANDBETWEEN(1587,2416)))</f>
        <v>60950446.072443955</v>
      </c>
      <c r="B2290">
        <v>264873195.37535501</v>
      </c>
    </row>
    <row r="2291" spans="1:2" x14ac:dyDescent="0.25">
      <c r="A2291">
        <f ca="1">31171.0590255206*((RANDBETWEEN(1587,2416)))</f>
        <v>53053142.46143622</v>
      </c>
      <c r="B2291">
        <v>262517565.32555902</v>
      </c>
    </row>
    <row r="2292" spans="1:2" x14ac:dyDescent="0.25">
      <c r="A2292">
        <f ca="1">31864.5381790298*((RANDBETWEEN(1587,2416)))</f>
        <v>59108718.322100192</v>
      </c>
      <c r="B2292">
        <v>249513620.65131807</v>
      </c>
    </row>
    <row r="2293" spans="1:2" x14ac:dyDescent="0.25">
      <c r="A2293">
        <f ca="1">40684.8930728749*((RANDBETWEEN(1587,2416)))</f>
        <v>83892249.516268134</v>
      </c>
      <c r="B2293">
        <v>250208952.42476928</v>
      </c>
    </row>
    <row r="2294" spans="1:2" x14ac:dyDescent="0.25">
      <c r="A2294">
        <f ca="1">32033.6725805247*((RANDBETWEEN(1587,2416)))</f>
        <v>50965573.075614847</v>
      </c>
      <c r="B2294">
        <v>238683103.19383579</v>
      </c>
    </row>
    <row r="2295" spans="1:2" x14ac:dyDescent="0.25">
      <c r="A2295">
        <f ca="1">29219.3670235277*((RANDBETWEEN(1587,2416)))</f>
        <v>65305285.29758431</v>
      </c>
      <c r="B2295">
        <v>221592734.92358691</v>
      </c>
    </row>
    <row r="2296" spans="1:2" x14ac:dyDescent="0.25">
      <c r="A2296">
        <f ca="1">32395.5772983208*((RANDBETWEEN(1587,2416)))</f>
        <v>74607014.518032759</v>
      </c>
      <c r="B2296">
        <v>263726082.86223638</v>
      </c>
    </row>
    <row r="2297" spans="1:2" x14ac:dyDescent="0.25">
      <c r="A2297">
        <f ca="1">32295.7552204475*((RANDBETWEEN(1587,2416)))</f>
        <v>66819917.551105954</v>
      </c>
      <c r="B2297">
        <v>232438314.91126952</v>
      </c>
    </row>
    <row r="2298" spans="1:2" x14ac:dyDescent="0.25">
      <c r="A2298">
        <f ca="1">33228.799251178*((RANDBETWEEN(1587,2416)))</f>
        <v>77522788.652998373</v>
      </c>
      <c r="B2298">
        <v>213985075.55147481</v>
      </c>
    </row>
    <row r="2299" spans="1:2" x14ac:dyDescent="0.25">
      <c r="A2299">
        <f ca="1">35302.3272663161*((RANDBETWEEN(1587,2416)))</f>
        <v>72758096.495877475</v>
      </c>
      <c r="B2299">
        <v>229236391.0591808</v>
      </c>
    </row>
    <row r="2300" spans="1:2" x14ac:dyDescent="0.25">
      <c r="A2300">
        <f ca="1">32657.0580152809*((RANDBETWEEN(1587,2416)))</f>
        <v>77266599.264154658</v>
      </c>
      <c r="B2300">
        <v>212212020.86522648</v>
      </c>
    </row>
    <row r="2301" spans="1:2" x14ac:dyDescent="0.25">
      <c r="A2301">
        <f ca="1">34691.5880554447*((RANDBETWEEN(1587,2416)))</f>
        <v>74170615.262540802</v>
      </c>
      <c r="B2301">
        <v>218436697.08589104</v>
      </c>
    </row>
    <row r="2302" spans="1:2" x14ac:dyDescent="0.25">
      <c r="A2302">
        <f ca="1">38014.878777371*((RANDBETWEEN(1587,2416)))</f>
        <v>83632733.310216114</v>
      </c>
      <c r="B2302">
        <v>209063201.71443027</v>
      </c>
    </row>
    <row r="2303" spans="1:2" x14ac:dyDescent="0.25">
      <c r="A2303">
        <f ca="1">30844.6667655069*((RANDBETWEEN(1587,2416)))</f>
        <v>64156906.872254312</v>
      </c>
      <c r="B2303">
        <v>245900783.29698122</v>
      </c>
    </row>
    <row r="2304" spans="1:2" x14ac:dyDescent="0.25">
      <c r="A2304">
        <f ca="1">35615.7818931855*((RANDBETWEEN(1587,2416)))</f>
        <v>72976737.099137232</v>
      </c>
      <c r="B2304">
        <v>214307103.33428112</v>
      </c>
    </row>
    <row r="2305" spans="1:2" x14ac:dyDescent="0.25">
      <c r="A2305">
        <f ca="1">32020.1369986558*((RANDBETWEEN(1587,2416)))</f>
        <v>62919569.202358678</v>
      </c>
      <c r="B2305">
        <v>236958101.48623323</v>
      </c>
    </row>
    <row r="2306" spans="1:2" x14ac:dyDescent="0.25">
      <c r="A2306">
        <f ca="1">31637.1828571565*((RANDBETWEEN(1587,2416)))</f>
        <v>68304677.788600951</v>
      </c>
      <c r="B2306">
        <v>220583624.54928231</v>
      </c>
    </row>
    <row r="2307" spans="1:2" x14ac:dyDescent="0.25">
      <c r="A2307">
        <f ca="1">38339.4478221527*((RANDBETWEEN(1587,2416)))</f>
        <v>79324317.544033885</v>
      </c>
      <c r="B2307">
        <v>234148528.53643689</v>
      </c>
    </row>
    <row r="2308" spans="1:2" x14ac:dyDescent="0.25">
      <c r="A2308">
        <f ca="1">32753.0088790594*((RANDBETWEEN(1587,2416)))</f>
        <v>65604276.784756064</v>
      </c>
      <c r="B2308">
        <v>239540297.58465698</v>
      </c>
    </row>
    <row r="2309" spans="1:2" x14ac:dyDescent="0.25">
      <c r="A2309">
        <f ca="1">37964.0730184095*((RANDBETWEEN(1587,2416)))</f>
        <v>70537247.668204799</v>
      </c>
      <c r="B2309">
        <v>229540997.70992112</v>
      </c>
    </row>
    <row r="2310" spans="1:2" x14ac:dyDescent="0.25">
      <c r="A2310">
        <f ca="1">38105.3201270608*((RANDBETWEEN(1587,2416)))</f>
        <v>75296112.571072161</v>
      </c>
      <c r="B2310">
        <v>240845498.22339824</v>
      </c>
    </row>
    <row r="2311" spans="1:2" x14ac:dyDescent="0.25">
      <c r="A2311">
        <f ca="1">30088.257950583*((RANDBETWEEN(1587,2416)))</f>
        <v>51300479.805744074</v>
      </c>
      <c r="B2311">
        <v>248803431.81344536</v>
      </c>
    </row>
    <row r="2312" spans="1:2" x14ac:dyDescent="0.25">
      <c r="A2312">
        <f ca="1">31551.2585769527*((RANDBETWEEN(1587,2416)))</f>
        <v>56666060.404206999</v>
      </c>
      <c r="B2312">
        <v>204500799.54496226</v>
      </c>
    </row>
    <row r="2313" spans="1:2" x14ac:dyDescent="0.25">
      <c r="A2313">
        <f ca="1">29289.668586913*((RANDBETWEEN(1587,2416)))</f>
        <v>70646680.631634101</v>
      </c>
      <c r="B2313">
        <v>217427742.05108339</v>
      </c>
    </row>
    <row r="2314" spans="1:2" x14ac:dyDescent="0.25">
      <c r="A2314">
        <f ca="1">32668.5198891361*((RANDBETWEEN(1587,2416)))</f>
        <v>63442265.624702312</v>
      </c>
      <c r="B2314">
        <v>263237722.62660748</v>
      </c>
    </row>
    <row r="2315" spans="1:2" x14ac:dyDescent="0.25">
      <c r="A2315">
        <f ca="1">34572.6564420729*((RANDBETWEEN(1587,2416)))</f>
        <v>76993305.896496356</v>
      </c>
      <c r="B2315">
        <v>237909231.64112073</v>
      </c>
    </row>
    <row r="2316" spans="1:2" x14ac:dyDescent="0.25">
      <c r="A2316">
        <f ca="1">33011.1891144455*((RANDBETWEEN(1587,2416)))</f>
        <v>60608543.21412202</v>
      </c>
      <c r="B2316">
        <v>216570169.55001983</v>
      </c>
    </row>
    <row r="2317" spans="1:2" x14ac:dyDescent="0.25">
      <c r="A2317">
        <f ca="1">35003.5434586829*((RANDBETWEEN(1587,2416)))</f>
        <v>72177306.611804143</v>
      </c>
      <c r="B2317">
        <v>220053378.76664257</v>
      </c>
    </row>
    <row r="2318" spans="1:2" x14ac:dyDescent="0.25">
      <c r="A2318">
        <f ca="1">31627.7589724427*((RANDBETWEEN(1587,2416)))</f>
        <v>55000672.853077874</v>
      </c>
      <c r="B2318">
        <v>244147753.39294374</v>
      </c>
    </row>
    <row r="2319" spans="1:2" x14ac:dyDescent="0.25">
      <c r="A2319">
        <f ca="1">36477.616470194*((RANDBETWEEN(1587,2416)))</f>
        <v>66462217.2086934</v>
      </c>
      <c r="B2319">
        <v>216477280.52469146</v>
      </c>
    </row>
    <row r="2320" spans="1:2" x14ac:dyDescent="0.25">
      <c r="A2320">
        <f ca="1">39518.0405212648*((RANDBETWEEN(1587,2416)))</f>
        <v>92077034.414547041</v>
      </c>
      <c r="B2320">
        <v>265994902.61436567</v>
      </c>
    </row>
    <row r="2321" spans="1:2" x14ac:dyDescent="0.25">
      <c r="A2321">
        <f ca="1">35545.5758395364*((RANDBETWEEN(1587,2416)))</f>
        <v>61245027.171521261</v>
      </c>
      <c r="B2321">
        <v>238412958.92742729</v>
      </c>
    </row>
    <row r="2322" spans="1:2" x14ac:dyDescent="0.25">
      <c r="A2322">
        <f ca="1">38773.0896698675*((RANDBETWEEN(1587,2416)))</f>
        <v>84253923.852622062</v>
      </c>
      <c r="B2322">
        <v>231536307.78467113</v>
      </c>
    </row>
    <row r="2323" spans="1:2" x14ac:dyDescent="0.25">
      <c r="A2323">
        <f ca="1">29452.5507436777*((RANDBETWEEN(1587,2416)))</f>
        <v>61408568.300568029</v>
      </c>
      <c r="B2323">
        <v>203761688.00152904</v>
      </c>
    </row>
    <row r="2324" spans="1:2" x14ac:dyDescent="0.25">
      <c r="A2324">
        <f ca="1">35596.8172725452*((RANDBETWEEN(1587,2416)))</f>
        <v>69556180.950553358</v>
      </c>
      <c r="B2324">
        <v>205375609.02670881</v>
      </c>
    </row>
    <row r="2325" spans="1:2" x14ac:dyDescent="0.25">
      <c r="A2325">
        <f ca="1">38508.6099571268*((RANDBETWEEN(1587,2416)))</f>
        <v>91997069.187575951</v>
      </c>
      <c r="B2325">
        <v>205318838.59547067</v>
      </c>
    </row>
    <row r="2326" spans="1:2" x14ac:dyDescent="0.25">
      <c r="A2326">
        <f ca="1">35888.7403531042*((RANDBETWEEN(1587,2416)))</f>
        <v>65819949.807593025</v>
      </c>
      <c r="B2326">
        <v>255886994.98749554</v>
      </c>
    </row>
    <row r="2327" spans="1:2" x14ac:dyDescent="0.25">
      <c r="A2327">
        <f ca="1">32598.9600431315*((RANDBETWEEN(1587,2416)))</f>
        <v>53299299.670520037</v>
      </c>
      <c r="B2327">
        <v>254293590.75682044</v>
      </c>
    </row>
    <row r="2328" spans="1:2" x14ac:dyDescent="0.25">
      <c r="A2328">
        <f ca="1">42332.1232586933*((RANDBETWEEN(1587,2416)))</f>
        <v>92114700.210916534</v>
      </c>
      <c r="B2328">
        <v>246582988.74466702</v>
      </c>
    </row>
    <row r="2329" spans="1:2" x14ac:dyDescent="0.25">
      <c r="A2329">
        <f ca="1">36321.6604718726*((RANDBETWEEN(1587,2416)))</f>
        <v>62654864.313980274</v>
      </c>
      <c r="B2329">
        <v>208531237.98606503</v>
      </c>
    </row>
    <row r="2330" spans="1:2" x14ac:dyDescent="0.25">
      <c r="A2330">
        <f ca="1">35215.5505587002*((RANDBETWEEN(1587,2416)))</f>
        <v>69409850.151198193</v>
      </c>
      <c r="B2330">
        <v>264415732.71189535</v>
      </c>
    </row>
    <row r="2331" spans="1:2" x14ac:dyDescent="0.25">
      <c r="A2331">
        <f ca="1">37164.7452688394*((RANDBETWEEN(1587,2416)))</f>
        <v>69981215.341224596</v>
      </c>
      <c r="B2331">
        <v>235143039.10536578</v>
      </c>
    </row>
    <row r="2332" spans="1:2" x14ac:dyDescent="0.25">
      <c r="A2332">
        <f ca="1">34071.5148117987*((RANDBETWEEN(1587,2416)))</f>
        <v>75877263.485875651</v>
      </c>
      <c r="B2332">
        <v>239405908.81583521</v>
      </c>
    </row>
    <row r="2333" spans="1:2" x14ac:dyDescent="0.25">
      <c r="A2333">
        <f ca="1">39762.1979601064*((RANDBETWEEN(1587,2416)))</f>
        <v>85767060.999949425</v>
      </c>
      <c r="B2333">
        <v>241132787.13084212</v>
      </c>
    </row>
    <row r="2334" spans="1:2" x14ac:dyDescent="0.25">
      <c r="A2334">
        <f ca="1">35126.7728042921*((RANDBETWEEN(1587,2416)))</f>
        <v>66635488.009742215</v>
      </c>
      <c r="B2334">
        <v>261219831.57450247</v>
      </c>
    </row>
    <row r="2335" spans="1:2" x14ac:dyDescent="0.25">
      <c r="A2335">
        <f ca="1">39489.8885795026*((RANDBETWEEN(1587,2416)))</f>
        <v>75307217.521111548</v>
      </c>
      <c r="B2335">
        <v>253510062.80554208</v>
      </c>
    </row>
    <row r="2336" spans="1:2" x14ac:dyDescent="0.25">
      <c r="A2336">
        <f ca="1">30404.4086452686*((RANDBETWEEN(1587,2416)))</f>
        <v>73213816.017806888</v>
      </c>
      <c r="B2336">
        <v>224665665.20045561</v>
      </c>
    </row>
    <row r="2337" spans="1:2" x14ac:dyDescent="0.25">
      <c r="A2337">
        <f ca="1">31849.8203789658*((RANDBETWEEN(1587,2416)))</f>
        <v>51118961.708240129</v>
      </c>
      <c r="B2337">
        <v>226848232.35856783</v>
      </c>
    </row>
    <row r="2338" spans="1:2" x14ac:dyDescent="0.25">
      <c r="A2338">
        <f ca="1">31614.8535057608*((RANDBETWEEN(1587,2416)))</f>
        <v>65000138.807844266</v>
      </c>
      <c r="B2338">
        <v>231700779.52396345</v>
      </c>
    </row>
    <row r="2339" spans="1:2" x14ac:dyDescent="0.25">
      <c r="A2339">
        <f ca="1">35317.4935374202*((RANDBETWEEN(1587,2416)))</f>
        <v>65302045.55069004</v>
      </c>
      <c r="B2339">
        <v>235386725.16795048</v>
      </c>
    </row>
    <row r="2340" spans="1:2" x14ac:dyDescent="0.25">
      <c r="A2340">
        <f ca="1">39004.7417735849*((RANDBETWEEN(1587,2416)))</f>
        <v>78750573.640867859</v>
      </c>
      <c r="B2340">
        <v>235915863.21627033</v>
      </c>
    </row>
    <row r="2341" spans="1:2" x14ac:dyDescent="0.25">
      <c r="A2341">
        <f ca="1">37106.3610088143*((RANDBETWEEN(1587,2416)))</f>
        <v>77478081.786404341</v>
      </c>
      <c r="B2341">
        <v>243416756.37965107</v>
      </c>
    </row>
    <row r="2342" spans="1:2" x14ac:dyDescent="0.25">
      <c r="A2342">
        <f ca="1">29238.9007034274*((RANDBETWEEN(1587,2416)))</f>
        <v>67805010.731248066</v>
      </c>
      <c r="B2342">
        <v>258567648.60346124</v>
      </c>
    </row>
    <row r="2343" spans="1:2" x14ac:dyDescent="0.25">
      <c r="A2343">
        <f ca="1">38024.029206252*((RANDBETWEEN(1587,2416)))</f>
        <v>67340555.724272266</v>
      </c>
      <c r="B2343">
        <v>248406505.11982638</v>
      </c>
    </row>
    <row r="2344" spans="1:2" x14ac:dyDescent="0.25">
      <c r="A2344">
        <f ca="1">38400.3216694975*((RANDBETWEEN(1587,2416)))</f>
        <v>85594317.001310006</v>
      </c>
      <c r="B2344">
        <v>266913220.23323277</v>
      </c>
    </row>
    <row r="2345" spans="1:2" x14ac:dyDescent="0.25">
      <c r="A2345">
        <f ca="1">29626.151240837*((RANDBETWEEN(1587,2416)))</f>
        <v>55015762.854234353</v>
      </c>
      <c r="B2345">
        <v>230636979.51522082</v>
      </c>
    </row>
    <row r="2346" spans="1:2" x14ac:dyDescent="0.25">
      <c r="A2346">
        <f ca="1">29198.1210213508*((RANDBETWEEN(1587,2416)))</f>
        <v>69433131.7887723</v>
      </c>
      <c r="B2346">
        <v>248735301.53058907</v>
      </c>
    </row>
    <row r="2347" spans="1:2" x14ac:dyDescent="0.25">
      <c r="A2347">
        <f ca="1">33590.0475643797*((RANDBETWEEN(1587,2416)))</f>
        <v>70303969.552246734</v>
      </c>
      <c r="B2347">
        <v>222931541.11518261</v>
      </c>
    </row>
    <row r="2348" spans="1:2" x14ac:dyDescent="0.25">
      <c r="A2348">
        <f ca="1">27720.0937674763*((RANDBETWEEN(1587,2416)))</f>
        <v>44767951.43447423</v>
      </c>
      <c r="B2348">
        <v>205438529.72162676</v>
      </c>
    </row>
    <row r="2349" spans="1:2" x14ac:dyDescent="0.25">
      <c r="A2349">
        <f ca="1">33299.8482625479*((RANDBETWEEN(1587,2416)))</f>
        <v>54312052.516215593</v>
      </c>
      <c r="B2349">
        <v>250369554.03309593</v>
      </c>
    </row>
    <row r="2350" spans="1:2" x14ac:dyDescent="0.25">
      <c r="A2350">
        <f ca="1">40457.1049296603*((RANDBETWEEN(1587,2416)))</f>
        <v>65864166.82548704</v>
      </c>
      <c r="B2350">
        <v>245827162.68493712</v>
      </c>
    </row>
    <row r="2351" spans="1:2" x14ac:dyDescent="0.25">
      <c r="A2351">
        <f ca="1">37859.3700666177*((RANDBETWEEN(1587,2416)))</f>
        <v>74696537.141436815</v>
      </c>
      <c r="B2351">
        <v>229731577.15844691</v>
      </c>
    </row>
    <row r="2352" spans="1:2" x14ac:dyDescent="0.25">
      <c r="A2352">
        <f ca="1">37805.4686403833*((RANDBETWEEN(1587,2416)))</f>
        <v>70053533.390630305</v>
      </c>
      <c r="B2352">
        <v>218441121.52094942</v>
      </c>
    </row>
    <row r="2353" spans="1:2" x14ac:dyDescent="0.25">
      <c r="A2353">
        <f ca="1">31788.3405896195*((RANDBETWEEN(1587,2416)))</f>
        <v>68249567.245913073</v>
      </c>
      <c r="B2353">
        <v>214892189.20914868</v>
      </c>
    </row>
    <row r="2354" spans="1:2" x14ac:dyDescent="0.25">
      <c r="A2354">
        <f ca="1">35718.8710498626*((RANDBETWEEN(1587,2416)))</f>
        <v>72795059.199620068</v>
      </c>
      <c r="B2354">
        <v>223949602.2478205</v>
      </c>
    </row>
    <row r="2355" spans="1:2" x14ac:dyDescent="0.25">
      <c r="A2355">
        <f ca="1">33370.3470934123*((RANDBETWEEN(1587,2416)))</f>
        <v>63603881.560043834</v>
      </c>
      <c r="B2355">
        <v>241739014.45257342</v>
      </c>
    </row>
    <row r="2356" spans="1:2" x14ac:dyDescent="0.25">
      <c r="A2356">
        <f ca="1">41031.2505998075*((RANDBETWEEN(1587,2416)))</f>
        <v>90514938.823175296</v>
      </c>
      <c r="B2356">
        <v>244099858.12742409</v>
      </c>
    </row>
    <row r="2357" spans="1:2" x14ac:dyDescent="0.25">
      <c r="A2357">
        <f ca="1">33269.3736455724*((RANDBETWEEN(1587,2416)))</f>
        <v>56724282.065700904</v>
      </c>
      <c r="B2357">
        <v>237322968.88381261</v>
      </c>
    </row>
    <row r="2358" spans="1:2" x14ac:dyDescent="0.25">
      <c r="A2358">
        <f ca="1">38780.3692641658*((RANDBETWEEN(1587,2416)))</f>
        <v>79422196.25301154</v>
      </c>
      <c r="B2358">
        <v>241515186.51376233</v>
      </c>
    </row>
    <row r="2359" spans="1:2" x14ac:dyDescent="0.25">
      <c r="A2359">
        <f ca="1">31323.9520718317*((RANDBETWEEN(1587,2416)))</f>
        <v>71763174.196566448</v>
      </c>
      <c r="B2359">
        <v>263859214.12398815</v>
      </c>
    </row>
    <row r="2360" spans="1:2" x14ac:dyDescent="0.25">
      <c r="A2360">
        <f ca="1">30719.7296509656*((RANDBETWEEN(1587,2416)))</f>
        <v>56370703.90952193</v>
      </c>
      <c r="B2360">
        <v>209296568.11959273</v>
      </c>
    </row>
    <row r="2361" spans="1:2" x14ac:dyDescent="0.25">
      <c r="A2361">
        <f ca="1">32332.0634498293*((RANDBETWEEN(1587,2416)))</f>
        <v>69869589.115081146</v>
      </c>
      <c r="B2361">
        <v>216954288.73573124</v>
      </c>
    </row>
    <row r="2362" spans="1:2" x14ac:dyDescent="0.25">
      <c r="A2362">
        <f ca="1">40870.8444035709*((RANDBETWEEN(1587,2416)))</f>
        <v>75856287.213027626</v>
      </c>
      <c r="B2362">
        <v>222009528.06516585</v>
      </c>
    </row>
    <row r="2363" spans="1:2" x14ac:dyDescent="0.25">
      <c r="A2363">
        <f ca="1">40310.8984735004*((RANDBETWEEN(1587,2416)))</f>
        <v>91868537.621107429</v>
      </c>
      <c r="B2363">
        <v>214015372.0300374</v>
      </c>
    </row>
    <row r="2364" spans="1:2" x14ac:dyDescent="0.25">
      <c r="A2364">
        <f ca="1">31180.7935675882*((RANDBETWEEN(1587,2416)))</f>
        <v>69626712.036424473</v>
      </c>
      <c r="B2364">
        <v>244879853.18766788</v>
      </c>
    </row>
    <row r="2365" spans="1:2" x14ac:dyDescent="0.25">
      <c r="A2365">
        <f ca="1">32596.982021548*((RANDBETWEEN(1587,2416)))</f>
        <v>72723866.890073478</v>
      </c>
      <c r="B2365">
        <v>217794827.65931457</v>
      </c>
    </row>
    <row r="2366" spans="1:2" x14ac:dyDescent="0.25">
      <c r="A2366">
        <f ca="1">28646.0324233142*((RANDBETWEEN(1587,2416)))</f>
        <v>51075875.810769178</v>
      </c>
      <c r="B2366">
        <v>257960179.99270797</v>
      </c>
    </row>
    <row r="2367" spans="1:2" x14ac:dyDescent="0.25">
      <c r="A2367">
        <f ca="1">32504.6752612781*((RANDBETWEEN(1587,2416)))</f>
        <v>74110659.595714003</v>
      </c>
      <c r="B2367">
        <v>263165656.95839813</v>
      </c>
    </row>
    <row r="2368" spans="1:2" x14ac:dyDescent="0.25">
      <c r="A2368">
        <f ca="1">35092.4783096529*((RANDBETWEEN(1587,2416)))</f>
        <v>70114771.662686512</v>
      </c>
      <c r="B2368">
        <v>253148277.47033566</v>
      </c>
    </row>
    <row r="2369" spans="1:2" x14ac:dyDescent="0.25">
      <c r="A2369">
        <f ca="1">32841.6537650957*((RANDBETWEEN(1587,2416)))</f>
        <v>78228819.268458068</v>
      </c>
      <c r="B2369">
        <v>255068349.97761554</v>
      </c>
    </row>
    <row r="2370" spans="1:2" x14ac:dyDescent="0.25">
      <c r="A2370">
        <f ca="1">38270.238124305*((RANDBETWEEN(1587,2416)))</f>
        <v>61653353.618255295</v>
      </c>
      <c r="B2370">
        <v>220461404.43570262</v>
      </c>
    </row>
    <row r="2371" spans="1:2" x14ac:dyDescent="0.25">
      <c r="A2371">
        <f ca="1">29500.7385370185*((RANDBETWEEN(1587,2416)))</f>
        <v>55903899.527650103</v>
      </c>
      <c r="B2371">
        <v>204149180.20775336</v>
      </c>
    </row>
    <row r="2372" spans="1:2" x14ac:dyDescent="0.25">
      <c r="A2372">
        <f ca="1">30791.9977435892*((RANDBETWEEN(1587,2416)))</f>
        <v>49051652.405537575</v>
      </c>
      <c r="B2372">
        <v>263290520.74430209</v>
      </c>
    </row>
    <row r="2373" spans="1:2" x14ac:dyDescent="0.25">
      <c r="A2373">
        <f ca="1">30932.2054968699*((RANDBETWEEN(1587,2416)))</f>
        <v>60688987.184858747</v>
      </c>
      <c r="B2373">
        <v>248996068.25656635</v>
      </c>
    </row>
    <row r="2374" spans="1:2" x14ac:dyDescent="0.25">
      <c r="A2374">
        <f ca="1">31292.0137258689*((RANDBETWEEN(1587,2416)))</f>
        <v>63679247.932143286</v>
      </c>
      <c r="B2374">
        <v>257738421.78940541</v>
      </c>
    </row>
    <row r="2375" spans="1:2" x14ac:dyDescent="0.25">
      <c r="A2375">
        <f ca="1">38349.6069119608*((RANDBETWEEN(1587,2416)))</f>
        <v>75625424.830386743</v>
      </c>
      <c r="B2375">
        <v>231579585.18059593</v>
      </c>
    </row>
    <row r="2376" spans="1:2" x14ac:dyDescent="0.25">
      <c r="A2376">
        <f ca="1">35833.8664084813*((RANDBETWEEN(1587,2416)))</f>
        <v>78870339.965067372</v>
      </c>
      <c r="B2376">
        <v>206186126.20082223</v>
      </c>
    </row>
    <row r="2377" spans="1:2" x14ac:dyDescent="0.25">
      <c r="A2377">
        <f ca="1">31980.1917406152*((RANDBETWEEN(1587,2416)))</f>
        <v>54909989.218636341</v>
      </c>
      <c r="B2377">
        <v>264817385.11509353</v>
      </c>
    </row>
    <row r="2378" spans="1:2" x14ac:dyDescent="0.25">
      <c r="A2378">
        <f ca="1">38908.7569013869*((RANDBETWEEN(1587,2416)))</f>
        <v>70969572.588129699</v>
      </c>
      <c r="B2378">
        <v>237098679.12685257</v>
      </c>
    </row>
    <row r="2379" spans="1:2" x14ac:dyDescent="0.25">
      <c r="A2379">
        <f ca="1">30358.4591812907*((RANDBETWEEN(1587,2416)))</f>
        <v>60413333.770768486</v>
      </c>
      <c r="B2379">
        <v>211607508.61701396</v>
      </c>
    </row>
    <row r="2380" spans="1:2" x14ac:dyDescent="0.25">
      <c r="A2380">
        <f ca="1">34354.6682244125*((RANDBETWEEN(1587,2416)))</f>
        <v>69293365.808640063</v>
      </c>
      <c r="B2380">
        <v>244476334.44151026</v>
      </c>
    </row>
    <row r="2381" spans="1:2" x14ac:dyDescent="0.25">
      <c r="A2381">
        <f ca="1">36149.1802975528*((RANDBETWEEN(1587,2416)))</f>
        <v>61453606.505839832</v>
      </c>
      <c r="B2381">
        <v>204091812.14308363</v>
      </c>
    </row>
    <row r="2382" spans="1:2" x14ac:dyDescent="0.25">
      <c r="A2382">
        <f ca="1">34492.7709057921*((RANDBETWEEN(1587,2416)))</f>
        <v>70123803.251475424</v>
      </c>
      <c r="B2382">
        <v>235428344.08702117</v>
      </c>
    </row>
    <row r="2383" spans="1:2" x14ac:dyDescent="0.25">
      <c r="A2383">
        <f ca="1">36584.8701001164*((RANDBETWEEN(1587,2416)))</f>
        <v>75218492.925839379</v>
      </c>
      <c r="B2383">
        <v>261809464.34162492</v>
      </c>
    </row>
    <row r="2384" spans="1:2" x14ac:dyDescent="0.25">
      <c r="A2384">
        <f ca="1">38504.1735629278*((RANDBETWEEN(1587,2416)))</f>
        <v>83554056.631553307</v>
      </c>
      <c r="B2384">
        <v>241531068.80682325</v>
      </c>
    </row>
    <row r="2385" spans="1:2" x14ac:dyDescent="0.25">
      <c r="A2385">
        <f ca="1">35398.2114186416*((RANDBETWEEN(1587,2416)))</f>
        <v>73734474.385030374</v>
      </c>
      <c r="B2385">
        <v>261811953.4510138</v>
      </c>
    </row>
    <row r="2386" spans="1:2" x14ac:dyDescent="0.25">
      <c r="A2386">
        <f ca="1">32344.0402861759*((RANDBETWEEN(1587,2416)))</f>
        <v>76590687.397664517</v>
      </c>
      <c r="B2386">
        <v>214543890.95265111</v>
      </c>
    </row>
    <row r="2387" spans="1:2" x14ac:dyDescent="0.25">
      <c r="A2387">
        <f ca="1">33776.9714169317*((RANDBETWEEN(1587,2416)))</f>
        <v>72485380.660735339</v>
      </c>
      <c r="B2387">
        <v>207188589.47379154</v>
      </c>
    </row>
    <row r="2388" spans="1:2" x14ac:dyDescent="0.25">
      <c r="A2388">
        <f ca="1">40198.7408248602*((RANDBETWEEN(1587,2416)))</f>
        <v>93542469.899449676</v>
      </c>
      <c r="B2388">
        <v>260283604.9505811</v>
      </c>
    </row>
    <row r="2389" spans="1:2" x14ac:dyDescent="0.25">
      <c r="A2389">
        <f ca="1">36621.4512708488*((RANDBETWEEN(1587,2416)))</f>
        <v>74634517.689989835</v>
      </c>
      <c r="B2389">
        <v>246585167.56661421</v>
      </c>
    </row>
    <row r="2390" spans="1:2" x14ac:dyDescent="0.25">
      <c r="A2390">
        <f ca="1">29944.6586008796*((RANDBETWEEN(1587,2416)))</f>
        <v>53960274.79878509</v>
      </c>
      <c r="B2390">
        <v>249273361.88526452</v>
      </c>
    </row>
    <row r="2391" spans="1:2" x14ac:dyDescent="0.25">
      <c r="A2391">
        <f ca="1">38160.9573706275*((RANDBETWEEN(1587,2416)))</f>
        <v>68460757.522905797</v>
      </c>
      <c r="B2391">
        <v>247853792.60518572</v>
      </c>
    </row>
    <row r="2392" spans="1:2" x14ac:dyDescent="0.25">
      <c r="A2392">
        <f ca="1">35905.5475468599*((RANDBETWEEN(1587,2416)))</f>
        <v>61542108.495317884</v>
      </c>
      <c r="B2392">
        <v>225239089.75776172</v>
      </c>
    </row>
    <row r="2393" spans="1:2" x14ac:dyDescent="0.25">
      <c r="A2393">
        <f ca="1">40120.6206690463*((RANDBETWEEN(1587,2416)))</f>
        <v>90833085.194720834</v>
      </c>
      <c r="B2393">
        <v>251076017.65968019</v>
      </c>
    </row>
    <row r="2394" spans="1:2" x14ac:dyDescent="0.25">
      <c r="A2394">
        <f ca="1">39595.2849217762*((RANDBETWEEN(1587,2416)))</f>
        <v>74676707.362469837</v>
      </c>
      <c r="B2394">
        <v>259600211.39056617</v>
      </c>
    </row>
    <row r="2395" spans="1:2" x14ac:dyDescent="0.25">
      <c r="A2395">
        <f ca="1">31850.1623652237*((RANDBETWEEN(1587,2416)))</f>
        <v>56629588.685367718</v>
      </c>
      <c r="B2395">
        <v>245029777.47922429</v>
      </c>
    </row>
    <row r="2396" spans="1:2" x14ac:dyDescent="0.25">
      <c r="A2396">
        <f ca="1">29517.5691918666*((RANDBETWEEN(1587,2416)))</f>
        <v>55256889.527174234</v>
      </c>
      <c r="B2396">
        <v>250818805.16938946</v>
      </c>
    </row>
    <row r="2397" spans="1:2" x14ac:dyDescent="0.25">
      <c r="A2397">
        <f ca="1">35197.3967546122*((RANDBETWEEN(1587,2416)))</f>
        <v>68916502.845530614</v>
      </c>
      <c r="B2397">
        <v>218704173.54814026</v>
      </c>
    </row>
    <row r="2398" spans="1:2" x14ac:dyDescent="0.25">
      <c r="A2398">
        <f ca="1">38521.9695336742*((RANDBETWEEN(1587,2416)))</f>
        <v>84671289.03501597</v>
      </c>
      <c r="B2398">
        <v>210186890.5502339</v>
      </c>
    </row>
    <row r="2399" spans="1:2" x14ac:dyDescent="0.25">
      <c r="A2399">
        <f ca="1">29746.6804712741*((RANDBETWEEN(1587,2416)))</f>
        <v>56310466.132121943</v>
      </c>
      <c r="B2399">
        <v>238453971.10458586</v>
      </c>
    </row>
    <row r="2400" spans="1:2" x14ac:dyDescent="0.25">
      <c r="A2400">
        <f ca="1">37870.8336553344*((RANDBETWEEN(1587,2416)))</f>
        <v>77710950.660746098</v>
      </c>
      <c r="B2400">
        <v>261078192.93309835</v>
      </c>
    </row>
    <row r="2401" spans="1:2" x14ac:dyDescent="0.25">
      <c r="A2401">
        <f ca="1">33295.5556268644*((RANDBETWEEN(1587,2416)))</f>
        <v>61297117.909057401</v>
      </c>
      <c r="B2401">
        <v>230863680.80311614</v>
      </c>
    </row>
    <row r="2402" spans="1:2" x14ac:dyDescent="0.25">
      <c r="A2402">
        <f ca="1">29669.3126844662*((RANDBETWEEN(1587,2416)))</f>
        <v>68536112.301116988</v>
      </c>
      <c r="B2402">
        <v>235819283.75476053</v>
      </c>
    </row>
    <row r="2403" spans="1:2" x14ac:dyDescent="0.25">
      <c r="A2403">
        <f ca="1">33485.3651235517*((RANDBETWEEN(1587,2416)))</f>
        <v>65530859.546790682</v>
      </c>
      <c r="B2403">
        <v>212555072.46678251</v>
      </c>
    </row>
    <row r="2404" spans="1:2" x14ac:dyDescent="0.25">
      <c r="A2404">
        <f ca="1">29059.5696267265*((RANDBETWEEN(1587,2416)))</f>
        <v>68231869.483553708</v>
      </c>
      <c r="B2404">
        <v>228532911.62145594</v>
      </c>
    </row>
    <row r="2405" spans="1:2" x14ac:dyDescent="0.25">
      <c r="A2405">
        <f ca="1">32277.134242438*((RANDBETWEEN(1587,2416)))</f>
        <v>77917002.061245427</v>
      </c>
      <c r="B2405">
        <v>222697686.46063459</v>
      </c>
    </row>
    <row r="2406" spans="1:2" x14ac:dyDescent="0.25">
      <c r="A2406">
        <f ca="1">36599.9255899106*((RANDBETWEEN(1587,2416)))</f>
        <v>64598868.666192196</v>
      </c>
      <c r="B2406">
        <v>218953931.81519717</v>
      </c>
    </row>
    <row r="2407" spans="1:2" x14ac:dyDescent="0.25">
      <c r="A2407">
        <f ca="1">33616.6822377329*((RANDBETWEEN(1587,2416)))</f>
        <v>75906468.492800787</v>
      </c>
      <c r="B2407">
        <v>231732485.85493106</v>
      </c>
    </row>
    <row r="2408" spans="1:2" x14ac:dyDescent="0.25">
      <c r="A2408">
        <f ca="1">31449.7432597331*((RANDBETWEEN(1587,2416)))</f>
        <v>62962386.005985633</v>
      </c>
      <c r="B2408">
        <v>205703513.19691283</v>
      </c>
    </row>
    <row r="2409" spans="1:2" x14ac:dyDescent="0.25">
      <c r="A2409">
        <f ca="1">33456.2211599112*((RANDBETWEEN(1587,2416)))</f>
        <v>65206175.040666997</v>
      </c>
      <c r="B2409">
        <v>211565379.00475609</v>
      </c>
    </row>
    <row r="2410" spans="1:2" x14ac:dyDescent="0.25">
      <c r="A2410">
        <f ca="1">33505.4852049023*((RANDBETWEEN(1587,2416)))</f>
        <v>68786761.125664502</v>
      </c>
      <c r="B2410">
        <v>219234908.78731763</v>
      </c>
    </row>
    <row r="2411" spans="1:2" x14ac:dyDescent="0.25">
      <c r="A2411">
        <f ca="1">39767.9397059237*((RANDBETWEEN(1587,2416)))</f>
        <v>84705711.573617518</v>
      </c>
      <c r="B2411">
        <v>242200268.22213608</v>
      </c>
    </row>
    <row r="2412" spans="1:2" x14ac:dyDescent="0.25">
      <c r="A2412">
        <f ca="1">39301.78278869*((RANDBETWEEN(1587,2416)))</f>
        <v>63118663.158636197</v>
      </c>
      <c r="B2412">
        <v>205886414.81234774</v>
      </c>
    </row>
    <row r="2413" spans="1:2" x14ac:dyDescent="0.25">
      <c r="A2413">
        <f ca="1">30823.9090961752*((RANDBETWEEN(1587,2416)))</f>
        <v>69631210.648259878</v>
      </c>
      <c r="B2413">
        <v>238685397.02783948</v>
      </c>
    </row>
    <row r="2414" spans="1:2" x14ac:dyDescent="0.25">
      <c r="A2414">
        <f ca="1">33027.5840916023*((RANDBETWEEN(1587,2416)))</f>
        <v>57963410.080761984</v>
      </c>
      <c r="B2414">
        <v>233562129.28441739</v>
      </c>
    </row>
    <row r="2415" spans="1:2" x14ac:dyDescent="0.25">
      <c r="A2415">
        <f ca="1">39933.2488829157*((RANDBETWEEN(1587,2416)))</f>
        <v>78109434.814983144</v>
      </c>
      <c r="B2415">
        <v>221290226.63101074</v>
      </c>
    </row>
    <row r="2416" spans="1:2" x14ac:dyDescent="0.25">
      <c r="A2416">
        <f ca="1">30273.704039158*((RANDBETWEEN(1587,2416)))</f>
        <v>65239832.204385437</v>
      </c>
      <c r="B2416">
        <v>207016028.36507833</v>
      </c>
    </row>
    <row r="2417" spans="1:2" x14ac:dyDescent="0.25">
      <c r="A2417">
        <f ca="1">35919.1500859444*((RANDBETWEEN(1587,2416)))</f>
        <v>69575393.716474354</v>
      </c>
      <c r="B2417">
        <v>213554050.07137886</v>
      </c>
    </row>
    <row r="2418" spans="1:2" x14ac:dyDescent="0.25">
      <c r="A2418">
        <f ca="1">41137.4637381486*((RANDBETWEEN(1587,2416)))</f>
        <v>97084414.422030732</v>
      </c>
      <c r="B2418">
        <v>242164713.98643586</v>
      </c>
    </row>
    <row r="2419" spans="1:2" x14ac:dyDescent="0.25">
      <c r="A2419">
        <f ca="1">30240.3924939634*((RANDBETWEEN(1587,2416)))</f>
        <v>66438142.309237584</v>
      </c>
      <c r="B2419">
        <v>220760045.31631157</v>
      </c>
    </row>
    <row r="2420" spans="1:2" x14ac:dyDescent="0.25">
      <c r="A2420">
        <f ca="1">32559.6664703428*((RANDBETWEEN(1587,2416)))</f>
        <v>72510377.2294534</v>
      </c>
      <c r="B2420">
        <v>265537528.41230914</v>
      </c>
    </row>
    <row r="2421" spans="1:2" x14ac:dyDescent="0.25">
      <c r="A2421">
        <f ca="1">32547.5961333257*((RANDBETWEEN(1587,2416)))</f>
        <v>67503714.380517572</v>
      </c>
      <c r="B2421">
        <v>235293507.79624563</v>
      </c>
    </row>
    <row r="2422" spans="1:2" x14ac:dyDescent="0.25">
      <c r="A2422">
        <f ca="1">39107.0316662917*((RANDBETWEEN(1587,2416)))</f>
        <v>73794968.754292384</v>
      </c>
      <c r="B2422">
        <v>227269899.01709896</v>
      </c>
    </row>
    <row r="2423" spans="1:2" x14ac:dyDescent="0.25">
      <c r="A2423">
        <f ca="1">31076.5510105589*((RANDBETWEEN(1587,2416)))</f>
        <v>62401714.42920237</v>
      </c>
      <c r="B2423">
        <v>254522614.27701044</v>
      </c>
    </row>
    <row r="2424" spans="1:2" x14ac:dyDescent="0.25">
      <c r="A2424">
        <f ca="1">32646.3579933725*((RANDBETWEEN(1587,2416)))</f>
        <v>65129484.196778148</v>
      </c>
      <c r="B2424">
        <v>247794073.60242018</v>
      </c>
    </row>
    <row r="2425" spans="1:2" x14ac:dyDescent="0.25">
      <c r="A2425">
        <f ca="1">38971.7559815388*((RANDBETWEEN(1587,2416)))</f>
        <v>70305047.790695995</v>
      </c>
      <c r="B2425">
        <v>265798742.56292355</v>
      </c>
    </row>
    <row r="2426" spans="1:2" x14ac:dyDescent="0.25">
      <c r="A2426">
        <f ca="1">31589.9180653551*((RANDBETWEEN(1587,2416)))</f>
        <v>54461018.744672164</v>
      </c>
      <c r="B2426">
        <v>213781136.90485269</v>
      </c>
    </row>
    <row r="2427" spans="1:2" x14ac:dyDescent="0.25">
      <c r="A2427">
        <f ca="1">38528.4148512841*((RANDBETWEEN(1587,2416)))</f>
        <v>82219637.292640209</v>
      </c>
      <c r="B2427">
        <v>227526628.56607789</v>
      </c>
    </row>
    <row r="2428" spans="1:2" x14ac:dyDescent="0.25">
      <c r="A2428">
        <f ca="1">37054.2526470484*((RANDBETWEEN(1587,2416)))</f>
        <v>68105716.365274996</v>
      </c>
      <c r="B2428">
        <v>233560843.31099072</v>
      </c>
    </row>
    <row r="2429" spans="1:2" x14ac:dyDescent="0.25">
      <c r="A2429">
        <f ca="1">35078.5841664016*((RANDBETWEEN(1587,2416)))</f>
        <v>66403759.826998211</v>
      </c>
      <c r="B2429">
        <v>243164979.00002876</v>
      </c>
    </row>
    <row r="2430" spans="1:2" x14ac:dyDescent="0.25">
      <c r="A2430">
        <f ca="1">35304.7654948382*((RANDBETWEEN(1587,2416)))</f>
        <v>72515988.326397598</v>
      </c>
      <c r="B2430">
        <v>204286795.86337042</v>
      </c>
    </row>
    <row r="2431" spans="1:2" x14ac:dyDescent="0.25">
      <c r="A2431">
        <f ca="1">33959.3647202219*((RANDBETWEEN(1587,2416)))</f>
        <v>70839234.80638279</v>
      </c>
      <c r="B2431">
        <v>206678743.54889822</v>
      </c>
    </row>
    <row r="2432" spans="1:2" x14ac:dyDescent="0.25">
      <c r="A2432">
        <f ca="1">33165.4910213793*((RANDBETWEEN(1587,2416)))</f>
        <v>73063576.72009854</v>
      </c>
      <c r="B2432">
        <v>243298682.37413216</v>
      </c>
    </row>
    <row r="2433" spans="1:2" x14ac:dyDescent="0.25">
      <c r="A2433">
        <f ca="1">31145.1793500223*((RANDBETWEEN(1587,2416)))</f>
        <v>67429313.292798266</v>
      </c>
      <c r="B2433">
        <v>219996659.28898543</v>
      </c>
    </row>
    <row r="2434" spans="1:2" x14ac:dyDescent="0.25">
      <c r="A2434">
        <f ca="1">33337.2773636453*((RANDBETWEEN(1587,2416)))</f>
        <v>52939596.453468703</v>
      </c>
      <c r="B2434">
        <v>235118891.48817804</v>
      </c>
    </row>
    <row r="2435" spans="1:2" x14ac:dyDescent="0.25">
      <c r="A2435">
        <f ca="1">39861.5027151968*((RANDBETWEEN(1587,2416)))</f>
        <v>95627745.01375702</v>
      </c>
      <c r="B2435">
        <v>242056636.99660188</v>
      </c>
    </row>
    <row r="2436" spans="1:2" x14ac:dyDescent="0.25">
      <c r="A2436">
        <f ca="1">39902.9703904625*((RANDBETWEEN(1587,2416)))</f>
        <v>74538748.689383984</v>
      </c>
      <c r="B2436">
        <v>267225556.57108214</v>
      </c>
    </row>
    <row r="2437" spans="1:2" x14ac:dyDescent="0.25">
      <c r="A2437">
        <f ca="1">28921.8260741113*((RANDBETWEEN(1587,2416)))</f>
        <v>65912841.622899592</v>
      </c>
      <c r="B2437">
        <v>237197986.46567026</v>
      </c>
    </row>
    <row r="2438" spans="1:2" x14ac:dyDescent="0.25">
      <c r="A2438">
        <f ca="1">36250.6211165496*((RANDBETWEEN(1587,2416)))</f>
        <v>59342266.767791696</v>
      </c>
      <c r="B2438">
        <v>249745446.41540098</v>
      </c>
    </row>
    <row r="2439" spans="1:2" x14ac:dyDescent="0.25">
      <c r="A2439">
        <f ca="1">38062.9944849031*((RANDBETWEEN(1587,2416)))</f>
        <v>65772854.469912574</v>
      </c>
      <c r="B2439">
        <v>211716951.28601903</v>
      </c>
    </row>
    <row r="2440" spans="1:2" x14ac:dyDescent="0.25">
      <c r="A2440">
        <f ca="1">37228.4547436579*((RANDBETWEEN(1587,2416)))</f>
        <v>87189041.009646863</v>
      </c>
      <c r="B2440">
        <v>222540990.89464664</v>
      </c>
    </row>
    <row r="2441" spans="1:2" x14ac:dyDescent="0.25">
      <c r="A2441">
        <f ca="1">31476.0138992924*((RANDBETWEEN(1587,2416)))</f>
        <v>54516456.073574379</v>
      </c>
      <c r="B2441">
        <v>255625382.71071583</v>
      </c>
    </row>
    <row r="2442" spans="1:2" x14ac:dyDescent="0.25">
      <c r="A2442">
        <f ca="1">36071.7857317532*((RANDBETWEEN(1587,2416)))</f>
        <v>73514299.321313098</v>
      </c>
      <c r="B2442">
        <v>237011294.82815793</v>
      </c>
    </row>
    <row r="2443" spans="1:2" x14ac:dyDescent="0.25">
      <c r="A2443">
        <f ca="1">37713.8588654864*((RANDBETWEEN(1587,2416)))</f>
        <v>85497318.048057631</v>
      </c>
      <c r="B2443">
        <v>225805907.45707721</v>
      </c>
    </row>
    <row r="2444" spans="1:2" x14ac:dyDescent="0.25">
      <c r="A2444">
        <f ca="1">38305.5907830244*((RANDBETWEEN(1587,2416)))</f>
        <v>88217775.573305249</v>
      </c>
      <c r="B2444">
        <v>213329745.83263618</v>
      </c>
    </row>
    <row r="2445" spans="1:2" x14ac:dyDescent="0.25">
      <c r="A2445">
        <f ca="1">31114.4442886655*((RANDBETWEEN(1587,2416)))</f>
        <v>52303380.849246733</v>
      </c>
      <c r="B2445">
        <v>206729884.06198373</v>
      </c>
    </row>
    <row r="2446" spans="1:2" x14ac:dyDescent="0.25">
      <c r="A2446">
        <f ca="1">30709.6410965779*((RANDBETWEEN(1587,2416)))</f>
        <v>56812836.028669059</v>
      </c>
      <c r="B2446">
        <v>264455616.58469579</v>
      </c>
    </row>
    <row r="2447" spans="1:2" x14ac:dyDescent="0.25">
      <c r="A2447">
        <f ca="1">30883.9232775259*((RANDBETWEEN(1587,2416)))</f>
        <v>52286482.108851351</v>
      </c>
      <c r="B2447">
        <v>228987725.85718167</v>
      </c>
    </row>
    <row r="2448" spans="1:2" x14ac:dyDescent="0.25">
      <c r="A2448">
        <f ca="1">36006.0588152758*((RANDBETWEEN(1587,2416)))</f>
        <v>59986093.986249521</v>
      </c>
      <c r="B2448">
        <v>235391877.90695298</v>
      </c>
    </row>
    <row r="2449" spans="1:2" x14ac:dyDescent="0.25">
      <c r="A2449">
        <f ca="1">35030.5417267848*((RANDBETWEEN(1587,2416)))</f>
        <v>75946214.463669419</v>
      </c>
      <c r="B2449">
        <v>219414047.60629296</v>
      </c>
    </row>
    <row r="2450" spans="1:2" x14ac:dyDescent="0.25">
      <c r="A2450">
        <f ca="1">36501.5543010223*((RANDBETWEEN(1587,2416)))</f>
        <v>58183477.55582948</v>
      </c>
      <c r="B2450">
        <v>216889749.07564056</v>
      </c>
    </row>
    <row r="2451" spans="1:2" x14ac:dyDescent="0.25">
      <c r="A2451">
        <f ca="1">29947.8320715232*((RANDBETWEEN(1587,2416)))</f>
        <v>72294066.620656952</v>
      </c>
      <c r="B2451">
        <v>245233888.39848068</v>
      </c>
    </row>
    <row r="2452" spans="1:2" x14ac:dyDescent="0.25">
      <c r="A2452">
        <f ca="1">31620.1930326842*((RANDBETWEEN(1587,2416)))</f>
        <v>50687169.431392729</v>
      </c>
      <c r="B2452">
        <v>266975023.8402738</v>
      </c>
    </row>
    <row r="2453" spans="1:2" x14ac:dyDescent="0.25">
      <c r="A2453">
        <f ca="1">34468.1409205434*((RANDBETWEEN(1587,2416)))</f>
        <v>80689917.894992188</v>
      </c>
      <c r="B2453">
        <v>257389413.1648646</v>
      </c>
    </row>
    <row r="2454" spans="1:2" x14ac:dyDescent="0.25">
      <c r="A2454">
        <f ca="1">33664.159753429*((RANDBETWEEN(1587,2416)))</f>
        <v>56993422.462555282</v>
      </c>
      <c r="B2454">
        <v>233026528.12705815</v>
      </c>
    </row>
    <row r="2455" spans="1:2" x14ac:dyDescent="0.25">
      <c r="A2455">
        <f ca="1">34069.1240946584*((RANDBETWEEN(1587,2416)))</f>
        <v>61324423.370385058</v>
      </c>
      <c r="B2455">
        <v>239908587.30482307</v>
      </c>
    </row>
    <row r="2456" spans="1:2" x14ac:dyDescent="0.25">
      <c r="A2456">
        <f ca="1">36734.9701736745*((RANDBETWEEN(1587,2416)))</f>
        <v>60833110.607604928</v>
      </c>
      <c r="B2456">
        <v>221527504.54759306</v>
      </c>
    </row>
    <row r="2457" spans="1:2" x14ac:dyDescent="0.25">
      <c r="A2457">
        <f ca="1">33619.0033781542*((RANDBETWEEN(1587,2416)))</f>
        <v>69826670.016426295</v>
      </c>
      <c r="B2457">
        <v>255782113.58650726</v>
      </c>
    </row>
    <row r="2458" spans="1:2" x14ac:dyDescent="0.25">
      <c r="A2458">
        <f ca="1">33850.4454419347*((RANDBETWEEN(1587,2416)))</f>
        <v>64281995.894234002</v>
      </c>
      <c r="B2458">
        <v>261565838.76936015</v>
      </c>
    </row>
    <row r="2459" spans="1:2" x14ac:dyDescent="0.25">
      <c r="A2459">
        <f ca="1">35679.9164987598*((RANDBETWEEN(1587,2416)))</f>
        <v>80600931.370698363</v>
      </c>
      <c r="B2459">
        <v>233076874.32255828</v>
      </c>
    </row>
    <row r="2460" spans="1:2" x14ac:dyDescent="0.25">
      <c r="A2460">
        <f ca="1">34419.2256830807*((RANDBETWEEN(1587,2416)))</f>
        <v>56241014.766153879</v>
      </c>
      <c r="B2460">
        <v>232127437.42047706</v>
      </c>
    </row>
    <row r="2461" spans="1:2" x14ac:dyDescent="0.25">
      <c r="A2461">
        <f ca="1">31118.9948193736*((RANDBETWEEN(1587,2416)))</f>
        <v>65910031.027433351</v>
      </c>
      <c r="B2461">
        <v>224030408.66436887</v>
      </c>
    </row>
    <row r="2462" spans="1:2" x14ac:dyDescent="0.25">
      <c r="A2462">
        <f ca="1">32052.9213627874*((RANDBETWEEN(1587,2416)))</f>
        <v>56156718.22760354</v>
      </c>
      <c r="B2462">
        <v>219873328.85329974</v>
      </c>
    </row>
    <row r="2463" spans="1:2" x14ac:dyDescent="0.25">
      <c r="A2463">
        <f ca="1">33044.884619051*((RANDBETWEEN(1587,2416)))</f>
        <v>67609833.93057844</v>
      </c>
      <c r="B2463">
        <v>250800379.78743377</v>
      </c>
    </row>
    <row r="2464" spans="1:2" x14ac:dyDescent="0.25">
      <c r="A2464">
        <f ca="1">29106.7204337141*((RANDBETWEEN(1587,2416)))</f>
        <v>67003670.438409835</v>
      </c>
      <c r="B2464">
        <v>247222670.82474741</v>
      </c>
    </row>
    <row r="2465" spans="1:2" x14ac:dyDescent="0.25">
      <c r="A2465">
        <f ca="1">36755.4672489581*((RANDBETWEEN(1587,2416)))</f>
        <v>59764389.746805832</v>
      </c>
      <c r="B2465">
        <v>264569264.89768541</v>
      </c>
    </row>
    <row r="2466" spans="1:2" x14ac:dyDescent="0.25">
      <c r="A2466">
        <f ca="1">30730.0334188449*((RANDBETWEEN(1587,2416)))</f>
        <v>52579087.179643549</v>
      </c>
      <c r="B2466">
        <v>252280245.13864672</v>
      </c>
    </row>
    <row r="2467" spans="1:2" x14ac:dyDescent="0.25">
      <c r="A2467">
        <f ca="1">33042.7439483136*((RANDBETWEEN(1587,2416)))</f>
        <v>57593502.701910615</v>
      </c>
      <c r="B2467">
        <v>260998548.31028551</v>
      </c>
    </row>
    <row r="2468" spans="1:2" x14ac:dyDescent="0.25">
      <c r="A2468">
        <f ca="1">40277.9165619038*((RANDBETWEEN(1587,2416)))</f>
        <v>79830830.625693381</v>
      </c>
      <c r="B2468">
        <v>207112546.60097513</v>
      </c>
    </row>
    <row r="2469" spans="1:2" x14ac:dyDescent="0.25">
      <c r="A2469">
        <f ca="1">29577.5440036945*((RANDBETWEEN(1587,2416)))</f>
        <v>56256488.695026904</v>
      </c>
      <c r="B2469">
        <v>224996812.42206672</v>
      </c>
    </row>
    <row r="2470" spans="1:2" x14ac:dyDescent="0.25">
      <c r="A2470">
        <f ca="1">28978.104420694*((RANDBETWEEN(1587,2416)))</f>
        <v>63114311.428271532</v>
      </c>
      <c r="B2470">
        <v>227391180.38581568</v>
      </c>
    </row>
    <row r="2471" spans="1:2" x14ac:dyDescent="0.25">
      <c r="A2471">
        <f ca="1">39420.7593276422*((RANDBETWEEN(1587,2416)))</f>
        <v>88696708.487195</v>
      </c>
      <c r="B2471">
        <v>245866535.53492182</v>
      </c>
    </row>
    <row r="2472" spans="1:2" x14ac:dyDescent="0.25">
      <c r="A2472">
        <f ca="1">41972.9978673248*((RANDBETWEEN(1587,2416)))</f>
        <v>98132869.013805449</v>
      </c>
      <c r="B2472">
        <v>220696070.76179767</v>
      </c>
    </row>
    <row r="2473" spans="1:2" x14ac:dyDescent="0.25">
      <c r="A2473">
        <f ca="1">31457.2367032619*((RANDBETWEEN(1587,2416)))</f>
        <v>56056795.805212684</v>
      </c>
      <c r="B2473">
        <v>228694382.11032709</v>
      </c>
    </row>
    <row r="2474" spans="1:2" x14ac:dyDescent="0.25">
      <c r="A2474">
        <f ca="1">32640.3600565869*((RANDBETWEEN(1587,2416)))</f>
        <v>56435182.537838832</v>
      </c>
      <c r="B2474">
        <v>229990513.30943894</v>
      </c>
    </row>
    <row r="2475" spans="1:2" x14ac:dyDescent="0.25">
      <c r="A2475">
        <f ca="1">31939.6686897191*((RANDBETWEEN(1587,2416)))</f>
        <v>62090715.932813868</v>
      </c>
      <c r="B2475">
        <v>258500856.3427273</v>
      </c>
    </row>
    <row r="2476" spans="1:2" x14ac:dyDescent="0.25">
      <c r="A2476">
        <f ca="1">35189.0314926721*((RANDBETWEEN(1587,2416)))</f>
        <v>79456833.11045368</v>
      </c>
      <c r="B2476">
        <v>205137271.02390859</v>
      </c>
    </row>
    <row r="2477" spans="1:2" x14ac:dyDescent="0.25">
      <c r="A2477">
        <f ca="1">30358.0955647835*((RANDBETWEEN(1587,2416)))</f>
        <v>62143021.62111187</v>
      </c>
      <c r="B2477">
        <v>253328547.23167789</v>
      </c>
    </row>
    <row r="2478" spans="1:2" x14ac:dyDescent="0.25">
      <c r="A2478">
        <f ca="1">33154.6560990875*((RANDBETWEEN(1587,2416)))</f>
        <v>53080604.414639108</v>
      </c>
      <c r="B2478">
        <v>252911057.55090016</v>
      </c>
    </row>
    <row r="2479" spans="1:2" x14ac:dyDescent="0.25">
      <c r="A2479">
        <f ca="1">31201.5205094808*((RANDBETWEEN(1587,2416)))</f>
        <v>49548014.569055438</v>
      </c>
      <c r="B2479">
        <v>231642787.34559265</v>
      </c>
    </row>
    <row r="2480" spans="1:2" x14ac:dyDescent="0.25">
      <c r="A2480">
        <f ca="1">31909.2077368049*((RANDBETWEEN(1587,2416)))</f>
        <v>68987707.126972243</v>
      </c>
      <c r="B2480">
        <v>244503024.37213808</v>
      </c>
    </row>
    <row r="2481" spans="1:2" x14ac:dyDescent="0.25">
      <c r="A2481">
        <f ca="1">37807.2074768508*((RANDBETWEEN(1587,2416)))</f>
        <v>70510441.944326729</v>
      </c>
      <c r="B2481">
        <v>215496402.55581686</v>
      </c>
    </row>
    <row r="2482" spans="1:2" x14ac:dyDescent="0.25">
      <c r="A2482">
        <f ca="1">33275.6323609519*((RANDBETWEEN(1587,2416)))</f>
        <v>67017123.574957162</v>
      </c>
      <c r="B2482">
        <v>261218183.71643063</v>
      </c>
    </row>
    <row r="2483" spans="1:2" x14ac:dyDescent="0.25">
      <c r="A2483">
        <f ca="1">31688.564820977*((RANDBETWEEN(1587,2416)))</f>
        <v>67369888.809397176</v>
      </c>
      <c r="B2483">
        <v>213998971.95689076</v>
      </c>
    </row>
    <row r="2484" spans="1:2" x14ac:dyDescent="0.25">
      <c r="A2484">
        <f ca="1">37309.4119367524*((RANDBETWEEN(1587,2416)))</f>
        <v>74917299.168998852</v>
      </c>
      <c r="B2484">
        <v>207976675.13343114</v>
      </c>
    </row>
    <row r="2485" spans="1:2" x14ac:dyDescent="0.25">
      <c r="A2485">
        <f ca="1">35945.3268543805*((RANDBETWEEN(1587,2416)))</f>
        <v>73580084.070916906</v>
      </c>
      <c r="B2485">
        <v>244053654.89631271</v>
      </c>
    </row>
    <row r="2486" spans="1:2" x14ac:dyDescent="0.25">
      <c r="A2486">
        <f ca="1">30481.86744986*((RANDBETWEEN(1587,2416)))</f>
        <v>52520257.616108797</v>
      </c>
      <c r="B2486">
        <v>229110693.57666329</v>
      </c>
    </row>
    <row r="2487" spans="1:2" x14ac:dyDescent="0.25">
      <c r="A2487">
        <f ca="1">38719.4644112736*((RANDBETWEEN(1587,2416)))</f>
        <v>91765130.654718325</v>
      </c>
      <c r="B2487">
        <v>264586376.90441158</v>
      </c>
    </row>
    <row r="2488" spans="1:2" x14ac:dyDescent="0.25">
      <c r="A2488">
        <f ca="1">38868.0822636361*((RANDBETWEEN(1587,2416)))</f>
        <v>88930172.219199359</v>
      </c>
      <c r="B2488">
        <v>245169303.10970902</v>
      </c>
    </row>
    <row r="2489" spans="1:2" x14ac:dyDescent="0.25">
      <c r="A2489">
        <f ca="1">33809.6768499995*((RANDBETWEEN(1587,2416)))</f>
        <v>68701263.359198943</v>
      </c>
      <c r="B2489">
        <v>212483414.41662723</v>
      </c>
    </row>
    <row r="2490" spans="1:2" x14ac:dyDescent="0.25">
      <c r="A2490">
        <f ca="1">32717.0008904805*((RANDBETWEEN(1587,2416)))</f>
        <v>62522188.701708235</v>
      </c>
      <c r="B2490">
        <v>230294453.11766934</v>
      </c>
    </row>
    <row r="2491" spans="1:2" x14ac:dyDescent="0.25">
      <c r="A2491">
        <f ca="1">28984.6862692379*((RANDBETWEEN(1587,2416)))</f>
        <v>54085424.578397959</v>
      </c>
      <c r="B2491">
        <v>247667160.80227393</v>
      </c>
    </row>
    <row r="2492" spans="1:2" x14ac:dyDescent="0.25">
      <c r="A2492">
        <f ca="1">30761.8887883998*((RANDBETWEEN(1587,2416)))</f>
        <v>50603307.056917749</v>
      </c>
      <c r="B2492">
        <v>256428622.86321133</v>
      </c>
    </row>
    <row r="2493" spans="1:2" x14ac:dyDescent="0.25">
      <c r="A2493">
        <f ca="1">31929.3720935373*((RANDBETWEEN(1587,2416)))</f>
        <v>63794885.442887597</v>
      </c>
      <c r="B2493">
        <v>266462715.97953299</v>
      </c>
    </row>
    <row r="2494" spans="1:2" x14ac:dyDescent="0.25">
      <c r="A2494">
        <f ca="1">31454.280348897*((RANDBETWEEN(1587,2416)))</f>
        <v>64795817.518727891</v>
      </c>
      <c r="B2494">
        <v>224469600.36390716</v>
      </c>
    </row>
    <row r="2495" spans="1:2" x14ac:dyDescent="0.25">
      <c r="A2495">
        <f ca="1">31870.6673415171*((RANDBETWEEN(1587,2416)))</f>
        <v>55454961.174239717</v>
      </c>
      <c r="B2495">
        <v>225654690.97467595</v>
      </c>
    </row>
    <row r="2496" spans="1:2" x14ac:dyDescent="0.25">
      <c r="A2496">
        <f ca="1">37369.6714739404*((RANDBETWEEN(1587,2416)))</f>
        <v>62519460.375902288</v>
      </c>
      <c r="B2496">
        <v>235903580.44126329</v>
      </c>
    </row>
    <row r="2497" spans="1:2" x14ac:dyDescent="0.25">
      <c r="A2497">
        <f ca="1">38735.392718399*((RANDBETWEEN(1587,2416)))</f>
        <v>64920518.196036741</v>
      </c>
      <c r="B2497">
        <v>210930685.52203104</v>
      </c>
    </row>
    <row r="2498" spans="1:2" x14ac:dyDescent="0.25">
      <c r="A2498">
        <f ca="1">31107.0860850705*((RANDBETWEEN(1587,2416)))</f>
        <v>55526148.661850922</v>
      </c>
      <c r="B2498">
        <v>210225828.67371461</v>
      </c>
    </row>
    <row r="2499" spans="1:2" x14ac:dyDescent="0.25">
      <c r="A2499">
        <f ca="1">39643.24012646*((RANDBETWEEN(1587,2416)))</f>
        <v>67908870.336626142</v>
      </c>
      <c r="B2499">
        <v>231221367.91103438</v>
      </c>
    </row>
    <row r="2500" spans="1:2" x14ac:dyDescent="0.25">
      <c r="A2500">
        <f ca="1">31618.1296110632*((RANDBETWEEN(1587,2416)))</f>
        <v>67536324.84923093</v>
      </c>
      <c r="B2500">
        <v>261872422.19617465</v>
      </c>
    </row>
    <row r="2501" spans="1:2" x14ac:dyDescent="0.25">
      <c r="A2501">
        <f ca="1">30056.9651159013*((RANDBETWEEN(1587,2416)))</f>
        <v>62728886.196886085</v>
      </c>
      <c r="B2501">
        <v>263189358.98105419</v>
      </c>
    </row>
    <row r="2502" spans="1:2" x14ac:dyDescent="0.25">
      <c r="A2502">
        <f ca="1">29248.3633535991*((RANDBETWEEN(1587,2416)))</f>
        <v>66218294.632548317</v>
      </c>
      <c r="B2502">
        <v>233155089.73778963</v>
      </c>
    </row>
    <row r="2503" spans="1:2" x14ac:dyDescent="0.25">
      <c r="A2503">
        <f ca="1">31378.7756887275*((RANDBETWEEN(1587,2416)))</f>
        <v>51084646.821248367</v>
      </c>
      <c r="B2503">
        <v>248237708.81868297</v>
      </c>
    </row>
    <row r="2504" spans="1:2" x14ac:dyDescent="0.25">
      <c r="A2504">
        <f ca="1">39833.1138433746*((RANDBETWEEN(1587,2416)))</f>
        <v>84446201.347954065</v>
      </c>
      <c r="B2504">
        <v>252551148.48527956</v>
      </c>
    </row>
    <row r="2505" spans="1:2" x14ac:dyDescent="0.25">
      <c r="A2505">
        <f ca="1">31383.4308183038*((RANDBETWEEN(1587,2416)))</f>
        <v>55705589.702489257</v>
      </c>
      <c r="B2505">
        <v>215912403.51670137</v>
      </c>
    </row>
    <row r="2506" spans="1:2" x14ac:dyDescent="0.25">
      <c r="A2506">
        <f ca="1">31729.3727578028*((RANDBETWEEN(1587,2416)))</f>
        <v>73707332.916375905</v>
      </c>
      <c r="B2506">
        <v>258628177.35141641</v>
      </c>
    </row>
    <row r="2507" spans="1:2" x14ac:dyDescent="0.25">
      <c r="A2507">
        <f ca="1">41072.2515172784*((RANDBETWEEN(1587,2416)))</f>
        <v>66167397.19433552</v>
      </c>
      <c r="B2507">
        <v>209592565.25361285</v>
      </c>
    </row>
    <row r="2508" spans="1:2" x14ac:dyDescent="0.25">
      <c r="A2508">
        <f ca="1">33058.5886226711*((RANDBETWEEN(1587,2416)))</f>
        <v>75307464.882444724</v>
      </c>
      <c r="B2508">
        <v>232976703.00685602</v>
      </c>
    </row>
    <row r="2509" spans="1:2" x14ac:dyDescent="0.25">
      <c r="A2509">
        <f ca="1">35228.7406546685*((RANDBETWEEN(1587,2416)))</f>
        <v>58972911.855915047</v>
      </c>
      <c r="B2509">
        <v>261591524.12859756</v>
      </c>
    </row>
    <row r="2510" spans="1:2" x14ac:dyDescent="0.25">
      <c r="A2510">
        <f ca="1">31828.0071243828*((RANDBETWEEN(1587,2416)))</f>
        <v>71008283.894498035</v>
      </c>
      <c r="B2510">
        <v>237478334.6918678</v>
      </c>
    </row>
    <row r="2511" spans="1:2" x14ac:dyDescent="0.25">
      <c r="A2511">
        <f ca="1">31730.1905654732*((RANDBETWEEN(1587,2416)))</f>
        <v>64317096.276214145</v>
      </c>
      <c r="B2511">
        <v>261907803.12492475</v>
      </c>
    </row>
    <row r="2512" spans="1:2" x14ac:dyDescent="0.25">
      <c r="A2512">
        <f ca="1">39444.4815258602*((RANDBETWEEN(1587,2416)))</f>
        <v>76443405.197116971</v>
      </c>
      <c r="B2512">
        <v>221729206.32438838</v>
      </c>
    </row>
    <row r="2513" spans="1:2" x14ac:dyDescent="0.25">
      <c r="A2513">
        <f ca="1">32010.3797195452*((RANDBETWEEN(1587,2416)))</f>
        <v>76984963.225506216</v>
      </c>
      <c r="B2513">
        <v>252540724.06069621</v>
      </c>
    </row>
    <row r="2514" spans="1:2" x14ac:dyDescent="0.25">
      <c r="A2514">
        <f ca="1">33694.5449264893*((RANDBETWEEN(1587,2416)))</f>
        <v>68871649.829744026</v>
      </c>
      <c r="B2514">
        <v>213288273.58568513</v>
      </c>
    </row>
    <row r="2515" spans="1:2" x14ac:dyDescent="0.25">
      <c r="A2515">
        <f ca="1">32454.7996071691*((RANDBETWEEN(1587,2416)))</f>
        <v>59197554.483476363</v>
      </c>
      <c r="B2515">
        <v>242532379.66752562</v>
      </c>
    </row>
    <row r="2516" spans="1:2" x14ac:dyDescent="0.25">
      <c r="A2516">
        <f ca="1">31288.4337750142*((RANDBETWEEN(1587,2416)))</f>
        <v>61919810.440753013</v>
      </c>
      <c r="B2516">
        <v>221094632.64966372</v>
      </c>
    </row>
    <row r="2517" spans="1:2" x14ac:dyDescent="0.25">
      <c r="A2517">
        <f ca="1">38701.9009392434*((RANDBETWEEN(1587,2416)))</f>
        <v>84795864.95788236</v>
      </c>
      <c r="B2517">
        <v>207178161.34352055</v>
      </c>
    </row>
    <row r="2518" spans="1:2" x14ac:dyDescent="0.25">
      <c r="A2518">
        <f ca="1">32632.348423634*((RANDBETWEEN(1587,2416)))</f>
        <v>67810020.024311349</v>
      </c>
      <c r="B2518">
        <v>225823182.13104659</v>
      </c>
    </row>
    <row r="2519" spans="1:2" x14ac:dyDescent="0.25">
      <c r="A2519">
        <f ca="1">31042.838463073*((RANDBETWEEN(1587,2416)))</f>
        <v>68542587.32646513</v>
      </c>
      <c r="B2519">
        <v>242294515.74055651</v>
      </c>
    </row>
    <row r="2520" spans="1:2" x14ac:dyDescent="0.25">
      <c r="A2520">
        <f ca="1">35540.7403115299*((RANDBETWEEN(1587,2416)))</f>
        <v>82916547.146799251</v>
      </c>
      <c r="B2520">
        <v>243189412.50087845</v>
      </c>
    </row>
    <row r="2521" spans="1:2" x14ac:dyDescent="0.25">
      <c r="A2521">
        <f ca="1">29594.0240525068*((RANDBETWEEN(1587,2416)))</f>
        <v>65106852.915515035</v>
      </c>
      <c r="B2521">
        <v>235725654.3565146</v>
      </c>
    </row>
    <row r="2522" spans="1:2" x14ac:dyDescent="0.25">
      <c r="A2522">
        <f ca="1">29491.1011975121*((RANDBETWEEN(1587,2416)))</f>
        <v>65912611.176439553</v>
      </c>
      <c r="B2522">
        <v>227993873.2647295</v>
      </c>
    </row>
    <row r="2523" spans="1:2" x14ac:dyDescent="0.25">
      <c r="A2523">
        <f ca="1">30925.3969029144*((RANDBETWEEN(1587,2416)))</f>
        <v>66737006.516489357</v>
      </c>
      <c r="B2523">
        <v>215863320.0925186</v>
      </c>
    </row>
    <row r="2524" spans="1:2" x14ac:dyDescent="0.25">
      <c r="A2524">
        <f ca="1">28227.8542366593*((RANDBETWEEN(1587,2416)))</f>
        <v>63173937.781643569</v>
      </c>
      <c r="B2524">
        <v>226724479.72751251</v>
      </c>
    </row>
    <row r="2525" spans="1:2" x14ac:dyDescent="0.25">
      <c r="A2525">
        <f ca="1">36566.3648017305*((RANDBETWEEN(1587,2416)))</f>
        <v>74193154.182711139</v>
      </c>
      <c r="B2525">
        <v>221334778.25932792</v>
      </c>
    </row>
    <row r="2526" spans="1:2" x14ac:dyDescent="0.25">
      <c r="A2526">
        <f ca="1">33167.4594544474*((RANDBETWEEN(1587,2416)))</f>
        <v>60464278.585457683</v>
      </c>
      <c r="B2526">
        <v>242463356.40136492</v>
      </c>
    </row>
    <row r="2527" spans="1:2" x14ac:dyDescent="0.25">
      <c r="A2527">
        <f ca="1">32488.1903268652*((RANDBETWEEN(1587,2416)))</f>
        <v>62182396.285620049</v>
      </c>
      <c r="B2527">
        <v>244775135.6779893</v>
      </c>
    </row>
    <row r="2528" spans="1:2" x14ac:dyDescent="0.25">
      <c r="A2528">
        <f ca="1">36354.7047886229*((RANDBETWEEN(1587,2416)))</f>
        <v>77071974.151880518</v>
      </c>
      <c r="B2528">
        <v>235412787.1968759</v>
      </c>
    </row>
    <row r="2529" spans="1:2" x14ac:dyDescent="0.25">
      <c r="A2529">
        <f ca="1">34278.6324689663*((RANDBETWEEN(1587,2416)))</f>
        <v>81377473.481325954</v>
      </c>
      <c r="B2529">
        <v>217688050.1660721</v>
      </c>
    </row>
    <row r="2530" spans="1:2" x14ac:dyDescent="0.25">
      <c r="A2530">
        <f ca="1">38420.0238553321*((RANDBETWEEN(1587,2416)))</f>
        <v>86137693.483654648</v>
      </c>
      <c r="B2530">
        <v>265586539.90473211</v>
      </c>
    </row>
    <row r="2531" spans="1:2" x14ac:dyDescent="0.25">
      <c r="A2531">
        <f ca="1">40758.2281254197*((RANDBETWEEN(1587,2416)))</f>
        <v>72508887.835121706</v>
      </c>
      <c r="B2531">
        <v>219698297.21270919</v>
      </c>
    </row>
    <row r="2532" spans="1:2" x14ac:dyDescent="0.25">
      <c r="A2532">
        <f ca="1">32035.8253699809*((RANDBETWEEN(1587,2416)))</f>
        <v>73201860.970406368</v>
      </c>
      <c r="B2532">
        <v>245395524.0297094</v>
      </c>
    </row>
    <row r="2533" spans="1:2" x14ac:dyDescent="0.25">
      <c r="A2533">
        <f ca="1">39331.1768928186*((RANDBETWEEN(1587,2416)))</f>
        <v>71110767.822216094</v>
      </c>
      <c r="B2533">
        <v>210909927.31566155</v>
      </c>
    </row>
    <row r="2534" spans="1:2" x14ac:dyDescent="0.25">
      <c r="A2534">
        <f ca="1">29758.7466634497*((RANDBETWEEN(1587,2416)))</f>
        <v>60231703.246822201</v>
      </c>
      <c r="B2534">
        <v>229578705.51897189</v>
      </c>
    </row>
    <row r="2535" spans="1:2" x14ac:dyDescent="0.25">
      <c r="A2535">
        <f ca="1">35093.3233986067*((RANDBETWEEN(1587,2416)))</f>
        <v>57447770.403519168</v>
      </c>
      <c r="B2535">
        <v>236576063.87040237</v>
      </c>
    </row>
    <row r="2536" spans="1:2" x14ac:dyDescent="0.25">
      <c r="A2536">
        <f ca="1">28191.7989908019*((RANDBETWEEN(1587,2416)))</f>
        <v>60584176.031233348</v>
      </c>
      <c r="B2536">
        <v>221972883.69782507</v>
      </c>
    </row>
    <row r="2537" spans="1:2" x14ac:dyDescent="0.25">
      <c r="A2537">
        <f ca="1">32688.4639505458*((RANDBETWEEN(1587,2416)))</f>
        <v>61683131.474680014</v>
      </c>
      <c r="B2537">
        <v>232362807.7675558</v>
      </c>
    </row>
    <row r="2538" spans="1:2" x14ac:dyDescent="0.25">
      <c r="A2538">
        <f ca="1">39786.2318011008*((RANDBETWEEN(1587,2416)))</f>
        <v>63260108.563750222</v>
      </c>
      <c r="B2538">
        <v>213385529.96520704</v>
      </c>
    </row>
    <row r="2539" spans="1:2" x14ac:dyDescent="0.25">
      <c r="A2539">
        <f ca="1">30693.1466844355*((RANDBETWEEN(1587,2416)))</f>
        <v>68384330.812922403</v>
      </c>
      <c r="B2539">
        <v>220196827.88520163</v>
      </c>
    </row>
    <row r="2540" spans="1:2" x14ac:dyDescent="0.25">
      <c r="A2540">
        <f ca="1">30960.4022944837*((RANDBETWEEN(1587,2416)))</f>
        <v>71518529.300257444</v>
      </c>
      <c r="B2540">
        <v>215409908.04716682</v>
      </c>
    </row>
    <row r="2541" spans="1:2" x14ac:dyDescent="0.25">
      <c r="A2541">
        <f ca="1">33383.4872769548*((RANDBETWEEN(1587,2416)))</f>
        <v>65965770.85926272</v>
      </c>
      <c r="B2541">
        <v>227245571.06672856</v>
      </c>
    </row>
    <row r="2542" spans="1:2" x14ac:dyDescent="0.25">
      <c r="A2542">
        <f ca="1">29829.0891710635*((RANDBETWEEN(1587,2416)))</f>
        <v>65623996.176339626</v>
      </c>
      <c r="B2542">
        <v>215384178.37436908</v>
      </c>
    </row>
    <row r="2543" spans="1:2" x14ac:dyDescent="0.25">
      <c r="A2543">
        <f ca="1">32269.1138148227*((RANDBETWEEN(1587,2416)))</f>
        <v>72831389.880054757</v>
      </c>
      <c r="B2543">
        <v>251388024.21415919</v>
      </c>
    </row>
    <row r="2544" spans="1:2" x14ac:dyDescent="0.25">
      <c r="A2544">
        <f ca="1">35381.0266115074*((RANDBETWEEN(1587,2416)))</f>
        <v>69877527.557727039</v>
      </c>
      <c r="B2544">
        <v>211478823.521451</v>
      </c>
    </row>
    <row r="2545" spans="1:2" x14ac:dyDescent="0.25">
      <c r="A2545">
        <f ca="1">31836.1611778687*((RANDBETWEEN(1587,2416)))</f>
        <v>74878651.090347096</v>
      </c>
      <c r="B2545">
        <v>236235326.89256632</v>
      </c>
    </row>
    <row r="2546" spans="1:2" x14ac:dyDescent="0.25">
      <c r="A2546">
        <f ca="1">31083.0669354332*((RANDBETWEEN(1587,2416)))</f>
        <v>51535724.978948206</v>
      </c>
      <c r="B2546">
        <v>266740429.57491097</v>
      </c>
    </row>
    <row r="2547" spans="1:2" x14ac:dyDescent="0.25">
      <c r="A2547">
        <f ca="1">30448.8853430792*((RANDBETWEEN(1587,2416)))</f>
        <v>61841686.131793819</v>
      </c>
      <c r="B2547">
        <v>236115074.14722022</v>
      </c>
    </row>
    <row r="2548" spans="1:2" x14ac:dyDescent="0.25">
      <c r="A2548">
        <f ca="1">33471.458960007*((RANDBETWEEN(1587,2416)))</f>
        <v>73269023.663455248</v>
      </c>
      <c r="B2548">
        <v>230419065.93939474</v>
      </c>
    </row>
    <row r="2549" spans="1:2" x14ac:dyDescent="0.25">
      <c r="A2549">
        <f ca="1">28715.8118700861*((RANDBETWEEN(1587,2416)))</f>
        <v>61078531.847673215</v>
      </c>
      <c r="B2549">
        <v>205961771.03707179</v>
      </c>
    </row>
    <row r="2550" spans="1:2" x14ac:dyDescent="0.25">
      <c r="A2550">
        <f ca="1">42095.679979088*((RANDBETWEEN(1587,2416)))</f>
        <v>96609585.552006945</v>
      </c>
      <c r="B2550">
        <v>234829057.35078585</v>
      </c>
    </row>
    <row r="2551" spans="1:2" x14ac:dyDescent="0.25">
      <c r="A2551">
        <f ca="1">34118.3896392906*((RANDBETWEEN(1587,2416)))</f>
        <v>57933025.607515432</v>
      </c>
      <c r="B2551">
        <v>252917408.32031545</v>
      </c>
    </row>
    <row r="2552" spans="1:2" x14ac:dyDescent="0.25">
      <c r="A2552">
        <f ca="1">31582.7404335654*((RANDBETWEEN(1587,2416)))</f>
        <v>61649509.32631959</v>
      </c>
      <c r="B2552">
        <v>208698177.44659951</v>
      </c>
    </row>
    <row r="2553" spans="1:2" x14ac:dyDescent="0.25">
      <c r="A2553">
        <f ca="1">32769.3362017122*((RANDBETWEEN(1587,2416)))</f>
        <v>67603140.584132373</v>
      </c>
      <c r="B2553">
        <v>230647584.1278322</v>
      </c>
    </row>
    <row r="2554" spans="1:2" x14ac:dyDescent="0.25">
      <c r="A2554">
        <f ca="1">31795.8606343842*((RANDBETWEEN(1587,2416)))</f>
        <v>69919097.535010859</v>
      </c>
      <c r="B2554">
        <v>260497183.36689681</v>
      </c>
    </row>
    <row r="2555" spans="1:2" x14ac:dyDescent="0.25">
      <c r="A2555">
        <f ca="1">31315.0757002423*((RANDBETWEEN(1587,2416)))</f>
        <v>62223055.416381449</v>
      </c>
      <c r="B2555">
        <v>247697900.36302447</v>
      </c>
    </row>
    <row r="2556" spans="1:2" x14ac:dyDescent="0.25">
      <c r="A2556">
        <f ca="1">29333.332567749*((RANDBETWEEN(1587,2416)))</f>
        <v>66205331.6054096</v>
      </c>
      <c r="B2556">
        <v>224837539.61826426</v>
      </c>
    </row>
    <row r="2557" spans="1:2" x14ac:dyDescent="0.25">
      <c r="A2557">
        <f ca="1">35743.1308407844*((RANDBETWEEN(1587,2416)))</f>
        <v>74131253.363786742</v>
      </c>
      <c r="B2557">
        <v>224506287.20287654</v>
      </c>
    </row>
    <row r="2558" spans="1:2" x14ac:dyDescent="0.25">
      <c r="A2558">
        <f ca="1">37716.0356628269*((RANDBETWEEN(1587,2416)))</f>
        <v>75168059.076014042</v>
      </c>
      <c r="B2558">
        <v>210139905.56388533</v>
      </c>
    </row>
    <row r="2559" spans="1:2" x14ac:dyDescent="0.25">
      <c r="A2559">
        <f ca="1">31827.7000426448*((RANDBETWEEN(1587,2416)))</f>
        <v>54584505.57313589</v>
      </c>
      <c r="B2559">
        <v>234362949.18920821</v>
      </c>
    </row>
    <row r="2560" spans="1:2" x14ac:dyDescent="0.25">
      <c r="A2560">
        <f ca="1">39733.9536733643*((RANDBETWEEN(1587,2416)))</f>
        <v>65362353.792684257</v>
      </c>
      <c r="B2560">
        <v>211312642.38726661</v>
      </c>
    </row>
    <row r="2561" spans="1:2" x14ac:dyDescent="0.25">
      <c r="A2561">
        <f ca="1">28885.3692227099*((RANDBETWEEN(1587,2416)))</f>
        <v>47227578.679130621</v>
      </c>
      <c r="B2561">
        <v>264885191.79194075</v>
      </c>
    </row>
    <row r="2562" spans="1:2" x14ac:dyDescent="0.25">
      <c r="A2562">
        <f ca="1">39174.056167989*((RANDBETWEEN(1587,2416)))</f>
        <v>81991299.559600949</v>
      </c>
      <c r="B2562">
        <v>243705504.37011263</v>
      </c>
    </row>
    <row r="2563" spans="1:2" x14ac:dyDescent="0.25">
      <c r="A2563">
        <f ca="1">37141.776075496*((RANDBETWEEN(1587,2416)))</f>
        <v>83011869.528733596</v>
      </c>
      <c r="B2563">
        <v>242052814.43295744</v>
      </c>
    </row>
    <row r="2564" spans="1:2" x14ac:dyDescent="0.25">
      <c r="A2564">
        <f ca="1">40323.9761896676*((RANDBETWEEN(1587,2416)))</f>
        <v>84398082.164974287</v>
      </c>
      <c r="B2564">
        <v>209245809.96740267</v>
      </c>
    </row>
    <row r="2565" spans="1:2" x14ac:dyDescent="0.25">
      <c r="A2565">
        <f ca="1">39817.8075233261*((RANDBETWEEN(1587,2416)))</f>
        <v>70995150.814090401</v>
      </c>
      <c r="B2565">
        <v>239033741.87705082</v>
      </c>
    </row>
    <row r="2566" spans="1:2" x14ac:dyDescent="0.25">
      <c r="A2566">
        <f ca="1">36599.8934501201*((RANDBETWEEN(1587,2416)))</f>
        <v>59218627.602294274</v>
      </c>
      <c r="B2566">
        <v>257940892.7458466</v>
      </c>
    </row>
    <row r="2567" spans="1:2" x14ac:dyDescent="0.25">
      <c r="A2567">
        <f ca="1">31352.4336005976*((RANDBETWEEN(1587,2416)))</f>
        <v>59444214.106732957</v>
      </c>
      <c r="B2567">
        <v>228485925.53387418</v>
      </c>
    </row>
    <row r="2568" spans="1:2" x14ac:dyDescent="0.25">
      <c r="A2568">
        <f ca="1">40641.6023495347*((RANDBETWEEN(1587,2416)))</f>
        <v>69822272.836500674</v>
      </c>
      <c r="B2568">
        <v>246904084.34149212</v>
      </c>
    </row>
    <row r="2569" spans="1:2" x14ac:dyDescent="0.25">
      <c r="A2569">
        <f ca="1">30475.9036501435*((RANDBETWEEN(1587,2416)))</f>
        <v>70064102.491679907</v>
      </c>
      <c r="B2569">
        <v>242998531.41749126</v>
      </c>
    </row>
    <row r="2570" spans="1:2" x14ac:dyDescent="0.25">
      <c r="A2570">
        <f ca="1">34147.9909237213*((RANDBETWEEN(1587,2416)))</f>
        <v>76286611.723593339</v>
      </c>
      <c r="B2570">
        <v>222355365.55449784</v>
      </c>
    </row>
    <row r="2571" spans="1:2" x14ac:dyDescent="0.25">
      <c r="A2571">
        <f ca="1">31313.0999537447*((RANDBETWEEN(1587,2416)))</f>
        <v>74149420.690467373</v>
      </c>
      <c r="B2571">
        <v>261138337.68342084</v>
      </c>
    </row>
    <row r="2572" spans="1:2" x14ac:dyDescent="0.25">
      <c r="A2572">
        <f ca="1">34089.8077464576*((RANDBETWEEN(1587,2416)))</f>
        <v>74145331.848545372</v>
      </c>
      <c r="B2572">
        <v>220241150.37840438</v>
      </c>
    </row>
    <row r="2573" spans="1:2" x14ac:dyDescent="0.25">
      <c r="A2573">
        <f ca="1">32738.2428640851*((RANDBETWEEN(1587,2416)))</f>
        <v>64003264.799286343</v>
      </c>
      <c r="B2573">
        <v>260395511.54450363</v>
      </c>
    </row>
    <row r="2574" spans="1:2" x14ac:dyDescent="0.25">
      <c r="A2574">
        <f ca="1">32690.6021408585*((RANDBETWEEN(1587,2416)))</f>
        <v>64106270.798223533</v>
      </c>
      <c r="B2574">
        <v>224904951.58902624</v>
      </c>
    </row>
    <row r="2575" spans="1:2" x14ac:dyDescent="0.25">
      <c r="A2575">
        <f ca="1">36301.0736743517*((RANDBETWEEN(1587,2416)))</f>
        <v>76994577.263299927</v>
      </c>
      <c r="B2575">
        <v>229289059.19366008</v>
      </c>
    </row>
    <row r="2576" spans="1:2" x14ac:dyDescent="0.25">
      <c r="A2576">
        <f ca="1">33427.8226065853*((RANDBETWEEN(1587,2416)))</f>
        <v>71836390.781551793</v>
      </c>
      <c r="B2576">
        <v>226102840.90781766</v>
      </c>
    </row>
    <row r="2577" spans="1:2" x14ac:dyDescent="0.25">
      <c r="A2577">
        <f ca="1">41140.7888391813*((RANDBETWEEN(1587,2416)))</f>
        <v>97215684.026985303</v>
      </c>
      <c r="B2577">
        <v>248737431.76847455</v>
      </c>
    </row>
    <row r="2578" spans="1:2" x14ac:dyDescent="0.25">
      <c r="A2578">
        <f ca="1">41232.905680719*((RANDBETWEEN(1587,2416)))</f>
        <v>97144725.783773899</v>
      </c>
      <c r="B2578">
        <v>246173835.53982878</v>
      </c>
    </row>
    <row r="2579" spans="1:2" x14ac:dyDescent="0.25">
      <c r="A2579">
        <f ca="1">32280.217038204*((RANDBETWEEN(1587,2416)))</f>
        <v>73857136.583410785</v>
      </c>
      <c r="B2579">
        <v>246697398.70431739</v>
      </c>
    </row>
    <row r="2580" spans="1:2" x14ac:dyDescent="0.25">
      <c r="A2580">
        <f ca="1">39915.9277945813*((RANDBETWEEN(1587,2416)))</f>
        <v>78354966.260763034</v>
      </c>
      <c r="B2580">
        <v>244174936.19381776</v>
      </c>
    </row>
    <row r="2581" spans="1:2" x14ac:dyDescent="0.25">
      <c r="A2581">
        <f ca="1">36074.500896351*((RANDBETWEEN(1587,2416)))</f>
        <v>83223873.567881733</v>
      </c>
      <c r="B2581">
        <v>207389602.29626068</v>
      </c>
    </row>
    <row r="2582" spans="1:2" x14ac:dyDescent="0.25">
      <c r="A2582">
        <f ca="1">31885.7682732563*((RANDBETWEEN(1587,2416)))</f>
        <v>71774864.383099958</v>
      </c>
      <c r="B2582">
        <v>221190852.82149965</v>
      </c>
    </row>
    <row r="2583" spans="1:2" x14ac:dyDescent="0.25">
      <c r="A2583">
        <f ca="1">39537.1604913616*((RANDBETWEEN(1587,2416)))</f>
        <v>82988499.871368051</v>
      </c>
      <c r="B2583">
        <v>252490756.54820898</v>
      </c>
    </row>
    <row r="2584" spans="1:2" x14ac:dyDescent="0.25">
      <c r="A2584">
        <f ca="1">27901.6823883423*((RANDBETWEEN(1587,2416)))</f>
        <v>62109144.996449903</v>
      </c>
      <c r="B2584">
        <v>257313338.75045118</v>
      </c>
    </row>
    <row r="2585" spans="1:2" x14ac:dyDescent="0.25">
      <c r="A2585">
        <f ca="1">41533.7334019363*((RANDBETWEEN(1587,2416)))</f>
        <v>89795931.61498636</v>
      </c>
      <c r="B2585">
        <v>263073902.20963573</v>
      </c>
    </row>
    <row r="2586" spans="1:2" x14ac:dyDescent="0.25">
      <c r="A2586">
        <f ca="1">32372.8162830683*((RANDBETWEEN(1587,2416)))</f>
        <v>75461034.755832106</v>
      </c>
      <c r="B2586">
        <v>207996227.39794225</v>
      </c>
    </row>
    <row r="2587" spans="1:2" x14ac:dyDescent="0.25">
      <c r="A2587">
        <f ca="1">32132.6263635976*((RANDBETWEEN(1587,2416)))</f>
        <v>77568160.041724592</v>
      </c>
      <c r="B2587">
        <v>245321112.84376106</v>
      </c>
    </row>
    <row r="2588" spans="1:2" x14ac:dyDescent="0.25">
      <c r="A2588">
        <f ca="1">38721.8573715102*((RANDBETWEEN(1587,2416)))</f>
        <v>78566648.606794253</v>
      </c>
      <c r="B2588">
        <v>236267649.93012109</v>
      </c>
    </row>
    <row r="2589" spans="1:2" x14ac:dyDescent="0.25">
      <c r="A2589">
        <f ca="1">30501.9883006621*((RANDBETWEEN(1587,2416)))</f>
        <v>54629061.046485856</v>
      </c>
      <c r="B2589">
        <v>228173891.94307518</v>
      </c>
    </row>
    <row r="2590" spans="1:2" x14ac:dyDescent="0.25">
      <c r="A2590">
        <f ca="1">35996.0728645963*((RANDBETWEEN(1587,2416)))</f>
        <v>75123804.068412468</v>
      </c>
      <c r="B2590">
        <v>248205145.54488221</v>
      </c>
    </row>
    <row r="2591" spans="1:2" x14ac:dyDescent="0.25">
      <c r="A2591">
        <f ca="1">32251.5711561171*((RANDBETWEEN(1587,2416)))</f>
        <v>67147771.147035792</v>
      </c>
      <c r="B2591">
        <v>235861730.28667241</v>
      </c>
    </row>
    <row r="2592" spans="1:2" x14ac:dyDescent="0.25">
      <c r="A2592">
        <f ca="1">33087.7045697091*((RANDBETWEEN(1587,2416)))</f>
        <v>65612918.161733091</v>
      </c>
      <c r="B2592">
        <v>243011037.72236621</v>
      </c>
    </row>
    <row r="2593" spans="1:2" x14ac:dyDescent="0.25">
      <c r="A2593">
        <f ca="1">30998.4675359418*((RANDBETWEEN(1587,2416)))</f>
        <v>51147471.434303954</v>
      </c>
      <c r="B2593">
        <v>238205879.51924938</v>
      </c>
    </row>
    <row r="2594" spans="1:2" x14ac:dyDescent="0.25">
      <c r="A2594">
        <f ca="1">40276.2020220575*((RANDBETWEEN(1587,2416)))</f>
        <v>72456887.437681451</v>
      </c>
      <c r="B2594">
        <v>241805244.63116375</v>
      </c>
    </row>
    <row r="2595" spans="1:2" x14ac:dyDescent="0.25">
      <c r="A2595">
        <f ca="1">34251.9344578085*((RANDBETWEEN(1587,2416)))</f>
        <v>63777101.960439451</v>
      </c>
      <c r="B2595">
        <v>248425260.4379845</v>
      </c>
    </row>
    <row r="2596" spans="1:2" x14ac:dyDescent="0.25">
      <c r="A2596">
        <f ca="1">31785.9173135696*((RANDBETWEEN(1587,2416)))</f>
        <v>71486528.038217932</v>
      </c>
      <c r="B2596">
        <v>220874169.0437057</v>
      </c>
    </row>
    <row r="2597" spans="1:2" x14ac:dyDescent="0.25">
      <c r="A2597">
        <f ca="1">34455.5462410366*((RANDBETWEEN(1587,2416)))</f>
        <v>74768535.343049467</v>
      </c>
      <c r="B2597">
        <v>219053139.77354625</v>
      </c>
    </row>
    <row r="2598" spans="1:2" x14ac:dyDescent="0.25">
      <c r="A2598">
        <f ca="1">32325.659649555*((RANDBETWEEN(1587,2416)))</f>
        <v>67786908.285116792</v>
      </c>
      <c r="B2598">
        <v>262386622.62655461</v>
      </c>
    </row>
    <row r="2599" spans="1:2" x14ac:dyDescent="0.25">
      <c r="A2599">
        <f ca="1">29802.3366093807*((RANDBETWEEN(1587,2416)))</f>
        <v>55998590.48902639</v>
      </c>
      <c r="B2599">
        <v>209374867.96940738</v>
      </c>
    </row>
    <row r="2600" spans="1:2" x14ac:dyDescent="0.25">
      <c r="A2600">
        <f ca="1">33776.0801912178*((RANDBETWEEN(1587,2416)))</f>
        <v>70389351.118497863</v>
      </c>
      <c r="B2600">
        <v>239178281.84910178</v>
      </c>
    </row>
    <row r="2601" spans="1:2" x14ac:dyDescent="0.25">
      <c r="A2601">
        <f ca="1">32679.6452098342*((RANDBETWEEN(1587,2416)))</f>
        <v>69444246.070897684</v>
      </c>
      <c r="B2601">
        <v>226040501.22697499</v>
      </c>
    </row>
    <row r="2602" spans="1:2" x14ac:dyDescent="0.25">
      <c r="A2602">
        <f ca="1">30187.8217339592*((RANDBETWEEN(1587,2416)))</f>
        <v>69552741.275041953</v>
      </c>
      <c r="B2602">
        <v>232205675.70788997</v>
      </c>
    </row>
    <row r="2603" spans="1:2" x14ac:dyDescent="0.25">
      <c r="A2603">
        <f ca="1">41049.8418675339*((RANDBETWEEN(1587,2416)))</f>
        <v>68101687.658238724</v>
      </c>
      <c r="B2603">
        <v>229194633.4763912</v>
      </c>
    </row>
    <row r="2604" spans="1:2" x14ac:dyDescent="0.25">
      <c r="A2604">
        <f ca="1">36129.4558237415*((RANDBETWEEN(1587,2416)))</f>
        <v>58060035.508752629</v>
      </c>
      <c r="B2604">
        <v>251997774.71371439</v>
      </c>
    </row>
    <row r="2605" spans="1:2" x14ac:dyDescent="0.25">
      <c r="A2605">
        <f ca="1">38753.341157683*((RANDBETWEEN(1587,2416)))</f>
        <v>85102337.182271779</v>
      </c>
      <c r="B2605">
        <v>247136638.47076797</v>
      </c>
    </row>
    <row r="2606" spans="1:2" x14ac:dyDescent="0.25">
      <c r="A2606">
        <f ca="1">37270.3724294311*((RANDBETWEEN(1587,2416)))</f>
        <v>82069360.089607209</v>
      </c>
      <c r="B2606">
        <v>213296017.2907052</v>
      </c>
    </row>
    <row r="2607" spans="1:2" x14ac:dyDescent="0.25">
      <c r="A2607">
        <f ca="1">36308.1029283927*((RANDBETWEEN(1587,2416)))</f>
        <v>83254480.014804453</v>
      </c>
      <c r="B2607">
        <v>207641331.8915903</v>
      </c>
    </row>
    <row r="2608" spans="1:2" x14ac:dyDescent="0.25">
      <c r="A2608">
        <f ca="1">29976.2901158899*((RANDBETWEEN(1587,2416)))</f>
        <v>47842159.024960339</v>
      </c>
      <c r="B2608">
        <v>249830703.25261375</v>
      </c>
    </row>
    <row r="2609" spans="1:2" x14ac:dyDescent="0.25">
      <c r="A2609">
        <f ca="1">37246.2542150848*((RANDBETWEEN(1587,2416)))</f>
        <v>78999305.190194875</v>
      </c>
      <c r="B2609">
        <v>240220532.82533669</v>
      </c>
    </row>
    <row r="2610" spans="1:2" x14ac:dyDescent="0.25">
      <c r="A2610">
        <f ca="1">34683.4712575508*((RANDBETWEEN(1587,2416)))</f>
        <v>64337839.1827567</v>
      </c>
      <c r="B2610">
        <v>219733918.92948791</v>
      </c>
    </row>
    <row r="2611" spans="1:2" x14ac:dyDescent="0.25">
      <c r="A2611">
        <f ca="1">29517.8098264304*((RANDBETWEEN(1587,2416)))</f>
        <v>59006101.843034454</v>
      </c>
      <c r="B2611">
        <v>237048764.27713779</v>
      </c>
    </row>
    <row r="2612" spans="1:2" x14ac:dyDescent="0.25">
      <c r="A2612">
        <f ca="1">37529.6041615225*((RANDBETWEEN(1587,2416)))</f>
        <v>70930951.865277439</v>
      </c>
      <c r="B2612">
        <v>227678282.57697833</v>
      </c>
    </row>
    <row r="2613" spans="1:2" x14ac:dyDescent="0.25">
      <c r="A2613">
        <f ca="1">30094.5811584791*((RANDBETWEEN(1587,2416)))</f>
        <v>49505586.005698174</v>
      </c>
      <c r="B2613">
        <v>204407984.74297512</v>
      </c>
    </row>
    <row r="2614" spans="1:2" x14ac:dyDescent="0.25">
      <c r="A2614">
        <f ca="1">36888.372285644*((RANDBETWEEN(1587,2416)))</f>
        <v>74514512.017000809</v>
      </c>
      <c r="B2614">
        <v>213015431.48051304</v>
      </c>
    </row>
    <row r="2615" spans="1:2" x14ac:dyDescent="0.25">
      <c r="A2615">
        <f ca="1">37178.1356498194*((RANDBETWEEN(1587,2416)))</f>
        <v>66288615.863627963</v>
      </c>
      <c r="B2615">
        <v>219914443.46734279</v>
      </c>
    </row>
    <row r="2616" spans="1:2" x14ac:dyDescent="0.25">
      <c r="A2616">
        <f ca="1">31139.5466614812*((RANDBETWEEN(1587,2416)))</f>
        <v>52283298.844626933</v>
      </c>
      <c r="B2616">
        <v>256755988.78703359</v>
      </c>
    </row>
    <row r="2617" spans="1:2" x14ac:dyDescent="0.25">
      <c r="A2617">
        <f ca="1">40833.7898142586*((RANDBETWEEN(1587,2416)))</f>
        <v>70846625.327738687</v>
      </c>
      <c r="B2617">
        <v>241125153.22307476</v>
      </c>
    </row>
    <row r="2618" spans="1:2" x14ac:dyDescent="0.25">
      <c r="A2618">
        <f ca="1">36668.9638769745*((RANDBETWEEN(1587,2416)))</f>
        <v>79498313.6852808</v>
      </c>
      <c r="B2618">
        <v>267660054.42229158</v>
      </c>
    </row>
    <row r="2619" spans="1:2" x14ac:dyDescent="0.25">
      <c r="A2619">
        <f ca="1">29945.4345644445*((RANDBETWEEN(1587,2416)))</f>
        <v>49110512.685689025</v>
      </c>
      <c r="B2619">
        <v>227737214.38253921</v>
      </c>
    </row>
    <row r="2620" spans="1:2" x14ac:dyDescent="0.25">
      <c r="A2620">
        <f ca="1">38824.5292300491*((RANDBETWEEN(1587,2416)))</f>
        <v>76096077.290896297</v>
      </c>
      <c r="B2620">
        <v>260639250.97343874</v>
      </c>
    </row>
    <row r="2621" spans="1:2" x14ac:dyDescent="0.25">
      <c r="A2621">
        <f ca="1">31768.6222046607*((RANDBETWEEN(1587,2416)))</f>
        <v>68461380.85104385</v>
      </c>
      <c r="B2621">
        <v>233257277.94158316</v>
      </c>
    </row>
    <row r="2622" spans="1:2" x14ac:dyDescent="0.25">
      <c r="A2622">
        <f ca="1">34600.736723836*((RANDBETWEEN(1587,2416)))</f>
        <v>72142536.069198102</v>
      </c>
      <c r="B2622">
        <v>262673236.61305973</v>
      </c>
    </row>
    <row r="2623" spans="1:2" x14ac:dyDescent="0.25">
      <c r="A2623">
        <f ca="1">37587.5861243548*((RANDBETWEEN(1587,2416)))</f>
        <v>87315962.566876233</v>
      </c>
      <c r="B2623">
        <v>228913795.63420033</v>
      </c>
    </row>
    <row r="2624" spans="1:2" x14ac:dyDescent="0.25">
      <c r="A2624">
        <f ca="1">38344.7950815539*((RANDBETWEEN(1587,2416)))</f>
        <v>68100356.064839691</v>
      </c>
      <c r="B2624">
        <v>211653729.52333742</v>
      </c>
    </row>
    <row r="2625" spans="1:2" x14ac:dyDescent="0.25">
      <c r="A2625">
        <f ca="1">31099.687368857*((RANDBETWEEN(1587,2416)))</f>
        <v>59742499.43557439</v>
      </c>
      <c r="B2625">
        <v>206209480.99809149</v>
      </c>
    </row>
    <row r="2626" spans="1:2" x14ac:dyDescent="0.25">
      <c r="A2626">
        <f ca="1">32761.0675908666*((RANDBETWEEN(1587,2416)))</f>
        <v>70305251.049999639</v>
      </c>
      <c r="B2626">
        <v>227569298.94869506</v>
      </c>
    </row>
    <row r="2627" spans="1:2" x14ac:dyDescent="0.25">
      <c r="A2627">
        <f ca="1">40191.1741920011*((RANDBETWEEN(1587,2416)))</f>
        <v>69369966.655393958</v>
      </c>
      <c r="B2627">
        <v>226248891.95220765</v>
      </c>
    </row>
    <row r="2628" spans="1:2" x14ac:dyDescent="0.25">
      <c r="A2628">
        <f ca="1">39132.1813158566*((RANDBETWEEN(1587,2416)))</f>
        <v>77129529.373553425</v>
      </c>
      <c r="B2628">
        <v>245444366.22998965</v>
      </c>
    </row>
    <row r="2629" spans="1:2" x14ac:dyDescent="0.25">
      <c r="A2629">
        <f ca="1">30787.2348127134*((RANDBETWEEN(1587,2416)))</f>
        <v>68871044.276039913</v>
      </c>
      <c r="B2629">
        <v>255981503.00351757</v>
      </c>
    </row>
    <row r="2630" spans="1:2" x14ac:dyDescent="0.25">
      <c r="A2630">
        <f ca="1">38515.9342862676*((RANDBETWEEN(1587,2416)))</f>
        <v>75914906.478233412</v>
      </c>
      <c r="B2630">
        <v>226535172.08954757</v>
      </c>
    </row>
    <row r="2631" spans="1:2" x14ac:dyDescent="0.25">
      <c r="A2631">
        <f ca="1">40178.8366878565*((RANDBETWEEN(1587,2416)))</f>
        <v>65853113.331396841</v>
      </c>
      <c r="B2631">
        <v>224089876.41433689</v>
      </c>
    </row>
    <row r="2632" spans="1:2" x14ac:dyDescent="0.25">
      <c r="A2632">
        <f ca="1">27366.0888727084*((RANDBETWEEN(1587,2416)))</f>
        <v>62038923.474429846</v>
      </c>
      <c r="B2632">
        <v>263191036.09192565</v>
      </c>
    </row>
    <row r="2633" spans="1:2" x14ac:dyDescent="0.25">
      <c r="A2633">
        <f ca="1">35300.2474770953*((RANDBETWEEN(1587,2416)))</f>
        <v>71059398.171392754</v>
      </c>
      <c r="B2633">
        <v>214012960.637503</v>
      </c>
    </row>
    <row r="2634" spans="1:2" x14ac:dyDescent="0.25">
      <c r="A2634">
        <f ca="1">31250.6543046211*((RANDBETWEEN(1587,2416)))</f>
        <v>61876295.523149706</v>
      </c>
      <c r="B2634">
        <v>204525077.84396175</v>
      </c>
    </row>
    <row r="2635" spans="1:2" x14ac:dyDescent="0.25">
      <c r="A2635">
        <f ca="1">36155.7628316858*((RANDBETWEEN(1587,2416)))</f>
        <v>74372404.144777641</v>
      </c>
      <c r="B2635">
        <v>233378262.92127854</v>
      </c>
    </row>
    <row r="2636" spans="1:2" x14ac:dyDescent="0.25">
      <c r="A2636">
        <f ca="1">40534.3254778743*((RANDBETWEEN(1587,2416)))</f>
        <v>95093527.571093023</v>
      </c>
      <c r="B2636">
        <v>229947413.11363527</v>
      </c>
    </row>
    <row r="2637" spans="1:2" x14ac:dyDescent="0.25">
      <c r="A2637">
        <f ca="1">30978.6891547808*((RANDBETWEEN(1587,2416)))</f>
        <v>66511245.615314484</v>
      </c>
      <c r="B2637">
        <v>242261948.60614765</v>
      </c>
    </row>
    <row r="2638" spans="1:2" x14ac:dyDescent="0.25">
      <c r="A2638">
        <f ca="1">31290.6552707941*((RANDBETWEEN(1587,2416)))</f>
        <v>72124960.399180502</v>
      </c>
      <c r="B2638">
        <v>227753520.37112364</v>
      </c>
    </row>
    <row r="2639" spans="1:2" x14ac:dyDescent="0.25">
      <c r="A2639">
        <f ca="1">31207.5598981961*((RANDBETWEEN(1587,2416)))</f>
        <v>64724479.228858791</v>
      </c>
      <c r="B2639">
        <v>235672981.58676356</v>
      </c>
    </row>
    <row r="2640" spans="1:2" x14ac:dyDescent="0.25">
      <c r="A2640">
        <f ca="1">35629.6431406235*((RANDBETWEEN(1587,2416)))</f>
        <v>80166697.066402838</v>
      </c>
      <c r="B2640">
        <v>213051767.45897681</v>
      </c>
    </row>
    <row r="2641" spans="1:2" x14ac:dyDescent="0.25">
      <c r="A2641">
        <f ca="1">40506.9183851035*((RANDBETWEEN(1587,2416)))</f>
        <v>87130381.446357548</v>
      </c>
      <c r="B2641">
        <v>216679167.2744652</v>
      </c>
    </row>
    <row r="2642" spans="1:2" x14ac:dyDescent="0.25">
      <c r="A2642">
        <f ca="1">35427.8263357246*((RANDBETWEEN(1587,2416)))</f>
        <v>63982654.362318553</v>
      </c>
      <c r="B2642">
        <v>214073254.45898393</v>
      </c>
    </row>
    <row r="2643" spans="1:2" x14ac:dyDescent="0.25">
      <c r="A2643">
        <f ca="1">30720.7465890517*((RANDBETWEEN(1587,2416)))</f>
        <v>73514746.587600753</v>
      </c>
      <c r="B2643">
        <v>219972598.4518812</v>
      </c>
    </row>
    <row r="2644" spans="1:2" x14ac:dyDescent="0.25">
      <c r="A2644">
        <f ca="1">31528.0919309124*((RANDBETWEEN(1587,2416)))</f>
        <v>74721577.876262441</v>
      </c>
      <c r="B2644">
        <v>244796915.66962504</v>
      </c>
    </row>
    <row r="2645" spans="1:2" x14ac:dyDescent="0.25">
      <c r="A2645">
        <f ca="1">34286.602273308*((RANDBETWEEN(1587,2416)))</f>
        <v>57498632.012337483</v>
      </c>
      <c r="B2645">
        <v>237748877.69593674</v>
      </c>
    </row>
    <row r="2646" spans="1:2" x14ac:dyDescent="0.25">
      <c r="A2646">
        <f ca="1">37543.330378335*((RANDBETWEEN(1587,2416)))</f>
        <v>72045650.996024966</v>
      </c>
      <c r="B2646">
        <v>253047286.72496271</v>
      </c>
    </row>
    <row r="2647" spans="1:2" x14ac:dyDescent="0.25">
      <c r="A2647">
        <f ca="1">34901.2023918094*((RANDBETWEEN(1587,2416)))</f>
        <v>75142288.749565646</v>
      </c>
      <c r="B2647">
        <v>233830388.22470257</v>
      </c>
    </row>
    <row r="2648" spans="1:2" x14ac:dyDescent="0.25">
      <c r="A2648">
        <f ca="1">32844.2155932912*((RANDBETWEEN(1587,2416)))</f>
        <v>70188088.722863197</v>
      </c>
      <c r="B2648">
        <v>240996302.24577546</v>
      </c>
    </row>
    <row r="2649" spans="1:2" x14ac:dyDescent="0.25">
      <c r="A2649">
        <f ca="1">37891.975570292*((RANDBETWEEN(1587,2416)))</f>
        <v>90410253.71071659</v>
      </c>
      <c r="B2649">
        <v>242865991.39094695</v>
      </c>
    </row>
    <row r="2650" spans="1:2" x14ac:dyDescent="0.25">
      <c r="A2650">
        <f ca="1">30366.9521848652*((RANDBETWEEN(1587,2416)))</f>
        <v>65471148.91056934</v>
      </c>
      <c r="B2650">
        <v>226806931.55109602</v>
      </c>
    </row>
    <row r="2651" spans="1:2" x14ac:dyDescent="0.25">
      <c r="A2651">
        <f ca="1">28407.8640535434*((RANDBETWEEN(1587,2416)))</f>
        <v>66133507.51664903</v>
      </c>
      <c r="B2651">
        <v>226498598.36424294</v>
      </c>
    </row>
    <row r="2652" spans="1:2" x14ac:dyDescent="0.25">
      <c r="A2652">
        <f ca="1">40686.4546983904*((RANDBETWEEN(1587,2416)))</f>
        <v>75188568.282625407</v>
      </c>
      <c r="B2652">
        <v>222824238.39349937</v>
      </c>
    </row>
    <row r="2653" spans="1:2" x14ac:dyDescent="0.25">
      <c r="A2653">
        <f ca="1">38753.0325003975*((RANDBETWEEN(1587,2416)))</f>
        <v>79366210.560814157</v>
      </c>
      <c r="B2653">
        <v>265532975.33576331</v>
      </c>
    </row>
    <row r="2654" spans="1:2" x14ac:dyDescent="0.25">
      <c r="A2654">
        <f ca="1">36433.788132338*((RANDBETWEEN(1587,2416)))</f>
        <v>77713270.086276948</v>
      </c>
      <c r="B2654">
        <v>228718058.72858602</v>
      </c>
    </row>
    <row r="2655" spans="1:2" x14ac:dyDescent="0.25">
      <c r="A2655">
        <f ca="1">31631.4153152282*((RANDBETWEEN(1587,2416)))</f>
        <v>62250625.340369008</v>
      </c>
      <c r="B2655">
        <v>219811146.05718547</v>
      </c>
    </row>
    <row r="2656" spans="1:2" x14ac:dyDescent="0.25">
      <c r="A2656">
        <f ca="1">29540.0928318943*((RANDBETWEEN(1587,2416)))</f>
        <v>53733428.861215785</v>
      </c>
      <c r="B2656">
        <v>227748610.53978711</v>
      </c>
    </row>
    <row r="2657" spans="1:2" x14ac:dyDescent="0.25">
      <c r="A2657">
        <f ca="1">32392.6855194364*((RANDBETWEEN(1587,2416)))</f>
        <v>70875195.916526809</v>
      </c>
      <c r="B2657">
        <v>222839562.57456619</v>
      </c>
    </row>
    <row r="2658" spans="1:2" x14ac:dyDescent="0.25">
      <c r="A2658">
        <f ca="1">38925.7267977508*((RANDBETWEEN(1587,2416)))</f>
        <v>76527978.884377971</v>
      </c>
      <c r="B2658">
        <v>210407393.42135888</v>
      </c>
    </row>
    <row r="2659" spans="1:2" x14ac:dyDescent="0.25">
      <c r="A2659">
        <f ca="1">37036.7187981766*((RANDBETWEEN(1587,2416)))</f>
        <v>74740098.534720376</v>
      </c>
      <c r="B2659">
        <v>248514232.9422203</v>
      </c>
    </row>
    <row r="2660" spans="1:2" x14ac:dyDescent="0.25">
      <c r="A2660">
        <f ca="1">40699.7047271711*((RANDBETWEEN(1587,2416)))</f>
        <v>95359408.175761878</v>
      </c>
      <c r="B2660">
        <v>212580319.42061973</v>
      </c>
    </row>
    <row r="2661" spans="1:2" x14ac:dyDescent="0.25">
      <c r="A2661">
        <f ca="1">41409.1274448045*((RANDBETWEEN(1587,2416)))</f>
        <v>69608743.234716311</v>
      </c>
      <c r="B2661">
        <v>220412731.40605375</v>
      </c>
    </row>
    <row r="2662" spans="1:2" x14ac:dyDescent="0.25">
      <c r="A2662">
        <f ca="1">34635.3145151014*((RANDBETWEEN(1587,2416)))</f>
        <v>61165965.433669142</v>
      </c>
      <c r="B2662">
        <v>213132217.89118463</v>
      </c>
    </row>
    <row r="2663" spans="1:2" x14ac:dyDescent="0.25">
      <c r="A2663">
        <f ca="1">30563.967196251*((RANDBETWEEN(1587,2416)))</f>
        <v>50124906.201851718</v>
      </c>
      <c r="B2663">
        <v>216437885.6213505</v>
      </c>
    </row>
    <row r="2664" spans="1:2" x14ac:dyDescent="0.25">
      <c r="A2664">
        <f ca="1">35789.0028719927*((RANDBETWEEN(1587,2416)))</f>
        <v>74834805.005336776</v>
      </c>
      <c r="B2664">
        <v>210322429.90541744</v>
      </c>
    </row>
    <row r="2665" spans="1:2" x14ac:dyDescent="0.25">
      <c r="A2665">
        <f ca="1">40308.9299193041*((RANDBETWEEN(1587,2416)))</f>
        <v>69129814.811606497</v>
      </c>
      <c r="B2665">
        <v>260471221.59416243</v>
      </c>
    </row>
    <row r="2666" spans="1:2" x14ac:dyDescent="0.25">
      <c r="A2666">
        <f ca="1">31935.7996651631*((RANDBETWEEN(1587,2416)))</f>
        <v>56462493.808008358</v>
      </c>
      <c r="B2666">
        <v>224928175.14263946</v>
      </c>
    </row>
    <row r="2667" spans="1:2" x14ac:dyDescent="0.25">
      <c r="A2667">
        <f ca="1">34950.8663256866*((RANDBETWEEN(1587,2416)))</f>
        <v>61129065.203625821</v>
      </c>
      <c r="B2667">
        <v>203713220.36582083</v>
      </c>
    </row>
    <row r="2668" spans="1:2" x14ac:dyDescent="0.25">
      <c r="A2668">
        <f ca="1">30995.2402572596*((RANDBETWEEN(1587,2416)))</f>
        <v>59262899.37188042</v>
      </c>
      <c r="B2668">
        <v>245430097.57415447</v>
      </c>
    </row>
    <row r="2669" spans="1:2" x14ac:dyDescent="0.25">
      <c r="A2669">
        <f ca="1">37119.5554123665*((RANDBETWEEN(1587,2416)))</f>
        <v>76169327.706176162</v>
      </c>
      <c r="B2669">
        <v>252860757.57773331</v>
      </c>
    </row>
    <row r="2670" spans="1:2" x14ac:dyDescent="0.25">
      <c r="A2670">
        <f ca="1">33061.0589336682*((RANDBETWEEN(1587,2416)))</f>
        <v>77957976.965589568</v>
      </c>
      <c r="B2670">
        <v>266494389.41987613</v>
      </c>
    </row>
    <row r="2671" spans="1:2" x14ac:dyDescent="0.25">
      <c r="A2671">
        <f ca="1">41019.2323100119*((RANDBETWEEN(1587,2416)))</f>
        <v>66697271.736079387</v>
      </c>
      <c r="B2671">
        <v>244272649.47780526</v>
      </c>
    </row>
    <row r="2672" spans="1:2" x14ac:dyDescent="0.25">
      <c r="A2672">
        <f ca="1">36493.9767379109*((RANDBETWEEN(1587,2416)))</f>
        <v>83425230.822864324</v>
      </c>
      <c r="B2672">
        <v>242136534.81176353</v>
      </c>
    </row>
    <row r="2673" spans="1:2" x14ac:dyDescent="0.25">
      <c r="A2673">
        <f ca="1">30903.6135812646*((RANDBETWEEN(1587,2416)))</f>
        <v>72716202.75671564</v>
      </c>
      <c r="B2673">
        <v>264722717.05782351</v>
      </c>
    </row>
    <row r="2674" spans="1:2" x14ac:dyDescent="0.25">
      <c r="A2674">
        <f ca="1">42133.7221490788*((RANDBETWEEN(1587,2416)))</f>
        <v>94000334.114594758</v>
      </c>
      <c r="B2674">
        <v>236444704.98705336</v>
      </c>
    </row>
    <row r="2675" spans="1:2" x14ac:dyDescent="0.25">
      <c r="A2675">
        <f ca="1">30660.4662582414*((RANDBETWEEN(1587,2416)))</f>
        <v>70703035.191504687</v>
      </c>
      <c r="B2675">
        <v>241949268.73249215</v>
      </c>
    </row>
    <row r="2676" spans="1:2" x14ac:dyDescent="0.25">
      <c r="A2676">
        <f ca="1">32610.9591160973*((RANDBETWEEN(1587,2416)))</f>
        <v>58373616.817814246</v>
      </c>
      <c r="B2676">
        <v>222140432.27024803</v>
      </c>
    </row>
    <row r="2677" spans="1:2" x14ac:dyDescent="0.25">
      <c r="A2677">
        <f ca="1">28911.841395679*((RANDBETWEEN(1587,2416)))</f>
        <v>54672292.07922899</v>
      </c>
      <c r="B2677">
        <v>208541730.06447566</v>
      </c>
    </row>
    <row r="2678" spans="1:2" x14ac:dyDescent="0.25">
      <c r="A2678">
        <f ca="1">34464.991943038*((RANDBETWEEN(1587,2416)))</f>
        <v>80372361.211164504</v>
      </c>
      <c r="B2678">
        <v>265459371.30893525</v>
      </c>
    </row>
    <row r="2679" spans="1:2" x14ac:dyDescent="0.25">
      <c r="A2679">
        <f ca="1">28644.0067922762*((RANDBETWEEN(1587,2416)))</f>
        <v>58605637.896997109</v>
      </c>
      <c r="B2679">
        <v>210582151.52168036</v>
      </c>
    </row>
    <row r="2680" spans="1:2" x14ac:dyDescent="0.25">
      <c r="A2680">
        <f ca="1">35563.1170162167*((RANDBETWEEN(1587,2416)))</f>
        <v>67569922.330811664</v>
      </c>
      <c r="B2680">
        <v>218515247.6042133</v>
      </c>
    </row>
    <row r="2681" spans="1:2" x14ac:dyDescent="0.25">
      <c r="A2681">
        <f ca="1">40049.1856315473*((RANDBETWEEN(1587,2416)))</f>
        <v>79377485.921726838</v>
      </c>
      <c r="B2681">
        <v>217630223.28597003</v>
      </c>
    </row>
    <row r="2682" spans="1:2" x14ac:dyDescent="0.25">
      <c r="A2682">
        <f ca="1">31802.3480540551*((RANDBETWEEN(1587,2416)))</f>
        <v>55208876.221839592</v>
      </c>
      <c r="B2682">
        <v>208104422.70850232</v>
      </c>
    </row>
    <row r="2683" spans="1:2" x14ac:dyDescent="0.25">
      <c r="A2683">
        <f ca="1">32632.4427492313*((RANDBETWEEN(1587,2416)))</f>
        <v>71987168.704804316</v>
      </c>
      <c r="B2683">
        <v>208416136.36824429</v>
      </c>
    </row>
    <row r="2684" spans="1:2" x14ac:dyDescent="0.25">
      <c r="A2684">
        <f ca="1">29638.8646712962*((RANDBETWEEN(1587,2416)))</f>
        <v>52016207.498124823</v>
      </c>
      <c r="B2684">
        <v>221109551.95008355</v>
      </c>
    </row>
    <row r="2685" spans="1:2" x14ac:dyDescent="0.25">
      <c r="A2685">
        <f ca="1">30321.0471527308*((RANDBETWEEN(1587,2416)))</f>
        <v>65372177.661287613</v>
      </c>
      <c r="B2685">
        <v>240426768.79753155</v>
      </c>
    </row>
    <row r="2686" spans="1:2" x14ac:dyDescent="0.25">
      <c r="A2686">
        <f ca="1">37111.1477628076*((RANDBETWEEN(1587,2416)))</f>
        <v>78118966.040710032</v>
      </c>
      <c r="B2686">
        <v>245206760.04713172</v>
      </c>
    </row>
    <row r="2687" spans="1:2" x14ac:dyDescent="0.25">
      <c r="A2687">
        <f ca="1">30307.7496287997*((RANDBETWEEN(1587,2416)))</f>
        <v>66525510.435215265</v>
      </c>
      <c r="B2687">
        <v>207890790.43769315</v>
      </c>
    </row>
    <row r="2688" spans="1:2" x14ac:dyDescent="0.25">
      <c r="A2688">
        <f ca="1">31188.4607353817*((RANDBETWEEN(1587,2416)))</f>
        <v>62501675.313704967</v>
      </c>
      <c r="B2688">
        <v>208501364.98281804</v>
      </c>
    </row>
    <row r="2689" spans="1:2" x14ac:dyDescent="0.25">
      <c r="A2689">
        <f ca="1">39784.4900207664*((RANDBETWEEN(1587,2416)))</f>
        <v>81836695.972716436</v>
      </c>
      <c r="B2689">
        <v>256314578.07078713</v>
      </c>
    </row>
    <row r="2690" spans="1:2" x14ac:dyDescent="0.25">
      <c r="A2690">
        <f ca="1">29936.3828580095*((RANDBETWEEN(1587,2416)))</f>
        <v>67207179.516231298</v>
      </c>
      <c r="B2690">
        <v>249423719.66871688</v>
      </c>
    </row>
    <row r="2691" spans="1:2" x14ac:dyDescent="0.25">
      <c r="A2691">
        <f ca="1">33242.8962341178*((RANDBETWEEN(1587,2416)))</f>
        <v>65023105.033934452</v>
      </c>
      <c r="B2691">
        <v>242877998.32162783</v>
      </c>
    </row>
    <row r="2692" spans="1:2" x14ac:dyDescent="0.25">
      <c r="A2692">
        <f ca="1">37744.1952632633*((RANDBETWEEN(1587,2416)))</f>
        <v>87038114.27708526</v>
      </c>
      <c r="B2692">
        <v>218468314.79620257</v>
      </c>
    </row>
    <row r="2693" spans="1:2" x14ac:dyDescent="0.25">
      <c r="A2693">
        <f ca="1">29538.2670028373*((RANDBETWEEN(1587,2416)))</f>
        <v>68971853.451625004</v>
      </c>
      <c r="B2693">
        <v>251658607.43412724</v>
      </c>
    </row>
    <row r="2694" spans="1:2" x14ac:dyDescent="0.25">
      <c r="A2694">
        <f ca="1">32180.1102438986*((RANDBETWEEN(1587,2416)))</f>
        <v>75977240.285844713</v>
      </c>
      <c r="B2694">
        <v>226716748.73960003</v>
      </c>
    </row>
    <row r="2695" spans="1:2" x14ac:dyDescent="0.25">
      <c r="A2695">
        <f ca="1">30560.1960010774*((RANDBETWEEN(1587,2416)))</f>
        <v>67935315.710395023</v>
      </c>
      <c r="B2695">
        <v>226546689.32228726</v>
      </c>
    </row>
    <row r="2696" spans="1:2" x14ac:dyDescent="0.25">
      <c r="A2696">
        <f ca="1">29881.2762186039*((RANDBETWEEN(1587,2416)))</f>
        <v>49393749.58935231</v>
      </c>
      <c r="B2696">
        <v>252988485.77587882</v>
      </c>
    </row>
    <row r="2697" spans="1:2" x14ac:dyDescent="0.25">
      <c r="A2697">
        <f ca="1">34089.4127620567*((RANDBETWEEN(1587,2416)))</f>
        <v>55395295.738342151</v>
      </c>
      <c r="B2697">
        <v>259347604.50410417</v>
      </c>
    </row>
    <row r="2698" spans="1:2" x14ac:dyDescent="0.25">
      <c r="A2698">
        <f ca="1">37613.9676524988*((RANDBETWEEN(1587,2416)))</f>
        <v>84480971.347512379</v>
      </c>
      <c r="B2698">
        <v>246701106.84587052</v>
      </c>
    </row>
    <row r="2699" spans="1:2" x14ac:dyDescent="0.25">
      <c r="A2699">
        <f ca="1">32996.0597080823*((RANDBETWEEN(1587,2416)))</f>
        <v>64573288.848717056</v>
      </c>
      <c r="B2699">
        <v>205117800.40465355</v>
      </c>
    </row>
    <row r="2700" spans="1:2" x14ac:dyDescent="0.25">
      <c r="A2700">
        <f ca="1">36499.6888249951*((RANDBETWEEN(1587,2416)))</f>
        <v>79021826.306114465</v>
      </c>
      <c r="B2700">
        <v>240835451.55518511</v>
      </c>
    </row>
    <row r="2701" spans="1:2" x14ac:dyDescent="0.25">
      <c r="A2701">
        <f ca="1">39035.1352257594*((RANDBETWEEN(1587,2416)))</f>
        <v>88258440.745441943</v>
      </c>
      <c r="B2701">
        <v>241261635.01968598</v>
      </c>
    </row>
    <row r="2702" spans="1:2" x14ac:dyDescent="0.25">
      <c r="A2702">
        <f ca="1">42643.2638332034*((RANDBETWEEN(1587,2416)))</f>
        <v>97525144.38653627</v>
      </c>
      <c r="B2702">
        <v>226850754.08377457</v>
      </c>
    </row>
    <row r="2703" spans="1:2" x14ac:dyDescent="0.25">
      <c r="A2703">
        <f ca="1">30214.2069387498*((RANDBETWEEN(1587,2416)))</f>
        <v>63057049.881170906</v>
      </c>
      <c r="B2703">
        <v>229299722.97243717</v>
      </c>
    </row>
    <row r="2704" spans="1:2" x14ac:dyDescent="0.25">
      <c r="A2704">
        <f ca="1">31361.1828966585*((RANDBETWEEN(1587,2416)))</f>
        <v>54850708.886255749</v>
      </c>
      <c r="B2704">
        <v>212246341.05604163</v>
      </c>
    </row>
    <row r="2705" spans="1:2" x14ac:dyDescent="0.25">
      <c r="A2705">
        <f ca="1">30978.6494093312*((RANDBETWEEN(1587,2416)))</f>
        <v>70662299.302684575</v>
      </c>
      <c r="B2705">
        <v>219386612.01412994</v>
      </c>
    </row>
    <row r="2706" spans="1:2" x14ac:dyDescent="0.25">
      <c r="A2706">
        <f ca="1">41634.4634342445*((RANDBETWEEN(1587,2416)))</f>
        <v>97632816.753303394</v>
      </c>
      <c r="B2706">
        <v>220461247.94009763</v>
      </c>
    </row>
    <row r="2707" spans="1:2" x14ac:dyDescent="0.25">
      <c r="A2707">
        <f ca="1">35743.5400360872*((RANDBETWEEN(1587,2416)))</f>
        <v>57189664.057739466</v>
      </c>
      <c r="B2707">
        <v>212362419.53769496</v>
      </c>
    </row>
    <row r="2708" spans="1:2" x14ac:dyDescent="0.25">
      <c r="A2708">
        <f ca="1">33292.4383837022*((RANDBETWEEN(1587,2416)))</f>
        <v>79302588.229978576</v>
      </c>
      <c r="B2708">
        <v>249262805.54984978</v>
      </c>
    </row>
    <row r="2709" spans="1:2" x14ac:dyDescent="0.25">
      <c r="A2709">
        <f ca="1">33589.6805460989*((RANDBETWEEN(1587,2416)))</f>
        <v>75140115.381623209</v>
      </c>
      <c r="B2709">
        <v>248992057.83613685</v>
      </c>
    </row>
    <row r="2710" spans="1:2" x14ac:dyDescent="0.25">
      <c r="A2710">
        <f ca="1">29192.0208851589*((RANDBETWEEN(1587,2416)))</f>
        <v>66265887.409310617</v>
      </c>
      <c r="B2710">
        <v>230208750.10011905</v>
      </c>
    </row>
    <row r="2711" spans="1:2" x14ac:dyDescent="0.25">
      <c r="A2711">
        <f ca="1">37589.577682578*((RANDBETWEEN(1587,2416)))</f>
        <v>60744757.535045989</v>
      </c>
      <c r="B2711">
        <v>216845658.97849596</v>
      </c>
    </row>
    <row r="2712" spans="1:2" x14ac:dyDescent="0.25">
      <c r="A2712">
        <f ca="1">30704.0405990374*((RANDBETWEEN(1587,2416)))</f>
        <v>60394847.858306557</v>
      </c>
      <c r="B2712">
        <v>255989926.8202422</v>
      </c>
    </row>
    <row r="2713" spans="1:2" x14ac:dyDescent="0.25">
      <c r="A2713">
        <f ca="1">36473.6726015651*((RANDBETWEEN(1587,2416)))</f>
        <v>72181398.078497291</v>
      </c>
      <c r="B2713">
        <v>244761012.96039638</v>
      </c>
    </row>
    <row r="2714" spans="1:2" x14ac:dyDescent="0.25">
      <c r="A2714">
        <f ca="1">32222.9984207221*((RANDBETWEEN(1587,2416)))</f>
        <v>67829411.67561993</v>
      </c>
      <c r="B2714">
        <v>219425587.86811835</v>
      </c>
    </row>
    <row r="2715" spans="1:2" x14ac:dyDescent="0.25">
      <c r="A2715">
        <f ca="1">29286.7901423744*((RANDBETWEEN(1587,2416)))</f>
        <v>64167357.20194231</v>
      </c>
      <c r="B2715">
        <v>232775035.4107393</v>
      </c>
    </row>
    <row r="2716" spans="1:2" x14ac:dyDescent="0.25">
      <c r="A2716">
        <f ca="1">31430.8781811498*((RANDBETWEEN(1587,2416)))</f>
        <v>73076791.771173343</v>
      </c>
      <c r="B2716">
        <v>241644103.93822855</v>
      </c>
    </row>
    <row r="2717" spans="1:2" x14ac:dyDescent="0.25">
      <c r="A2717">
        <f ca="1">31259.4338625166*((RANDBETWEEN(1587,2416)))</f>
        <v>57204763.968405373</v>
      </c>
      <c r="B2717">
        <v>238007147.75045156</v>
      </c>
    </row>
    <row r="2718" spans="1:2" x14ac:dyDescent="0.25">
      <c r="A2718">
        <f ca="1">31227.5259021713*((RANDBETWEEN(1587,2416)))</f>
        <v>51025777.324147969</v>
      </c>
      <c r="B2718">
        <v>213377406.87237862</v>
      </c>
    </row>
    <row r="2719" spans="1:2" x14ac:dyDescent="0.25">
      <c r="A2719">
        <f ca="1">36831.0086216225*((RANDBETWEEN(1587,2416)))</f>
        <v>60402854.139460944</v>
      </c>
      <c r="B2719">
        <v>260238362.81350049</v>
      </c>
    </row>
    <row r="2720" spans="1:2" x14ac:dyDescent="0.25">
      <c r="A2720">
        <f ca="1">31172.220519073*((RANDBETWEEN(1587,2416)))</f>
        <v>66303313.044068165</v>
      </c>
      <c r="B2720">
        <v>216378188.64674684</v>
      </c>
    </row>
    <row r="2721" spans="1:2" x14ac:dyDescent="0.25">
      <c r="A2721">
        <f ca="1">31505.2546792721*((RANDBETWEEN(1587,2416)))</f>
        <v>72588106.781042829</v>
      </c>
      <c r="B2721">
        <v>220704278.60691902</v>
      </c>
    </row>
    <row r="2722" spans="1:2" x14ac:dyDescent="0.25">
      <c r="A2722">
        <f ca="1">28740.4180024483*((RANDBETWEEN(1587,2416)))</f>
        <v>68660858.607848942</v>
      </c>
      <c r="B2722">
        <v>205035353.26854494</v>
      </c>
    </row>
    <row r="2723" spans="1:2" x14ac:dyDescent="0.25">
      <c r="A2723">
        <f ca="1">32564.527957697*((RANDBETWEEN(1587,2416)))</f>
        <v>71316316.227356359</v>
      </c>
      <c r="B2723">
        <v>215067479.84016931</v>
      </c>
    </row>
    <row r="2724" spans="1:2" x14ac:dyDescent="0.25">
      <c r="A2724">
        <f ca="1">30842.8930179779*((RANDBETWEEN(1587,2416)))</f>
        <v>50983302.158717386</v>
      </c>
      <c r="B2724">
        <v>234047238.75697088</v>
      </c>
    </row>
    <row r="2725" spans="1:2" x14ac:dyDescent="0.25">
      <c r="A2725">
        <f ca="1">34387.0658041636*((RANDBETWEEN(1587,2416)))</f>
        <v>64785231.975044303</v>
      </c>
      <c r="B2725">
        <v>203876317.66585487</v>
      </c>
    </row>
    <row r="2726" spans="1:2" x14ac:dyDescent="0.25">
      <c r="A2726">
        <f ca="1">35626.1218839149*((RANDBETWEEN(1587,2416)))</f>
        <v>78413094.266496629</v>
      </c>
      <c r="B2726">
        <v>212337037.58817029</v>
      </c>
    </row>
    <row r="2727" spans="1:2" x14ac:dyDescent="0.25">
      <c r="A2727">
        <f ca="1">39870.8185204249*((RANDBETWEEN(1587,2416)))</f>
        <v>78425900.029675856</v>
      </c>
      <c r="B2727">
        <v>257097173.64563358</v>
      </c>
    </row>
    <row r="2728" spans="1:2" x14ac:dyDescent="0.25">
      <c r="A2728">
        <f ca="1">34530.5003690528*((RANDBETWEEN(1587,2416)))</f>
        <v>76864893.821511462</v>
      </c>
      <c r="B2728">
        <v>250201490.18291622</v>
      </c>
    </row>
    <row r="2729" spans="1:2" x14ac:dyDescent="0.25">
      <c r="A2729">
        <f ca="1">31759.404162115*((RANDBETWEEN(1587,2416)))</f>
        <v>51545512.955112718</v>
      </c>
      <c r="B2729">
        <v>245626426.81554556</v>
      </c>
    </row>
    <row r="2730" spans="1:2" x14ac:dyDescent="0.25">
      <c r="A2730">
        <f ca="1">32999.7378091259*((RANDBETWEEN(1587,2416)))</f>
        <v>72203426.326367542</v>
      </c>
      <c r="B2730">
        <v>208651223.2122128</v>
      </c>
    </row>
    <row r="2731" spans="1:2" x14ac:dyDescent="0.25">
      <c r="A2731">
        <f ca="1">39667.9007099741*((RANDBETWEEN(1587,2416)))</f>
        <v>64341334.951578021</v>
      </c>
      <c r="B2731">
        <v>215520189.33052438</v>
      </c>
    </row>
    <row r="2732" spans="1:2" x14ac:dyDescent="0.25">
      <c r="A2732">
        <f ca="1">30618.2574821066*((RANDBETWEEN(1587,2416)))</f>
        <v>49387249.318637967</v>
      </c>
      <c r="B2732">
        <v>236507802.34545952</v>
      </c>
    </row>
    <row r="2733" spans="1:2" x14ac:dyDescent="0.25">
      <c r="A2733">
        <f ca="1">38583.5926610435*((RANDBETWEEN(1587,2416)))</f>
        <v>87469004.562585518</v>
      </c>
      <c r="B2733">
        <v>221239429.95222142</v>
      </c>
    </row>
    <row r="2734" spans="1:2" x14ac:dyDescent="0.25">
      <c r="A2734">
        <f ca="1">29345.6921691394*((RANDBETWEEN(1587,2416)))</f>
        <v>55023172.817136332</v>
      </c>
      <c r="B2734">
        <v>208155047.1246137</v>
      </c>
    </row>
    <row r="2735" spans="1:2" x14ac:dyDescent="0.25">
      <c r="A2735">
        <f ca="1">27408.1646272805*((RANDBETWEEN(1587,2416)))</f>
        <v>47388716.640568055</v>
      </c>
      <c r="B2735">
        <v>242784044.78777447</v>
      </c>
    </row>
    <row r="2736" spans="1:2" x14ac:dyDescent="0.25">
      <c r="A2736">
        <f ca="1">28684.3410166739*((RANDBETWEEN(1587,2416)))</f>
        <v>48878117.092412308</v>
      </c>
      <c r="B2736">
        <v>260458885.13675788</v>
      </c>
    </row>
    <row r="2737" spans="1:2" x14ac:dyDescent="0.25">
      <c r="A2737">
        <f ca="1">30720.4465427681*((RANDBETWEEN(1587,2416)))</f>
        <v>67185616.589033931</v>
      </c>
      <c r="B2737">
        <v>266560111.5699411</v>
      </c>
    </row>
    <row r="2738" spans="1:2" x14ac:dyDescent="0.25">
      <c r="A2738">
        <f ca="1">30221.9677115671*((RANDBETWEEN(1587,2416)))</f>
        <v>61773702.002443172</v>
      </c>
      <c r="B2738">
        <v>255558484.58121487</v>
      </c>
    </row>
    <row r="2739" spans="1:2" x14ac:dyDescent="0.25">
      <c r="A2739">
        <f ca="1">39876.7926389267*((RANDBETWEEN(1587,2416)))</f>
        <v>81548040.946605042</v>
      </c>
      <c r="B2739">
        <v>258356938.26993898</v>
      </c>
    </row>
    <row r="2740" spans="1:2" x14ac:dyDescent="0.25">
      <c r="A2740">
        <f ca="1">32207.4846116441*((RANDBETWEEN(1587,2416)))</f>
        <v>69246091.915034786</v>
      </c>
      <c r="B2740">
        <v>257131262.9614121</v>
      </c>
    </row>
    <row r="2741" spans="1:2" x14ac:dyDescent="0.25">
      <c r="A2741">
        <f ca="1">34933.5771315998*((RANDBETWEEN(1587,2416)))</f>
        <v>71474098.811253145</v>
      </c>
      <c r="B2741">
        <v>231872178.30545217</v>
      </c>
    </row>
    <row r="2742" spans="1:2" x14ac:dyDescent="0.25">
      <c r="A2742">
        <f ca="1">37881.1917844177*((RANDBETWEEN(1587,2416)))</f>
        <v>65496580.595258139</v>
      </c>
      <c r="B2742">
        <v>261229397.97454053</v>
      </c>
    </row>
    <row r="2743" spans="1:2" x14ac:dyDescent="0.25">
      <c r="A2743">
        <f ca="1">37080.6018256607*((RANDBETWEEN(1587,2416)))</f>
        <v>67894581.942784742</v>
      </c>
      <c r="B2743">
        <v>218816621.29820901</v>
      </c>
    </row>
    <row r="2744" spans="1:2" x14ac:dyDescent="0.25">
      <c r="A2744">
        <f ca="1">31285.2715299178*((RANDBETWEEN(1587,2416)))</f>
        <v>65229791.13987866</v>
      </c>
      <c r="B2744">
        <v>236353510.0319542</v>
      </c>
    </row>
    <row r="2745" spans="1:2" x14ac:dyDescent="0.25">
      <c r="A2745">
        <f ca="1">27734.5613323271*((RANDBETWEEN(1587,2416)))</f>
        <v>45540149.707681127</v>
      </c>
      <c r="B2745">
        <v>255781953.16424298</v>
      </c>
    </row>
    <row r="2746" spans="1:2" x14ac:dyDescent="0.25">
      <c r="A2746">
        <f ca="1">32006.2700162722*((RANDBETWEEN(1587,2416)))</f>
        <v>74382571.517816499</v>
      </c>
      <c r="B2746">
        <v>260595727.99832487</v>
      </c>
    </row>
    <row r="2747" spans="1:2" x14ac:dyDescent="0.25">
      <c r="A2747">
        <f ca="1">29878.738226615*((RANDBETWEEN(1587,2416)))</f>
        <v>52407306.849482708</v>
      </c>
      <c r="B2747">
        <v>251898820.29375559</v>
      </c>
    </row>
    <row r="2748" spans="1:2" x14ac:dyDescent="0.25">
      <c r="A2748">
        <f ca="1">40136.1065979202*((RANDBETWEEN(1587,2416)))</f>
        <v>69555872.734195769</v>
      </c>
      <c r="B2748">
        <v>255642020.38008448</v>
      </c>
    </row>
    <row r="2749" spans="1:2" x14ac:dyDescent="0.25">
      <c r="A2749">
        <f ca="1">36381.1167654399*((RANDBETWEEN(1587,2416)))</f>
        <v>62757426.420383871</v>
      </c>
      <c r="B2749">
        <v>234748370.82705981</v>
      </c>
    </row>
    <row r="2750" spans="1:2" x14ac:dyDescent="0.25">
      <c r="A2750">
        <f ca="1">40593.0550135618*((RANDBETWEEN(1587,2416)))</f>
        <v>89710651.579971477</v>
      </c>
      <c r="B2750">
        <v>233794054.59944308</v>
      </c>
    </row>
    <row r="2751" spans="1:2" x14ac:dyDescent="0.25">
      <c r="A2751">
        <f ca="1">41532.784988023*((RANDBETWEEN(1587,2416)))</f>
        <v>73388431.073836669</v>
      </c>
      <c r="B2751">
        <v>230060870.62739068</v>
      </c>
    </row>
    <row r="2752" spans="1:2" x14ac:dyDescent="0.25">
      <c r="A2752">
        <f ca="1">31287.8245587052*((RANDBETWEEN(1587,2416)))</f>
        <v>58633383.22301349</v>
      </c>
      <c r="B2752">
        <v>209103825.14129546</v>
      </c>
    </row>
    <row r="2753" spans="1:2" x14ac:dyDescent="0.25">
      <c r="A2753">
        <f ca="1">30539.86473223*((RANDBETWEEN(1587,2416)))</f>
        <v>49596740.325141519</v>
      </c>
      <c r="B2753">
        <v>259332797.67647874</v>
      </c>
    </row>
    <row r="2754" spans="1:2" x14ac:dyDescent="0.25">
      <c r="A2754">
        <f ca="1">31726.3799421024*((RANDBETWEEN(1587,2416)))</f>
        <v>75001162.18313019</v>
      </c>
      <c r="B2754">
        <v>205503253.82884574</v>
      </c>
    </row>
    <row r="2755" spans="1:2" x14ac:dyDescent="0.25">
      <c r="A2755">
        <f ca="1">28438.3281758596*((RANDBETWEEN(1587,2416)))</f>
        <v>61881802.110670589</v>
      </c>
      <c r="B2755">
        <v>219864786.70299593</v>
      </c>
    </row>
    <row r="2756" spans="1:2" x14ac:dyDescent="0.25">
      <c r="A2756">
        <f ca="1">32514.5426794524*((RANDBETWEEN(1587,2416)))</f>
        <v>65679376.212493919</v>
      </c>
      <c r="B2756">
        <v>251192336.47866431</v>
      </c>
    </row>
    <row r="2757" spans="1:2" x14ac:dyDescent="0.25">
      <c r="A2757">
        <f ca="1">29845.1449120601*((RANDBETWEEN(1587,2416)))</f>
        <v>69061665.326507017</v>
      </c>
      <c r="B2757">
        <v>239296923.70047608</v>
      </c>
    </row>
    <row r="2758" spans="1:2" x14ac:dyDescent="0.25">
      <c r="A2758">
        <f ca="1">31683.5470967737*((RANDBETWEEN(1587,2416)))</f>
        <v>59184865.976773299</v>
      </c>
      <c r="B2758">
        <v>267081705.78104511</v>
      </c>
    </row>
    <row r="2759" spans="1:2" x14ac:dyDescent="0.25">
      <c r="A2759">
        <f ca="1">37623.3703878486*((RANDBETWEEN(1587,2416)))</f>
        <v>65351794.363693029</v>
      </c>
      <c r="B2759">
        <v>238964910.92414397</v>
      </c>
    </row>
    <row r="2760" spans="1:2" x14ac:dyDescent="0.25">
      <c r="A2760">
        <f ca="1">34731.2828074849*((RANDBETWEEN(1587,2416)))</f>
        <v>68177508.151092887</v>
      </c>
      <c r="B2760">
        <v>251447463.86026055</v>
      </c>
    </row>
    <row r="2761" spans="1:2" x14ac:dyDescent="0.25">
      <c r="A2761">
        <f ca="1">31611.8469487482*((RANDBETWEEN(1587,2416)))</f>
        <v>70778925.318247169</v>
      </c>
      <c r="B2761">
        <v>251190056.60796311</v>
      </c>
    </row>
    <row r="2762" spans="1:2" x14ac:dyDescent="0.25">
      <c r="A2762">
        <f ca="1">30152.363470739*((RANDBETWEEN(1587,2416)))</f>
        <v>71973691.604653925</v>
      </c>
      <c r="B2762">
        <v>240932081.53208911</v>
      </c>
    </row>
    <row r="2763" spans="1:2" x14ac:dyDescent="0.25">
      <c r="A2763">
        <f ca="1">41495.3303880081*((RANDBETWEEN(1587,2416)))</f>
        <v>87015707.823653057</v>
      </c>
      <c r="B2763">
        <v>260198656.60750702</v>
      </c>
    </row>
    <row r="2764" spans="1:2" x14ac:dyDescent="0.25">
      <c r="A2764">
        <f ca="1">34046.6564678984*((RANDBETWEEN(1587,2416)))</f>
        <v>54338463.722765848</v>
      </c>
      <c r="B2764">
        <v>266293930.68523279</v>
      </c>
    </row>
    <row r="2765" spans="1:2" x14ac:dyDescent="0.25">
      <c r="A2765">
        <f ca="1">32950.3813916768*((RANDBETWEEN(1587,2416)))</f>
        <v>70843319.992105126</v>
      </c>
      <c r="B2765">
        <v>229915565.45962149</v>
      </c>
    </row>
    <row r="2766" spans="1:2" x14ac:dyDescent="0.25">
      <c r="A2766">
        <f ca="1">28553.571764319*((RANDBETWEEN(1587,2416)))</f>
        <v>68071715.086136475</v>
      </c>
      <c r="B2766">
        <v>215387659.48187283</v>
      </c>
    </row>
    <row r="2767" spans="1:2" x14ac:dyDescent="0.25">
      <c r="A2767">
        <f ca="1">28624.1237164488*((RANDBETWEEN(1587,2416)))</f>
        <v>49004499.802560359</v>
      </c>
      <c r="B2767">
        <v>226276522.53396937</v>
      </c>
    </row>
    <row r="2768" spans="1:2" x14ac:dyDescent="0.25">
      <c r="A2768">
        <f ca="1">31320.0802558513*((RANDBETWEEN(1587,2416)))</f>
        <v>66649130.784451611</v>
      </c>
      <c r="B2768">
        <v>216312007.18460125</v>
      </c>
    </row>
    <row r="2769" spans="1:2" x14ac:dyDescent="0.25">
      <c r="A2769">
        <f ca="1">34914.6410857544*((RANDBETWEEN(1587,2416)))</f>
        <v>70527574.993223891</v>
      </c>
      <c r="B2769">
        <v>225512742.7474491</v>
      </c>
    </row>
    <row r="2770" spans="1:2" x14ac:dyDescent="0.25">
      <c r="A2770">
        <f ca="1">33861.3550112504*((RANDBETWEEN(1587,2416)))</f>
        <v>77948839.235898465</v>
      </c>
      <c r="B2770">
        <v>248936368.86965427</v>
      </c>
    </row>
    <row r="2771" spans="1:2" x14ac:dyDescent="0.25">
      <c r="A2771">
        <f ca="1">40732.5120026007*((RANDBETWEEN(1587,2416)))</f>
        <v>77473237.828946456</v>
      </c>
      <c r="B2771">
        <v>234082001.21748599</v>
      </c>
    </row>
    <row r="2772" spans="1:2" x14ac:dyDescent="0.25">
      <c r="A2772">
        <f ca="1">33595.6891033848*((RANDBETWEEN(1587,2416)))</f>
        <v>78849082.325644195</v>
      </c>
      <c r="B2772">
        <v>211104897.45176086</v>
      </c>
    </row>
    <row r="2773" spans="1:2" x14ac:dyDescent="0.25">
      <c r="A2773">
        <f ca="1">39412.4228360544*((RANDBETWEEN(1587,2416)))</f>
        <v>77760710.255535305</v>
      </c>
      <c r="B2773">
        <v>240979381.843261</v>
      </c>
    </row>
    <row r="2774" spans="1:2" x14ac:dyDescent="0.25">
      <c r="A2774">
        <f ca="1">30886.6513908417*((RANDBETWEEN(1587,2416)))</f>
        <v>57819811.403655678</v>
      </c>
      <c r="B2774">
        <v>262013401.05944598</v>
      </c>
    </row>
    <row r="2775" spans="1:2" x14ac:dyDescent="0.25">
      <c r="A2775">
        <f ca="1">32533.5588715988*((RANDBETWEEN(1587,2416)))</f>
        <v>52021160.635686457</v>
      </c>
      <c r="B2775">
        <v>204834957.68799549</v>
      </c>
    </row>
    <row r="2776" spans="1:2" x14ac:dyDescent="0.25">
      <c r="A2776">
        <f ca="1">31046.707898574*((RANDBETWEEN(1587,2416)))</f>
        <v>55418373.598954551</v>
      </c>
      <c r="B2776">
        <v>225757627.25919423</v>
      </c>
    </row>
    <row r="2777" spans="1:2" x14ac:dyDescent="0.25">
      <c r="A2777">
        <f ca="1">32488.1927766969*((RANDBETWEEN(1587,2416)))</f>
        <v>52565895.912695639</v>
      </c>
      <c r="B2777">
        <v>213979344.44673997</v>
      </c>
    </row>
    <row r="2778" spans="1:2" x14ac:dyDescent="0.25">
      <c r="A2778">
        <f ca="1">37315.3181118459*((RANDBETWEEN(1587,2416)))</f>
        <v>77205393.173409119</v>
      </c>
      <c r="B2778">
        <v>222480388.17599341</v>
      </c>
    </row>
    <row r="2779" spans="1:2" x14ac:dyDescent="0.25">
      <c r="A2779">
        <f ca="1">36194.775129073*((RANDBETWEEN(1587,2416)))</f>
        <v>85455864.079741299</v>
      </c>
      <c r="B2779">
        <v>262439355.6654788</v>
      </c>
    </row>
    <row r="2780" spans="1:2" x14ac:dyDescent="0.25">
      <c r="A2780">
        <f ca="1">31779.9933212665*((RANDBETWEEN(1587,2416)))</f>
        <v>71949904.879347473</v>
      </c>
      <c r="B2780">
        <v>212465393.83317101</v>
      </c>
    </row>
    <row r="2781" spans="1:2" x14ac:dyDescent="0.25">
      <c r="A2781">
        <f ca="1">33591.9621586453*((RANDBETWEEN(1587,2416)))</f>
        <v>60667083.658513397</v>
      </c>
      <c r="B2781">
        <v>220459051.69778678</v>
      </c>
    </row>
    <row r="2782" spans="1:2" x14ac:dyDescent="0.25">
      <c r="A2782">
        <f ca="1">31321.7298755057*((RANDBETWEEN(1587,2416)))</f>
        <v>53998662.305371858</v>
      </c>
      <c r="B2782">
        <v>251752440.9615714</v>
      </c>
    </row>
    <row r="2783" spans="1:2" x14ac:dyDescent="0.25">
      <c r="A2783">
        <f ca="1">35977.4902649855*((RANDBETWEEN(1587,2416)))</f>
        <v>68285276.522942528</v>
      </c>
      <c r="B2783">
        <v>214871410.90758774</v>
      </c>
    </row>
    <row r="2784" spans="1:2" x14ac:dyDescent="0.25">
      <c r="A2784">
        <f ca="1">32973.1088222978*((RANDBETWEEN(1587,2416)))</f>
        <v>67957577.282755837</v>
      </c>
      <c r="B2784">
        <v>213221966.44501856</v>
      </c>
    </row>
    <row r="2785" spans="1:2" x14ac:dyDescent="0.25">
      <c r="A2785">
        <f ca="1">40440.4121774113*((RANDBETWEEN(1587,2416)))</f>
        <v>64745099.896035552</v>
      </c>
      <c r="B2785">
        <v>251641843.91284522</v>
      </c>
    </row>
    <row r="2786" spans="1:2" x14ac:dyDescent="0.25">
      <c r="A2786">
        <f ca="1">27794.873519873*((RANDBETWEEN(1587,2416)))</f>
        <v>51948618.608642638</v>
      </c>
      <c r="B2786">
        <v>214888373.43678743</v>
      </c>
    </row>
    <row r="2787" spans="1:2" x14ac:dyDescent="0.25">
      <c r="A2787">
        <f ca="1">39757.8318897976*((RANDBETWEEN(1587,2416)))</f>
        <v>94981460.38472636</v>
      </c>
      <c r="B2787">
        <v>232617975.94993335</v>
      </c>
    </row>
    <row r="2788" spans="1:2" x14ac:dyDescent="0.25">
      <c r="A2788">
        <f ca="1">39592.1311456423*((RANDBETWEEN(1587,2416)))</f>
        <v>71701349.504758179</v>
      </c>
      <c r="B2788">
        <v>205436882.0030432</v>
      </c>
    </row>
    <row r="2789" spans="1:2" x14ac:dyDescent="0.25">
      <c r="A2789">
        <f ca="1">35856.8558380315*((RANDBETWEEN(1587,2416)))</f>
        <v>59988519.817026764</v>
      </c>
      <c r="B2789">
        <v>224479725.01775983</v>
      </c>
    </row>
    <row r="2790" spans="1:2" x14ac:dyDescent="0.25">
      <c r="A2790">
        <f ca="1">35377.0684716418*((RANDBETWEEN(1587,2416)))</f>
        <v>75317778.776125416</v>
      </c>
      <c r="B2790">
        <v>204520999.85552207</v>
      </c>
    </row>
    <row r="2791" spans="1:2" x14ac:dyDescent="0.25">
      <c r="A2791">
        <f ca="1">36613.90848523*((RANDBETWEEN(1587,2416)))</f>
        <v>69639653.938907504</v>
      </c>
      <c r="B2791">
        <v>259887276.36857444</v>
      </c>
    </row>
    <row r="2792" spans="1:2" x14ac:dyDescent="0.25">
      <c r="A2792">
        <f ca="1">31765.730761609*((RANDBETWEEN(1587,2416)))</f>
        <v>61752580.60056787</v>
      </c>
      <c r="B2792">
        <v>263560761.18532994</v>
      </c>
    </row>
    <row r="2793" spans="1:2" x14ac:dyDescent="0.25">
      <c r="A2793">
        <f ca="1">31348.9259831402*((RANDBETWEEN(1587,2416)))</f>
        <v>49938839.091142327</v>
      </c>
      <c r="B2793">
        <v>259792513.76640955</v>
      </c>
    </row>
    <row r="2794" spans="1:2" x14ac:dyDescent="0.25">
      <c r="A2794">
        <f ca="1">39361.324125157*((RANDBETWEEN(1587,2416)))</f>
        <v>75180129.07904987</v>
      </c>
      <c r="B2794">
        <v>236561780.57379141</v>
      </c>
    </row>
    <row r="2795" spans="1:2" x14ac:dyDescent="0.25">
      <c r="A2795">
        <f ca="1">33045.7143980579*((RANDBETWEEN(1587,2416)))</f>
        <v>68635948.804766342</v>
      </c>
      <c r="B2795">
        <v>232811859.74574107</v>
      </c>
    </row>
    <row r="2796" spans="1:2" x14ac:dyDescent="0.25">
      <c r="A2796">
        <f ca="1">31900.3771791116*((RANDBETWEEN(1587,2416)))</f>
        <v>66958891.69895526</v>
      </c>
      <c r="B2796">
        <v>240138600.35284367</v>
      </c>
    </row>
    <row r="2797" spans="1:2" x14ac:dyDescent="0.25">
      <c r="A2797">
        <f ca="1">31424.7581549482*((RANDBETWEEN(1587,2416)))</f>
        <v>71365625.769887447</v>
      </c>
      <c r="B2797">
        <v>254393239.62756896</v>
      </c>
    </row>
    <row r="2798" spans="1:2" x14ac:dyDescent="0.25">
      <c r="A2798">
        <f ca="1">36594.1743193822*((RANDBETWEEN(1587,2416)))</f>
        <v>63527486.618447416</v>
      </c>
      <c r="B2798">
        <v>235144856.40452874</v>
      </c>
    </row>
    <row r="2799" spans="1:2" x14ac:dyDescent="0.25">
      <c r="A2799">
        <f ca="1">35143.4539410003*((RANDBETWEEN(1587,2416)))</f>
        <v>75312421.795563683</v>
      </c>
      <c r="B2799">
        <v>265857972.18063676</v>
      </c>
    </row>
    <row r="2800" spans="1:2" x14ac:dyDescent="0.25">
      <c r="A2800">
        <f ca="1">31444.9436245893*((RANDBETWEEN(1587,2416)))</f>
        <v>68298417.552607924</v>
      </c>
      <c r="B2800">
        <v>217790208.83117038</v>
      </c>
    </row>
    <row r="2801" spans="1:2" x14ac:dyDescent="0.25">
      <c r="A2801">
        <f ca="1">29726.7717440563*((RANDBETWEEN(1587,2416)))</f>
        <v>69174197.848419055</v>
      </c>
      <c r="B2801">
        <v>223650268.49222511</v>
      </c>
    </row>
    <row r="2802" spans="1:2" x14ac:dyDescent="0.25">
      <c r="A2802">
        <f ca="1">33284.9423612537*((RANDBETWEEN(1587,2416)))</f>
        <v>75357109.505878329</v>
      </c>
      <c r="B2802">
        <v>253072034.97911406</v>
      </c>
    </row>
    <row r="2803" spans="1:2" x14ac:dyDescent="0.25">
      <c r="A2803">
        <f ca="1">29782.5871072065*((RANDBETWEEN(1587,2416)))</f>
        <v>61620172.724810287</v>
      </c>
      <c r="B2803">
        <v>236373981.92637527</v>
      </c>
    </row>
    <row r="2804" spans="1:2" x14ac:dyDescent="0.25">
      <c r="A2804">
        <f ca="1">30114.4004177169*((RANDBETWEEN(1587,2416)))</f>
        <v>70467696.977457494</v>
      </c>
      <c r="B2804">
        <v>260036924.957513</v>
      </c>
    </row>
    <row r="2805" spans="1:2" x14ac:dyDescent="0.25">
      <c r="A2805">
        <f ca="1">32718.2032714963*((RANDBETWEEN(1587,2416)))</f>
        <v>66319798.031323083</v>
      </c>
      <c r="B2805">
        <v>258167912.41139132</v>
      </c>
    </row>
    <row r="2806" spans="1:2" x14ac:dyDescent="0.25">
      <c r="A2806">
        <f ca="1">39211.7599457594*((RANDBETWEEN(1587,2416)))</f>
        <v>70659591.422258422</v>
      </c>
      <c r="B2806">
        <v>212745166.98494253</v>
      </c>
    </row>
    <row r="2807" spans="1:2" x14ac:dyDescent="0.25">
      <c r="A2807">
        <f ca="1">31017.0045246583*((RANDBETWEEN(1587,2416)))</f>
        <v>64081131.347943999</v>
      </c>
      <c r="B2807">
        <v>208216247.77796382</v>
      </c>
    </row>
    <row r="2808" spans="1:2" x14ac:dyDescent="0.25">
      <c r="A2808">
        <f ca="1">32802.7137709933*((RANDBETWEEN(1587,2416)))</f>
        <v>57339143.671696328</v>
      </c>
      <c r="B2808">
        <v>207311318.81534803</v>
      </c>
    </row>
    <row r="2809" spans="1:2" x14ac:dyDescent="0.25">
      <c r="A2809">
        <f ca="1">36814.4380175715*((RANDBETWEEN(1587,2416)))</f>
        <v>87471104.729749963</v>
      </c>
      <c r="B2809">
        <v>215215060.89987317</v>
      </c>
    </row>
    <row r="2810" spans="1:2" x14ac:dyDescent="0.25">
      <c r="A2810">
        <f ca="1">37698.0165868605*((RANDBETWEEN(1587,2416)))</f>
        <v>74302790.692702055</v>
      </c>
      <c r="B2810">
        <v>256085284.19805247</v>
      </c>
    </row>
    <row r="2811" spans="1:2" x14ac:dyDescent="0.25">
      <c r="A2811">
        <f ca="1">31902.0092770234*((RANDBETWEEN(1587,2416)))</f>
        <v>69546380.223911002</v>
      </c>
      <c r="B2811">
        <v>255049299.02948803</v>
      </c>
    </row>
    <row r="2812" spans="1:2" x14ac:dyDescent="0.25">
      <c r="A2812">
        <f ca="1">34505.5965057467*((RANDBETWEEN(1587,2416)))</f>
        <v>59349625.989884347</v>
      </c>
      <c r="B2812">
        <v>230635558.291426</v>
      </c>
    </row>
    <row r="2813" spans="1:2" x14ac:dyDescent="0.25">
      <c r="A2813">
        <f ca="1">35983.6661744206*((RANDBETWEEN(1587,2416)))</f>
        <v>84705550.174586028</v>
      </c>
      <c r="B2813">
        <v>253473672.77775902</v>
      </c>
    </row>
    <row r="2814" spans="1:2" x14ac:dyDescent="0.25">
      <c r="A2814">
        <f ca="1">32601.9725884218*((RANDBETWEEN(1587,2416)))</f>
        <v>51869738.388179056</v>
      </c>
      <c r="B2814">
        <v>218228556.03852203</v>
      </c>
    </row>
    <row r="2815" spans="1:2" x14ac:dyDescent="0.25">
      <c r="A2815">
        <f ca="1">30472.3182786262*((RANDBETWEEN(1587,2416)))</f>
        <v>73042146.913867101</v>
      </c>
      <c r="B2815">
        <v>235679150.81175435</v>
      </c>
    </row>
    <row r="2816" spans="1:2" x14ac:dyDescent="0.25">
      <c r="A2816">
        <f ca="1">30581.5949147669*((RANDBETWEEN(1587,2416)))</f>
        <v>68502772.609077752</v>
      </c>
      <c r="B2816">
        <v>247262700.37138942</v>
      </c>
    </row>
    <row r="2817" spans="1:2" x14ac:dyDescent="0.25">
      <c r="A2817">
        <f ca="1">39595.9549884561*((RANDBETWEEN(1587,2416)))</f>
        <v>77489283.912408635</v>
      </c>
      <c r="B2817">
        <v>226360077.3273592</v>
      </c>
    </row>
    <row r="2818" spans="1:2" x14ac:dyDescent="0.25">
      <c r="A2818">
        <f ca="1">32583.5170159893*((RANDBETWEEN(1587,2416)))</f>
        <v>55880731.682421595</v>
      </c>
      <c r="B2818">
        <v>231766463.35434836</v>
      </c>
    </row>
    <row r="2819" spans="1:2" x14ac:dyDescent="0.25">
      <c r="A2819">
        <f ca="1">29606.9916516921*((RANDBETWEEN(1587,2416)))</f>
        <v>53381405.948000826</v>
      </c>
      <c r="B2819">
        <v>238079710.95207974</v>
      </c>
    </row>
    <row r="2820" spans="1:2" x14ac:dyDescent="0.25">
      <c r="A2820">
        <f ca="1">28855.4270448639*((RANDBETWEEN(1587,2416)))</f>
        <v>62356577.843950905</v>
      </c>
      <c r="B2820">
        <v>265507864.85529479</v>
      </c>
    </row>
    <row r="2821" spans="1:2" x14ac:dyDescent="0.25">
      <c r="A2821">
        <f ca="1">35926.5195527903*((RANDBETWEEN(1587,2416)))</f>
        <v>63158821.373805381</v>
      </c>
      <c r="B2821">
        <v>227128006.04550681</v>
      </c>
    </row>
    <row r="2822" spans="1:2" x14ac:dyDescent="0.25">
      <c r="A2822">
        <f ca="1">28472.1460438407*((RANDBETWEEN(1587,2416)))</f>
        <v>63777607.138203196</v>
      </c>
      <c r="B2822">
        <v>211559651.19664407</v>
      </c>
    </row>
    <row r="2823" spans="1:2" x14ac:dyDescent="0.25">
      <c r="A2823">
        <f ca="1">30515.5742985458*((RANDBETWEEN(1587,2416)))</f>
        <v>50442244.315496244</v>
      </c>
      <c r="B2823">
        <v>213920749.46434891</v>
      </c>
    </row>
    <row r="2824" spans="1:2" x14ac:dyDescent="0.25">
      <c r="A2824">
        <f ca="1">33199.1670082219*((RANDBETWEEN(1587,2416)))</f>
        <v>74996918.27157329</v>
      </c>
      <c r="B2824">
        <v>252535424.44599038</v>
      </c>
    </row>
    <row r="2825" spans="1:2" x14ac:dyDescent="0.25">
      <c r="A2825">
        <f ca="1">33980.5365144676*((RANDBETWEEN(1587,2416)))</f>
        <v>75164946.770002291</v>
      </c>
      <c r="B2825">
        <v>232146480.87049431</v>
      </c>
    </row>
    <row r="2826" spans="1:2" x14ac:dyDescent="0.25">
      <c r="A2826">
        <f ca="1">29312.336137699*((RANDBETWEEN(1587,2416)))</f>
        <v>48570540.98016721</v>
      </c>
      <c r="B2826">
        <v>217314436.78360116</v>
      </c>
    </row>
    <row r="2827" spans="1:2" x14ac:dyDescent="0.25">
      <c r="A2827">
        <f ca="1">42052.9895450593*((RANDBETWEEN(1587,2416)))</f>
        <v>93147371.84230642</v>
      </c>
      <c r="B2827">
        <v>259241828.88111657</v>
      </c>
    </row>
    <row r="2828" spans="1:2" x14ac:dyDescent="0.25">
      <c r="A2828">
        <f ca="1">33145.2520750005*((RANDBETWEEN(1587,2416)))</f>
        <v>59760889.491225846</v>
      </c>
      <c r="B2828">
        <v>241262078.08911914</v>
      </c>
    </row>
    <row r="2829" spans="1:2" x14ac:dyDescent="0.25">
      <c r="A2829">
        <f ca="1">40479.7507809106*((RANDBETWEEN(1587,2416)))</f>
        <v>89055451.718003213</v>
      </c>
      <c r="B2829">
        <v>241802794.88332295</v>
      </c>
    </row>
    <row r="2830" spans="1:2" x14ac:dyDescent="0.25">
      <c r="A2830">
        <f ca="1">29879.2593575103*((RANDBETWEEN(1587,2416)))</f>
        <v>70335776.527579337</v>
      </c>
      <c r="B2830">
        <v>234134813.36338294</v>
      </c>
    </row>
    <row r="2831" spans="1:2" x14ac:dyDescent="0.25">
      <c r="A2831">
        <f ca="1">31486.899777561*((RANDBETWEEN(1587,2416)))</f>
        <v>75379638.067481071</v>
      </c>
      <c r="B2831">
        <v>235743615.02728412</v>
      </c>
    </row>
    <row r="2832" spans="1:2" x14ac:dyDescent="0.25">
      <c r="A2832">
        <f ca="1">30354.5483480638*((RANDBETWEEN(1587,2416)))</f>
        <v>70726097.650988638</v>
      </c>
      <c r="B2832">
        <v>238807392.44126204</v>
      </c>
    </row>
    <row r="2833" spans="1:2" x14ac:dyDescent="0.25">
      <c r="A2833">
        <f ca="1">35953.15072501*((RANDBETWEEN(1587,2416)))</f>
        <v>64248280.345592938</v>
      </c>
      <c r="B2833">
        <v>258641082.47649583</v>
      </c>
    </row>
    <row r="2834" spans="1:2" x14ac:dyDescent="0.25">
      <c r="A2834">
        <f ca="1">33699.0478759318*((RANDBETWEEN(1587,2416)))</f>
        <v>79799345.370206416</v>
      </c>
      <c r="B2834">
        <v>232916867.57081133</v>
      </c>
    </row>
    <row r="2835" spans="1:2" x14ac:dyDescent="0.25">
      <c r="A2835">
        <f ca="1">41236.4007070333*((RANDBETWEEN(1587,2416)))</f>
        <v>79132652.956796914</v>
      </c>
      <c r="B2835">
        <v>236607648.33528972</v>
      </c>
    </row>
    <row r="2836" spans="1:2" x14ac:dyDescent="0.25">
      <c r="A2836">
        <f ca="1">31695.5037642786*((RANDBETWEEN(1587,2416)))</f>
        <v>53850660.895509407</v>
      </c>
      <c r="B2836">
        <v>237066956.84219229</v>
      </c>
    </row>
    <row r="2837" spans="1:2" x14ac:dyDescent="0.25">
      <c r="A2837">
        <f ca="1">35320.7911523248*((RANDBETWEEN(1587,2416)))</f>
        <v>56336661.887958065</v>
      </c>
      <c r="B2837">
        <v>251932625.73759139</v>
      </c>
    </row>
    <row r="2838" spans="1:2" x14ac:dyDescent="0.25">
      <c r="A2838">
        <f ca="1">35855.7959312165*((RANDBETWEEN(1587,2416)))</f>
        <v>56903148.142840683</v>
      </c>
      <c r="B2838">
        <v>249997801.14337897</v>
      </c>
    </row>
    <row r="2839" spans="1:2" x14ac:dyDescent="0.25">
      <c r="A2839">
        <f ca="1">33578.1156735336*((RANDBETWEEN(1587,2416)))</f>
        <v>77263244.164800927</v>
      </c>
      <c r="B2839">
        <v>206946195.52672401</v>
      </c>
    </row>
    <row r="2840" spans="1:2" x14ac:dyDescent="0.25">
      <c r="A2840">
        <f ca="1">39581.1463114438*((RANDBETWEEN(1587,2416)))</f>
        <v>92184489.75935255</v>
      </c>
      <c r="B2840">
        <v>220689680.44753504</v>
      </c>
    </row>
    <row r="2841" spans="1:2" x14ac:dyDescent="0.25">
      <c r="A2841">
        <f ca="1">30525.0544196639*((RANDBETWEEN(1587,2416)))</f>
        <v>71764402.940629944</v>
      </c>
      <c r="B2841">
        <v>263781278.9366191</v>
      </c>
    </row>
    <row r="2842" spans="1:2" x14ac:dyDescent="0.25">
      <c r="A2842">
        <f ca="1">34977.6133142281*((RANDBETWEEN(1587,2416)))</f>
        <v>63099614.418867446</v>
      </c>
      <c r="B2842">
        <v>219847729.04236656</v>
      </c>
    </row>
    <row r="2843" spans="1:2" x14ac:dyDescent="0.25">
      <c r="A2843">
        <f ca="1">37539.3155096944*((RANDBETWEEN(1587,2416)))</f>
        <v>75266327.596937314</v>
      </c>
      <c r="B2843">
        <v>236999074.74271256</v>
      </c>
    </row>
    <row r="2844" spans="1:2" x14ac:dyDescent="0.25">
      <c r="A2844">
        <f ca="1">31560.1854063021*((RANDBETWEEN(1587,2416)))</f>
        <v>73850833.850746915</v>
      </c>
      <c r="B2844">
        <v>209534527.0855816</v>
      </c>
    </row>
    <row r="2845" spans="1:2" x14ac:dyDescent="0.25">
      <c r="A2845">
        <f ca="1">32216.0599895592*((RANDBETWEEN(1587,2416)))</f>
        <v>69876634.117353976</v>
      </c>
      <c r="B2845">
        <v>257702096.02728263</v>
      </c>
    </row>
    <row r="2846" spans="1:2" x14ac:dyDescent="0.25">
      <c r="A2846">
        <f ca="1">33159.9290121886*((RANDBETWEEN(1587,2416)))</f>
        <v>55343921.521342844</v>
      </c>
      <c r="B2846">
        <v>227788898.30846208</v>
      </c>
    </row>
    <row r="2847" spans="1:2" x14ac:dyDescent="0.25">
      <c r="A2847">
        <f ca="1">32463.9187319298*((RANDBETWEEN(1587,2416)))</f>
        <v>69115682.980278611</v>
      </c>
      <c r="B2847">
        <v>247452398.01855782</v>
      </c>
    </row>
    <row r="2848" spans="1:2" x14ac:dyDescent="0.25">
      <c r="A2848">
        <f ca="1">30514.7608621772*((RANDBETWEEN(1587,2416)))</f>
        <v>49189794.509829611</v>
      </c>
      <c r="B2848">
        <v>220093898.8568354</v>
      </c>
    </row>
    <row r="2849" spans="1:2" x14ac:dyDescent="0.25">
      <c r="A2849">
        <f ca="1">33950.96852057*((RANDBETWEEN(1587,2416)))</f>
        <v>61247547.211108357</v>
      </c>
      <c r="B2849">
        <v>239607617.90449631</v>
      </c>
    </row>
    <row r="2850" spans="1:2" x14ac:dyDescent="0.25">
      <c r="A2850">
        <f ca="1">31000.2613335493*((RANDBETWEEN(1587,2416)))</f>
        <v>62372525.803101122</v>
      </c>
      <c r="B2850">
        <v>221877553.76566452</v>
      </c>
    </row>
    <row r="2851" spans="1:2" x14ac:dyDescent="0.25">
      <c r="A2851">
        <f ca="1">32777.0386095822*((RANDBETWEEN(1587,2416)))</f>
        <v>75846067.342573181</v>
      </c>
      <c r="B2851">
        <v>239514860.11788452</v>
      </c>
    </row>
    <row r="2852" spans="1:2" x14ac:dyDescent="0.25">
      <c r="A2852">
        <f ca="1">31712.299603749*((RANDBETWEEN(1587,2416)))</f>
        <v>59587410.95544444</v>
      </c>
      <c r="B2852">
        <v>225844347.13212866</v>
      </c>
    </row>
    <row r="2853" spans="1:2" x14ac:dyDescent="0.25">
      <c r="A2853">
        <f ca="1">30725.2543321829*((RANDBETWEEN(1587,2416)))</f>
        <v>64523034.097583994</v>
      </c>
      <c r="B2853">
        <v>243554566.94673002</v>
      </c>
    </row>
    <row r="2854" spans="1:2" x14ac:dyDescent="0.25">
      <c r="A2854">
        <f ca="1">37713.8769016742*((RANDBETWEEN(1587,2416)))</f>
        <v>78407150.078580618</v>
      </c>
      <c r="B2854">
        <v>215381899.37257221</v>
      </c>
    </row>
    <row r="2855" spans="1:2" x14ac:dyDescent="0.25">
      <c r="A2855">
        <f ca="1">31751.6024824617*((RANDBETWEEN(1587,2416)))</f>
        <v>69917028.666380718</v>
      </c>
      <c r="B2855">
        <v>225017580.34933311</v>
      </c>
    </row>
    <row r="2856" spans="1:2" x14ac:dyDescent="0.25">
      <c r="A2856">
        <f ca="1">28280.3527057195*((RANDBETWEEN(1587,2416)))</f>
        <v>61820851.014702864</v>
      </c>
      <c r="B2856">
        <v>208347850.00970513</v>
      </c>
    </row>
    <row r="2857" spans="1:2" x14ac:dyDescent="0.25">
      <c r="A2857">
        <f ca="1">40040.6184251254*((RANDBETWEEN(1587,2416)))</f>
        <v>75997093.770887926</v>
      </c>
      <c r="B2857">
        <v>214787752.74164671</v>
      </c>
    </row>
    <row r="2858" spans="1:2" x14ac:dyDescent="0.25">
      <c r="A2858">
        <f ca="1">40166.8704642856*((RANDBETWEEN(1587,2416)))</f>
        <v>84109426.752214074</v>
      </c>
      <c r="B2858">
        <v>261606479.56295142</v>
      </c>
    </row>
    <row r="2859" spans="1:2" x14ac:dyDescent="0.25">
      <c r="A2859">
        <f ca="1">30803.7188797671*((RANDBETWEEN(1587,2416)))</f>
        <v>70140067.889229745</v>
      </c>
      <c r="B2859">
        <v>262133883.96512863</v>
      </c>
    </row>
    <row r="2860" spans="1:2" x14ac:dyDescent="0.25">
      <c r="A2860">
        <f ca="1">34554.8751205931*((RANDBETWEEN(1587,2416)))</f>
        <v>57672086.576269865</v>
      </c>
      <c r="B2860">
        <v>266984896.14441982</v>
      </c>
    </row>
    <row r="2861" spans="1:2" x14ac:dyDescent="0.25">
      <c r="A2861">
        <f ca="1">29646.3425993624*((RANDBETWEEN(1587,2416)))</f>
        <v>70943697.840274334</v>
      </c>
      <c r="B2861">
        <v>259426209.57611698</v>
      </c>
    </row>
    <row r="2862" spans="1:2" x14ac:dyDescent="0.25">
      <c r="A2862">
        <f ca="1">33584.4961634561*((RANDBETWEEN(1587,2416)))</f>
        <v>68915386.127411917</v>
      </c>
      <c r="B2862">
        <v>210718758.52266017</v>
      </c>
    </row>
    <row r="2863" spans="1:2" x14ac:dyDescent="0.25">
      <c r="A2863">
        <f ca="1">34882.386405406*((RANDBETWEEN(1587,2416)))</f>
        <v>62090647.801622748</v>
      </c>
      <c r="B2863">
        <v>230724104.55873844</v>
      </c>
    </row>
    <row r="2864" spans="1:2" x14ac:dyDescent="0.25">
      <c r="A2864">
        <f ca="1">31874.8067061963*((RANDBETWEEN(1587,2416)))</f>
        <v>53071553.165816799</v>
      </c>
      <c r="B2864">
        <v>243313625.89692014</v>
      </c>
    </row>
    <row r="2865" spans="1:2" x14ac:dyDescent="0.25">
      <c r="A2865">
        <f ca="1">32398.8086337794*((RANDBETWEEN(1587,2416)))</f>
        <v>72249343.253327966</v>
      </c>
      <c r="B2865">
        <v>235400985.55512792</v>
      </c>
    </row>
    <row r="2866" spans="1:2" x14ac:dyDescent="0.25">
      <c r="A2866">
        <f ca="1">37843.8070208544*((RANDBETWEEN(1587,2416)))</f>
        <v>83105000.217796147</v>
      </c>
      <c r="B2866">
        <v>254190314.89947876</v>
      </c>
    </row>
    <row r="2867" spans="1:2" x14ac:dyDescent="0.25">
      <c r="A2867">
        <f ca="1">40629.0988873592*((RANDBETWEEN(1587,2416)))</f>
        <v>65128445.516436808</v>
      </c>
      <c r="B2867">
        <v>237702841.08148915</v>
      </c>
    </row>
    <row r="2868" spans="1:2" x14ac:dyDescent="0.25">
      <c r="A2868">
        <f ca="1">32632.0648355676*((RANDBETWEEN(1587,2416)))</f>
        <v>76620088.233912617</v>
      </c>
      <c r="B2868">
        <v>266109668.04234666</v>
      </c>
    </row>
    <row r="2869" spans="1:2" x14ac:dyDescent="0.25">
      <c r="A2869">
        <f ca="1">32341.4563995787*((RANDBETWEEN(1587,2416)))</f>
        <v>56629890.155662268</v>
      </c>
      <c r="B2869">
        <v>219296122.06920597</v>
      </c>
    </row>
    <row r="2870" spans="1:2" x14ac:dyDescent="0.25">
      <c r="A2870">
        <f ca="1">32430.5399231171*((RANDBETWEEN(1587,2416)))</f>
        <v>75595588.560785949</v>
      </c>
      <c r="B2870">
        <v>207201622.36405426</v>
      </c>
    </row>
    <row r="2871" spans="1:2" x14ac:dyDescent="0.25">
      <c r="A2871">
        <f ca="1">31020.4457170249*((RANDBETWEEN(1587,2416)))</f>
        <v>60365787.365330413</v>
      </c>
      <c r="B2871">
        <v>257920652.03999406</v>
      </c>
    </row>
    <row r="2872" spans="1:2" x14ac:dyDescent="0.25">
      <c r="A2872">
        <f ca="1">32324.0542952714*((RANDBETWEEN(1587,2416)))</f>
        <v>58183297.731488451</v>
      </c>
      <c r="B2872">
        <v>251295630.86394393</v>
      </c>
    </row>
    <row r="2873" spans="1:2" x14ac:dyDescent="0.25">
      <c r="A2873">
        <f ca="1">34572.8219299685*((RANDBETWEEN(1587,2416)))</f>
        <v>65031478.050270803</v>
      </c>
      <c r="B2873">
        <v>225602610.75492644</v>
      </c>
    </row>
    <row r="2874" spans="1:2" x14ac:dyDescent="0.25">
      <c r="A2874">
        <f ca="1">38442.7390306465*((RANDBETWEEN(1587,2416)))</f>
        <v>80691309.22532703</v>
      </c>
      <c r="B2874">
        <v>264580468.40017313</v>
      </c>
    </row>
    <row r="2875" spans="1:2" x14ac:dyDescent="0.25">
      <c r="A2875">
        <f ca="1">37238.2069327541*((RANDBETWEEN(1587,2416)))</f>
        <v>60437609.85185986</v>
      </c>
      <c r="B2875">
        <v>253008713.97379529</v>
      </c>
    </row>
    <row r="2876" spans="1:2" x14ac:dyDescent="0.25">
      <c r="A2876">
        <f ca="1">32148.7876803197*((RANDBETWEEN(1587,2416)))</f>
        <v>59314513.270189792</v>
      </c>
      <c r="B2876">
        <v>235350249.27178752</v>
      </c>
    </row>
    <row r="2877" spans="1:2" x14ac:dyDescent="0.25">
      <c r="A2877">
        <f ca="1">30804.5712445798*((RANDBETWEEN(1587,2416)))</f>
        <v>69094653.301592603</v>
      </c>
      <c r="B2877">
        <v>250121754.03123656</v>
      </c>
    </row>
    <row r="2878" spans="1:2" x14ac:dyDescent="0.25">
      <c r="A2878">
        <f ca="1">32489.7339362436*((RANDBETWEEN(1587,2416)))</f>
        <v>66441505.899618089</v>
      </c>
      <c r="B2878">
        <v>206051256.51882917</v>
      </c>
    </row>
    <row r="2879" spans="1:2" x14ac:dyDescent="0.25">
      <c r="A2879">
        <f ca="1">40988.1754918373*((RANDBETWEEN(1587,2416)))</f>
        <v>95912330.650899246</v>
      </c>
      <c r="B2879">
        <v>212682891.88397425</v>
      </c>
    </row>
    <row r="2880" spans="1:2" x14ac:dyDescent="0.25">
      <c r="A2880">
        <f ca="1">34195.6015944983*((RANDBETWEEN(1587,2416)))</f>
        <v>70340352.479883045</v>
      </c>
      <c r="B2880">
        <v>230676418.94196591</v>
      </c>
    </row>
    <row r="2881" spans="1:2" x14ac:dyDescent="0.25">
      <c r="A2881">
        <f ca="1">32879.6861722954*((RANDBETWEEN(1587,2416)))</f>
        <v>53593888.460841484</v>
      </c>
      <c r="B2881">
        <v>258490090.32054141</v>
      </c>
    </row>
    <row r="2882" spans="1:2" x14ac:dyDescent="0.25">
      <c r="A2882">
        <f ca="1">34603.4919396675*((RANDBETWEEN(1587,2416)))</f>
        <v>56991951.224632293</v>
      </c>
      <c r="B2882">
        <v>246402702.82072565</v>
      </c>
    </row>
    <row r="2883" spans="1:2" x14ac:dyDescent="0.25">
      <c r="A2883">
        <f ca="1">35677.9232350154*((RANDBETWEEN(1587,2416)))</f>
        <v>65433311.213018388</v>
      </c>
      <c r="B2883">
        <v>256824518.87011346</v>
      </c>
    </row>
    <row r="2884" spans="1:2" x14ac:dyDescent="0.25">
      <c r="A2884">
        <f ca="1">37050.5472350754*((RANDBETWEEN(1587,2416)))</f>
        <v>69247472.782355979</v>
      </c>
      <c r="B2884">
        <v>249149714.21351761</v>
      </c>
    </row>
    <row r="2885" spans="1:2" x14ac:dyDescent="0.25">
      <c r="A2885">
        <f ca="1">30230.1005768684*((RANDBETWEEN(1587,2416)))</f>
        <v>53960729.529710069</v>
      </c>
      <c r="B2885">
        <v>259738127.34246838</v>
      </c>
    </row>
    <row r="2886" spans="1:2" x14ac:dyDescent="0.25">
      <c r="A2886">
        <f ca="1">30418.3060604995*((RANDBETWEEN(1587,2416)))</f>
        <v>67224456.393703878</v>
      </c>
      <c r="B2886">
        <v>259561816.26534238</v>
      </c>
    </row>
    <row r="2887" spans="1:2" x14ac:dyDescent="0.25">
      <c r="A2887">
        <f ca="1">40022.0940822467*((RANDBETWEEN(1587,2416)))</f>
        <v>83846287.102306738</v>
      </c>
      <c r="B2887">
        <v>207967197.34889773</v>
      </c>
    </row>
    <row r="2888" spans="1:2" x14ac:dyDescent="0.25">
      <c r="A2888">
        <f ca="1">33053.1943684354*((RANDBETWEEN(1587,2416)))</f>
        <v>60024600.973078698</v>
      </c>
      <c r="B2888">
        <v>252332632.3784377</v>
      </c>
    </row>
    <row r="2889" spans="1:2" x14ac:dyDescent="0.25">
      <c r="A2889">
        <f ca="1">38253.7877355762*((RANDBETWEEN(1587,2416)))</f>
        <v>78994071.673964813</v>
      </c>
      <c r="B2889">
        <v>241802058.81659862</v>
      </c>
    </row>
    <row r="2890" spans="1:2" x14ac:dyDescent="0.25">
      <c r="A2890">
        <f ca="1">39840.0078121183*((RANDBETWEEN(1587,2416)))</f>
        <v>77648175.225818515</v>
      </c>
      <c r="B2890">
        <v>229838666.33291233</v>
      </c>
    </row>
    <row r="2891" spans="1:2" x14ac:dyDescent="0.25">
      <c r="A2891">
        <f ca="1">31022.6087124423*((RANDBETWEEN(1587,2416)))</f>
        <v>57640006.987717815</v>
      </c>
      <c r="B2891">
        <v>257780740.08498496</v>
      </c>
    </row>
    <row r="2892" spans="1:2" x14ac:dyDescent="0.25">
      <c r="A2892">
        <f ca="1">31602.9360158733*((RANDBETWEEN(1587,2416)))</f>
        <v>58591843.373429187</v>
      </c>
      <c r="B2892">
        <v>211544898.25973937</v>
      </c>
    </row>
    <row r="2893" spans="1:2" x14ac:dyDescent="0.25">
      <c r="A2893">
        <f ca="1">35349.7950908051*((RANDBETWEEN(1587,2416)))</f>
        <v>81870125.430304572</v>
      </c>
      <c r="B2893">
        <v>244263667.37305689</v>
      </c>
    </row>
    <row r="2894" spans="1:2" x14ac:dyDescent="0.25">
      <c r="A2894">
        <f ca="1">31729.8235479814*((RANDBETWEEN(1587,2416)))</f>
        <v>71963239.806821778</v>
      </c>
      <c r="B2894">
        <v>212819197.70614207</v>
      </c>
    </row>
    <row r="2895" spans="1:2" x14ac:dyDescent="0.25">
      <c r="A2895">
        <f ca="1">31744.1333338994*((RANDBETWEEN(1587,2416)))</f>
        <v>73170227.334638178</v>
      </c>
      <c r="B2895">
        <v>234426328.10091743</v>
      </c>
    </row>
    <row r="2896" spans="1:2" x14ac:dyDescent="0.25">
      <c r="A2896">
        <f ca="1">31593.2985856011*((RANDBETWEEN(1587,2416)))</f>
        <v>75444797.022415325</v>
      </c>
      <c r="B2896">
        <v>233975818.20319206</v>
      </c>
    </row>
    <row r="2897" spans="1:2" x14ac:dyDescent="0.25">
      <c r="A2897">
        <f ca="1">31449.7276436364*((RANDBETWEEN(1587,2416)))</f>
        <v>59251286.880610995</v>
      </c>
      <c r="B2897">
        <v>211766729.63468567</v>
      </c>
    </row>
    <row r="2898" spans="1:2" x14ac:dyDescent="0.25">
      <c r="A2898">
        <f ca="1">36160.5275485324*((RANDBETWEEN(1587,2416)))</f>
        <v>78938431.638446331</v>
      </c>
      <c r="B2898">
        <v>241168443.19097528</v>
      </c>
    </row>
    <row r="2899" spans="1:2" x14ac:dyDescent="0.25">
      <c r="A2899">
        <f ca="1">40289.4503400724*((RANDBETWEEN(1587,2416)))</f>
        <v>67243092.617580891</v>
      </c>
      <c r="B2899">
        <v>230056845.33017126</v>
      </c>
    </row>
    <row r="2900" spans="1:2" x14ac:dyDescent="0.25">
      <c r="A2900">
        <f ca="1">31054.3590136138*((RANDBETWEEN(1587,2416)))</f>
        <v>69344383.677399561</v>
      </c>
      <c r="B2900">
        <v>229458503.50748235</v>
      </c>
    </row>
    <row r="2901" spans="1:2" x14ac:dyDescent="0.25">
      <c r="A2901">
        <f ca="1">37683.8540519075*((RANDBETWEEN(1587,2416)))</f>
        <v>72805206.02828531</v>
      </c>
      <c r="B2901">
        <v>251084545.22273108</v>
      </c>
    </row>
    <row r="2902" spans="1:2" x14ac:dyDescent="0.25">
      <c r="A2902">
        <f ca="1">40072.491265623*((RANDBETWEEN(1587,2416)))</f>
        <v>88640350.679558024</v>
      </c>
      <c r="B2902">
        <v>227605635.76414564</v>
      </c>
    </row>
    <row r="2903" spans="1:2" x14ac:dyDescent="0.25">
      <c r="A2903">
        <f ca="1">41802.6023957924*((RANDBETWEEN(1587,2416)))</f>
        <v>87827267.633559749</v>
      </c>
      <c r="B2903">
        <v>222658023.76914227</v>
      </c>
    </row>
    <row r="2904" spans="1:2" x14ac:dyDescent="0.25">
      <c r="A2904">
        <f ca="1">39991.5699335739*((RANDBETWEEN(1587,2416)))</f>
        <v>66186048.240064815</v>
      </c>
      <c r="B2904">
        <v>266662551.40462327</v>
      </c>
    </row>
    <row r="2905" spans="1:2" x14ac:dyDescent="0.25">
      <c r="A2905">
        <f ca="1">38173.7456779491*((RANDBETWEEN(1587,2416)))</f>
        <v>69514390.879545227</v>
      </c>
      <c r="B2905">
        <v>230354507.40548164</v>
      </c>
    </row>
    <row r="2906" spans="1:2" x14ac:dyDescent="0.25">
      <c r="A2906">
        <f ca="1">34573.9735362195*((RANDBETWEEN(1587,2416)))</f>
        <v>68145301.839888677</v>
      </c>
      <c r="B2906">
        <v>254629626.948026</v>
      </c>
    </row>
    <row r="2907" spans="1:2" x14ac:dyDescent="0.25">
      <c r="A2907">
        <f ca="1">32428.5415682973*((RANDBETWEEN(1587,2416)))</f>
        <v>65505653.967960589</v>
      </c>
      <c r="B2907">
        <v>211910377.02066344</v>
      </c>
    </row>
    <row r="2908" spans="1:2" x14ac:dyDescent="0.25">
      <c r="A2908">
        <f ca="1">34254.7727168415*((RANDBETWEEN(1587,2416)))</f>
        <v>62172412.481067255</v>
      </c>
      <c r="B2908">
        <v>213534356.01886222</v>
      </c>
    </row>
    <row r="2909" spans="1:2" x14ac:dyDescent="0.25">
      <c r="A2909">
        <f ca="1">28055.3409690847*((RANDBETWEEN(1587,2416)))</f>
        <v>67192541.620957866</v>
      </c>
      <c r="B2909">
        <v>208968567.73522201</v>
      </c>
    </row>
    <row r="2910" spans="1:2" x14ac:dyDescent="0.25">
      <c r="A2910">
        <f ca="1">33349.2730504185*((RANDBETWEEN(1587,2416)))</f>
        <v>64931034.629164912</v>
      </c>
      <c r="B2910">
        <v>214547823.8966127</v>
      </c>
    </row>
    <row r="2911" spans="1:2" x14ac:dyDescent="0.25">
      <c r="A2911">
        <f ca="1">33157.2982360196*((RANDBETWEEN(1587,2416)))</f>
        <v>62600979.069605097</v>
      </c>
      <c r="B2911">
        <v>213937519.84687936</v>
      </c>
    </row>
    <row r="2912" spans="1:2" x14ac:dyDescent="0.25">
      <c r="A2912">
        <f ca="1">35360.046550578*((RANDBETWEEN(1587,2416)))</f>
        <v>58379436.855004199</v>
      </c>
      <c r="B2912">
        <v>206528242.06587985</v>
      </c>
    </row>
    <row r="2913" spans="1:2" x14ac:dyDescent="0.25">
      <c r="A2913">
        <f ca="1">30297.9351265245*((RANDBETWEEN(1587,2416)))</f>
        <v>58353823.053686209</v>
      </c>
      <c r="B2913">
        <v>248499946.82044056</v>
      </c>
    </row>
    <row r="2914" spans="1:2" x14ac:dyDescent="0.25">
      <c r="A2914">
        <f ca="1">39890.019233192*((RANDBETWEEN(1587,2416)))</f>
        <v>72958845.177508086</v>
      </c>
      <c r="B2914">
        <v>267723892.48499987</v>
      </c>
    </row>
    <row r="2915" spans="1:2" x14ac:dyDescent="0.25">
      <c r="A2915">
        <f ca="1">34080.5284916888*((RANDBETWEEN(1587,2416)))</f>
        <v>65843581.04594294</v>
      </c>
      <c r="B2915">
        <v>254565456.20012039</v>
      </c>
    </row>
    <row r="2916" spans="1:2" x14ac:dyDescent="0.25">
      <c r="A2916">
        <f ca="1">36386.7285188605*((RANDBETWEEN(1587,2416)))</f>
        <v>59601461.313893549</v>
      </c>
      <c r="B2916">
        <v>232991818.50714973</v>
      </c>
    </row>
    <row r="2917" spans="1:2" x14ac:dyDescent="0.25">
      <c r="A2917">
        <f ca="1">30566.0484938829*((RANDBETWEEN(1587,2416)))</f>
        <v>60857002.551320851</v>
      </c>
      <c r="B2917">
        <v>219580132.39506638</v>
      </c>
    </row>
    <row r="2918" spans="1:2" x14ac:dyDescent="0.25">
      <c r="A2918">
        <f ca="1">28992.7539048576*((RANDBETWEEN(1587,2416)))</f>
        <v>51984007.751409806</v>
      </c>
      <c r="B2918">
        <v>227239279.23396713</v>
      </c>
    </row>
    <row r="2919" spans="1:2" x14ac:dyDescent="0.25">
      <c r="A2919">
        <f ca="1">36967.0155932431*((RANDBETWEEN(1587,2416)))</f>
        <v>66614562.09902399</v>
      </c>
      <c r="B2919">
        <v>211206968.96348903</v>
      </c>
    </row>
    <row r="2920" spans="1:2" x14ac:dyDescent="0.25">
      <c r="A2920">
        <f ca="1">39452.2883919203*((RANDBETWEEN(1587,2416)))</f>
        <v>86755582.1738327</v>
      </c>
      <c r="B2920">
        <v>218782284.13302052</v>
      </c>
    </row>
    <row r="2921" spans="1:2" x14ac:dyDescent="0.25">
      <c r="A2921">
        <f ca="1">37083.6573862912*((RANDBETWEEN(1587,2416)))</f>
        <v>89334530.64357543</v>
      </c>
      <c r="B2921">
        <v>251266352.67690167</v>
      </c>
    </row>
    <row r="2922" spans="1:2" x14ac:dyDescent="0.25">
      <c r="A2922">
        <f ca="1">30081.9592126807*((RANDBETWEEN(1587,2416)))</f>
        <v>71655226.844605401</v>
      </c>
      <c r="B2922">
        <v>212322837.70357174</v>
      </c>
    </row>
    <row r="2923" spans="1:2" x14ac:dyDescent="0.25">
      <c r="A2923">
        <f ca="1">32043.8866654334*((RANDBETWEEN(1587,2416)))</f>
        <v>75046782.570444956</v>
      </c>
      <c r="B2923">
        <v>263186840.57793155</v>
      </c>
    </row>
    <row r="2924" spans="1:2" x14ac:dyDescent="0.25">
      <c r="A2924">
        <f ca="1">29582.416332936*((RANDBETWEEN(1587,2416)))</f>
        <v>47302283.716364697</v>
      </c>
      <c r="B2924">
        <v>237529178.27213374</v>
      </c>
    </row>
    <row r="2925" spans="1:2" x14ac:dyDescent="0.25">
      <c r="A2925">
        <f ca="1">39665.0464953057*((RANDBETWEEN(1587,2416)))</f>
        <v>84605544.174487084</v>
      </c>
      <c r="B2925">
        <v>205230318.61125582</v>
      </c>
    </row>
    <row r="2926" spans="1:2" x14ac:dyDescent="0.25">
      <c r="A2926">
        <f ca="1">37070.4831257949*((RANDBETWEEN(1587,2416)))</f>
        <v>68209688.951462537</v>
      </c>
      <c r="B2926">
        <v>209728941.98173067</v>
      </c>
    </row>
    <row r="2927" spans="1:2" x14ac:dyDescent="0.25">
      <c r="A2927">
        <f ca="1">36568.675958315*((RANDBETWEEN(1587,2416)))</f>
        <v>66993814.355633073</v>
      </c>
      <c r="B2927">
        <v>251832690.01442343</v>
      </c>
    </row>
    <row r="2928" spans="1:2" x14ac:dyDescent="0.25">
      <c r="A2928">
        <f ca="1">31080.3110052909*((RANDBETWEEN(1587,2416)))</f>
        <v>69619896.651851669</v>
      </c>
      <c r="B2928">
        <v>251803687.68344828</v>
      </c>
    </row>
    <row r="2929" spans="1:2" x14ac:dyDescent="0.25">
      <c r="A2929">
        <f ca="1">33024.1465011019*((RANDBETWEEN(1587,2416)))</f>
        <v>60103946.63200549</v>
      </c>
      <c r="B2929">
        <v>244986745.43976235</v>
      </c>
    </row>
    <row r="2930" spans="1:2" x14ac:dyDescent="0.25">
      <c r="A2930">
        <f ca="1">30329.2612345511*((RANDBETWEEN(1587,2416)))</f>
        <v>70485203.109096795</v>
      </c>
      <c r="B2930">
        <v>219024132.96088427</v>
      </c>
    </row>
    <row r="2931" spans="1:2" x14ac:dyDescent="0.25">
      <c r="A2931">
        <f ca="1">32049.8920612557*((RANDBETWEEN(1587,2416)))</f>
        <v>54164317.583522141</v>
      </c>
      <c r="B2931">
        <v>267280314.97780782</v>
      </c>
    </row>
    <row r="2932" spans="1:2" x14ac:dyDescent="0.25">
      <c r="A2932">
        <f ca="1">37421.3966118923*((RANDBETWEEN(1587,2416)))</f>
        <v>78772039.868033201</v>
      </c>
      <c r="B2932">
        <v>266298733.15979487</v>
      </c>
    </row>
    <row r="2933" spans="1:2" x14ac:dyDescent="0.25">
      <c r="A2933">
        <f ca="1">35086.950538276*((RANDBETWEEN(1587,2416)))</f>
        <v>73261552.723920316</v>
      </c>
      <c r="B2933">
        <v>206935947.98870352</v>
      </c>
    </row>
    <row r="2934" spans="1:2" x14ac:dyDescent="0.25">
      <c r="A2934">
        <f ca="1">30218.0343524233*((RANDBETWEEN(1587,2416)))</f>
        <v>64515503.342423797</v>
      </c>
      <c r="B2934">
        <v>206284933.67116711</v>
      </c>
    </row>
    <row r="2935" spans="1:2" x14ac:dyDescent="0.25">
      <c r="A2935">
        <f ca="1">32626.4484284874*((RANDBETWEEN(1587,2416)))</f>
        <v>64045718.265120678</v>
      </c>
      <c r="B2935">
        <v>241123744.72322279</v>
      </c>
    </row>
    <row r="2936" spans="1:2" x14ac:dyDescent="0.25">
      <c r="A2936">
        <f ca="1">31945.7611203818*((RANDBETWEEN(1587,2416)))</f>
        <v>55745353.155066326</v>
      </c>
      <c r="B2936">
        <v>244145162.89548805</v>
      </c>
    </row>
    <row r="2937" spans="1:2" x14ac:dyDescent="0.25">
      <c r="A2937">
        <f ca="1">35803.2689099836*((RANDBETWEEN(1587,2416)))</f>
        <v>79196830.828883678</v>
      </c>
      <c r="B2937">
        <v>236082495.71240813</v>
      </c>
    </row>
    <row r="2938" spans="1:2" x14ac:dyDescent="0.25">
      <c r="A2938">
        <f ca="1">35939.8614985403*((RANDBETWEEN(1587,2416)))</f>
        <v>64907389.866363749</v>
      </c>
      <c r="B2938">
        <v>240453939.93348092</v>
      </c>
    </row>
    <row r="2939" spans="1:2" x14ac:dyDescent="0.25">
      <c r="A2939">
        <f ca="1">34508.9434644499*((RANDBETWEEN(1587,2416)))</f>
        <v>65636010.469383694</v>
      </c>
      <c r="B2939">
        <v>210053800.72004583</v>
      </c>
    </row>
    <row r="2940" spans="1:2" x14ac:dyDescent="0.25">
      <c r="A2940">
        <f ca="1">33073.8954899099*((RANDBETWEEN(1587,2416)))</f>
        <v>74416264.852297321</v>
      </c>
      <c r="B2940">
        <v>235191601.81879261</v>
      </c>
    </row>
    <row r="2941" spans="1:2" x14ac:dyDescent="0.25">
      <c r="A2941">
        <f ca="1">29124.5052203389*((RANDBETWEEN(1587,2416)))</f>
        <v>49832028.431999899</v>
      </c>
      <c r="B2941">
        <v>236384988.68391132</v>
      </c>
    </row>
    <row r="2942" spans="1:2" x14ac:dyDescent="0.25">
      <c r="A2942">
        <f ca="1">43819.9066201228*((RANDBETWEEN(1587,2416)))</f>
        <v>95308296.898767129</v>
      </c>
      <c r="B2942">
        <v>267635181.88447306</v>
      </c>
    </row>
    <row r="2943" spans="1:2" x14ac:dyDescent="0.25">
      <c r="A2943">
        <f ca="1">33897.473746634*((RANDBETWEEN(1587,2416)))</f>
        <v>71727054.447877482</v>
      </c>
      <c r="B2943">
        <v>247750839.42689812</v>
      </c>
    </row>
    <row r="2944" spans="1:2" x14ac:dyDescent="0.25">
      <c r="A2944">
        <f ca="1">33507.6130136308*((RANDBETWEEN(1587,2416)))</f>
        <v>67886423.965616047</v>
      </c>
      <c r="B2944">
        <v>246842917.78441954</v>
      </c>
    </row>
    <row r="2945" spans="1:2" x14ac:dyDescent="0.25">
      <c r="A2945">
        <f ca="1">30416.179335713*((RANDBETWEEN(1587,2416)))</f>
        <v>56148267.053726129</v>
      </c>
      <c r="B2945">
        <v>209042176.59299618</v>
      </c>
    </row>
    <row r="2946" spans="1:2" x14ac:dyDescent="0.25">
      <c r="A2946">
        <f ca="1">37458.8082568374*((RANDBETWEEN(1587,2416)))</f>
        <v>70385100.714597553</v>
      </c>
      <c r="B2946">
        <v>243619185.09536964</v>
      </c>
    </row>
    <row r="2947" spans="1:2" x14ac:dyDescent="0.25">
      <c r="A2947">
        <f ca="1">31396.0340673704*((RANDBETWEEN(1587,2416)))</f>
        <v>70484096.481246606</v>
      </c>
      <c r="B2947">
        <v>204634489.6638101</v>
      </c>
    </row>
    <row r="2948" spans="1:2" x14ac:dyDescent="0.25">
      <c r="A2948">
        <f ca="1">38223.6062771073*((RANDBETWEEN(1587,2416)))</f>
        <v>68878938.511347294</v>
      </c>
      <c r="B2948">
        <v>226095845.35581297</v>
      </c>
    </row>
    <row r="2949" spans="1:2" x14ac:dyDescent="0.25">
      <c r="A2949">
        <f ca="1">28099.1048469356*((RANDBETWEEN(1587,2416)))</f>
        <v>58839525.549483165</v>
      </c>
      <c r="B2949">
        <v>255514969.29529905</v>
      </c>
    </row>
    <row r="2950" spans="1:2" x14ac:dyDescent="0.25">
      <c r="A2950">
        <f ca="1">34460.0278400901*((RANDBETWEEN(1587,2416)))</f>
        <v>64302411.949608207</v>
      </c>
      <c r="B2950">
        <v>213419117.37695009</v>
      </c>
    </row>
    <row r="2951" spans="1:2" x14ac:dyDescent="0.25">
      <c r="A2951">
        <f ca="1">32992.8259760946*((RANDBETWEEN(1587,2416)))</f>
        <v>54009256.122866899</v>
      </c>
      <c r="B2951">
        <v>207562238.23933274</v>
      </c>
    </row>
    <row r="2952" spans="1:2" x14ac:dyDescent="0.25">
      <c r="A2952">
        <f ca="1">30493.400646423*((RANDBETWEEN(1587,2416)))</f>
        <v>71415544.313922599</v>
      </c>
      <c r="B2952">
        <v>210231204.70313603</v>
      </c>
    </row>
    <row r="2953" spans="1:2" x14ac:dyDescent="0.25">
      <c r="A2953">
        <f ca="1">33881.7213510635*((RANDBETWEEN(1587,2416)))</f>
        <v>60106173.676786616</v>
      </c>
      <c r="B2953">
        <v>231635589.3475202</v>
      </c>
    </row>
    <row r="2954" spans="1:2" x14ac:dyDescent="0.25">
      <c r="A2954">
        <f ca="1">40574.2218153011*((RANDBETWEEN(1587,2416)))</f>
        <v>71451204.616745323</v>
      </c>
      <c r="B2954">
        <v>242984807.00277844</v>
      </c>
    </row>
    <row r="2955" spans="1:2" x14ac:dyDescent="0.25">
      <c r="A2955">
        <f ca="1">29018.7248516238*((RANDBETWEEN(1587,2416)))</f>
        <v>55686932.9902661</v>
      </c>
      <c r="B2955">
        <v>227693801.81471217</v>
      </c>
    </row>
    <row r="2956" spans="1:2" x14ac:dyDescent="0.25">
      <c r="A2956">
        <f ca="1">34436.0377926705*((RANDBETWEEN(1587,2416)))</f>
        <v>57129386.698040351</v>
      </c>
      <c r="B2956">
        <v>213080257.19481122</v>
      </c>
    </row>
    <row r="2957" spans="1:2" x14ac:dyDescent="0.25">
      <c r="A2957">
        <f ca="1">31258.8214145167*((RANDBETWEEN(1587,2416)))</f>
        <v>57016090.260078393</v>
      </c>
      <c r="B2957">
        <v>211395519.03691131</v>
      </c>
    </row>
    <row r="2958" spans="1:2" x14ac:dyDescent="0.25">
      <c r="A2958">
        <f ca="1">26656.4488723328*((RANDBETWEEN(1587,2416)))</f>
        <v>61523083.997344039</v>
      </c>
      <c r="B2958">
        <v>265141578.91076809</v>
      </c>
    </row>
    <row r="2959" spans="1:2" x14ac:dyDescent="0.25">
      <c r="A2959">
        <f ca="1">28825.5465597067*((RANDBETWEEN(1587,2416)))</f>
        <v>47446849.63727729</v>
      </c>
      <c r="B2959">
        <v>238231250.12971878</v>
      </c>
    </row>
    <row r="2960" spans="1:2" x14ac:dyDescent="0.25">
      <c r="A2960">
        <f ca="1">30590.4445949428*((RANDBETWEEN(1587,2416)))</f>
        <v>55338114.272251591</v>
      </c>
      <c r="B2960">
        <v>258551330.0521448</v>
      </c>
    </row>
    <row r="2961" spans="1:2" x14ac:dyDescent="0.25">
      <c r="A2961">
        <f ca="1">28624.924603861*((RANDBETWEEN(1587,2416)))</f>
        <v>62831709.505475</v>
      </c>
      <c r="B2961">
        <v>228303340.53745902</v>
      </c>
    </row>
    <row r="2962" spans="1:2" x14ac:dyDescent="0.25">
      <c r="A2962">
        <f ca="1">33605.1698270251*((RANDBETWEEN(1587,2416)))</f>
        <v>62404800.368785568</v>
      </c>
      <c r="B2962">
        <v>236697489.81707054</v>
      </c>
    </row>
    <row r="2963" spans="1:2" x14ac:dyDescent="0.25">
      <c r="A2963">
        <f ca="1">41105.7661316453*((RANDBETWEEN(1587,2416)))</f>
        <v>92282444.965543658</v>
      </c>
      <c r="B2963">
        <v>231244224.65396303</v>
      </c>
    </row>
    <row r="2964" spans="1:2" x14ac:dyDescent="0.25">
      <c r="A2964">
        <f ca="1">30906.3205477921*((RANDBETWEEN(1587,2416)))</f>
        <v>69168345.385958657</v>
      </c>
      <c r="B2964">
        <v>265882325.92811629</v>
      </c>
    </row>
    <row r="2965" spans="1:2" x14ac:dyDescent="0.25">
      <c r="A2965">
        <f ca="1">31714.9616383338*((RANDBETWEEN(1587,2416)))</f>
        <v>54327729.286465727</v>
      </c>
      <c r="B2965">
        <v>219206569.87290791</v>
      </c>
    </row>
    <row r="2966" spans="1:2" x14ac:dyDescent="0.25">
      <c r="A2966">
        <f ca="1">38619.5038355925*((RANDBETWEEN(1587,2416)))</f>
        <v>67313795.185437679</v>
      </c>
      <c r="B2966">
        <v>243628225.52575001</v>
      </c>
    </row>
    <row r="2967" spans="1:2" x14ac:dyDescent="0.25">
      <c r="A2967">
        <f ca="1">33390.1423883374*((RANDBETWEEN(1587,2416)))</f>
        <v>62072274.699919306</v>
      </c>
      <c r="B2967">
        <v>234078553.17496508</v>
      </c>
    </row>
    <row r="2968" spans="1:2" x14ac:dyDescent="0.25">
      <c r="A2968">
        <f ca="1">39654.6980599427*((RANDBETWEEN(1587,2416)))</f>
        <v>85693802.507536218</v>
      </c>
      <c r="B2968">
        <v>235417353.76779026</v>
      </c>
    </row>
    <row r="2969" spans="1:2" x14ac:dyDescent="0.25">
      <c r="A2969">
        <f ca="1">33262.0345639062*((RANDBETWEEN(1587,2416)))</f>
        <v>54183854.304603234</v>
      </c>
      <c r="B2969">
        <v>249755603.47582978</v>
      </c>
    </row>
    <row r="2970" spans="1:2" x14ac:dyDescent="0.25">
      <c r="A2970">
        <f ca="1">29945.0886010878*((RANDBETWEEN(1587,2416)))</f>
        <v>59620671.404765844</v>
      </c>
      <c r="B2970">
        <v>232507625.60825205</v>
      </c>
    </row>
    <row r="2971" spans="1:2" x14ac:dyDescent="0.25">
      <c r="A2971">
        <f ca="1">33664.5098547554*((RANDBETWEEN(1587,2416)))</f>
        <v>59114879.30495055</v>
      </c>
      <c r="B2971">
        <v>230324284.49079102</v>
      </c>
    </row>
    <row r="2972" spans="1:2" x14ac:dyDescent="0.25">
      <c r="A2972">
        <f ca="1">32779.7185821301*((RANDBETWEEN(1587,2416)))</f>
        <v>78900782.627187222</v>
      </c>
      <c r="B2972">
        <v>216190466.82072681</v>
      </c>
    </row>
    <row r="2973" spans="1:2" x14ac:dyDescent="0.25">
      <c r="A2973">
        <f ca="1">34102.3698151667*((RANDBETWEEN(1587,2416)))</f>
        <v>66670132.988650978</v>
      </c>
      <c r="B2973">
        <v>256247340.96848303</v>
      </c>
    </row>
    <row r="2974" spans="1:2" x14ac:dyDescent="0.25">
      <c r="A2974">
        <f ca="1">34482.1527757988*((RANDBETWEEN(1587,2416)))</f>
        <v>76343486.245618448</v>
      </c>
      <c r="B2974">
        <v>219924834.81326357</v>
      </c>
    </row>
    <row r="2975" spans="1:2" x14ac:dyDescent="0.25">
      <c r="A2975">
        <f ca="1">31371.8779494388*((RANDBETWEEN(1587,2416)))</f>
        <v>71371022.334973291</v>
      </c>
      <c r="B2975">
        <v>225735737.01551992</v>
      </c>
    </row>
    <row r="2976" spans="1:2" x14ac:dyDescent="0.25">
      <c r="A2976">
        <f ca="1">39081.2278498881*((RANDBETWEEN(1587,2416)))</f>
        <v>74137089.231237754</v>
      </c>
      <c r="B2976">
        <v>249061974.97594735</v>
      </c>
    </row>
    <row r="2977" spans="1:2" x14ac:dyDescent="0.25">
      <c r="A2977">
        <f ca="1">34308.4066522337*((RANDBETWEEN(1587,2416)))</f>
        <v>67827719.951465935</v>
      </c>
      <c r="B2977">
        <v>235697239.02101719</v>
      </c>
    </row>
    <row r="2978" spans="1:2" x14ac:dyDescent="0.25">
      <c r="A2978">
        <f ca="1">32543.1389345267*((RANDBETWEEN(1587,2416)))</f>
        <v>71757621.350631297</v>
      </c>
      <c r="B2978">
        <v>240210790.12308615</v>
      </c>
    </row>
    <row r="2979" spans="1:2" x14ac:dyDescent="0.25">
      <c r="A2979">
        <f ca="1">31344.3073668977*((RANDBETWEEN(1587,2416)))</f>
        <v>55448079.732042082</v>
      </c>
      <c r="B2979">
        <v>208875206.3914614</v>
      </c>
    </row>
    <row r="2980" spans="1:2" x14ac:dyDescent="0.25">
      <c r="A2980">
        <f ca="1">30871.6096640822*((RANDBETWEEN(1587,2416)))</f>
        <v>65941758.24247966</v>
      </c>
      <c r="B2980">
        <v>255327670.58033034</v>
      </c>
    </row>
    <row r="2981" spans="1:2" x14ac:dyDescent="0.25">
      <c r="A2981">
        <f ca="1">36336.9527149839*((RANDBETWEEN(1587,2416)))</f>
        <v>69294568.827474311</v>
      </c>
      <c r="B2981">
        <v>261853959.8496612</v>
      </c>
    </row>
    <row r="2982" spans="1:2" x14ac:dyDescent="0.25">
      <c r="A2982">
        <f ca="1">33128.4855419931*((RANDBETWEEN(1587,2416)))</f>
        <v>70398031.776735291</v>
      </c>
      <c r="B2982">
        <v>254596364.95783931</v>
      </c>
    </row>
    <row r="2983" spans="1:2" x14ac:dyDescent="0.25">
      <c r="A2983">
        <f ca="1">32372.8414147915*((RANDBETWEEN(1587,2416)))</f>
        <v>55357558.819293454</v>
      </c>
      <c r="B2983">
        <v>204307950.51300579</v>
      </c>
    </row>
    <row r="2984" spans="1:2" x14ac:dyDescent="0.25">
      <c r="A2984">
        <f ca="1">36609.9615425915*((RANDBETWEEN(1587,2416)))</f>
        <v>59674237.314424165</v>
      </c>
      <c r="B2984">
        <v>257092401.69846541</v>
      </c>
    </row>
    <row r="2985" spans="1:2" x14ac:dyDescent="0.25">
      <c r="A2985">
        <f ca="1">31475.2096651836*((RANDBETWEEN(1587,2416)))</f>
        <v>60873055.492465064</v>
      </c>
      <c r="B2985">
        <v>225731844.82465303</v>
      </c>
    </row>
    <row r="2986" spans="1:2" x14ac:dyDescent="0.25">
      <c r="A2986">
        <f ca="1">30146.7096552507*((RANDBETWEEN(1587,2416)))</f>
        <v>59389018.020843796</v>
      </c>
      <c r="B2986">
        <v>251269956.5842723</v>
      </c>
    </row>
    <row r="2987" spans="1:2" x14ac:dyDescent="0.25">
      <c r="A2987">
        <f ca="1">36594.8424055485*((RANDBETWEEN(1587,2416)))</f>
        <v>79008264.753579259</v>
      </c>
      <c r="B2987">
        <v>209439844.61685342</v>
      </c>
    </row>
    <row r="2988" spans="1:2" x14ac:dyDescent="0.25">
      <c r="A2988">
        <f ca="1">35288.583009294*((RANDBETWEEN(1587,2416)))</f>
        <v>69271488.447244197</v>
      </c>
      <c r="B2988">
        <v>214401173.00077316</v>
      </c>
    </row>
    <row r="2989" spans="1:2" x14ac:dyDescent="0.25">
      <c r="A2989">
        <f ca="1">35209.0740725362*((RANDBETWEEN(1587,2416)))</f>
        <v>72143392.774626628</v>
      </c>
      <c r="B2989">
        <v>216038691.87507474</v>
      </c>
    </row>
    <row r="2990" spans="1:2" x14ac:dyDescent="0.25">
      <c r="A2990">
        <f ca="1">34484.2728622876*((RANDBETWEEN(1587,2416)))</f>
        <v>58657748.138751239</v>
      </c>
      <c r="B2990">
        <v>238846477.53092861</v>
      </c>
    </row>
    <row r="2991" spans="1:2" x14ac:dyDescent="0.25">
      <c r="A2991">
        <f ca="1">31962.888001173*((RANDBETWEEN(1587,2416)))</f>
        <v>61784262.506267503</v>
      </c>
      <c r="B2991">
        <v>215202300.58897665</v>
      </c>
    </row>
    <row r="2992" spans="1:2" x14ac:dyDescent="0.25">
      <c r="A2992">
        <f ca="1">37852.035009654*((RANDBETWEEN(1587,2416)))</f>
        <v>85810563.366885617</v>
      </c>
      <c r="B2992">
        <v>263016457.33726504</v>
      </c>
    </row>
    <row r="2993" spans="1:2" x14ac:dyDescent="0.25">
      <c r="A2993">
        <f ca="1">28372.2764187465*((RANDBETWEEN(1587,2416)))</f>
        <v>46019832.351206772</v>
      </c>
      <c r="B2993">
        <v>225752121.06672695</v>
      </c>
    </row>
    <row r="2994" spans="1:2" x14ac:dyDescent="0.25">
      <c r="A2994">
        <f ca="1">29575.5591548069*((RANDBETWEEN(1587,2416)))</f>
        <v>57406160.319480151</v>
      </c>
      <c r="B2994">
        <v>222515944.03174379</v>
      </c>
    </row>
    <row r="2995" spans="1:2" x14ac:dyDescent="0.25">
      <c r="A2995">
        <f ca="1">40868.206630521*((RANDBETWEEN(1587,2416)))</f>
        <v>72377593.942652613</v>
      </c>
      <c r="B2995">
        <v>241040635.50032902</v>
      </c>
    </row>
    <row r="2996" spans="1:2" x14ac:dyDescent="0.25">
      <c r="A2996">
        <f ca="1">32542.3064487256*((RANDBETWEEN(1587,2416)))</f>
        <v>70779516.525978252</v>
      </c>
      <c r="B2996">
        <v>234310612.44366094</v>
      </c>
    </row>
    <row r="2997" spans="1:2" x14ac:dyDescent="0.25">
      <c r="A2997">
        <f ca="1">31590.7073091781*((RANDBETWEEN(1587,2416)))</f>
        <v>50229224.621593237</v>
      </c>
      <c r="B2997">
        <v>232097616.30456835</v>
      </c>
    </row>
    <row r="2998" spans="1:2" x14ac:dyDescent="0.25">
      <c r="A2998">
        <f ca="1">39383.9298476948*((RANDBETWEEN(1587,2416)))</f>
        <v>80225065.099754304</v>
      </c>
      <c r="B2998">
        <v>217458017.20885342</v>
      </c>
    </row>
    <row r="2999" spans="1:2" x14ac:dyDescent="0.25">
      <c r="A2999">
        <f ca="1">36887.7052901308*((RANDBETWEEN(1587,2416)))</f>
        <v>82960449.197504237</v>
      </c>
      <c r="B2999">
        <v>243815868.88060597</v>
      </c>
    </row>
    <row r="3000" spans="1:2" x14ac:dyDescent="0.25">
      <c r="A3000">
        <f ca="1">28948.2193429233*((RANDBETWEEN(1587,2416)))</f>
        <v>49675144.392456457</v>
      </c>
      <c r="B3000">
        <v>209668553.98052448</v>
      </c>
    </row>
    <row r="3001" spans="1:2" x14ac:dyDescent="0.25">
      <c r="A3001">
        <f ca="1">32579.0848387756*((RANDBETWEEN(1587,2416)))</f>
        <v>66526491.240779772</v>
      </c>
      <c r="B3001">
        <v>242118035.68035269</v>
      </c>
    </row>
    <row r="3002" spans="1:2" x14ac:dyDescent="0.25">
      <c r="A3002">
        <f ca="1">32038.2439738607*((RANDBETWEEN(1587,2416)))</f>
        <v>75866561.730102077</v>
      </c>
      <c r="B3002">
        <v>259315264.93573928</v>
      </c>
    </row>
    <row r="3003" spans="1:2" x14ac:dyDescent="0.25">
      <c r="A3003">
        <f ca="1">32934.3315224005*((RANDBETWEEN(1587,2416)))</f>
        <v>58227898.131604157</v>
      </c>
      <c r="B3003">
        <v>245939578.95283946</v>
      </c>
    </row>
    <row r="3004" spans="1:2" x14ac:dyDescent="0.25">
      <c r="A3004">
        <f ca="1">33337.2913890687*((RANDBETWEEN(1587,2416)))</f>
        <v>65774475.910632469</v>
      </c>
      <c r="B3004">
        <v>228435287.03299975</v>
      </c>
    </row>
    <row r="3005" spans="1:2" x14ac:dyDescent="0.25">
      <c r="A3005">
        <f ca="1">30712.3241887861*((RANDBETWEEN(1587,2416)))</f>
        <v>57554895.529785194</v>
      </c>
      <c r="B3005">
        <v>206189163.2477026</v>
      </c>
    </row>
    <row r="3006" spans="1:2" x14ac:dyDescent="0.25">
      <c r="A3006">
        <f ca="1">32941.250512525*((RANDBETWEEN(1587,2416)))</f>
        <v>54320122.095153742</v>
      </c>
      <c r="B3006">
        <v>229364347.07371044</v>
      </c>
    </row>
    <row r="3007" spans="1:2" x14ac:dyDescent="0.25">
      <c r="A3007">
        <f ca="1">36489.2742859703*((RANDBETWEEN(1587,2416)))</f>
        <v>80969699.640568107</v>
      </c>
      <c r="B3007">
        <v>255399000.11232376</v>
      </c>
    </row>
    <row r="3008" spans="1:2" x14ac:dyDescent="0.25">
      <c r="A3008">
        <f ca="1">40458.9857891106*((RANDBETWEEN(1587,2416)))</f>
        <v>93015208.329165339</v>
      </c>
      <c r="B3008">
        <v>258069154.23301142</v>
      </c>
    </row>
    <row r="3009" spans="1:2" x14ac:dyDescent="0.25">
      <c r="A3009">
        <f ca="1">34189.3605431783*((RANDBETWEEN(1587,2416)))</f>
        <v>74259291.099783301</v>
      </c>
      <c r="B3009">
        <v>226221440.24213523</v>
      </c>
    </row>
    <row r="3010" spans="1:2" x14ac:dyDescent="0.25">
      <c r="A3010">
        <f ca="1">31883.9600305267*((RANDBETWEEN(1587,2416)))</f>
        <v>57327360.134886973</v>
      </c>
      <c r="B3010">
        <v>214097241.31353462</v>
      </c>
    </row>
    <row r="3011" spans="1:2" x14ac:dyDescent="0.25">
      <c r="A3011">
        <f ca="1">38518.4458991912*((RANDBETWEEN(1587,2416)))</f>
        <v>89478349.823821202</v>
      </c>
      <c r="B3011">
        <v>223628767.19348887</v>
      </c>
    </row>
    <row r="3012" spans="1:2" x14ac:dyDescent="0.25">
      <c r="A3012">
        <f ca="1">29067.5898913621*((RANDBETWEEN(1587,2416)))</f>
        <v>70169161.997748092</v>
      </c>
      <c r="B3012">
        <v>258868054.8339152</v>
      </c>
    </row>
    <row r="3013" spans="1:2" x14ac:dyDescent="0.25">
      <c r="A3013">
        <f ca="1">32108.2712287975*((RANDBETWEEN(1587,2416)))</f>
        <v>61808422.115435176</v>
      </c>
      <c r="B3013">
        <v>230926465.34709978</v>
      </c>
    </row>
    <row r="3014" spans="1:2" x14ac:dyDescent="0.25">
      <c r="A3014">
        <f ca="1">37605.4183738268*((RANDBETWEEN(1587,2416)))</f>
        <v>85063456.361596331</v>
      </c>
      <c r="B3014">
        <v>248495279.37983501</v>
      </c>
    </row>
    <row r="3015" spans="1:2" x14ac:dyDescent="0.25">
      <c r="A3015">
        <f ca="1">36032.1146321174*((RANDBETWEEN(1587,2416)))</f>
        <v>63560650.21105516</v>
      </c>
      <c r="B3015">
        <v>224448159.02297363</v>
      </c>
    </row>
    <row r="3016" spans="1:2" x14ac:dyDescent="0.25">
      <c r="A3016">
        <f ca="1">29289.2098427463*((RANDBETWEEN(1587,2416)))</f>
        <v>52544842.457886852</v>
      </c>
      <c r="B3016">
        <v>222026392.96605244</v>
      </c>
    </row>
    <row r="3017" spans="1:2" x14ac:dyDescent="0.25">
      <c r="A3017">
        <f ca="1">30887.2285163423*((RANDBETWEEN(1587,2416)))</f>
        <v>60662516.806096189</v>
      </c>
      <c r="B3017">
        <v>253907425.39652205</v>
      </c>
    </row>
    <row r="3018" spans="1:2" x14ac:dyDescent="0.25">
      <c r="A3018">
        <f ca="1">35866.5114350691*((RANDBETWEEN(1587,2416)))</f>
        <v>73024217.281800717</v>
      </c>
      <c r="B3018">
        <v>256504682.75262761</v>
      </c>
    </row>
    <row r="3019" spans="1:2" x14ac:dyDescent="0.25">
      <c r="A3019">
        <f ca="1">30172.1442853822*((RANDBETWEEN(1587,2416)))</f>
        <v>56090016.2265255</v>
      </c>
      <c r="B3019">
        <v>259621209.57985538</v>
      </c>
    </row>
    <row r="3020" spans="1:2" x14ac:dyDescent="0.25">
      <c r="A3020">
        <f ca="1">31471.4222604948*((RANDBETWEEN(1587,2416)))</f>
        <v>74650213.601893678</v>
      </c>
      <c r="B3020">
        <v>220952415.21429461</v>
      </c>
    </row>
    <row r="3021" spans="1:2" x14ac:dyDescent="0.25">
      <c r="A3021">
        <f ca="1">31032.8508848751*((RANDBETWEEN(1587,2416)))</f>
        <v>58590022.470644251</v>
      </c>
      <c r="B3021">
        <v>243995953.3769697</v>
      </c>
    </row>
    <row r="3022" spans="1:2" x14ac:dyDescent="0.25">
      <c r="A3022">
        <f ca="1">30280.0656249451*((RANDBETWEEN(1587,2416)))</f>
        <v>68947709.427999914</v>
      </c>
      <c r="B3022">
        <v>255050782.0652878</v>
      </c>
    </row>
    <row r="3023" spans="1:2" x14ac:dyDescent="0.25">
      <c r="A3023">
        <f ca="1">34633.2286085355*((RANDBETWEEN(1587,2416)))</f>
        <v>76539435.224863395</v>
      </c>
      <c r="B3023">
        <v>235545843.37384638</v>
      </c>
    </row>
    <row r="3024" spans="1:2" x14ac:dyDescent="0.25">
      <c r="A3024">
        <f ca="1">27864.4766341853*((RANDBETWEEN(1587,2416)))</f>
        <v>46310760.166016042</v>
      </c>
      <c r="B3024">
        <v>203838256.26643279</v>
      </c>
    </row>
    <row r="3025" spans="1:2" x14ac:dyDescent="0.25">
      <c r="A3025">
        <f ca="1">31456.3782001958*((RANDBETWEEN(1587,2416)))</f>
        <v>61245568.355781227</v>
      </c>
      <c r="B3025">
        <v>214430579.62343782</v>
      </c>
    </row>
    <row r="3026" spans="1:2" x14ac:dyDescent="0.25">
      <c r="A3026">
        <f ca="1">32936.7730271676*((RANDBETWEEN(1587,2416)))</f>
        <v>73218446.439393505</v>
      </c>
      <c r="B3026">
        <v>249756688.86789834</v>
      </c>
    </row>
    <row r="3027" spans="1:2" x14ac:dyDescent="0.25">
      <c r="A3027">
        <f ca="1">39084.4136889406*((RANDBETWEEN(1587,2416)))</f>
        <v>73283275.666763619</v>
      </c>
      <c r="B3027">
        <v>224686630.39287025</v>
      </c>
    </row>
    <row r="3028" spans="1:2" x14ac:dyDescent="0.25">
      <c r="A3028">
        <f ca="1">32463.0684727832*((RANDBETWEEN(1587,2416)))</f>
        <v>56940222.101261757</v>
      </c>
      <c r="B3028">
        <v>244927992.81789505</v>
      </c>
    </row>
    <row r="3029" spans="1:2" x14ac:dyDescent="0.25">
      <c r="A3029">
        <f ca="1">32319.8868828156*((RANDBETWEEN(1587,2416)))</f>
        <v>58660594.692310333</v>
      </c>
      <c r="B3029">
        <v>265391578.7818895</v>
      </c>
    </row>
    <row r="3030" spans="1:2" x14ac:dyDescent="0.25">
      <c r="A3030">
        <f ca="1">34674.2522671914*((RANDBETWEEN(1587,2416)))</f>
        <v>59119600.115561269</v>
      </c>
      <c r="B3030">
        <v>261407636.40570581</v>
      </c>
    </row>
    <row r="3031" spans="1:2" x14ac:dyDescent="0.25">
      <c r="A3031">
        <f ca="1">31209.2288599214*((RANDBETWEEN(1587,2416)))</f>
        <v>62543294.635282449</v>
      </c>
      <c r="B3031">
        <v>253359099.88630971</v>
      </c>
    </row>
    <row r="3032" spans="1:2" x14ac:dyDescent="0.25">
      <c r="A3032">
        <f ca="1">39663.1777581649*((RANDBETWEEN(1587,2416)))</f>
        <v>88766191.822773024</v>
      </c>
      <c r="B3032">
        <v>219794127.43639636</v>
      </c>
    </row>
    <row r="3033" spans="1:2" x14ac:dyDescent="0.25">
      <c r="A3033">
        <f ca="1">33878.0039882949*((RANDBETWEEN(1587,2416)))</f>
        <v>71990758.475126609</v>
      </c>
      <c r="B3033">
        <v>204518816.93742508</v>
      </c>
    </row>
    <row r="3034" spans="1:2" x14ac:dyDescent="0.25">
      <c r="A3034">
        <f ca="1">32827.1017754743*((RANDBETWEEN(1587,2416)))</f>
        <v>56232825.341387413</v>
      </c>
      <c r="B3034">
        <v>209558883.41039443</v>
      </c>
    </row>
    <row r="3035" spans="1:2" x14ac:dyDescent="0.25">
      <c r="A3035">
        <f ca="1">36238.788071231*((RANDBETWEEN(1587,2416)))</f>
        <v>70194532.493974358</v>
      </c>
      <c r="B3035">
        <v>203931639.30134535</v>
      </c>
    </row>
    <row r="3036" spans="1:2" x14ac:dyDescent="0.25">
      <c r="A3036">
        <f ca="1">38975.8813216269*((RANDBETWEEN(1587,2416)))</f>
        <v>81342664.318235442</v>
      </c>
      <c r="B3036">
        <v>253214208.01638728</v>
      </c>
    </row>
    <row r="3037" spans="1:2" x14ac:dyDescent="0.25">
      <c r="A3037">
        <f ca="1">38284.1565843734*((RANDBETWEEN(1587,2416)))</f>
        <v>84761122.677802816</v>
      </c>
      <c r="B3037">
        <v>250747367.70050275</v>
      </c>
    </row>
    <row r="3038" spans="1:2" x14ac:dyDescent="0.25">
      <c r="A3038">
        <f ca="1">33366.9854032278*((RANDBETWEEN(1587,2416)))</f>
        <v>79780462.099117592</v>
      </c>
      <c r="B3038">
        <v>215378321.52600148</v>
      </c>
    </row>
    <row r="3039" spans="1:2" x14ac:dyDescent="0.25">
      <c r="A3039">
        <f ca="1">37724.0731099948*((RANDBETWEEN(1587,2416)))</f>
        <v>81257653.4789287</v>
      </c>
      <c r="B3039">
        <v>214818025.4755742</v>
      </c>
    </row>
    <row r="3040" spans="1:2" x14ac:dyDescent="0.25">
      <c r="A3040">
        <f ca="1">34093.4847061605*((RANDBETWEEN(1587,2416)))</f>
        <v>78653669.217112347</v>
      </c>
      <c r="B3040">
        <v>236866557.58547965</v>
      </c>
    </row>
    <row r="3041" spans="1:2" x14ac:dyDescent="0.25">
      <c r="A3041">
        <f ca="1">38048.3282732718*((RANDBETWEEN(1587,2416)))</f>
        <v>69057715.815988287</v>
      </c>
      <c r="B3041">
        <v>263422882.39194569</v>
      </c>
    </row>
    <row r="3042" spans="1:2" x14ac:dyDescent="0.25">
      <c r="A3042">
        <f ca="1">40191.6614932634*((RANDBETWEEN(1587,2416)))</f>
        <v>86371880.549022958</v>
      </c>
      <c r="B3042">
        <v>225448407.37090862</v>
      </c>
    </row>
    <row r="3043" spans="1:2" x14ac:dyDescent="0.25">
      <c r="A3043">
        <f ca="1">42530.3208957291*((RANDBETWEEN(1587,2416)))</f>
        <v>68388756.0003324</v>
      </c>
      <c r="B3043">
        <v>241968058.14779037</v>
      </c>
    </row>
    <row r="3044" spans="1:2" x14ac:dyDescent="0.25">
      <c r="A3044">
        <f ca="1">31235.1767063791*((RANDBETWEEN(1587,2416)))</f>
        <v>51288160.151874468</v>
      </c>
      <c r="B3044">
        <v>207707117.56713322</v>
      </c>
    </row>
    <row r="3045" spans="1:2" x14ac:dyDescent="0.25">
      <c r="A3045">
        <f ca="1">35471.7319007853*((RANDBETWEEN(1587,2416)))</f>
        <v>63920060.885215074</v>
      </c>
      <c r="B3045">
        <v>215326153.94600546</v>
      </c>
    </row>
    <row r="3046" spans="1:2" x14ac:dyDescent="0.25">
      <c r="A3046">
        <f ca="1">30382.7190555221*((RANDBETWEEN(1587,2416)))</f>
        <v>66325475.698204666</v>
      </c>
      <c r="B3046">
        <v>215665277.93590564</v>
      </c>
    </row>
    <row r="3047" spans="1:2" x14ac:dyDescent="0.25">
      <c r="A3047">
        <f ca="1">31255.5244034737*((RANDBETWEEN(1587,2416)))</f>
        <v>62729837.47777164</v>
      </c>
      <c r="B3047">
        <v>264183251.40800521</v>
      </c>
    </row>
    <row r="3048" spans="1:2" x14ac:dyDescent="0.25">
      <c r="A3048">
        <f ca="1">33175.7576916054*((RANDBETWEEN(1587,2416)))</f>
        <v>75806606.325318441</v>
      </c>
      <c r="B3048">
        <v>223368911.73916611</v>
      </c>
    </row>
    <row r="3049" spans="1:2" x14ac:dyDescent="0.25">
      <c r="A3049">
        <f ca="1">27785.8231525879*((RANDBETWEEN(1587,2416)))</f>
        <v>58989302.552944019</v>
      </c>
      <c r="B3049">
        <v>219358385.72073975</v>
      </c>
    </row>
    <row r="3050" spans="1:2" x14ac:dyDescent="0.25">
      <c r="A3050">
        <f ca="1">31660.4788550576*((RANDBETWEEN(1587,2416)))</f>
        <v>61136384.669116132</v>
      </c>
      <c r="B3050">
        <v>203694038.4029457</v>
      </c>
    </row>
    <row r="3051" spans="1:2" x14ac:dyDescent="0.25">
      <c r="A3051">
        <f ca="1">39567.6547358134*((RANDBETWEEN(1587,2416)))</f>
        <v>78818768.233740345</v>
      </c>
      <c r="B3051">
        <v>219895217.61043513</v>
      </c>
    </row>
    <row r="3052" spans="1:2" x14ac:dyDescent="0.25">
      <c r="A3052">
        <f ca="1">31872.7420139542*((RANDBETWEEN(1587,2416)))</f>
        <v>70406887.108824715</v>
      </c>
      <c r="B3052">
        <v>225840125.6559391</v>
      </c>
    </row>
    <row r="3053" spans="1:2" x14ac:dyDescent="0.25">
      <c r="A3053">
        <f ca="1">33033.696010782*((RANDBETWEEN(1587,2416)))</f>
        <v>66100425.717574731</v>
      </c>
      <c r="B3053">
        <v>222081898.36119226</v>
      </c>
    </row>
    <row r="3054" spans="1:2" x14ac:dyDescent="0.25">
      <c r="A3054">
        <f ca="1">33352.0432943968*((RANDBETWEEN(1587,2416)))</f>
        <v>59566749.323792756</v>
      </c>
      <c r="B3054">
        <v>229162671.00481898</v>
      </c>
    </row>
    <row r="3055" spans="1:2" x14ac:dyDescent="0.25">
      <c r="A3055">
        <f ca="1">29943.0631779515*((RANDBETWEEN(1587,2416)))</f>
        <v>55095236.247430705</v>
      </c>
      <c r="B3055">
        <v>209149806.53710347</v>
      </c>
    </row>
    <row r="3056" spans="1:2" x14ac:dyDescent="0.25">
      <c r="A3056">
        <f ca="1">36385.8635585928*((RANDBETWEEN(1587,2416)))</f>
        <v>78884552.195029154</v>
      </c>
      <c r="B3056">
        <v>234645125.03353471</v>
      </c>
    </row>
    <row r="3057" spans="1:2" x14ac:dyDescent="0.25">
      <c r="A3057">
        <f ca="1">36495.71704645*((RANDBETWEEN(1587,2416)))</f>
        <v>70363742.465555653</v>
      </c>
      <c r="B3057">
        <v>256890802.78940079</v>
      </c>
    </row>
    <row r="3058" spans="1:2" x14ac:dyDescent="0.25">
      <c r="A3058">
        <f ca="1">32006.2390134081*((RANDBETWEEN(1587,2416)))</f>
        <v>71629962.912007436</v>
      </c>
      <c r="B3058">
        <v>227537086.89244625</v>
      </c>
    </row>
    <row r="3059" spans="1:2" x14ac:dyDescent="0.25">
      <c r="A3059">
        <f ca="1">32965.6988421905*((RANDBETWEEN(1587,2416)))</f>
        <v>68370859.398703128</v>
      </c>
      <c r="B3059">
        <v>232418041.80938867</v>
      </c>
    </row>
    <row r="3060" spans="1:2" x14ac:dyDescent="0.25">
      <c r="A3060">
        <f ca="1">38451.2912646091*((RANDBETWEEN(1587,2416)))</f>
        <v>83170143.005349562</v>
      </c>
      <c r="B3060">
        <v>256597424.31741649</v>
      </c>
    </row>
    <row r="3061" spans="1:2" x14ac:dyDescent="0.25">
      <c r="A3061">
        <f ca="1">36252.7370806981*((RANDBETWEEN(1587,2416)))</f>
        <v>73085517.954687417</v>
      </c>
      <c r="B3061">
        <v>259929588.59789762</v>
      </c>
    </row>
    <row r="3062" spans="1:2" x14ac:dyDescent="0.25">
      <c r="A3062">
        <f ca="1">39797.4016855231*((RANDBETWEEN(1587,2416)))</f>
        <v>75694658.005864978</v>
      </c>
      <c r="B3062">
        <v>253030755.80073416</v>
      </c>
    </row>
    <row r="3063" spans="1:2" x14ac:dyDescent="0.25">
      <c r="A3063">
        <f ca="1">37166.0825884568*((RANDBETWEEN(1587,2416)))</f>
        <v>69983733.514064193</v>
      </c>
      <c r="B3063">
        <v>231866304.31501371</v>
      </c>
    </row>
    <row r="3064" spans="1:2" x14ac:dyDescent="0.25">
      <c r="A3064">
        <f ca="1">32802.3232041264*((RANDBETWEEN(1587,2416)))</f>
        <v>71476262.261791453</v>
      </c>
      <c r="B3064">
        <v>243235044.6826629</v>
      </c>
    </row>
    <row r="3065" spans="1:2" x14ac:dyDescent="0.25">
      <c r="A3065">
        <f ca="1">29558.1848108346*((RANDBETWEEN(1587,2416)))</f>
        <v>58613880.479884967</v>
      </c>
      <c r="B3065">
        <v>210978608.53297883</v>
      </c>
    </row>
    <row r="3066" spans="1:2" x14ac:dyDescent="0.25">
      <c r="A3066">
        <f ca="1">30207.1391252922*((RANDBETWEEN(1587,2416)))</f>
        <v>53224979.13876494</v>
      </c>
      <c r="B3066">
        <v>244934938.45340598</v>
      </c>
    </row>
    <row r="3067" spans="1:2" x14ac:dyDescent="0.25">
      <c r="A3067">
        <f ca="1">35977.1748148513*((RANDBETWEEN(1587,2416)))</f>
        <v>84438429.290455997</v>
      </c>
      <c r="B3067">
        <v>259649971.54565156</v>
      </c>
    </row>
    <row r="3068" spans="1:2" x14ac:dyDescent="0.25">
      <c r="A3068">
        <f ca="1">30509.0327982511*((RANDBETWEEN(1587,2416)))</f>
        <v>64709658.565090552</v>
      </c>
      <c r="B3068">
        <v>206650549.30100986</v>
      </c>
    </row>
    <row r="3069" spans="1:2" x14ac:dyDescent="0.25">
      <c r="A3069">
        <f ca="1">38555.1674654039*((RANDBETWEEN(1587,2416)))</f>
        <v>68666753.255884334</v>
      </c>
      <c r="B3069">
        <v>209496139.44891024</v>
      </c>
    </row>
    <row r="3070" spans="1:2" x14ac:dyDescent="0.25">
      <c r="A3070">
        <f ca="1">31171.7105715177*((RANDBETWEEN(1587,2416)))</f>
        <v>50311140.862429619</v>
      </c>
      <c r="B3070">
        <v>251314322.77735925</v>
      </c>
    </row>
    <row r="3071" spans="1:2" x14ac:dyDescent="0.25">
      <c r="A3071">
        <f ca="1">30988.7830615251*((RANDBETWEEN(1587,2416)))</f>
        <v>50480727.607224405</v>
      </c>
      <c r="B3071">
        <v>216610386.06846726</v>
      </c>
    </row>
    <row r="3072" spans="1:2" x14ac:dyDescent="0.25">
      <c r="A3072">
        <f ca="1">35015.6127550205*((RANDBETWEEN(1587,2416)))</f>
        <v>65304117.788113259</v>
      </c>
      <c r="B3072">
        <v>226255258.00113386</v>
      </c>
    </row>
    <row r="3073" spans="1:2" x14ac:dyDescent="0.25">
      <c r="A3073">
        <f ca="1">32096.6865809569*((RANDBETWEEN(1587,2416)))</f>
        <v>62010798.474408634</v>
      </c>
      <c r="B3073">
        <v>264949907.00060323</v>
      </c>
    </row>
    <row r="3074" spans="1:2" x14ac:dyDescent="0.25">
      <c r="A3074">
        <f ca="1">32928.5547613768*((RANDBETWEEN(1587,2416)))</f>
        <v>59831184.00142166</v>
      </c>
      <c r="B3074">
        <v>247798963.72006053</v>
      </c>
    </row>
    <row r="3075" spans="1:2" x14ac:dyDescent="0.25">
      <c r="A3075">
        <f ca="1">40088.6697268422*((RANDBETWEEN(1587,2416)))</f>
        <v>91883231.013922408</v>
      </c>
      <c r="B3075">
        <v>244642054.68955141</v>
      </c>
    </row>
    <row r="3076" spans="1:2" x14ac:dyDescent="0.25">
      <c r="A3076">
        <f ca="1">41373.7883129599*((RANDBETWEEN(1587,2416)))</f>
        <v>77699974.451738656</v>
      </c>
      <c r="B3076">
        <v>209285387.652118</v>
      </c>
    </row>
    <row r="3077" spans="1:2" x14ac:dyDescent="0.25">
      <c r="A3077">
        <f ca="1">38477.5409106805*((RANDBETWEEN(1587,2416)))</f>
        <v>70760197.734741494</v>
      </c>
      <c r="B3077">
        <v>216993924.66663352</v>
      </c>
    </row>
    <row r="3078" spans="1:2" x14ac:dyDescent="0.25">
      <c r="A3078">
        <f ca="1">30780.3434962051*((RANDBETWEEN(1587,2416)))</f>
        <v>50695225.738249838</v>
      </c>
      <c r="B3078">
        <v>234309228.84676325</v>
      </c>
    </row>
    <row r="3079" spans="1:2" x14ac:dyDescent="0.25">
      <c r="A3079">
        <f ca="1">33041.2893580283*((RANDBETWEEN(1587,2416)))</f>
        <v>52469567.500549003</v>
      </c>
      <c r="B3079">
        <v>244021723.93584728</v>
      </c>
    </row>
    <row r="3080" spans="1:2" x14ac:dyDescent="0.25">
      <c r="A3080">
        <f ca="1">34502.7141777481*((RANDBETWEEN(1587,2416)))</f>
        <v>68246368.643585742</v>
      </c>
      <c r="B3080">
        <v>225640741.81804007</v>
      </c>
    </row>
    <row r="3081" spans="1:2" x14ac:dyDescent="0.25">
      <c r="A3081">
        <f ca="1">32336.2949482159*((RANDBETWEEN(1587,2416)))</f>
        <v>77154399.746443227</v>
      </c>
      <c r="B3081">
        <v>248591427.13596004</v>
      </c>
    </row>
    <row r="3082" spans="1:2" x14ac:dyDescent="0.25">
      <c r="A3082">
        <f ca="1">39766.8240707577*((RANDBETWEEN(1587,2416)))</f>
        <v>92338565.492299393</v>
      </c>
      <c r="B3082">
        <v>212707667.43108004</v>
      </c>
    </row>
    <row r="3083" spans="1:2" x14ac:dyDescent="0.25">
      <c r="A3083">
        <f ca="1">32773.3583054721*((RANDBETWEEN(1587,2416)))</f>
        <v>54567641.57861118</v>
      </c>
      <c r="B3083">
        <v>258258125.73219025</v>
      </c>
    </row>
    <row r="3084" spans="1:2" x14ac:dyDescent="0.25">
      <c r="A3084">
        <f ca="1">32439.1556618973*((RANDBETWEEN(1587,2416)))</f>
        <v>77529582.031934604</v>
      </c>
      <c r="B3084">
        <v>253202616.51429737</v>
      </c>
    </row>
    <row r="3085" spans="1:2" x14ac:dyDescent="0.25">
      <c r="A3085">
        <f ca="1">39304.4762052676*((RANDBETWEEN(1587,2416)))</f>
        <v>93977002.606794745</v>
      </c>
      <c r="B3085">
        <v>225781200.03502306</v>
      </c>
    </row>
    <row r="3086" spans="1:2" x14ac:dyDescent="0.25">
      <c r="A3086">
        <f ca="1">32485.3715268345*((RANDBETWEEN(1587,2416)))</f>
        <v>70720653.813918605</v>
      </c>
      <c r="B3086">
        <v>210804102.99523094</v>
      </c>
    </row>
    <row r="3087" spans="1:2" x14ac:dyDescent="0.25">
      <c r="A3087">
        <f ca="1">29764.5146641871*((RANDBETWEEN(1587,2416)))</f>
        <v>56225168.200649351</v>
      </c>
      <c r="B3087">
        <v>261427605.12527382</v>
      </c>
    </row>
    <row r="3088" spans="1:2" x14ac:dyDescent="0.25">
      <c r="A3088">
        <f ca="1">33239.6514035896*((RANDBETWEEN(1587,2416)))</f>
        <v>60230248.343304403</v>
      </c>
      <c r="B3088">
        <v>242797508.28347185</v>
      </c>
    </row>
    <row r="3089" spans="1:2" x14ac:dyDescent="0.25">
      <c r="A3089">
        <f ca="1">39344.8996480964*((RANDBETWEEN(1587,2416)))</f>
        <v>74912688.929975614</v>
      </c>
      <c r="B3089">
        <v>205841501.10391581</v>
      </c>
    </row>
    <row r="3090" spans="1:2" x14ac:dyDescent="0.25">
      <c r="A3090">
        <f ca="1">32155.2447777773*((RANDBETWEEN(1587,2416)))</f>
        <v>67333082.564665765</v>
      </c>
      <c r="B3090">
        <v>237862595.86068133</v>
      </c>
    </row>
    <row r="3091" spans="1:2" x14ac:dyDescent="0.25">
      <c r="A3091">
        <f ca="1">40055.0139196286*((RANDBETWEEN(1587,2416)))</f>
        <v>85397289.67664811</v>
      </c>
      <c r="B3091">
        <v>258294256.72119373</v>
      </c>
    </row>
    <row r="3092" spans="1:2" x14ac:dyDescent="0.25">
      <c r="A3092">
        <f ca="1">33602.0878509542*((RANDBETWEEN(1587,2416)))</f>
        <v>63037516.808390059</v>
      </c>
      <c r="B3092">
        <v>220635955.19767314</v>
      </c>
    </row>
    <row r="3093" spans="1:2" x14ac:dyDescent="0.25">
      <c r="A3093">
        <f ca="1">38437.7266143967*((RANDBETWEEN(1587,2416)))</f>
        <v>72032299.675379381</v>
      </c>
      <c r="B3093">
        <v>246517714.1837332</v>
      </c>
    </row>
    <row r="3094" spans="1:2" x14ac:dyDescent="0.25">
      <c r="A3094">
        <f ca="1">31395.5833088815*((RANDBETWEEN(1587,2416)))</f>
        <v>59023696.620697267</v>
      </c>
      <c r="B3094">
        <v>248975331.08847004</v>
      </c>
    </row>
    <row r="3095" spans="1:2" x14ac:dyDescent="0.25">
      <c r="A3095">
        <f ca="1">29389.1093515602*((RANDBETWEEN(1587,2416)))</f>
        <v>48874088.85164462</v>
      </c>
      <c r="B3095">
        <v>205429492.00141007</v>
      </c>
    </row>
    <row r="3096" spans="1:2" x14ac:dyDescent="0.25">
      <c r="A3096">
        <f ca="1">31799.6115366472*((RANDBETWEEN(1587,2416)))</f>
        <v>68877958.588377804</v>
      </c>
      <c r="B3096">
        <v>248899204.67421669</v>
      </c>
    </row>
    <row r="3097" spans="1:2" x14ac:dyDescent="0.25">
      <c r="A3097">
        <f ca="1">30944.5629726982*((RANDBETWEEN(1587,2416)))</f>
        <v>62477072.641877592</v>
      </c>
      <c r="B3097">
        <v>241890676.75941899</v>
      </c>
    </row>
    <row r="3098" spans="1:2" x14ac:dyDescent="0.25">
      <c r="A3098">
        <f ca="1">31499.4431925117*((RANDBETWEEN(1587,2416)))</f>
        <v>60856924.247932516</v>
      </c>
      <c r="B3098">
        <v>233263430.36547679</v>
      </c>
    </row>
    <row r="3099" spans="1:2" x14ac:dyDescent="0.25">
      <c r="A3099">
        <f ca="1">32042.9756478483*((RANDBETWEEN(1587,2416)))</f>
        <v>72160781.158954397</v>
      </c>
      <c r="B3099">
        <v>252969227.64124709</v>
      </c>
    </row>
    <row r="3100" spans="1:2" x14ac:dyDescent="0.25">
      <c r="A3100">
        <f ca="1">34563.671488498*((RANDBETWEEN(1587,2416)))</f>
        <v>57755895.05728022</v>
      </c>
      <c r="B3100">
        <v>240929942.02787298</v>
      </c>
    </row>
    <row r="3101" spans="1:2" x14ac:dyDescent="0.25">
      <c r="A3101">
        <f ca="1">31670.6619353044*((RANDBETWEEN(1587,2416)))</f>
        <v>71290660.016370147</v>
      </c>
      <c r="B3101">
        <v>223368271.44975102</v>
      </c>
    </row>
    <row r="3102" spans="1:2" x14ac:dyDescent="0.25">
      <c r="A3102">
        <f ca="1">29052.2485326924*((RANDBETWEEN(1587,2416)))</f>
        <v>47674739.842148267</v>
      </c>
      <c r="B3102">
        <v>239715147.44154429</v>
      </c>
    </row>
    <row r="3103" spans="1:2" x14ac:dyDescent="0.25">
      <c r="A3103">
        <f ca="1">33564.5643489048*((RANDBETWEEN(1587,2416)))</f>
        <v>75184624.141546831</v>
      </c>
      <c r="B3103">
        <v>208483657.44799757</v>
      </c>
    </row>
    <row r="3104" spans="1:2" x14ac:dyDescent="0.25">
      <c r="A3104">
        <f ca="1">34861.0846456875*((RANDBETWEEN(1587,2416)))</f>
        <v>66689254.927200116</v>
      </c>
      <c r="B3104">
        <v>264246861.48064739</v>
      </c>
    </row>
    <row r="3105" spans="1:2" x14ac:dyDescent="0.25">
      <c r="A3105">
        <f ca="1">32296.2792048835*((RANDBETWEEN(1587,2416)))</f>
        <v>51835528.123838082</v>
      </c>
      <c r="B3105">
        <v>216746446.02797249</v>
      </c>
    </row>
    <row r="3106" spans="1:2" x14ac:dyDescent="0.25">
      <c r="A3106">
        <f ca="1">30703.0558594029*((RANDBETWEEN(1587,2416)))</f>
        <v>56002373.887550853</v>
      </c>
      <c r="B3106">
        <v>266176675.54183492</v>
      </c>
    </row>
    <row r="3107" spans="1:2" x14ac:dyDescent="0.25">
      <c r="A3107">
        <f ca="1">31422.1276973649*((RANDBETWEEN(1587,2416)))</f>
        <v>65295181.355124265</v>
      </c>
      <c r="B3107">
        <v>248702293.35093901</v>
      </c>
    </row>
    <row r="3108" spans="1:2" x14ac:dyDescent="0.25">
      <c r="A3108">
        <f ca="1">39545.836586613*((RANDBETWEEN(1587,2416)))</f>
        <v>84351269.439245522</v>
      </c>
      <c r="B3108">
        <v>213935967.44722545</v>
      </c>
    </row>
    <row r="3109" spans="1:2" x14ac:dyDescent="0.25">
      <c r="A3109">
        <f ca="1">34372.6181487751*((RANDBETWEEN(1587,2416)))</f>
        <v>57539762.781049505</v>
      </c>
      <c r="B3109">
        <v>232849402.22355181</v>
      </c>
    </row>
    <row r="3110" spans="1:2" x14ac:dyDescent="0.25">
      <c r="A3110">
        <f ca="1">36788.8790919534*((RANDBETWEEN(1587,2416)))</f>
        <v>86711388.019734129</v>
      </c>
      <c r="B3110">
        <v>226288682.22389784</v>
      </c>
    </row>
    <row r="3111" spans="1:2" x14ac:dyDescent="0.25">
      <c r="A3111">
        <f ca="1">31585.5660025839*((RANDBETWEEN(1587,2416)))</f>
        <v>62413078.421105787</v>
      </c>
      <c r="B3111">
        <v>231613393.90847039</v>
      </c>
    </row>
    <row r="3112" spans="1:2" x14ac:dyDescent="0.25">
      <c r="A3112">
        <f ca="1">31163.8990619497*((RANDBETWEEN(1587,2416)))</f>
        <v>62670601.013580769</v>
      </c>
      <c r="B3112">
        <v>246129905.61424917</v>
      </c>
    </row>
    <row r="3113" spans="1:2" x14ac:dyDescent="0.25">
      <c r="A3113">
        <f ca="1">31384.6720735196*((RANDBETWEEN(1587,2416)))</f>
        <v>70741050.853713289</v>
      </c>
      <c r="B3113">
        <v>261227808.32406923</v>
      </c>
    </row>
    <row r="3114" spans="1:2" x14ac:dyDescent="0.25">
      <c r="A3114">
        <f ca="1">35795.3844051074*((RANDBETWEEN(1587,2416)))</f>
        <v>70731679.584492311</v>
      </c>
      <c r="B3114">
        <v>252262171.2567316</v>
      </c>
    </row>
    <row r="3115" spans="1:2" x14ac:dyDescent="0.25">
      <c r="A3115">
        <f ca="1">31885.4052502753*((RANDBETWEEN(1587,2416)))</f>
        <v>53376168.388960913</v>
      </c>
      <c r="B3115">
        <v>251550438.43629095</v>
      </c>
    </row>
    <row r="3116" spans="1:2" x14ac:dyDescent="0.25">
      <c r="A3116">
        <f ca="1">30600.1959631896*((RANDBETWEEN(1587,2416)))</f>
        <v>64229811.326734975</v>
      </c>
      <c r="B3116">
        <v>234160488.40798652</v>
      </c>
    </row>
    <row r="3117" spans="1:2" x14ac:dyDescent="0.25">
      <c r="A3117">
        <f ca="1">31766.1924857089*((RANDBETWEEN(1587,2416)))</f>
        <v>62007607.732103713</v>
      </c>
      <c r="B3117">
        <v>214792566.22890133</v>
      </c>
    </row>
    <row r="3118" spans="1:2" x14ac:dyDescent="0.25">
      <c r="A3118">
        <f ca="1">31628.4362916578*((RANDBETWEEN(1587,2416)))</f>
        <v>66672743.702814572</v>
      </c>
      <c r="B3118">
        <v>251000470.13342357</v>
      </c>
    </row>
    <row r="3119" spans="1:2" x14ac:dyDescent="0.25">
      <c r="A3119">
        <f ca="1">34213.5275466788*((RANDBETWEEN(1587,2416)))</f>
        <v>56931309.837673582</v>
      </c>
      <c r="B3119">
        <v>255440924.5787544</v>
      </c>
    </row>
    <row r="3120" spans="1:2" x14ac:dyDescent="0.25">
      <c r="A3120">
        <f ca="1">32457.7101996488*((RANDBETWEEN(1587,2416)))</f>
        <v>73224594.210407794</v>
      </c>
      <c r="B3120">
        <v>255761454.19953144</v>
      </c>
    </row>
    <row r="3121" spans="1:2" x14ac:dyDescent="0.25">
      <c r="A3121">
        <f ca="1">30615.5781935067*((RANDBETWEEN(1587,2416)))</f>
        <v>52475101.023670413</v>
      </c>
      <c r="B3121">
        <v>228124969.57433337</v>
      </c>
    </row>
    <row r="3122" spans="1:2" x14ac:dyDescent="0.25">
      <c r="A3122">
        <f ca="1">31762.7071240959*((RANDBETWEEN(1587,2416)))</f>
        <v>51423822.83391127</v>
      </c>
      <c r="B3122">
        <v>263839259.58553064</v>
      </c>
    </row>
    <row r="3123" spans="1:2" x14ac:dyDescent="0.25">
      <c r="A3123">
        <f ca="1">31560.5626156296*((RANDBETWEEN(1587,2416)))</f>
        <v>50528460.747623071</v>
      </c>
      <c r="B3123">
        <v>243417587.52133426</v>
      </c>
    </row>
    <row r="3124" spans="1:2" x14ac:dyDescent="0.25">
      <c r="A3124">
        <f ca="1">32808.821005378*((RANDBETWEEN(1587,2416)))</f>
        <v>77658479.31972976</v>
      </c>
      <c r="B3124">
        <v>212721725.3114866</v>
      </c>
    </row>
    <row r="3125" spans="1:2" x14ac:dyDescent="0.25">
      <c r="A3125">
        <f ca="1">33112.714801813*((RANDBETWEEN(1587,2416)))</f>
        <v>67881065.343716651</v>
      </c>
      <c r="B3125">
        <v>266779336.79870686</v>
      </c>
    </row>
    <row r="3126" spans="1:2" x14ac:dyDescent="0.25">
      <c r="A3126">
        <f ca="1">32806.2190135534*((RANDBETWEEN(1587,2416)))</f>
        <v>78800538.070555165</v>
      </c>
      <c r="B3126">
        <v>229946620.15617687</v>
      </c>
    </row>
    <row r="3127" spans="1:2" x14ac:dyDescent="0.25">
      <c r="A3127">
        <f ca="1">41086.3950424807*((RANDBETWEEN(1587,2416)))</f>
        <v>70874031.448279247</v>
      </c>
      <c r="B3127">
        <v>257077694.58701783</v>
      </c>
    </row>
    <row r="3128" spans="1:2" x14ac:dyDescent="0.25">
      <c r="A3128">
        <f ca="1">32257.4885616482*((RANDBETWEEN(1587,2416)))</f>
        <v>68353618.26213263</v>
      </c>
      <c r="B3128">
        <v>252817939.86696759</v>
      </c>
    </row>
    <row r="3129" spans="1:2" x14ac:dyDescent="0.25">
      <c r="A3129">
        <f ca="1">29243.9224714143*((RANDBETWEEN(1587,2416)))</f>
        <v>53867305.192345157</v>
      </c>
      <c r="B3129">
        <v>251295801.05741513</v>
      </c>
    </row>
    <row r="3130" spans="1:2" x14ac:dyDescent="0.25">
      <c r="A3130">
        <f ca="1">29585.4144967578*((RANDBETWEEN(1587,2416)))</f>
        <v>47573346.510786511</v>
      </c>
      <c r="B3130">
        <v>216381829.23646587</v>
      </c>
    </row>
    <row r="3131" spans="1:2" x14ac:dyDescent="0.25">
      <c r="A3131">
        <f ca="1">30941.3040469459*((RANDBETWEEN(1587,2416)))</f>
        <v>62810847.215300195</v>
      </c>
      <c r="B3131">
        <v>233339439.83712739</v>
      </c>
    </row>
    <row r="3132" spans="1:2" x14ac:dyDescent="0.25">
      <c r="A3132">
        <f ca="1">37205.6589116819*((RANDBETWEEN(1587,2416)))</f>
        <v>69872227.436138555</v>
      </c>
      <c r="B3132">
        <v>205463469.37328434</v>
      </c>
    </row>
    <row r="3133" spans="1:2" x14ac:dyDescent="0.25">
      <c r="A3133">
        <f ca="1">34550.1768954856*((RANDBETWEEN(1587,2416)))</f>
        <v>78359801.198961273</v>
      </c>
      <c r="B3133">
        <v>240627714.62396252</v>
      </c>
    </row>
    <row r="3134" spans="1:2" x14ac:dyDescent="0.25">
      <c r="A3134">
        <f ca="1">30203.1540941308*((RANDBETWEEN(1587,2416)))</f>
        <v>70886802.658925056</v>
      </c>
      <c r="B3134">
        <v>204971930.8237938</v>
      </c>
    </row>
    <row r="3135" spans="1:2" x14ac:dyDescent="0.25">
      <c r="A3135">
        <f ca="1">39860.697727952*((RANDBETWEEN(1587,2416)))</f>
        <v>73782151.494439229</v>
      </c>
      <c r="B3135">
        <v>263098091.41610587</v>
      </c>
    </row>
    <row r="3136" spans="1:2" x14ac:dyDescent="0.25">
      <c r="A3136">
        <f ca="1">32985.3140424136*((RANDBETWEEN(1587,2416)))</f>
        <v>79395650.900089547</v>
      </c>
      <c r="B3136">
        <v>253167552.73633164</v>
      </c>
    </row>
    <row r="3137" spans="1:2" x14ac:dyDescent="0.25">
      <c r="A3137">
        <f ca="1">37002.9140086275*((RANDBETWEEN(1587,2416)))</f>
        <v>88103938.254541978</v>
      </c>
      <c r="B3137">
        <v>233082961.49289954</v>
      </c>
    </row>
    <row r="3138" spans="1:2" x14ac:dyDescent="0.25">
      <c r="A3138">
        <f ca="1">30039.4246526666*((RANDBETWEEN(1587,2416)))</f>
        <v>58246444.401520491</v>
      </c>
      <c r="B3138">
        <v>203936539.24512273</v>
      </c>
    </row>
    <row r="3139" spans="1:2" x14ac:dyDescent="0.25">
      <c r="A3139">
        <f ca="1">29607.9243744832*((RANDBETWEEN(1587,2416)))</f>
        <v>63301742.312645085</v>
      </c>
      <c r="B3139">
        <v>259661578.54107335</v>
      </c>
    </row>
    <row r="3140" spans="1:2" x14ac:dyDescent="0.25">
      <c r="A3140">
        <f ca="1">36518.9133053564*((RANDBETWEEN(1587,2416)))</f>
        <v>84249132.995457292</v>
      </c>
      <c r="B3140">
        <v>212637802.86768445</v>
      </c>
    </row>
    <row r="3141" spans="1:2" x14ac:dyDescent="0.25">
      <c r="A3141">
        <f ca="1">29987.2963754231*((RANDBETWEEN(1587,2416)))</f>
        <v>59794668.972593613</v>
      </c>
      <c r="B3141">
        <v>218983130.64722508</v>
      </c>
    </row>
    <row r="3142" spans="1:2" x14ac:dyDescent="0.25">
      <c r="A3142">
        <f ca="1">33749.5858414125*((RANDBETWEEN(1587,2416)))</f>
        <v>67904166.712922052</v>
      </c>
      <c r="B3142">
        <v>236315793.78402439</v>
      </c>
    </row>
    <row r="3143" spans="1:2" x14ac:dyDescent="0.25">
      <c r="A3143">
        <f ca="1">33760.8602570344*((RANDBETWEEN(1587,2416)))</f>
        <v>73396110.1987928</v>
      </c>
      <c r="B3143">
        <v>259188779.89146751</v>
      </c>
    </row>
    <row r="3144" spans="1:2" x14ac:dyDescent="0.25">
      <c r="A3144">
        <f ca="1">28583.0827577982*((RANDBETWEEN(1587,2416)))</f>
        <v>46676174.143484421</v>
      </c>
      <c r="B3144">
        <v>231344090.05721629</v>
      </c>
    </row>
    <row r="3145" spans="1:2" x14ac:dyDescent="0.25">
      <c r="A3145">
        <f ca="1">37601.0980432076*((RANDBETWEEN(1587,2416)))</f>
        <v>81030366.283112288</v>
      </c>
      <c r="B3145">
        <v>228374555.27705565</v>
      </c>
    </row>
    <row r="3146" spans="1:2" x14ac:dyDescent="0.25">
      <c r="A3146">
        <f ca="1">36751.6375504868*((RANDBETWEEN(1587,2416)))</f>
        <v>67365751.630042329</v>
      </c>
      <c r="B3146">
        <v>265201424.28916603</v>
      </c>
    </row>
    <row r="3147" spans="1:2" x14ac:dyDescent="0.25">
      <c r="A3147">
        <f ca="1">33470.3547224252*((RANDBETWEEN(1587,2416)))</f>
        <v>76613641.959631309</v>
      </c>
      <c r="B3147">
        <v>264503942.99705505</v>
      </c>
    </row>
    <row r="3148" spans="1:2" x14ac:dyDescent="0.25">
      <c r="A3148">
        <f ca="1">34397.351594692*((RANDBETWEEN(1587,2416)))</f>
        <v>67556398.531975061</v>
      </c>
      <c r="B3148">
        <v>262852641.92831305</v>
      </c>
    </row>
    <row r="3149" spans="1:2" x14ac:dyDescent="0.25">
      <c r="A3149">
        <f ca="1">35542.182795771*((RANDBETWEEN(1587,2416)))</f>
        <v>62838579.182923213</v>
      </c>
      <c r="B3149">
        <v>243888210.66083473</v>
      </c>
    </row>
    <row r="3150" spans="1:2" x14ac:dyDescent="0.25">
      <c r="A3150">
        <f ca="1">32578.9675603869*((RANDBETWEEN(1587,2416)))</f>
        <v>70500885.80067727</v>
      </c>
      <c r="B3150">
        <v>233582281.44142765</v>
      </c>
    </row>
    <row r="3151" spans="1:2" x14ac:dyDescent="0.25">
      <c r="A3151">
        <f ca="1">32961.6456565519*((RANDBETWEEN(1587,2416)))</f>
        <v>77130250.836331546</v>
      </c>
      <c r="B3151">
        <v>247189247.9751074</v>
      </c>
    </row>
    <row r="3152" spans="1:2" x14ac:dyDescent="0.25">
      <c r="A3152">
        <f ca="1">35195.958425106*((RANDBETWEEN(1587,2416)))</f>
        <v>69547213.848009378</v>
      </c>
      <c r="B3152">
        <v>250585663.57386664</v>
      </c>
    </row>
    <row r="3153" spans="1:2" x14ac:dyDescent="0.25">
      <c r="A3153">
        <f ca="1">36288.4654070969*((RANDBETWEEN(1587,2416)))</f>
        <v>58134121.582169287</v>
      </c>
      <c r="B3153">
        <v>266213444.91392308</v>
      </c>
    </row>
    <row r="3154" spans="1:2" x14ac:dyDescent="0.25">
      <c r="A3154">
        <f ca="1">41604.2770925656*((RANDBETWEEN(1587,2416)))</f>
        <v>70644062.503176421</v>
      </c>
      <c r="B3154">
        <v>233559636.14283136</v>
      </c>
    </row>
    <row r="3155" spans="1:2" x14ac:dyDescent="0.25">
      <c r="A3155">
        <f ca="1">31457.5345266128*((RANDBETWEEN(1587,2416)))</f>
        <v>64110455.365236968</v>
      </c>
      <c r="B3155">
        <v>256929694.01007506</v>
      </c>
    </row>
    <row r="3156" spans="1:2" x14ac:dyDescent="0.25">
      <c r="A3156">
        <f ca="1">30781.8907840202*((RANDBETWEEN(1587,2416)))</f>
        <v>52175304.878914267</v>
      </c>
      <c r="B3156">
        <v>262801203.9774189</v>
      </c>
    </row>
    <row r="3157" spans="1:2" x14ac:dyDescent="0.25">
      <c r="A3157">
        <f ca="1">38873.9670378004*((RANDBETWEEN(1587,2416)))</f>
        <v>78175547.713016659</v>
      </c>
      <c r="B3157">
        <v>233304053.10250166</v>
      </c>
    </row>
    <row r="3158" spans="1:2" x14ac:dyDescent="0.25">
      <c r="A3158">
        <f ca="1">31222.3536584978*((RANDBETWEEN(1587,2416)))</f>
        <v>52609665.914568827</v>
      </c>
      <c r="B3158">
        <v>244711396.80503637</v>
      </c>
    </row>
    <row r="3159" spans="1:2" x14ac:dyDescent="0.25">
      <c r="A3159">
        <f ca="1">30093.6725248711*((RANDBETWEEN(1587,2416)))</f>
        <v>54890858.68536488</v>
      </c>
      <c r="B3159">
        <v>256249188.01112825</v>
      </c>
    </row>
    <row r="3160" spans="1:2" x14ac:dyDescent="0.25">
      <c r="A3160">
        <f ca="1">37511.4642453929*((RANDBETWEEN(1587,2416)))</f>
        <v>70971690.352283448</v>
      </c>
      <c r="B3160">
        <v>239222750.06417704</v>
      </c>
    </row>
    <row r="3161" spans="1:2" x14ac:dyDescent="0.25">
      <c r="A3161">
        <f ca="1">31560.4836192503*((RANDBETWEEN(1587,2416)))</f>
        <v>68391568.002915472</v>
      </c>
      <c r="B3161">
        <v>237840690.48699254</v>
      </c>
    </row>
    <row r="3162" spans="1:2" x14ac:dyDescent="0.25">
      <c r="A3162">
        <f ca="1">33988.9721642364*((RANDBETWEEN(1587,2416)))</f>
        <v>57815241.651366241</v>
      </c>
      <c r="B3162">
        <v>259414438.2539781</v>
      </c>
    </row>
    <row r="3163" spans="1:2" x14ac:dyDescent="0.25">
      <c r="A3163">
        <f ca="1">29809.59424483*((RANDBETWEEN(1587,2416)))</f>
        <v>66296537.600501932</v>
      </c>
      <c r="B3163">
        <v>211378704.98184174</v>
      </c>
    </row>
    <row r="3164" spans="1:2" x14ac:dyDescent="0.25">
      <c r="A3164">
        <f ca="1">31386.4283105176*((RANDBETWEEN(1587,2416)))</f>
        <v>64781588.032908291</v>
      </c>
      <c r="B3164">
        <v>267533036.56479603</v>
      </c>
    </row>
    <row r="3165" spans="1:2" x14ac:dyDescent="0.25">
      <c r="A3165">
        <f ca="1">32186.4120275785*((RANDBETWEEN(1587,2416)))</f>
        <v>75927745.973057717</v>
      </c>
      <c r="B3165">
        <v>245097468.33846071</v>
      </c>
    </row>
    <row r="3166" spans="1:2" x14ac:dyDescent="0.25">
      <c r="A3166">
        <f ca="1">31047.661693591*((RANDBETWEEN(1587,2416)))</f>
        <v>50949212.839182913</v>
      </c>
      <c r="B3166">
        <v>262705064.29120338</v>
      </c>
    </row>
    <row r="3167" spans="1:2" x14ac:dyDescent="0.25">
      <c r="A3167">
        <f ca="1">32111.7629626083*((RANDBETWEEN(1587,2416)))</f>
        <v>62650049.540048756</v>
      </c>
      <c r="B3167">
        <v>267051022.00141963</v>
      </c>
    </row>
    <row r="3168" spans="1:2" x14ac:dyDescent="0.25">
      <c r="A3168">
        <f ca="1">38272.0248678189*((RANDBETWEEN(1587,2416)))</f>
        <v>86418232.151535124</v>
      </c>
      <c r="B3168">
        <v>230262931.17586941</v>
      </c>
    </row>
    <row r="3169" spans="1:2" x14ac:dyDescent="0.25">
      <c r="A3169">
        <f ca="1">29173.7321014898*((RANDBETWEEN(1587,2416)))</f>
        <v>68120664.456978753</v>
      </c>
      <c r="B3169">
        <v>253466375.06629825</v>
      </c>
    </row>
    <row r="3170" spans="1:2" x14ac:dyDescent="0.25">
      <c r="A3170">
        <f ca="1">31306.5932241339*((RANDBETWEEN(1587,2416)))</f>
        <v>66839576.533525847</v>
      </c>
      <c r="B3170">
        <v>228088897.80844474</v>
      </c>
    </row>
    <row r="3171" spans="1:2" x14ac:dyDescent="0.25">
      <c r="A3171">
        <f ca="1">28228.6570830099*((RANDBETWEEN(1587,2416)))</f>
        <v>60550469.44305633</v>
      </c>
      <c r="B3171">
        <v>231668030.30119085</v>
      </c>
    </row>
    <row r="3172" spans="1:2" x14ac:dyDescent="0.25">
      <c r="A3172">
        <f ca="1">30496.6414616643*((RANDBETWEEN(1587,2416)))</f>
        <v>70233765.286212772</v>
      </c>
      <c r="B3172">
        <v>235552815.06467986</v>
      </c>
    </row>
    <row r="3173" spans="1:2" x14ac:dyDescent="0.25">
      <c r="A3173">
        <f ca="1">31818.3848160591*((RANDBETWEEN(1587,2416)))</f>
        <v>74677749.163290679</v>
      </c>
      <c r="B3173">
        <v>253405000.19877312</v>
      </c>
    </row>
    <row r="3174" spans="1:2" x14ac:dyDescent="0.25">
      <c r="A3174">
        <f ca="1">29788.3537605204*((RANDBETWEEN(1587,2416)))</f>
        <v>52487079.326037019</v>
      </c>
      <c r="B3174">
        <v>252267453.96265393</v>
      </c>
    </row>
    <row r="3175" spans="1:2" x14ac:dyDescent="0.25">
      <c r="A3175">
        <f ca="1">32193.0767602912*((RANDBETWEEN(1587,2416)))</f>
        <v>76040047.307807699</v>
      </c>
      <c r="B3175">
        <v>233711657.79687387</v>
      </c>
    </row>
    <row r="3176" spans="1:2" x14ac:dyDescent="0.25">
      <c r="A3176">
        <f ca="1">33258.2257619988*((RANDBETWEEN(1587,2416)))</f>
        <v>53778551.057152085</v>
      </c>
      <c r="B3176">
        <v>225586927.89662126</v>
      </c>
    </row>
    <row r="3177" spans="1:2" x14ac:dyDescent="0.25">
      <c r="A3177">
        <f ca="1">36423.3204095451*((RANDBETWEEN(1587,2416)))</f>
        <v>85376263.039973736</v>
      </c>
      <c r="B3177">
        <v>258690806.7767593</v>
      </c>
    </row>
    <row r="3178" spans="1:2" x14ac:dyDescent="0.25">
      <c r="A3178">
        <f ca="1">31277.0464304456*((RANDBETWEEN(1587,2416)))</f>
        <v>71311665.861416027</v>
      </c>
      <c r="B3178">
        <v>231264689.29389563</v>
      </c>
    </row>
    <row r="3179" spans="1:2" x14ac:dyDescent="0.25">
      <c r="A3179">
        <f ca="1">41236.9060692353*((RANDBETWEEN(1587,2416)))</f>
        <v>72040874.902954116</v>
      </c>
      <c r="B3179">
        <v>205243138.68039033</v>
      </c>
    </row>
    <row r="3180" spans="1:2" x14ac:dyDescent="0.25">
      <c r="A3180">
        <f ca="1">28872.0864974544*((RANDBETWEEN(1587,2416)))</f>
        <v>62161602.229019322</v>
      </c>
      <c r="B3180">
        <v>215432294.90365526</v>
      </c>
    </row>
    <row r="3181" spans="1:2" x14ac:dyDescent="0.25">
      <c r="A3181">
        <f ca="1">27798.8215014455*((RANDBETWEEN(1587,2416)))</f>
        <v>53957512.534305759</v>
      </c>
      <c r="B3181">
        <v>253440171.2065776</v>
      </c>
    </row>
    <row r="3182" spans="1:2" x14ac:dyDescent="0.25">
      <c r="A3182">
        <f ca="1">35276.9592207726*((RANDBETWEEN(1587,2416)))</f>
        <v>56619519.549339958</v>
      </c>
      <c r="B3182">
        <v>255748640.97007585</v>
      </c>
    </row>
    <row r="3183" spans="1:2" x14ac:dyDescent="0.25">
      <c r="A3183">
        <f ca="1">31103.5444592333*((RANDBETWEEN(1587,2416)))</f>
        <v>52720507.858400427</v>
      </c>
      <c r="B3183">
        <v>233912551.15252417</v>
      </c>
    </row>
    <row r="3184" spans="1:2" x14ac:dyDescent="0.25">
      <c r="A3184">
        <f ca="1">32855.0352509165*((RANDBETWEEN(1587,2416)))</f>
        <v>71065441.247732475</v>
      </c>
      <c r="B3184">
        <v>257893354.62881696</v>
      </c>
    </row>
    <row r="3185" spans="1:2" x14ac:dyDescent="0.25">
      <c r="A3185">
        <f ca="1">38009.6399761316*((RANDBETWEEN(1587,2416)))</f>
        <v>84989554.986630201</v>
      </c>
      <c r="B3185">
        <v>223632352.83380094</v>
      </c>
    </row>
    <row r="3186" spans="1:2" x14ac:dyDescent="0.25">
      <c r="A3186">
        <f ca="1">31552.0529605357*((RANDBETWEEN(1587,2416)))</f>
        <v>50073108.048370205</v>
      </c>
      <c r="B3186">
        <v>205872136.29561925</v>
      </c>
    </row>
    <row r="3187" spans="1:2" x14ac:dyDescent="0.25">
      <c r="A3187">
        <f ca="1">37590.8741896841*((RANDBETWEEN(1587,2416)))</f>
        <v>65596075.460998833</v>
      </c>
      <c r="B3187">
        <v>215158074.96221963</v>
      </c>
    </row>
    <row r="3188" spans="1:2" x14ac:dyDescent="0.25">
      <c r="A3188">
        <f ca="1">39709.9179700271*((RANDBETWEEN(1587,2416)))</f>
        <v>87838338.549699858</v>
      </c>
      <c r="B3188">
        <v>259815610.96797228</v>
      </c>
    </row>
    <row r="3189" spans="1:2" x14ac:dyDescent="0.25">
      <c r="A3189">
        <f ca="1">29739.8423534187*((RANDBETWEEN(1587,2416)))</f>
        <v>49843975.784329779</v>
      </c>
      <c r="B3189">
        <v>238684523.96466294</v>
      </c>
    </row>
    <row r="3190" spans="1:2" x14ac:dyDescent="0.25">
      <c r="A3190">
        <f ca="1">37041.0086491138*((RANDBETWEEN(1587,2416)))</f>
        <v>61339910.322932534</v>
      </c>
      <c r="B3190">
        <v>230210047.67136359</v>
      </c>
    </row>
    <row r="3191" spans="1:2" x14ac:dyDescent="0.25">
      <c r="A3191">
        <f ca="1">31793.1637124891*((RANDBETWEEN(1587,2416)))</f>
        <v>63586327.424978271</v>
      </c>
      <c r="B3191">
        <v>231170817.2098524</v>
      </c>
    </row>
    <row r="3192" spans="1:2" x14ac:dyDescent="0.25">
      <c r="A3192">
        <f ca="1">31309.7466572554*((RANDBETWEEN(1587,2416)))</f>
        <v>59206730.928869903</v>
      </c>
      <c r="B3192">
        <v>245707436.95821768</v>
      </c>
    </row>
    <row r="3193" spans="1:2" x14ac:dyDescent="0.25">
      <c r="A3193">
        <f ca="1">37117.0404806519*((RANDBETWEEN(1587,2416)))</f>
        <v>60797712.30730781</v>
      </c>
      <c r="B3193">
        <v>216186972.95254058</v>
      </c>
    </row>
    <row r="3194" spans="1:2" x14ac:dyDescent="0.25">
      <c r="A3194">
        <f ca="1">30754.9994840817*((RANDBETWEEN(1587,2416)))</f>
        <v>71320843.803585351</v>
      </c>
      <c r="B3194">
        <v>204613570.12120146</v>
      </c>
    </row>
    <row r="3195" spans="1:2" x14ac:dyDescent="0.25">
      <c r="A3195">
        <f ca="1">34097.336180083*((RANDBETWEEN(1587,2416)))</f>
        <v>60420479.711107083</v>
      </c>
      <c r="B3195">
        <v>234074011.61783889</v>
      </c>
    </row>
    <row r="3196" spans="1:2" x14ac:dyDescent="0.25">
      <c r="A3196">
        <f ca="1">32976.4626853952*((RANDBETWEEN(1587,2416)))</f>
        <v>75219311.385386601</v>
      </c>
      <c r="B3196">
        <v>218814834.28882048</v>
      </c>
    </row>
    <row r="3197" spans="1:2" x14ac:dyDescent="0.25">
      <c r="A3197">
        <f ca="1">31157.2365802641*((RANDBETWEEN(1587,2416)))</f>
        <v>55335252.166549072</v>
      </c>
      <c r="B3197">
        <v>231027815.39084303</v>
      </c>
    </row>
    <row r="3198" spans="1:2" x14ac:dyDescent="0.25">
      <c r="A3198">
        <f ca="1">29504.1393221348*((RANDBETWEEN(1587,2416)))</f>
        <v>69895306.054137379</v>
      </c>
      <c r="B3198">
        <v>236782703.18614453</v>
      </c>
    </row>
    <row r="3199" spans="1:2" x14ac:dyDescent="0.25">
      <c r="A3199">
        <f ca="1">32928.4703093032*((RANDBETWEEN(1587,2416)))</f>
        <v>56571111.991382912</v>
      </c>
      <c r="B3199">
        <v>205215975.79497069</v>
      </c>
    </row>
    <row r="3200" spans="1:2" x14ac:dyDescent="0.25">
      <c r="A3200">
        <f ca="1">28991.0830369716*((RANDBETWEEN(1587,2416)))</f>
        <v>66157651.490369253</v>
      </c>
      <c r="B3200">
        <v>233560376.67994463</v>
      </c>
    </row>
    <row r="3201" spans="1:2" x14ac:dyDescent="0.25">
      <c r="A3201">
        <f ca="1">28610.4264525803*((RANDBETWEEN(1587,2416)))</f>
        <v>67749489.839710221</v>
      </c>
      <c r="B3201">
        <v>245644333.06360611</v>
      </c>
    </row>
    <row r="3202" spans="1:2" x14ac:dyDescent="0.25">
      <c r="A3202">
        <f ca="1">31801.1620395922*((RANDBETWEEN(1587,2416)))</f>
        <v>60263202.065027237</v>
      </c>
      <c r="B3202">
        <v>223212268.02778226</v>
      </c>
    </row>
    <row r="3203" spans="1:2" x14ac:dyDescent="0.25">
      <c r="A3203">
        <f ca="1">30347.5640621057*((RANDBETWEEN(1587,2416)))</f>
        <v>56507164.283640899</v>
      </c>
      <c r="B3203">
        <v>209243300.40239909</v>
      </c>
    </row>
    <row r="3204" spans="1:2" x14ac:dyDescent="0.25">
      <c r="A3204">
        <f ca="1">30839.1117629036*((RANDBETWEEN(1587,2416)))</f>
        <v>49126705.038305417</v>
      </c>
      <c r="B3204">
        <v>208495068.38749394</v>
      </c>
    </row>
    <row r="3205" spans="1:2" x14ac:dyDescent="0.25">
      <c r="A3205">
        <f ca="1">31646.2703823808*((RANDBETWEEN(1587,2416)))</f>
        <v>76394096.703067258</v>
      </c>
      <c r="B3205">
        <v>237128643.17120713</v>
      </c>
    </row>
    <row r="3206" spans="1:2" x14ac:dyDescent="0.25">
      <c r="A3206">
        <f ca="1">40332.5403979192*((RANDBETWEEN(1587,2416)))</f>
        <v>86674629.315128401</v>
      </c>
      <c r="B3206">
        <v>247348017.06585789</v>
      </c>
    </row>
    <row r="3207" spans="1:2" x14ac:dyDescent="0.25">
      <c r="A3207">
        <f ca="1">31089.0647984765*((RANDBETWEEN(1587,2416)))</f>
        <v>52633786.703820758</v>
      </c>
      <c r="B3207">
        <v>240416744.37614626</v>
      </c>
    </row>
    <row r="3208" spans="1:2" x14ac:dyDescent="0.25">
      <c r="A3208">
        <f ca="1">32937.4907820035*((RANDBETWEEN(1587,2416)))</f>
        <v>66303168.944173016</v>
      </c>
      <c r="B3208">
        <v>210060278.82231233</v>
      </c>
    </row>
    <row r="3209" spans="1:2" x14ac:dyDescent="0.25">
      <c r="A3209">
        <f ca="1">32998.234833355*((RANDBETWEEN(1587,2416)))</f>
        <v>77446857.153884113</v>
      </c>
      <c r="B3209">
        <v>256919341.17712182</v>
      </c>
    </row>
    <row r="3210" spans="1:2" x14ac:dyDescent="0.25">
      <c r="A3210">
        <f ca="1">40362.4622310616*((RANDBETWEEN(1587,2416)))</f>
        <v>70149959.357585087</v>
      </c>
      <c r="B3210">
        <v>222364416.32861602</v>
      </c>
    </row>
    <row r="3211" spans="1:2" x14ac:dyDescent="0.25">
      <c r="A3211">
        <f ca="1">31308.4961472002*((RANDBETWEEN(1587,2416)))</f>
        <v>53537528.411712281</v>
      </c>
      <c r="B3211">
        <v>245797481.11543366</v>
      </c>
    </row>
    <row r="3212" spans="1:2" x14ac:dyDescent="0.25">
      <c r="A3212">
        <f ca="1">38119.7964394033*((RANDBETWEEN(1587,2416)))</f>
        <v>90305797.764946416</v>
      </c>
      <c r="B3212">
        <v>254893384.04533398</v>
      </c>
    </row>
    <row r="3213" spans="1:2" x14ac:dyDescent="0.25">
      <c r="A3213">
        <f ca="1">29650.9211251328*((RANDBETWEEN(1587,2416)))</f>
        <v>69738966.486312285</v>
      </c>
      <c r="B3213">
        <v>241962682.72670978</v>
      </c>
    </row>
    <row r="3214" spans="1:2" x14ac:dyDescent="0.25">
      <c r="A3214">
        <f ca="1">40005.2812259795*((RANDBETWEEN(1587,2416)))</f>
        <v>94812516.505571559</v>
      </c>
      <c r="B3214">
        <v>212187263.44596028</v>
      </c>
    </row>
    <row r="3215" spans="1:2" x14ac:dyDescent="0.25">
      <c r="A3215">
        <f ca="1">33878.9062577566*((RANDBETWEEN(1587,2416)))</f>
        <v>70502003.922391519</v>
      </c>
      <c r="B3215">
        <v>224097759.11400485</v>
      </c>
    </row>
    <row r="3216" spans="1:2" x14ac:dyDescent="0.25">
      <c r="A3216">
        <f ca="1">31378.5011544378*((RANDBETWEEN(1587,2416)))</f>
        <v>68342375.514365435</v>
      </c>
      <c r="B3216">
        <v>205300983.2271547</v>
      </c>
    </row>
    <row r="3217" spans="1:2" x14ac:dyDescent="0.25">
      <c r="A3217">
        <f ca="1">38507.4258904973*((RANDBETWEEN(1587,2416)))</f>
        <v>67619039.863713324</v>
      </c>
      <c r="B3217">
        <v>253857822.93547365</v>
      </c>
    </row>
    <row r="3218" spans="1:2" x14ac:dyDescent="0.25">
      <c r="A3218">
        <f ca="1">33496.9925107512*((RANDBETWEEN(1587,2416)))</f>
        <v>75167251.194125697</v>
      </c>
      <c r="B3218">
        <v>251555464.21835434</v>
      </c>
    </row>
    <row r="3219" spans="1:2" x14ac:dyDescent="0.25">
      <c r="A3219">
        <f ca="1">39806.7860235364*((RANDBETWEEN(1587,2416)))</f>
        <v>95416866.098416716</v>
      </c>
      <c r="B3219">
        <v>229316351.36876979</v>
      </c>
    </row>
    <row r="3220" spans="1:2" x14ac:dyDescent="0.25">
      <c r="A3220">
        <f ca="1">29859.8062933634*((RANDBETWEEN(1587,2416)))</f>
        <v>63004191.278996706</v>
      </c>
      <c r="B3220">
        <v>252671666.72763389</v>
      </c>
    </row>
    <row r="3221" spans="1:2" x14ac:dyDescent="0.25">
      <c r="A3221">
        <f ca="1">36476.7445078829*((RANDBETWEEN(1587,2416)))</f>
        <v>81416093.741594672</v>
      </c>
      <c r="B3221">
        <v>213101661.24727234</v>
      </c>
    </row>
    <row r="3222" spans="1:2" x14ac:dyDescent="0.25">
      <c r="A3222">
        <f ca="1">34294.8862765195*((RANDBETWEEN(1587,2416)))</f>
        <v>55797779.971897252</v>
      </c>
      <c r="B3222">
        <v>250862393.72155941</v>
      </c>
    </row>
    <row r="3223" spans="1:2" x14ac:dyDescent="0.25">
      <c r="A3223">
        <f ca="1">39009.4460049691*((RANDBETWEEN(1587,2416)))</f>
        <v>69046719.428795278</v>
      </c>
      <c r="B3223">
        <v>227371395.77404645</v>
      </c>
    </row>
    <row r="3224" spans="1:2" x14ac:dyDescent="0.25">
      <c r="A3224">
        <f ca="1">31547.8581263789*((RANDBETWEEN(1587,2416)))</f>
        <v>53189688.801074788</v>
      </c>
      <c r="B3224">
        <v>242489407.56147772</v>
      </c>
    </row>
    <row r="3225" spans="1:2" x14ac:dyDescent="0.25">
      <c r="A3225">
        <f ca="1">30038.5766747005*((RANDBETWEEN(1587,2416)))</f>
        <v>70620693.762220919</v>
      </c>
      <c r="B3225">
        <v>262925159.02497071</v>
      </c>
    </row>
    <row r="3226" spans="1:2" x14ac:dyDescent="0.25">
      <c r="A3226">
        <f ca="1">31968.0246203038*((RANDBETWEEN(1587,2416)))</f>
        <v>73494488.602078483</v>
      </c>
      <c r="B3226">
        <v>247761780.08128408</v>
      </c>
    </row>
    <row r="3227" spans="1:2" x14ac:dyDescent="0.25">
      <c r="A3227">
        <f ca="1">28734.6080560393*((RANDBETWEEN(1587,2416)))</f>
        <v>49797075.761116087</v>
      </c>
      <c r="B3227">
        <v>234580634.17838055</v>
      </c>
    </row>
    <row r="3228" spans="1:2" x14ac:dyDescent="0.25">
      <c r="A3228">
        <f ca="1">31689.7606860077*((RANDBETWEEN(1587,2416)))</f>
        <v>55995807.13217552</v>
      </c>
      <c r="B3228">
        <v>232901776.21736136</v>
      </c>
    </row>
    <row r="3229" spans="1:2" x14ac:dyDescent="0.25">
      <c r="A3229">
        <f ca="1">31075.8680452166*((RANDBETWEEN(1587,2416)))</f>
        <v>51834547.899421386</v>
      </c>
      <c r="B3229">
        <v>240820444.51818165</v>
      </c>
    </row>
    <row r="3230" spans="1:2" x14ac:dyDescent="0.25">
      <c r="A3230">
        <f ca="1">39429.8659117321*((RANDBETWEEN(1587,2416)))</f>
        <v>76888238.527877614</v>
      </c>
      <c r="B3230">
        <v>253049507.77950311</v>
      </c>
    </row>
    <row r="3231" spans="1:2" x14ac:dyDescent="0.25">
      <c r="A3231">
        <f ca="1">30173.0555902805*((RANDBETWEEN(1587,2416)))</f>
        <v>51233848.392296284</v>
      </c>
      <c r="B3231">
        <v>212103316.2204541</v>
      </c>
    </row>
    <row r="3232" spans="1:2" x14ac:dyDescent="0.25">
      <c r="A3232">
        <f ca="1">33278.6637102947*((RANDBETWEEN(1587,2416)))</f>
        <v>66124704.792355478</v>
      </c>
      <c r="B3232">
        <v>239017624.49532557</v>
      </c>
    </row>
    <row r="3233" spans="1:2" x14ac:dyDescent="0.25">
      <c r="A3233">
        <f ca="1">35725.3914439581*((RANDBETWEEN(1587,2416)))</f>
        <v>64841585.470783867</v>
      </c>
      <c r="B3233">
        <v>231784000.11028212</v>
      </c>
    </row>
    <row r="3234" spans="1:2" x14ac:dyDescent="0.25">
      <c r="A3234">
        <f ca="1">31951.4332889771*((RANDBETWEEN(1587,2416)))</f>
        <v>77098808.526301786</v>
      </c>
      <c r="B3234">
        <v>253379435.84917754</v>
      </c>
    </row>
    <row r="3235" spans="1:2" x14ac:dyDescent="0.25">
      <c r="A3235">
        <f ca="1">33392.5968776472*((RANDBETWEEN(1587,2416)))</f>
        <v>64748245.345757931</v>
      </c>
      <c r="B3235">
        <v>257172271.67688137</v>
      </c>
    </row>
    <row r="3236" spans="1:2" x14ac:dyDescent="0.25">
      <c r="A3236">
        <f ca="1">37770.5253114301*((RANDBETWEEN(1587,2416)))</f>
        <v>63492253.048514046</v>
      </c>
      <c r="B3236">
        <v>214104902.4980379</v>
      </c>
    </row>
    <row r="3237" spans="1:2" x14ac:dyDescent="0.25">
      <c r="A3237">
        <f ca="1">31096.0731731968*((RANDBETWEEN(1587,2416)))</f>
        <v>70463701.810464039</v>
      </c>
      <c r="B3237">
        <v>264844131.76816255</v>
      </c>
    </row>
    <row r="3238" spans="1:2" x14ac:dyDescent="0.25">
      <c r="A3238">
        <f ca="1">38243.6391526753*((RANDBETWEEN(1587,2416)))</f>
        <v>84174249.775038257</v>
      </c>
      <c r="B3238">
        <v>233357613.23963138</v>
      </c>
    </row>
    <row r="3239" spans="1:2" x14ac:dyDescent="0.25">
      <c r="A3239">
        <f ca="1">29004.4498830074*((RANDBETWEEN(1587,2416)))</f>
        <v>46871191.010939904</v>
      </c>
      <c r="B3239">
        <v>213271945.06277665</v>
      </c>
    </row>
    <row r="3240" spans="1:2" x14ac:dyDescent="0.25">
      <c r="A3240">
        <f ca="1">29996.5727518508*((RANDBETWEEN(1587,2416)))</f>
        <v>60053138.649205215</v>
      </c>
      <c r="B3240">
        <v>232933474.68018591</v>
      </c>
    </row>
    <row r="3241" spans="1:2" x14ac:dyDescent="0.25">
      <c r="A3241">
        <f ca="1">31565.5973799003*((RANDBETWEEN(1587,2416)))</f>
        <v>64425384.25237646</v>
      </c>
      <c r="B3241">
        <v>215257161.20656651</v>
      </c>
    </row>
    <row r="3242" spans="1:2" x14ac:dyDescent="0.25">
      <c r="A3242">
        <f ca="1">29353.5838480615*((RANDBETWEEN(1587,2416)))</f>
        <v>53658351.274256408</v>
      </c>
      <c r="B3242">
        <v>234051217.16065198</v>
      </c>
    </row>
    <row r="3243" spans="1:2" x14ac:dyDescent="0.25">
      <c r="A3243">
        <f ca="1">38993.6375679668*((RANDBETWEEN(1587,2416)))</f>
        <v>73074076.802369878</v>
      </c>
      <c r="B3243">
        <v>220834685.43708971</v>
      </c>
    </row>
    <row r="3244" spans="1:2" x14ac:dyDescent="0.25">
      <c r="A3244">
        <f ca="1">32278.3528530562*((RANDBETWEEN(1587,2416)))</f>
        <v>51516251.153477713</v>
      </c>
      <c r="B3244">
        <v>231896418.92689216</v>
      </c>
    </row>
    <row r="3245" spans="1:2" x14ac:dyDescent="0.25">
      <c r="A3245">
        <f ca="1">29315.2445428434*((RANDBETWEEN(1587,2416)))</f>
        <v>65900669.732311986</v>
      </c>
      <c r="B3245">
        <v>256346949.41680145</v>
      </c>
    </row>
    <row r="3246" spans="1:2" x14ac:dyDescent="0.25">
      <c r="A3246">
        <f ca="1">31132.4172706437*((RANDBETWEEN(1587,2416)))</f>
        <v>69269628.427182317</v>
      </c>
      <c r="B3246">
        <v>230310644.26766565</v>
      </c>
    </row>
    <row r="3247" spans="1:2" x14ac:dyDescent="0.25">
      <c r="A3247">
        <f ca="1">38395.049596029*((RANDBETWEEN(1587,2416)))</f>
        <v>74678371.464276418</v>
      </c>
      <c r="B3247">
        <v>256263776.16038457</v>
      </c>
    </row>
    <row r="3248" spans="1:2" x14ac:dyDescent="0.25">
      <c r="A3248">
        <f ca="1">33970.1901831074*((RANDBETWEEN(1587,2416)))</f>
        <v>61282223.090325758</v>
      </c>
      <c r="B3248">
        <v>220370746.81273797</v>
      </c>
    </row>
    <row r="3249" spans="1:2" x14ac:dyDescent="0.25">
      <c r="A3249">
        <f ca="1">39027.5838841203*((RANDBETWEEN(1587,2416)))</f>
        <v>83362919.176480889</v>
      </c>
      <c r="B3249">
        <v>222289933.24389023</v>
      </c>
    </row>
    <row r="3250" spans="1:2" x14ac:dyDescent="0.25">
      <c r="A3250">
        <f ca="1">32969.7189471239*((RANDBETWEEN(1587,2416)))</f>
        <v>77412900.087846816</v>
      </c>
      <c r="B3250">
        <v>256998800.82413992</v>
      </c>
    </row>
    <row r="3251" spans="1:2" x14ac:dyDescent="0.25">
      <c r="A3251">
        <f ca="1">38364.0524107214*((RANDBETWEEN(1587,2416)))</f>
        <v>70589856.435727343</v>
      </c>
      <c r="B3251">
        <v>253841453.48767731</v>
      </c>
    </row>
    <row r="3252" spans="1:2" x14ac:dyDescent="0.25">
      <c r="A3252">
        <f ca="1">29996.5599166874*((RANDBETWEEN(1587,2416)))</f>
        <v>49884279.141451217</v>
      </c>
      <c r="B3252">
        <v>262738896.84191239</v>
      </c>
    </row>
    <row r="3253" spans="1:2" x14ac:dyDescent="0.25">
      <c r="A3253">
        <f ca="1">31129.3072325284*((RANDBETWEEN(1587,2416)))</f>
        <v>52390624.072345264</v>
      </c>
      <c r="B3253">
        <v>209124644.83298337</v>
      </c>
    </row>
    <row r="3254" spans="1:2" x14ac:dyDescent="0.25">
      <c r="A3254">
        <f ca="1">33681.8019461159*((RANDBETWEEN(1587,2416)))</f>
        <v>80129006.82980983</v>
      </c>
      <c r="B3254">
        <v>206013576.4394542</v>
      </c>
    </row>
    <row r="3255" spans="1:2" x14ac:dyDescent="0.25">
      <c r="A3255">
        <f ca="1">42022.3990891325*((RANDBETWEEN(1587,2416)))</f>
        <v>86187940.53181082</v>
      </c>
      <c r="B3255">
        <v>244532941.07712755</v>
      </c>
    </row>
    <row r="3256" spans="1:2" x14ac:dyDescent="0.25">
      <c r="A3256">
        <f ca="1">32515.4284456835*((RANDBETWEEN(1587,2416)))</f>
        <v>57649854.634196773</v>
      </c>
      <c r="B3256">
        <v>230380929.42955631</v>
      </c>
    </row>
    <row r="3257" spans="1:2" x14ac:dyDescent="0.25">
      <c r="A3257">
        <f ca="1">34422.0423021719*((RANDBETWEEN(1587,2416)))</f>
        <v>55591598.318007663</v>
      </c>
      <c r="B3257">
        <v>253428041.04248223</v>
      </c>
    </row>
    <row r="3258" spans="1:2" x14ac:dyDescent="0.25">
      <c r="A3258">
        <f ca="1">29096.2179225775*((RANDBETWEEN(1587,2416)))</f>
        <v>53624329.631310418</v>
      </c>
      <c r="B3258">
        <v>259867933.58160543</v>
      </c>
    </row>
    <row r="3259" spans="1:2" x14ac:dyDescent="0.25">
      <c r="A3259">
        <f ca="1">39800.8354253721*((RANDBETWEEN(1587,2416)))</f>
        <v>94288179.122706398</v>
      </c>
      <c r="B3259">
        <v>264894650.26502338</v>
      </c>
    </row>
    <row r="3260" spans="1:2" x14ac:dyDescent="0.25">
      <c r="A3260">
        <f ca="1">30511.5523001948*((RANDBETWEEN(1587,2416)))</f>
        <v>68010250.077134326</v>
      </c>
      <c r="B3260">
        <v>250333337.18128818</v>
      </c>
    </row>
    <row r="3261" spans="1:2" x14ac:dyDescent="0.25">
      <c r="A3261">
        <f ca="1">40068.4458981448*((RANDBETWEEN(1587,2416)))</f>
        <v>93199205.159084886</v>
      </c>
      <c r="B3261">
        <v>256277066.72311175</v>
      </c>
    </row>
    <row r="3262" spans="1:2" x14ac:dyDescent="0.25">
      <c r="A3262">
        <f ca="1">33603.5456708365*((RANDBETWEEN(1587,2416)))</f>
        <v>57260441.823105365</v>
      </c>
      <c r="B3262">
        <v>263638113.33037165</v>
      </c>
    </row>
    <row r="3263" spans="1:2" x14ac:dyDescent="0.25">
      <c r="A3263">
        <f ca="1">36349.9636199614*((RANDBETWEEN(1587,2416)))</f>
        <v>72445477.49458304</v>
      </c>
      <c r="B3263">
        <v>266544381.60481012</v>
      </c>
    </row>
    <row r="3264" spans="1:2" x14ac:dyDescent="0.25">
      <c r="A3264">
        <f ca="1">28414.6190738044*((RANDBETWEEN(1587,2416)))</f>
        <v>55777897.241878122</v>
      </c>
      <c r="B3264">
        <v>260084936.98639697</v>
      </c>
    </row>
    <row r="3265" spans="1:2" x14ac:dyDescent="0.25">
      <c r="A3265">
        <f ca="1">36583.472272654*((RANDBETWEEN(1587,2416)))</f>
        <v>65411248.423505373</v>
      </c>
      <c r="B3265">
        <v>260249283.38574111</v>
      </c>
    </row>
    <row r="3266" spans="1:2" x14ac:dyDescent="0.25">
      <c r="A3266">
        <f ca="1">40098.2545131056*((RANDBETWEEN(1587,2416)))</f>
        <v>76547567.86551851</v>
      </c>
      <c r="B3266">
        <v>232533764.64566749</v>
      </c>
    </row>
    <row r="3267" spans="1:2" x14ac:dyDescent="0.25">
      <c r="A3267">
        <f ca="1">38286.8117674391*((RANDBETWEEN(1587,2416)))</f>
        <v>74889003.817110971</v>
      </c>
      <c r="B3267">
        <v>205200453.24096614</v>
      </c>
    </row>
    <row r="3268" spans="1:2" x14ac:dyDescent="0.25">
      <c r="A3268">
        <f ca="1">32409.2145269054*((RANDBETWEEN(1587,2416)))</f>
        <v>74281919.695667252</v>
      </c>
      <c r="B3268">
        <v>205808921.26233563</v>
      </c>
    </row>
    <row r="3269" spans="1:2" x14ac:dyDescent="0.25">
      <c r="A3269">
        <f ca="1">38335.3742489981*((RANDBETWEEN(1587,2416)))</f>
        <v>66818557.316003703</v>
      </c>
      <c r="B3269">
        <v>231222573.23438701</v>
      </c>
    </row>
    <row r="3270" spans="1:2" x14ac:dyDescent="0.25">
      <c r="A3270">
        <f ca="1">31107.5875156812*((RANDBETWEEN(1587,2416)))</f>
        <v>69183274.634875059</v>
      </c>
      <c r="B3270">
        <v>221553852.90564159</v>
      </c>
    </row>
    <row r="3271" spans="1:2" x14ac:dyDescent="0.25">
      <c r="A3271">
        <f ca="1">31871.8228568392*((RANDBETWEEN(1587,2416)))</f>
        <v>71106036.793608308</v>
      </c>
      <c r="B3271">
        <v>250388661.20669127</v>
      </c>
    </row>
    <row r="3272" spans="1:2" x14ac:dyDescent="0.25">
      <c r="A3272">
        <f ca="1">30601.0768207412*((RANDBETWEEN(1587,2416)))</f>
        <v>51471011.212486662</v>
      </c>
      <c r="B3272">
        <v>235338861.25589201</v>
      </c>
    </row>
    <row r="3273" spans="1:2" x14ac:dyDescent="0.25">
      <c r="A3273">
        <f ca="1">38205.6995435397*((RANDBETWEEN(1587,2416)))</f>
        <v>70795161.254178986</v>
      </c>
      <c r="B3273">
        <v>228808375.08959925</v>
      </c>
    </row>
    <row r="3274" spans="1:2" x14ac:dyDescent="0.25">
      <c r="A3274">
        <f ca="1">34590.2160887984*((RANDBETWEEN(1587,2416)))</f>
        <v>79626677.436413914</v>
      </c>
      <c r="B3274">
        <v>249048111.44952217</v>
      </c>
    </row>
    <row r="3275" spans="1:2" x14ac:dyDescent="0.25">
      <c r="A3275">
        <f ca="1">36180.6897698419*((RANDBETWEEN(1587,2416)))</f>
        <v>82347249.916160077</v>
      </c>
      <c r="B3275">
        <v>242391638.11386457</v>
      </c>
    </row>
    <row r="3276" spans="1:2" x14ac:dyDescent="0.25">
      <c r="A3276">
        <f ca="1">40229.2872453738*((RANDBETWEEN(1587,2416)))</f>
        <v>97033040.835841492</v>
      </c>
      <c r="B3276">
        <v>260064954.61957523</v>
      </c>
    </row>
    <row r="3277" spans="1:2" x14ac:dyDescent="0.25">
      <c r="A3277">
        <f ca="1">36840.7484373542*((RANDBETWEEN(1587,2416)))</f>
        <v>67455410.388795555</v>
      </c>
      <c r="B3277">
        <v>209981171.48932418</v>
      </c>
    </row>
    <row r="3278" spans="1:2" x14ac:dyDescent="0.25">
      <c r="A3278">
        <f ca="1">38005.7546788082*((RANDBETWEEN(1587,2416)))</f>
        <v>67764260.592315033</v>
      </c>
      <c r="B3278">
        <v>251979306.70097056</v>
      </c>
    </row>
    <row r="3279" spans="1:2" x14ac:dyDescent="0.25">
      <c r="A3279">
        <f ca="1">32144.6303312717*((RANDBETWEEN(1587,2416)))</f>
        <v>52813627.634279363</v>
      </c>
      <c r="B3279">
        <v>264417392.80900526</v>
      </c>
    </row>
    <row r="3280" spans="1:2" x14ac:dyDescent="0.25">
      <c r="A3280">
        <f ca="1">35134.7288189163*((RANDBETWEEN(1587,2416)))</f>
        <v>76066687.892953843</v>
      </c>
      <c r="B3280">
        <v>250255078.55842546</v>
      </c>
    </row>
    <row r="3281" spans="1:2" x14ac:dyDescent="0.25">
      <c r="A3281">
        <f ca="1">39837.7045610769*((RANDBETWEEN(1587,2416)))</f>
        <v>85173012.351582512</v>
      </c>
      <c r="B3281">
        <v>238971679.60365188</v>
      </c>
    </row>
    <row r="3282" spans="1:2" x14ac:dyDescent="0.25">
      <c r="A3282">
        <f ca="1">28562.9921417334*((RANDBETWEEN(1587,2416)))</f>
        <v>66580334.682380475</v>
      </c>
      <c r="B3282">
        <v>219400794.6233089</v>
      </c>
    </row>
    <row r="3283" spans="1:2" x14ac:dyDescent="0.25">
      <c r="A3283">
        <f ca="1">38368.0617084576*((RANDBETWEEN(1587,2416)))</f>
        <v>78692894.564046472</v>
      </c>
      <c r="B3283">
        <v>264471682.03920978</v>
      </c>
    </row>
    <row r="3284" spans="1:2" x14ac:dyDescent="0.25">
      <c r="A3284">
        <f ca="1">31879.9046320302*((RANDBETWEEN(1587,2416)))</f>
        <v>54195837.874451265</v>
      </c>
      <c r="B3284">
        <v>228261479.62340346</v>
      </c>
    </row>
    <row r="3285" spans="1:2" x14ac:dyDescent="0.25">
      <c r="A3285">
        <f ca="1">31172.7379418046*((RANDBETWEEN(1587,2416)))</f>
        <v>66210895.388393</v>
      </c>
      <c r="B3285">
        <v>255889656.00687858</v>
      </c>
    </row>
    <row r="3286" spans="1:2" x14ac:dyDescent="0.25">
      <c r="A3286">
        <f ca="1">30389.7563563762*((RANDBETWEEN(1587,2416)))</f>
        <v>63180303.464906022</v>
      </c>
      <c r="B3286">
        <v>223857351.35747233</v>
      </c>
    </row>
    <row r="3287" spans="1:2" x14ac:dyDescent="0.25">
      <c r="A3287">
        <f ca="1">39775.6080342658*((RANDBETWEEN(1587,2416)))</f>
        <v>72232504.190226614</v>
      </c>
      <c r="B3287">
        <v>250331319.67768386</v>
      </c>
    </row>
    <row r="3288" spans="1:2" x14ac:dyDescent="0.25">
      <c r="A3288">
        <f ca="1">36252.56598611*((RANDBETWEEN(1587,2416)))</f>
        <v>58185368.407706499</v>
      </c>
      <c r="B3288">
        <v>213653318.9408555</v>
      </c>
    </row>
    <row r="3289" spans="1:2" x14ac:dyDescent="0.25">
      <c r="A3289">
        <f ca="1">36187.0394620697*((RANDBETWEEN(1587,2416)))</f>
        <v>78381127.474843025</v>
      </c>
      <c r="B3289">
        <v>245407323.81214383</v>
      </c>
    </row>
    <row r="3290" spans="1:2" x14ac:dyDescent="0.25">
      <c r="A3290">
        <f ca="1">36253.1549208523*((RANDBETWEEN(1587,2416)))</f>
        <v>85629951.923053145</v>
      </c>
      <c r="B3290">
        <v>242178814.34921095</v>
      </c>
    </row>
    <row r="3291" spans="1:2" x14ac:dyDescent="0.25">
      <c r="A3291">
        <f ca="1">35307.1670323035*((RANDBETWEEN(1587,2416)))</f>
        <v>71214555.904156178</v>
      </c>
      <c r="B3291">
        <v>256529786.99394646</v>
      </c>
    </row>
    <row r="3292" spans="1:2" x14ac:dyDescent="0.25">
      <c r="A3292">
        <f ca="1">34688.1015827502*((RANDBETWEEN(1587,2416)))</f>
        <v>68959945.94650732</v>
      </c>
      <c r="B3292">
        <v>262120396.79094362</v>
      </c>
    </row>
    <row r="3293" spans="1:2" x14ac:dyDescent="0.25">
      <c r="A3293">
        <f ca="1">29629.1352539119*((RANDBETWEEN(1587,2416)))</f>
        <v>56562019.19971779</v>
      </c>
      <c r="B3293">
        <v>250613059.76965994</v>
      </c>
    </row>
    <row r="3294" spans="1:2" x14ac:dyDescent="0.25">
      <c r="A3294">
        <f ca="1">29184.9358222357*((RANDBETWEEN(1587,2416)))</f>
        <v>69751996.615143254</v>
      </c>
      <c r="B3294">
        <v>219489558.96405035</v>
      </c>
    </row>
    <row r="3295" spans="1:2" x14ac:dyDescent="0.25">
      <c r="A3295">
        <f ca="1">30446.0973605746*((RANDBETWEEN(1587,2416)))</f>
        <v>51545242.831452869</v>
      </c>
      <c r="B3295">
        <v>256761812.40797549</v>
      </c>
    </row>
    <row r="3296" spans="1:2" x14ac:dyDescent="0.25">
      <c r="A3296">
        <f ca="1">29831.8163582265*((RANDBETWEEN(1587,2416)))</f>
        <v>52802314.95406086</v>
      </c>
      <c r="B3296">
        <v>250652163.31664106</v>
      </c>
    </row>
    <row r="3297" spans="1:2" x14ac:dyDescent="0.25">
      <c r="A3297">
        <f ca="1">30878.1177229412*((RANDBETWEEN(1587,2416)))</f>
        <v>59872670.264783017</v>
      </c>
      <c r="B3297">
        <v>237127315.00403902</v>
      </c>
    </row>
    <row r="3298" spans="1:2" x14ac:dyDescent="0.25">
      <c r="A3298">
        <f ca="1">31934.0131103668*((RANDBETWEEN(1587,2416)))</f>
        <v>75460072.979796708</v>
      </c>
      <c r="B3298">
        <v>267019243.77987731</v>
      </c>
    </row>
    <row r="3299" spans="1:2" x14ac:dyDescent="0.25">
      <c r="A3299">
        <f ca="1">43628.4062390712*((RANDBETWEEN(1587,2416)))</f>
        <v>72248640.731901944</v>
      </c>
      <c r="B3299">
        <v>248582939.79360959</v>
      </c>
    </row>
    <row r="3300" spans="1:2" x14ac:dyDescent="0.25">
      <c r="A3300">
        <f ca="1">31744.2881074769*((RANDBETWEEN(1587,2416)))</f>
        <v>74884775.645537958</v>
      </c>
      <c r="B3300">
        <v>267661467.82962587</v>
      </c>
    </row>
    <row r="3301" spans="1:2" x14ac:dyDescent="0.25">
      <c r="A3301">
        <f ca="1">38692.0415464321*((RANDBETWEEN(1587,2416)))</f>
        <v>83536117.6987468</v>
      </c>
      <c r="B3301">
        <v>247672251.80015048</v>
      </c>
    </row>
    <row r="3302" spans="1:2" x14ac:dyDescent="0.25">
      <c r="A3302">
        <f ca="1">36844.4304105361*((RANDBETWEEN(1587,2416)))</f>
        <v>74536282.720514446</v>
      </c>
      <c r="B3302">
        <v>259903673.49665785</v>
      </c>
    </row>
    <row r="3303" spans="1:2" x14ac:dyDescent="0.25">
      <c r="A3303">
        <f ca="1">29379.5194185806*((RANDBETWEEN(1587,2416)))</f>
        <v>49680767.336819947</v>
      </c>
      <c r="B3303">
        <v>223760154.28028113</v>
      </c>
    </row>
    <row r="3304" spans="1:2" x14ac:dyDescent="0.25">
      <c r="A3304">
        <f ca="1">38092.3431863601*((RANDBETWEEN(1587,2416)))</f>
        <v>60833472.068617091</v>
      </c>
      <c r="B3304">
        <v>210013595.9816272</v>
      </c>
    </row>
    <row r="3305" spans="1:2" x14ac:dyDescent="0.25">
      <c r="A3305">
        <f ca="1">38790.0783382869*((RANDBETWEEN(1587,2416)))</f>
        <v>73352038.137700543</v>
      </c>
      <c r="B3305">
        <v>224222211.29471251</v>
      </c>
    </row>
    <row r="3306" spans="1:2" x14ac:dyDescent="0.25">
      <c r="A3306">
        <f ca="1">31542.3367544418*((RANDBETWEEN(1587,2416)))</f>
        <v>52391821.349127866</v>
      </c>
      <c r="B3306">
        <v>239451484.88447207</v>
      </c>
    </row>
    <row r="3307" spans="1:2" x14ac:dyDescent="0.25">
      <c r="A3307">
        <f ca="1">30412.7101408436*((RANDBETWEEN(1587,2416)))</f>
        <v>67607454.643095389</v>
      </c>
      <c r="B3307">
        <v>252834887.95466834</v>
      </c>
    </row>
    <row r="3308" spans="1:2" x14ac:dyDescent="0.25">
      <c r="A3308">
        <f ca="1">30759.0506003709*((RANDBETWEEN(1587,2416)))</f>
        <v>61948727.909146957</v>
      </c>
      <c r="B3308">
        <v>247603897.1637277</v>
      </c>
    </row>
    <row r="3309" spans="1:2" x14ac:dyDescent="0.25">
      <c r="A3309">
        <f ca="1">36213.8380978614*((RANDBETWEEN(1587,2416)))</f>
        <v>63663927.376040369</v>
      </c>
      <c r="B3309">
        <v>241929015.02492249</v>
      </c>
    </row>
    <row r="3310" spans="1:2" x14ac:dyDescent="0.25">
      <c r="A3310">
        <f ca="1">32617.919090482*((RANDBETWEEN(1587,2416)))</f>
        <v>54015274.013838209</v>
      </c>
      <c r="B3310">
        <v>220983247.90297917</v>
      </c>
    </row>
    <row r="3311" spans="1:2" x14ac:dyDescent="0.25">
      <c r="A3311">
        <f ca="1">30944.8354516181*((RANDBETWEEN(1587,2416)))</f>
        <v>55669758.977461025</v>
      </c>
      <c r="B3311">
        <v>229166677.81518683</v>
      </c>
    </row>
    <row r="3312" spans="1:2" x14ac:dyDescent="0.25">
      <c r="A3312">
        <f ca="1">36106.0589374235*((RANDBETWEEN(1587,2416)))</f>
        <v>75497769.238152578</v>
      </c>
      <c r="B3312">
        <v>231265261.11644995</v>
      </c>
    </row>
    <row r="3313" spans="1:2" x14ac:dyDescent="0.25">
      <c r="A3313">
        <f ca="1">37641.7842378259*((RANDBETWEEN(1587,2416)))</f>
        <v>81569746.443368793</v>
      </c>
      <c r="B3313">
        <v>252175856.44747502</v>
      </c>
    </row>
    <row r="3314" spans="1:2" x14ac:dyDescent="0.25">
      <c r="A3314">
        <f ca="1">34352.6713967213*((RANDBETWEEN(1587,2416)))</f>
        <v>57918603.97487206</v>
      </c>
      <c r="B3314">
        <v>218830542.86671323</v>
      </c>
    </row>
    <row r="3315" spans="1:2" x14ac:dyDescent="0.25">
      <c r="A3315">
        <f ca="1">33962.2940976134*((RANDBETWEEN(1587,2416)))</f>
        <v>61437790.022582568</v>
      </c>
      <c r="B3315">
        <v>255915169.21930492</v>
      </c>
    </row>
    <row r="3316" spans="1:2" x14ac:dyDescent="0.25">
      <c r="A3316">
        <f ca="1">35789.5045851335*((RANDBETWEEN(1587,2416)))</f>
        <v>72831641.83074668</v>
      </c>
      <c r="B3316">
        <v>239430452.2403571</v>
      </c>
    </row>
    <row r="3317" spans="1:2" x14ac:dyDescent="0.25">
      <c r="A3317">
        <f ca="1">34080.0066873884*((RANDBETWEEN(1587,2416)))</f>
        <v>78588495.421117708</v>
      </c>
      <c r="B3317">
        <v>247768170.47151822</v>
      </c>
    </row>
    <row r="3318" spans="1:2" x14ac:dyDescent="0.25">
      <c r="A3318">
        <f ca="1">33687.6953826855*((RANDBETWEEN(1587,2416)))</f>
        <v>55854198.944492564</v>
      </c>
      <c r="B3318">
        <v>266873417.00517955</v>
      </c>
    </row>
    <row r="3319" spans="1:2" x14ac:dyDescent="0.25">
      <c r="A3319">
        <f ca="1">32774.6972055626*((RANDBETWEEN(1587,2416)))</f>
        <v>58011214.05384583</v>
      </c>
      <c r="B3319">
        <v>222131400.07543457</v>
      </c>
    </row>
    <row r="3320" spans="1:2" x14ac:dyDescent="0.25">
      <c r="A3320">
        <f ca="1">32445.9024457797*((RANDBETWEEN(1587,2416)))</f>
        <v>54444224.304018252</v>
      </c>
      <c r="B3320">
        <v>237878166.59382671</v>
      </c>
    </row>
    <row r="3321" spans="1:2" x14ac:dyDescent="0.25">
      <c r="A3321">
        <f ca="1">34039.2836420179*((RANDBETWEEN(1587,2416)))</f>
        <v>55075560.932785019</v>
      </c>
      <c r="B3321">
        <v>265730535.06671423</v>
      </c>
    </row>
    <row r="3322" spans="1:2" x14ac:dyDescent="0.25">
      <c r="A3322">
        <f ca="1">33066.5251101506*((RANDBETWEEN(1587,2416)))</f>
        <v>75358610.726033211</v>
      </c>
      <c r="B3322">
        <v>229449629.34563354</v>
      </c>
    </row>
    <row r="3323" spans="1:2" x14ac:dyDescent="0.25">
      <c r="A3323">
        <f ca="1">31368.0734514174*((RANDBETWEEN(1587,2416)))</f>
        <v>51475008.53377603</v>
      </c>
      <c r="B3323">
        <v>240654184.72155964</v>
      </c>
    </row>
    <row r="3324" spans="1:2" x14ac:dyDescent="0.25">
      <c r="A3324">
        <f ca="1">28180.9031218777*((RANDBETWEEN(1587,2416)))</f>
        <v>62392519.511837207</v>
      </c>
      <c r="B3324">
        <v>267231661.95143741</v>
      </c>
    </row>
    <row r="3325" spans="1:2" x14ac:dyDescent="0.25">
      <c r="A3325">
        <f ca="1">32516.8258288258*((RANDBETWEEN(1587,2416)))</f>
        <v>69000704.408768371</v>
      </c>
      <c r="B3325">
        <v>219368110.24076173</v>
      </c>
    </row>
    <row r="3326" spans="1:2" x14ac:dyDescent="0.25">
      <c r="A3326">
        <f ca="1">31692.7424308831*((RANDBETWEEN(1587,2416)))</f>
        <v>60533138.042986736</v>
      </c>
      <c r="B3326">
        <v>253300012.38864359</v>
      </c>
    </row>
    <row r="3327" spans="1:2" x14ac:dyDescent="0.25">
      <c r="A3327">
        <f ca="1">41466.0957781792*((RANDBETWEEN(1587,2416)))</f>
        <v>97735587.749168471</v>
      </c>
      <c r="B3327">
        <v>245357663.10260916</v>
      </c>
    </row>
    <row r="3328" spans="1:2" x14ac:dyDescent="0.25">
      <c r="A3328">
        <f ca="1">33200.7301813462*((RANDBETWEEN(1587,2416)))</f>
        <v>59495708.484972477</v>
      </c>
      <c r="B3328">
        <v>230018453.0464893</v>
      </c>
    </row>
    <row r="3329" spans="1:2" x14ac:dyDescent="0.25">
      <c r="A3329">
        <f ca="1">35263.3966315213*((RANDBETWEEN(1587,2416)))</f>
        <v>76768414.466821805</v>
      </c>
      <c r="B3329">
        <v>208562632.10740611</v>
      </c>
    </row>
    <row r="3330" spans="1:2" x14ac:dyDescent="0.25">
      <c r="A3330">
        <f ca="1">30266.1257558965*((RANDBETWEEN(1587,2416)))</f>
        <v>67463194.30989331</v>
      </c>
      <c r="B3330">
        <v>266119347.84418327</v>
      </c>
    </row>
    <row r="3331" spans="1:2" x14ac:dyDescent="0.25">
      <c r="A3331">
        <f ca="1">31414.4011730977*((RANDBETWEEN(1587,2416)))</f>
        <v>50420113.882821865</v>
      </c>
      <c r="B3331">
        <v>253604224.40770221</v>
      </c>
    </row>
    <row r="3332" spans="1:2" x14ac:dyDescent="0.25">
      <c r="A3332">
        <f ca="1">29585.665411679*((RANDBETWEEN(1587,2416)))</f>
        <v>54260110.365019299</v>
      </c>
      <c r="B3332">
        <v>221596395.45420414</v>
      </c>
    </row>
    <row r="3333" spans="1:2" x14ac:dyDescent="0.25">
      <c r="A3333">
        <f ca="1">36314.7521585533*((RANDBETWEEN(1587,2416)))</f>
        <v>57849400.188575424</v>
      </c>
      <c r="B3333">
        <v>246754677.86528429</v>
      </c>
    </row>
    <row r="3334" spans="1:2" x14ac:dyDescent="0.25">
      <c r="A3334">
        <f ca="1">30160.5859780766*((RANDBETWEEN(1587,2416)))</f>
        <v>64453172.235149674</v>
      </c>
      <c r="B3334">
        <v>205065283.18972397</v>
      </c>
    </row>
    <row r="3335" spans="1:2" x14ac:dyDescent="0.25">
      <c r="A3335">
        <f ca="1">31779.7071348184*((RANDBETWEEN(1587,2416)))</f>
        <v>60413223.263289802</v>
      </c>
      <c r="B3335">
        <v>222537813.047086</v>
      </c>
    </row>
    <row r="3336" spans="1:2" x14ac:dyDescent="0.25">
      <c r="A3336">
        <f ca="1">36398.3798946559*((RANDBETWEEN(1587,2416)))</f>
        <v>75854223.700462878</v>
      </c>
      <c r="B3336">
        <v>232352928.86838341</v>
      </c>
    </row>
    <row r="3337" spans="1:2" x14ac:dyDescent="0.25">
      <c r="A3337">
        <f ca="1">37879.4247408715*((RANDBETWEEN(1587,2416)))</f>
        <v>66705666.968674757</v>
      </c>
      <c r="B3337">
        <v>259762288.23116389</v>
      </c>
    </row>
    <row r="3338" spans="1:2" x14ac:dyDescent="0.25">
      <c r="A3338">
        <f ca="1">40907.7138703983*((RANDBETWEEN(1587,2416)))</f>
        <v>94128649.615786582</v>
      </c>
      <c r="B3338">
        <v>251046538.45271841</v>
      </c>
    </row>
    <row r="3339" spans="1:2" x14ac:dyDescent="0.25">
      <c r="A3339">
        <f ca="1">38560.2813712292*((RANDBETWEEN(1587,2416)))</f>
        <v>71953485.038713783</v>
      </c>
      <c r="B3339">
        <v>225782993.36277333</v>
      </c>
    </row>
    <row r="3340" spans="1:2" x14ac:dyDescent="0.25">
      <c r="A3340">
        <f ca="1">32881.8461257804*((RANDBETWEEN(1587,2416)))</f>
        <v>66717265.789208464</v>
      </c>
      <c r="B3340">
        <v>218448192.39725727</v>
      </c>
    </row>
    <row r="3341" spans="1:2" x14ac:dyDescent="0.25">
      <c r="A3341">
        <f ca="1">33829.9019903956*((RANDBETWEEN(1587,2416)))</f>
        <v>61807230.936452709</v>
      </c>
      <c r="B3341">
        <v>237381404.45411682</v>
      </c>
    </row>
    <row r="3342" spans="1:2" x14ac:dyDescent="0.25">
      <c r="A3342">
        <f ca="1">41253.9096941481*((RANDBETWEEN(1587,2416)))</f>
        <v>69224060.466780528</v>
      </c>
      <c r="B3342">
        <v>262850764.76048917</v>
      </c>
    </row>
    <row r="3343" spans="1:2" x14ac:dyDescent="0.25">
      <c r="A3343">
        <f ca="1">33251.6146665286*((RANDBETWEEN(1587,2416)))</f>
        <v>71258210.23037076</v>
      </c>
      <c r="B3343">
        <v>236315925.56927076</v>
      </c>
    </row>
    <row r="3344" spans="1:2" x14ac:dyDescent="0.25">
      <c r="A3344">
        <f ca="1">36525.2625687067*((RANDBETWEEN(1587,2416)))</f>
        <v>64284462.120923735</v>
      </c>
      <c r="B3344">
        <v>252542588.0961256</v>
      </c>
    </row>
    <row r="3345" spans="1:2" x14ac:dyDescent="0.25">
      <c r="A3345">
        <f ca="1">38830.0544790777*((RANDBETWEEN(1587,2416)))</f>
        <v>78009579.448467031</v>
      </c>
      <c r="B3345">
        <v>215240765.78289706</v>
      </c>
    </row>
    <row r="3346" spans="1:2" x14ac:dyDescent="0.25">
      <c r="A3346">
        <f ca="1">32256.5717577349*((RANDBETWEEN(1587,2416)))</f>
        <v>66964642.96905756</v>
      </c>
      <c r="B3346">
        <v>216955032.20691982</v>
      </c>
    </row>
    <row r="3347" spans="1:2" x14ac:dyDescent="0.25">
      <c r="A3347">
        <f ca="1">31071.5854364185*((RANDBETWEEN(1587,2416)))</f>
        <v>59471014.52530507</v>
      </c>
      <c r="B3347">
        <v>258286895.39081958</v>
      </c>
    </row>
    <row r="3348" spans="1:2" x14ac:dyDescent="0.25">
      <c r="A3348">
        <f ca="1">35610.7976474165*((RANDBETWEEN(1587,2416)))</f>
        <v>72467973.21249257</v>
      </c>
      <c r="B3348">
        <v>241105897.08698133</v>
      </c>
    </row>
    <row r="3349" spans="1:2" x14ac:dyDescent="0.25">
      <c r="A3349">
        <f ca="1">38693.0054243823*((RANDBETWEEN(1587,2416)))</f>
        <v>70111725.828980818</v>
      </c>
      <c r="B3349">
        <v>265536298.73104882</v>
      </c>
    </row>
    <row r="3350" spans="1:2" x14ac:dyDescent="0.25">
      <c r="A3350">
        <f ca="1">39288.4528693395*((RANDBETWEEN(1587,2416)))</f>
        <v>79676982.419020534</v>
      </c>
      <c r="B3350">
        <v>265586156.8897087</v>
      </c>
    </row>
    <row r="3351" spans="1:2" x14ac:dyDescent="0.25">
      <c r="A3351">
        <f ca="1">33641.2502366663*((RANDBETWEEN(1587,2416)))</f>
        <v>53960565.379612796</v>
      </c>
      <c r="B3351">
        <v>216674461.38348418</v>
      </c>
    </row>
    <row r="3352" spans="1:2" x14ac:dyDescent="0.25">
      <c r="A3352">
        <f ca="1">31511.1564926217*((RANDBETWEEN(1587,2416)))</f>
        <v>67276319.111747339</v>
      </c>
      <c r="B3352">
        <v>230593403.92449111</v>
      </c>
    </row>
    <row r="3353" spans="1:2" x14ac:dyDescent="0.25">
      <c r="A3353">
        <f ca="1">35803.407495798*((RANDBETWEEN(1587,2416)))</f>
        <v>70103071.876772583</v>
      </c>
      <c r="B3353">
        <v>243036043.82661408</v>
      </c>
    </row>
    <row r="3354" spans="1:2" x14ac:dyDescent="0.25">
      <c r="A3354">
        <f ca="1">31966.623281319*((RANDBETWEEN(1587,2416)))</f>
        <v>58658753.721220329</v>
      </c>
      <c r="B3354">
        <v>248515080.87206447</v>
      </c>
    </row>
    <row r="3355" spans="1:2" x14ac:dyDescent="0.25">
      <c r="A3355">
        <f ca="1">30676.2070992608*((RANDBETWEEN(1587,2416)))</f>
        <v>73132077.724637806</v>
      </c>
      <c r="B3355">
        <v>216991970.55403525</v>
      </c>
    </row>
    <row r="3356" spans="1:2" x14ac:dyDescent="0.25">
      <c r="A3356">
        <f ca="1">31000.5693612418*((RANDBETWEEN(1587,2416)))</f>
        <v>70805300.421076357</v>
      </c>
      <c r="B3356">
        <v>209406633.07951921</v>
      </c>
    </row>
    <row r="3357" spans="1:2" x14ac:dyDescent="0.25">
      <c r="A3357">
        <f ca="1">36349.7206300162*((RANDBETWEEN(1587,2416)))</f>
        <v>60340536.245826915</v>
      </c>
      <c r="B3357">
        <v>244218086.31796813</v>
      </c>
    </row>
    <row r="3358" spans="1:2" x14ac:dyDescent="0.25">
      <c r="A3358">
        <f ca="1">32569.6745500946*((RANDBETWEEN(1587,2416)))</f>
        <v>55433586.084260926</v>
      </c>
      <c r="B3358">
        <v>226609391.75352651</v>
      </c>
    </row>
    <row r="3359" spans="1:2" x14ac:dyDescent="0.25">
      <c r="A3359">
        <f ca="1">33282.688808839*((RANDBETWEEN(1587,2416)))</f>
        <v>53684977.048657358</v>
      </c>
      <c r="B3359">
        <v>217188317.00547025</v>
      </c>
    </row>
    <row r="3360" spans="1:2" x14ac:dyDescent="0.25">
      <c r="A3360">
        <f ca="1">36295.251005336*((RANDBETWEEN(1587,2416)))</f>
        <v>84386458.587406307</v>
      </c>
      <c r="B3360">
        <v>224122379.13285428</v>
      </c>
    </row>
    <row r="3361" spans="1:2" x14ac:dyDescent="0.25">
      <c r="A3361">
        <f ca="1">36427.9234114468*((RANDBETWEEN(1587,2416)))</f>
        <v>84294214.774087921</v>
      </c>
      <c r="B3361">
        <v>210777476.59186602</v>
      </c>
    </row>
    <row r="3362" spans="1:2" x14ac:dyDescent="0.25">
      <c r="A3362">
        <f ca="1">33850.8552852082*((RANDBETWEEN(1587,2416)))</f>
        <v>63267248.528054059</v>
      </c>
      <c r="B3362">
        <v>245060623.82363209</v>
      </c>
    </row>
    <row r="3363" spans="1:2" x14ac:dyDescent="0.25">
      <c r="A3363">
        <f ca="1">29437.6743683819*((RANDBETWEEN(1587,2416)))</f>
        <v>60582733.850129977</v>
      </c>
      <c r="B3363">
        <v>267743679.82704678</v>
      </c>
    </row>
    <row r="3364" spans="1:2" x14ac:dyDescent="0.25">
      <c r="A3364">
        <f ca="1">29967.2389431154*((RANDBETWEEN(1587,2416)))</f>
        <v>59005493.478994302</v>
      </c>
      <c r="B3364">
        <v>247427708.16697288</v>
      </c>
    </row>
    <row r="3365" spans="1:2" x14ac:dyDescent="0.25">
      <c r="A3365">
        <f ca="1">32106.3865467459*((RANDBETWEEN(1587,2416)))</f>
        <v>72464114.436005563</v>
      </c>
      <c r="B3365">
        <v>205970612.11347088</v>
      </c>
    </row>
    <row r="3366" spans="1:2" x14ac:dyDescent="0.25">
      <c r="A3366">
        <f ca="1">35394.7193738503*((RANDBETWEEN(1587,2416)))</f>
        <v>70506280.992709845</v>
      </c>
      <c r="B3366">
        <v>207153138.52442583</v>
      </c>
    </row>
    <row r="3367" spans="1:2" x14ac:dyDescent="0.25">
      <c r="A3367">
        <f ca="1">32365.9211954862*((RANDBETWEEN(1587,2416)))</f>
        <v>59197269.866544232</v>
      </c>
      <c r="B3367">
        <v>252632824.8752251</v>
      </c>
    </row>
    <row r="3368" spans="1:2" x14ac:dyDescent="0.25">
      <c r="A3368">
        <f ca="1">33497.6090240647*((RANDBETWEEN(1587,2416)))</f>
        <v>72991290.063436985</v>
      </c>
      <c r="B3368">
        <v>232914705.64005154</v>
      </c>
    </row>
    <row r="3369" spans="1:2" x14ac:dyDescent="0.25">
      <c r="A3369">
        <f ca="1">34203.7215733981*((RANDBETWEEN(1587,2416)))</f>
        <v>77642447.97161369</v>
      </c>
      <c r="B3369">
        <v>263846289.65868872</v>
      </c>
    </row>
    <row r="3370" spans="1:2" x14ac:dyDescent="0.25">
      <c r="A3370">
        <f ca="1">33114.8782351451*((RANDBETWEEN(1587,2416)))</f>
        <v>59673010.57973139</v>
      </c>
      <c r="B3370">
        <v>254190350.17208046</v>
      </c>
    </row>
    <row r="3371" spans="1:2" x14ac:dyDescent="0.25">
      <c r="A3371">
        <f ca="1">39667.9155870096*((RANDBETWEEN(1587,2416)))</f>
        <v>64182687.419781506</v>
      </c>
      <c r="B3371">
        <v>245344460.1591993</v>
      </c>
    </row>
    <row r="3372" spans="1:2" x14ac:dyDescent="0.25">
      <c r="A3372">
        <f ca="1">35923.3828626056*((RANDBETWEEN(1587,2416)))</f>
        <v>60243513.060589626</v>
      </c>
      <c r="B3372">
        <v>220644758.45105863</v>
      </c>
    </row>
    <row r="3373" spans="1:2" x14ac:dyDescent="0.25">
      <c r="A3373">
        <f ca="1">31119.5919830233*((RANDBETWEEN(1587,2416)))</f>
        <v>58722670.071964972</v>
      </c>
      <c r="B3373">
        <v>231049842.32188749</v>
      </c>
    </row>
    <row r="3374" spans="1:2" x14ac:dyDescent="0.25">
      <c r="A3374">
        <f ca="1">32671.239341024*((RANDBETWEEN(1587,2416)))</f>
        <v>63774259.193678871</v>
      </c>
      <c r="B3374">
        <v>256236424.67124987</v>
      </c>
    </row>
    <row r="3375" spans="1:2" x14ac:dyDescent="0.25">
      <c r="A3375">
        <f ca="1">32549.3292283931*((RANDBETWEEN(1587,2416)))</f>
        <v>53543646.580706581</v>
      </c>
      <c r="B3375">
        <v>255059603.53396028</v>
      </c>
    </row>
    <row r="3376" spans="1:2" x14ac:dyDescent="0.25">
      <c r="A3376">
        <f ca="1">34645.8618072958*((RANDBETWEEN(1587,2416)))</f>
        <v>80586274.563770115</v>
      </c>
      <c r="B3376">
        <v>242439300.14065468</v>
      </c>
    </row>
    <row r="3377" spans="1:2" x14ac:dyDescent="0.25">
      <c r="A3377">
        <f ca="1">39272.3446736408*((RANDBETWEEN(1587,2416)))</f>
        <v>88244958.481670946</v>
      </c>
      <c r="B3377">
        <v>254589155.12100446</v>
      </c>
    </row>
    <row r="3378" spans="1:2" x14ac:dyDescent="0.25">
      <c r="A3378">
        <f ca="1">30725.8074547711*((RANDBETWEEN(1587,2416)))</f>
        <v>71959841.059073955</v>
      </c>
      <c r="B3378">
        <v>226712009.10569304</v>
      </c>
    </row>
    <row r="3379" spans="1:2" x14ac:dyDescent="0.25">
      <c r="A3379">
        <f ca="1">41200.0634829776*((RANDBETWEEN(1587,2416)))</f>
        <v>90186938.964237988</v>
      </c>
      <c r="B3379">
        <v>253323482.63710418</v>
      </c>
    </row>
    <row r="3380" spans="1:2" x14ac:dyDescent="0.25">
      <c r="A3380">
        <f ca="1">38758.7783914668*((RANDBETWEEN(1587,2416)))</f>
        <v>86083246.807447866</v>
      </c>
      <c r="B3380">
        <v>255930444.60891074</v>
      </c>
    </row>
    <row r="3381" spans="1:2" x14ac:dyDescent="0.25">
      <c r="A3381">
        <f ca="1">35037.9707549102*((RANDBETWEEN(1587,2416)))</f>
        <v>84231281.694803998</v>
      </c>
      <c r="B3381">
        <v>225301937.47217542</v>
      </c>
    </row>
    <row r="3382" spans="1:2" x14ac:dyDescent="0.25">
      <c r="A3382">
        <f ca="1">37194.6920707409*((RANDBETWEEN(1587,2416)))</f>
        <v>79336278.186890319</v>
      </c>
      <c r="B3382">
        <v>259503007.06265429</v>
      </c>
    </row>
    <row r="3383" spans="1:2" x14ac:dyDescent="0.25">
      <c r="A3383">
        <f ca="1">30358.8075336573*((RANDBETWEEN(1587,2416)))</f>
        <v>66303635.653507486</v>
      </c>
      <c r="B3383">
        <v>253917355.47750106</v>
      </c>
    </row>
    <row r="3384" spans="1:2" x14ac:dyDescent="0.25">
      <c r="A3384">
        <f ca="1">35720.5534534546*((RANDBETWEEN(1587,2416)))</f>
        <v>77549321.547450006</v>
      </c>
      <c r="B3384">
        <v>221824537.73539424</v>
      </c>
    </row>
    <row r="3385" spans="1:2" x14ac:dyDescent="0.25">
      <c r="A3385">
        <f ca="1">31375.6412082331*((RANDBETWEEN(1587,2416)))</f>
        <v>64351440.118086092</v>
      </c>
      <c r="B3385">
        <v>218883550.33070967</v>
      </c>
    </row>
    <row r="3386" spans="1:2" x14ac:dyDescent="0.25">
      <c r="A3386">
        <f ca="1">30691.2900464395*((RANDBETWEEN(1587,2416)))</f>
        <v>70559275.81676434</v>
      </c>
      <c r="B3386">
        <v>254848432.37636188</v>
      </c>
    </row>
    <row r="3387" spans="1:2" x14ac:dyDescent="0.25">
      <c r="A3387">
        <f ca="1">37950.2117430471*((RANDBETWEEN(1587,2416)))</f>
        <v>80530349.318745986</v>
      </c>
      <c r="B3387">
        <v>223287557.48901543</v>
      </c>
    </row>
    <row r="3388" spans="1:2" x14ac:dyDescent="0.25">
      <c r="A3388">
        <f ca="1">38196.3937198276*((RANDBETWEEN(1587,2416)))</f>
        <v>60885051.589405224</v>
      </c>
      <c r="B3388">
        <v>235814824.40254503</v>
      </c>
    </row>
    <row r="3389" spans="1:2" x14ac:dyDescent="0.25">
      <c r="A3389">
        <f ca="1">32966.5240039171*((RANDBETWEEN(1587,2416)))</f>
        <v>56735387.810741335</v>
      </c>
      <c r="B3389">
        <v>217877191.64266539</v>
      </c>
    </row>
    <row r="3390" spans="1:2" x14ac:dyDescent="0.25">
      <c r="A3390">
        <f ca="1">33417.4123146655*((RANDBETWEEN(1587,2416)))</f>
        <v>62056134.668333814</v>
      </c>
      <c r="B3390">
        <v>208794150.72160551</v>
      </c>
    </row>
    <row r="3391" spans="1:2" x14ac:dyDescent="0.25">
      <c r="A3391">
        <f ca="1">32870.2369363746*((RANDBETWEEN(1587,2416)))</f>
        <v>76028858.033834398</v>
      </c>
      <c r="B3391">
        <v>239892770.58387294</v>
      </c>
    </row>
    <row r="3392" spans="1:2" x14ac:dyDescent="0.25">
      <c r="A3392">
        <f ca="1">38406.5768029048*((RANDBETWEEN(1587,2416)))</f>
        <v>86760456.997761965</v>
      </c>
      <c r="B3392">
        <v>235853582.52954012</v>
      </c>
    </row>
    <row r="3393" spans="1:2" x14ac:dyDescent="0.25">
      <c r="A3393">
        <f ca="1">38510.9525466678*((RANDBETWEEN(1587,2416)))</f>
        <v>74480182.22525543</v>
      </c>
      <c r="B3393">
        <v>229462930.46485022</v>
      </c>
    </row>
    <row r="3394" spans="1:2" x14ac:dyDescent="0.25">
      <c r="A3394">
        <f ca="1">32392.0528649423*((RANDBETWEEN(1587,2416)))</f>
        <v>65367162.681453511</v>
      </c>
      <c r="B3394">
        <v>253603223.38330662</v>
      </c>
    </row>
    <row r="3395" spans="1:2" x14ac:dyDescent="0.25">
      <c r="A3395">
        <f ca="1">28970.1428850315*((RANDBETWEEN(1587,2416)))</f>
        <v>47771765.617417023</v>
      </c>
      <c r="B3395">
        <v>265770911.06828284</v>
      </c>
    </row>
    <row r="3396" spans="1:2" x14ac:dyDescent="0.25">
      <c r="A3396">
        <f ca="1">34334.3161504824*((RANDBETWEEN(1587,2416)))</f>
        <v>80788645.902085036</v>
      </c>
      <c r="B3396">
        <v>246965316.13798398</v>
      </c>
    </row>
    <row r="3397" spans="1:2" x14ac:dyDescent="0.25">
      <c r="A3397">
        <f ca="1">27263.7274457957*((RANDBETWEEN(1587,2416)))</f>
        <v>57253827.636171035</v>
      </c>
      <c r="B3397">
        <v>217221582.1532059</v>
      </c>
    </row>
    <row r="3398" spans="1:2" x14ac:dyDescent="0.25">
      <c r="A3398">
        <f ca="1">32110.2817640819*((RANDBETWEEN(1587,2416)))</f>
        <v>64894879.445209481</v>
      </c>
      <c r="B3398">
        <v>242628715.58480585</v>
      </c>
    </row>
    <row r="3399" spans="1:2" x14ac:dyDescent="0.25">
      <c r="A3399">
        <f ca="1">32173.0095972544*((RANDBETWEEN(1587,2416)))</f>
        <v>59327029.697337136</v>
      </c>
      <c r="B3399">
        <v>245300070.6202257</v>
      </c>
    </row>
    <row r="3400" spans="1:2" x14ac:dyDescent="0.25">
      <c r="A3400">
        <f ca="1">35067.7977132245*((RANDBETWEEN(1587,2416)))</f>
        <v>56003272.948019527</v>
      </c>
      <c r="B3400">
        <v>228928445.24445936</v>
      </c>
    </row>
    <row r="3401" spans="1:2" x14ac:dyDescent="0.25">
      <c r="A3401">
        <f ca="1">39138.0067454942*((RANDBETWEEN(1587,2416)))</f>
        <v>77532391.362823948</v>
      </c>
      <c r="B3401">
        <v>218081088.85998684</v>
      </c>
    </row>
    <row r="3402" spans="1:2" x14ac:dyDescent="0.25">
      <c r="A3402">
        <f ca="1">31981.7228206873*((RANDBETWEEN(1587,2416)))</f>
        <v>73749852.824505001</v>
      </c>
      <c r="B3402">
        <v>222701682.46996552</v>
      </c>
    </row>
    <row r="3403" spans="1:2" x14ac:dyDescent="0.25">
      <c r="A3403">
        <f ca="1">39282.792581546*((RANDBETWEEN(1587,2416)))</f>
        <v>82218884.87317571</v>
      </c>
      <c r="B3403">
        <v>213193821.0384239</v>
      </c>
    </row>
    <row r="3404" spans="1:2" x14ac:dyDescent="0.25">
      <c r="A3404">
        <f ca="1">39436.0419442202*((RANDBETWEEN(1587,2416)))</f>
        <v>72562317.177365199</v>
      </c>
      <c r="B3404">
        <v>206454860.92041239</v>
      </c>
    </row>
    <row r="3405" spans="1:2" x14ac:dyDescent="0.25">
      <c r="A3405">
        <f ca="1">39443.0171437047*((RANDBETWEEN(1587,2416)))</f>
        <v>89298990.813347414</v>
      </c>
      <c r="B3405">
        <v>241614664.63932675</v>
      </c>
    </row>
    <row r="3406" spans="1:2" x14ac:dyDescent="0.25">
      <c r="A3406">
        <f ca="1">30536.8751098893*((RANDBETWEEN(1587,2416)))</f>
        <v>55149596.44846011</v>
      </c>
      <c r="B3406">
        <v>222386271.69365111</v>
      </c>
    </row>
    <row r="3407" spans="1:2" x14ac:dyDescent="0.25">
      <c r="A3407">
        <f ca="1">29712.1168635667*((RANDBETWEEN(1587,2416)))</f>
        <v>54997128.314462028</v>
      </c>
      <c r="B3407">
        <v>261629840.62215707</v>
      </c>
    </row>
    <row r="3408" spans="1:2" x14ac:dyDescent="0.25">
      <c r="A3408">
        <f ca="1">30816.0289994869*((RANDBETWEEN(1587,2416)))</f>
        <v>62772251.071954779</v>
      </c>
      <c r="B3408">
        <v>253970500.66447023</v>
      </c>
    </row>
    <row r="3409" spans="1:2" x14ac:dyDescent="0.25">
      <c r="A3409">
        <f ca="1">32531.7888003625*((RANDBETWEEN(1587,2416)))</f>
        <v>54978723.072612591</v>
      </c>
      <c r="B3409">
        <v>251696211.37112653</v>
      </c>
    </row>
    <row r="3410" spans="1:2" x14ac:dyDescent="0.25">
      <c r="A3410">
        <f ca="1">33961.8653616281*((RANDBETWEEN(1587,2416)))</f>
        <v>76142502.140770242</v>
      </c>
      <c r="B3410">
        <v>256645592.22521347</v>
      </c>
    </row>
    <row r="3411" spans="1:2" x14ac:dyDescent="0.25">
      <c r="A3411">
        <f ca="1">42724.5024424385*((RANDBETWEEN(1587,2416)))</f>
        <v>81176554.640633211</v>
      </c>
      <c r="B3411">
        <v>220401254.60694432</v>
      </c>
    </row>
    <row r="3412" spans="1:2" x14ac:dyDescent="0.25">
      <c r="A3412">
        <f ca="1">32108.0178262773*((RANDBETWEEN(1587,2416)))</f>
        <v>66046192.668652318</v>
      </c>
      <c r="B3412">
        <v>217318172.65725645</v>
      </c>
    </row>
    <row r="3413" spans="1:2" x14ac:dyDescent="0.25">
      <c r="A3413">
        <f ca="1">35551.1181446062*((RANDBETWEEN(1587,2416)))</f>
        <v>73021996.669021085</v>
      </c>
      <c r="B3413">
        <v>230094853.54662144</v>
      </c>
    </row>
    <row r="3414" spans="1:2" x14ac:dyDescent="0.25">
      <c r="A3414">
        <f ca="1">32840.6859349663*((RANDBETWEEN(1587,2416)))</f>
        <v>79047531.045463935</v>
      </c>
      <c r="B3414">
        <v>226654864.86130705</v>
      </c>
    </row>
    <row r="3415" spans="1:2" x14ac:dyDescent="0.25">
      <c r="A3415">
        <f ca="1">37550.9996197943*((RANDBETWEEN(1587,2416)))</f>
        <v>66315065.328556664</v>
      </c>
      <c r="B3415">
        <v>262008307.41074824</v>
      </c>
    </row>
    <row r="3416" spans="1:2" x14ac:dyDescent="0.25">
      <c r="A3416">
        <f ca="1">28106.8880493361*((RANDBETWEEN(1587,2416)))</f>
        <v>48765450.765598156</v>
      </c>
      <c r="B3416">
        <v>203720997.12536851</v>
      </c>
    </row>
    <row r="3417" spans="1:2" x14ac:dyDescent="0.25">
      <c r="A3417">
        <f ca="1">31483.0704896309*((RANDBETWEEN(1587,2416)))</f>
        <v>72379579.055661485</v>
      </c>
      <c r="B3417">
        <v>204069452.84636149</v>
      </c>
    </row>
    <row r="3418" spans="1:2" x14ac:dyDescent="0.25">
      <c r="A3418">
        <f ca="1">27635.6589250106*((RANDBETWEEN(1587,2416)))</f>
        <v>60798449.635023259</v>
      </c>
      <c r="B3418">
        <v>249235217.23874724</v>
      </c>
    </row>
    <row r="3419" spans="1:2" x14ac:dyDescent="0.25">
      <c r="A3419">
        <f ca="1">30265.1033970355*((RANDBETWEEN(1587,2416)))</f>
        <v>57443166.247573353</v>
      </c>
      <c r="B3419">
        <v>267832804.01202583</v>
      </c>
    </row>
    <row r="3420" spans="1:2" x14ac:dyDescent="0.25">
      <c r="A3420">
        <f ca="1">32593.1676328266*((RANDBETWEEN(1587,2416)))</f>
        <v>78712499.833276272</v>
      </c>
      <c r="B3420">
        <v>265209718.46626338</v>
      </c>
    </row>
    <row r="3421" spans="1:2" x14ac:dyDescent="0.25">
      <c r="A3421">
        <f ca="1">32562.0846836021*((RANDBETWEEN(1587,2416)))</f>
        <v>60044484.156562291</v>
      </c>
      <c r="B3421">
        <v>267290671.12666863</v>
      </c>
    </row>
    <row r="3422" spans="1:2" x14ac:dyDescent="0.25">
      <c r="A3422">
        <f ca="1">32330.7090977358*((RANDBETWEEN(1587,2416)))</f>
        <v>76720772.688926935</v>
      </c>
      <c r="B3422">
        <v>230529155.49446455</v>
      </c>
    </row>
    <row r="3423" spans="1:2" x14ac:dyDescent="0.25">
      <c r="A3423">
        <f ca="1">39869.6960615291*((RANDBETWEEN(1587,2416)))</f>
        <v>83606752.641026542</v>
      </c>
      <c r="B3423">
        <v>242115446.97408229</v>
      </c>
    </row>
    <row r="3424" spans="1:2" x14ac:dyDescent="0.25">
      <c r="A3424">
        <f ca="1">38067.0179494622*((RANDBETWEEN(1587,2416)))</f>
        <v>80854346.124657825</v>
      </c>
      <c r="B3424">
        <v>214659608.76495963</v>
      </c>
    </row>
    <row r="3425" spans="1:2" x14ac:dyDescent="0.25">
      <c r="A3425">
        <f ca="1">31044.8975213036*((RANDBETWEEN(1587,2416)))</f>
        <v>71216994.913870439</v>
      </c>
      <c r="B3425">
        <v>212059142.55904472</v>
      </c>
    </row>
    <row r="3426" spans="1:2" x14ac:dyDescent="0.25">
      <c r="A3426">
        <f ca="1">31744.6430567715*((RANDBETWEEN(1587,2416)))</f>
        <v>57743505.7202674</v>
      </c>
      <c r="B3426">
        <v>223300152.03446627</v>
      </c>
    </row>
    <row r="3427" spans="1:2" x14ac:dyDescent="0.25">
      <c r="A3427">
        <f ca="1">36860.3204297196*((RANDBETWEEN(1587,2416)))</f>
        <v>79839454.050772607</v>
      </c>
      <c r="B3427">
        <v>264596801.93304616</v>
      </c>
    </row>
    <row r="3428" spans="1:2" x14ac:dyDescent="0.25">
      <c r="A3428">
        <f ca="1">28465.7381718564*((RANDBETWEEN(1587,2416)))</f>
        <v>48334823.415812097</v>
      </c>
      <c r="B3428">
        <v>222362696.15672234</v>
      </c>
    </row>
    <row r="3429" spans="1:2" x14ac:dyDescent="0.25">
      <c r="A3429">
        <f ca="1">32496.3137033717*((RANDBETWEEN(1587,2416)))</f>
        <v>57453482.627561212</v>
      </c>
      <c r="B3429">
        <v>232780166.69173506</v>
      </c>
    </row>
    <row r="3430" spans="1:2" x14ac:dyDescent="0.25">
      <c r="A3430">
        <f ca="1">39322.130339338*((RANDBETWEEN(1587,2416)))</f>
        <v>89025303.088261276</v>
      </c>
      <c r="B3430">
        <v>239187900.13930905</v>
      </c>
    </row>
    <row r="3431" spans="1:2" x14ac:dyDescent="0.25">
      <c r="A3431">
        <f ca="1">29443.2213584189*((RANDBETWEEN(1587,2416)))</f>
        <v>53704435.757755995</v>
      </c>
      <c r="B3431">
        <v>210783632.63329798</v>
      </c>
    </row>
    <row r="3432" spans="1:2" x14ac:dyDescent="0.25">
      <c r="A3432">
        <f ca="1">31078.4154122393*((RANDBETWEEN(1587,2416)))</f>
        <v>56718108.127336688</v>
      </c>
      <c r="B3432">
        <v>244970363.58311498</v>
      </c>
    </row>
    <row r="3433" spans="1:2" x14ac:dyDescent="0.25">
      <c r="A3433">
        <f ca="1">30209.2792285739*((RANDBETWEEN(1587,2416)))</f>
        <v>69723016.459548533</v>
      </c>
      <c r="B3433">
        <v>229433088.95925462</v>
      </c>
    </row>
    <row r="3434" spans="1:2" x14ac:dyDescent="0.25">
      <c r="A3434">
        <f ca="1">30007.4708264288*((RANDBETWEEN(1587,2416)))</f>
        <v>65896405.93483761</v>
      </c>
      <c r="B3434">
        <v>242224774.5362426</v>
      </c>
    </row>
    <row r="3435" spans="1:2" x14ac:dyDescent="0.25">
      <c r="A3435">
        <f ca="1">32551.3448240085*((RANDBETWEEN(1587,2416)))</f>
        <v>57160161.510958903</v>
      </c>
      <c r="B3435">
        <v>257819789.33160183</v>
      </c>
    </row>
    <row r="3436" spans="1:2" x14ac:dyDescent="0.25">
      <c r="A3436">
        <f ca="1">40793.5029750486*((RANDBETWEEN(1587,2416)))</f>
        <v>89704913.042131931</v>
      </c>
      <c r="B3436">
        <v>251367591.08795604</v>
      </c>
    </row>
    <row r="3437" spans="1:2" x14ac:dyDescent="0.25">
      <c r="A3437">
        <f ca="1">40792.1724592266*((RANDBETWEEN(1587,2416)))</f>
        <v>97942006.074603081</v>
      </c>
      <c r="B3437">
        <v>225728809.93856445</v>
      </c>
    </row>
    <row r="3438" spans="1:2" x14ac:dyDescent="0.25">
      <c r="A3438">
        <f ca="1">37452.8235022821*((RANDBETWEEN(1587,2416)))</f>
        <v>83856871.821609527</v>
      </c>
      <c r="B3438">
        <v>223358786.7427403</v>
      </c>
    </row>
    <row r="3439" spans="1:2" x14ac:dyDescent="0.25">
      <c r="A3439">
        <f ca="1">33368.0233424164*((RANDBETWEEN(1587,2416)))</f>
        <v>76212565.314079002</v>
      </c>
      <c r="B3439">
        <v>257114248.63963181</v>
      </c>
    </row>
    <row r="3440" spans="1:2" x14ac:dyDescent="0.25">
      <c r="A3440">
        <f ca="1">31330.0730041661*((RANDBETWEEN(1587,2416)))</f>
        <v>57522014.035648957</v>
      </c>
      <c r="B3440">
        <v>238930506.61171144</v>
      </c>
    </row>
    <row r="3441" spans="1:2" x14ac:dyDescent="0.25">
      <c r="A3441">
        <f ca="1">31312.5010096161*((RANDBETWEEN(1587,2416)))</f>
        <v>51634314.16485697</v>
      </c>
      <c r="B3441">
        <v>260604879.51079661</v>
      </c>
    </row>
    <row r="3442" spans="1:2" x14ac:dyDescent="0.25">
      <c r="A3442">
        <f ca="1">31958.0231767853*((RANDBETWEEN(1587,2416)))</f>
        <v>64203668.562161587</v>
      </c>
      <c r="B3442">
        <v>217665284.38629672</v>
      </c>
    </row>
    <row r="3443" spans="1:2" x14ac:dyDescent="0.25">
      <c r="A3443">
        <f ca="1">30054.8541494705*((RANDBETWEEN(1587,2416)))</f>
        <v>53377420.969459735</v>
      </c>
      <c r="B3443">
        <v>233594871.10426471</v>
      </c>
    </row>
    <row r="3444" spans="1:2" x14ac:dyDescent="0.25">
      <c r="A3444">
        <f ca="1">37629.7720452723*((RANDBETWEEN(1587,2416)))</f>
        <v>70819230.989202499</v>
      </c>
      <c r="B3444">
        <v>221248307.49762431</v>
      </c>
    </row>
    <row r="3445" spans="1:2" x14ac:dyDescent="0.25">
      <c r="A3445">
        <f ca="1">36368.2503950598*((RANDBETWEEN(1587,2416)))</f>
        <v>59207511.643157423</v>
      </c>
      <c r="B3445">
        <v>221692307.95533085</v>
      </c>
    </row>
    <row r="3446" spans="1:2" x14ac:dyDescent="0.25">
      <c r="A3446">
        <f ca="1">30108.7618692684*((RANDBETWEEN(1587,2416)))</f>
        <v>70454502.774088085</v>
      </c>
      <c r="B3446">
        <v>233871670.64980718</v>
      </c>
    </row>
    <row r="3447" spans="1:2" x14ac:dyDescent="0.25">
      <c r="A3447">
        <f ca="1">35711.3813965615*((RANDBETWEEN(1587,2416)))</f>
        <v>63673393.030069187</v>
      </c>
      <c r="B3447">
        <v>250480193.44675314</v>
      </c>
    </row>
    <row r="3448" spans="1:2" x14ac:dyDescent="0.25">
      <c r="A3448">
        <f ca="1">33067.2668696767*((RANDBETWEEN(1587,2416)))</f>
        <v>75988579.266516954</v>
      </c>
      <c r="B3448">
        <v>216650133.58093953</v>
      </c>
    </row>
    <row r="3449" spans="1:2" x14ac:dyDescent="0.25">
      <c r="A3449">
        <f ca="1">31205.3883998191*((RANDBETWEEN(1587,2416)))</f>
        <v>51925766.297298975</v>
      </c>
      <c r="B3449">
        <v>259281170.67700449</v>
      </c>
    </row>
    <row r="3450" spans="1:2" x14ac:dyDescent="0.25">
      <c r="A3450">
        <f ca="1">31248.8584568714*((RANDBETWEEN(1587,2416)))</f>
        <v>69059977.189685762</v>
      </c>
      <c r="B3450">
        <v>224715921.70523116</v>
      </c>
    </row>
    <row r="3451" spans="1:2" x14ac:dyDescent="0.25">
      <c r="A3451">
        <f ca="1">37869.7580947909*((RANDBETWEEN(1587,2416)))</f>
        <v>70362010.540121555</v>
      </c>
      <c r="B3451">
        <v>208318407.53473708</v>
      </c>
    </row>
    <row r="3452" spans="1:2" x14ac:dyDescent="0.25">
      <c r="A3452">
        <f ca="1">32636.8467176684*((RANDBETWEEN(1587,2416)))</f>
        <v>51957859.974528074</v>
      </c>
      <c r="B3452">
        <v>253695204.74638277</v>
      </c>
    </row>
    <row r="3453" spans="1:2" x14ac:dyDescent="0.25">
      <c r="A3453">
        <f ca="1">32171.8832967835*((RANDBETWEEN(1587,2416)))</f>
        <v>60579656.247843243</v>
      </c>
      <c r="B3453">
        <v>217036217.23875988</v>
      </c>
    </row>
    <row r="3454" spans="1:2" x14ac:dyDescent="0.25">
      <c r="A3454">
        <f ca="1">32679.2400991466*((RANDBETWEEN(1587,2416)))</f>
        <v>71469498.096833661</v>
      </c>
      <c r="B3454">
        <v>227145814.42084956</v>
      </c>
    </row>
    <row r="3455" spans="1:2" x14ac:dyDescent="0.25">
      <c r="A3455">
        <f ca="1">34721.4157296786*((RANDBETWEEN(1587,2416)))</f>
        <v>57116728.875321358</v>
      </c>
      <c r="B3455">
        <v>216562118.2857123</v>
      </c>
    </row>
    <row r="3456" spans="1:2" x14ac:dyDescent="0.25">
      <c r="A3456">
        <f ca="1">39080.7759581621*((RANDBETWEEN(1587,2416)))</f>
        <v>85196091.588793442</v>
      </c>
      <c r="B3456">
        <v>219787059.29588577</v>
      </c>
    </row>
    <row r="3457" spans="1:2" x14ac:dyDescent="0.25">
      <c r="A3457">
        <f ca="1">32375.1505493667*((RANDBETWEEN(1587,2416)))</f>
        <v>73135465.091019377</v>
      </c>
      <c r="B3457">
        <v>244685907.44651201</v>
      </c>
    </row>
    <row r="3458" spans="1:2" x14ac:dyDescent="0.25">
      <c r="A3458">
        <f ca="1">37026.8277210432*((RANDBETWEEN(1587,2416)))</f>
        <v>71869072.606544927</v>
      </c>
      <c r="B3458">
        <v>209724871.01984757</v>
      </c>
    </row>
    <row r="3459" spans="1:2" x14ac:dyDescent="0.25">
      <c r="A3459">
        <f ca="1">31309.8059135607*((RANDBETWEEN(1587,2416)))</f>
        <v>52381305.293386981</v>
      </c>
      <c r="B3459">
        <v>205809521.88289437</v>
      </c>
    </row>
    <row r="3460" spans="1:2" x14ac:dyDescent="0.25">
      <c r="A3460">
        <f ca="1">31890.0633494386*((RANDBETWEEN(1587,2416)))</f>
        <v>74941648.871180743</v>
      </c>
      <c r="B3460">
        <v>267708931.68350822</v>
      </c>
    </row>
    <row r="3461" spans="1:2" x14ac:dyDescent="0.25">
      <c r="A3461">
        <f ca="1">31537.1393232474*((RANDBETWEEN(1587,2416)))</f>
        <v>65944158.324910372</v>
      </c>
      <c r="B3461">
        <v>238883803.2779125</v>
      </c>
    </row>
    <row r="3462" spans="1:2" x14ac:dyDescent="0.25">
      <c r="A3462">
        <f ca="1">33576.2208373486*((RANDBETWEEN(1587,2416)))</f>
        <v>64734953.774408057</v>
      </c>
      <c r="B3462">
        <v>256208092.25221977</v>
      </c>
    </row>
    <row r="3463" spans="1:2" x14ac:dyDescent="0.25">
      <c r="A3463">
        <f ca="1">32281.3119309498*((RANDBETWEEN(1587,2416)))</f>
        <v>57783548.356400058</v>
      </c>
      <c r="B3463">
        <v>264396054.84620434</v>
      </c>
    </row>
    <row r="3464" spans="1:2" x14ac:dyDescent="0.25">
      <c r="A3464">
        <f ca="1">29704.9854731094*((RANDBETWEEN(1587,2416)))</f>
        <v>64935098.24421709</v>
      </c>
      <c r="B3464">
        <v>257837066.80816361</v>
      </c>
    </row>
    <row r="3465" spans="1:2" x14ac:dyDescent="0.25">
      <c r="A3465">
        <f ca="1">36596.4300968234*((RANDBETWEEN(1587,2416)))</f>
        <v>75864399.590714857</v>
      </c>
      <c r="B3465">
        <v>216422260.74563205</v>
      </c>
    </row>
    <row r="3466" spans="1:2" x14ac:dyDescent="0.25">
      <c r="A3466">
        <f ca="1">30751.3297324543*((RANDBETWEEN(1587,2416)))</f>
        <v>53169049.107413441</v>
      </c>
      <c r="B3466">
        <v>250600071.51664805</v>
      </c>
    </row>
    <row r="3467" spans="1:2" x14ac:dyDescent="0.25">
      <c r="A3467">
        <f ca="1">30184.2103749961*((RANDBETWEEN(1587,2416)))</f>
        <v>70268841.752990887</v>
      </c>
      <c r="B3467">
        <v>217350711.84319323</v>
      </c>
    </row>
    <row r="3468" spans="1:2" x14ac:dyDescent="0.25">
      <c r="A3468">
        <f ca="1">34108.9142011449*((RANDBETWEEN(1587,2416)))</f>
        <v>65557333.094600484</v>
      </c>
      <c r="B3468">
        <v>208204022.45594189</v>
      </c>
    </row>
    <row r="3469" spans="1:2" x14ac:dyDescent="0.25">
      <c r="A3469">
        <f ca="1">28739.5630720732*((RANDBETWEEN(1587,2416)))</f>
        <v>58772406.482389629</v>
      </c>
      <c r="B3469">
        <v>258604763.37261623</v>
      </c>
    </row>
    <row r="3470" spans="1:2" x14ac:dyDescent="0.25">
      <c r="A3470">
        <f ca="1">31368.735082447*((RANDBETWEEN(1587,2416)))</f>
        <v>72838202.861442044</v>
      </c>
      <c r="B3470">
        <v>254791677.31711224</v>
      </c>
    </row>
    <row r="3471" spans="1:2" x14ac:dyDescent="0.25">
      <c r="A3471">
        <f ca="1">39089.0085194611*((RANDBETWEEN(1587,2416)))</f>
        <v>69656613.181679666</v>
      </c>
      <c r="B3471">
        <v>210600756.73281687</v>
      </c>
    </row>
    <row r="3472" spans="1:2" x14ac:dyDescent="0.25">
      <c r="A3472">
        <f ca="1">41268.3988786903*((RANDBETWEEN(1587,2416)))</f>
        <v>73787897.195098236</v>
      </c>
      <c r="B3472">
        <v>213520142.74074879</v>
      </c>
    </row>
    <row r="3473" spans="1:2" x14ac:dyDescent="0.25">
      <c r="A3473">
        <f ca="1">30127.2713671112*((RANDBETWEEN(1587,2416)))</f>
        <v>70106160.47126773</v>
      </c>
      <c r="B3473">
        <v>265124665.34850293</v>
      </c>
    </row>
    <row r="3474" spans="1:2" x14ac:dyDescent="0.25">
      <c r="A3474">
        <f ca="1">35432.0862286493*((RANDBETWEEN(1587,2416)))</f>
        <v>68950839.800951481</v>
      </c>
      <c r="B3474">
        <v>229885168.98653337</v>
      </c>
    </row>
    <row r="3475" spans="1:2" x14ac:dyDescent="0.25">
      <c r="A3475">
        <f ca="1">40746.962882371*((RANDBETWEEN(1587,2416)))</f>
        <v>83938743.537684321</v>
      </c>
      <c r="B3475">
        <v>261099550.66081348</v>
      </c>
    </row>
    <row r="3476" spans="1:2" x14ac:dyDescent="0.25">
      <c r="A3476">
        <f ca="1">31585.2973327566*((RANDBETWEEN(1587,2416)))</f>
        <v>53158055.411029346</v>
      </c>
      <c r="B3476">
        <v>260476024.87170798</v>
      </c>
    </row>
    <row r="3477" spans="1:2" x14ac:dyDescent="0.25">
      <c r="A3477">
        <f ca="1">34391.3291470952*((RANDBETWEEN(1587,2416)))</f>
        <v>57743041.637972824</v>
      </c>
      <c r="B3477">
        <v>207896362.32207984</v>
      </c>
    </row>
    <row r="3478" spans="1:2" x14ac:dyDescent="0.25">
      <c r="A3478">
        <f ca="1">31983.6443430682*((RANDBETWEEN(1587,2416)))</f>
        <v>72378987.148363262</v>
      </c>
      <c r="B3478">
        <v>206417162.796978</v>
      </c>
    </row>
    <row r="3479" spans="1:2" x14ac:dyDescent="0.25">
      <c r="A3479">
        <f ca="1">41430.5539450456*((RANDBETWEEN(1587,2416)))</f>
        <v>69810483.397401884</v>
      </c>
      <c r="B3479">
        <v>208892445.30485016</v>
      </c>
    </row>
    <row r="3480" spans="1:2" x14ac:dyDescent="0.25">
      <c r="A3480">
        <f ca="1">31748.7413863406*((RANDBETWEEN(1587,2416)))</f>
        <v>51401212.30448547</v>
      </c>
      <c r="B3480">
        <v>258746948.57163525</v>
      </c>
    </row>
    <row r="3481" spans="1:2" x14ac:dyDescent="0.25">
      <c r="A3481">
        <f ca="1">32265.8666403747*((RANDBETWEEN(1587,2416)))</f>
        <v>73017656.207167909</v>
      </c>
      <c r="B3481">
        <v>232926251.89281291</v>
      </c>
    </row>
    <row r="3482" spans="1:2" x14ac:dyDescent="0.25">
      <c r="A3482">
        <f ca="1">34386.7934695348*((RANDBETWEEN(1587,2416)))</f>
        <v>60933398.028015718</v>
      </c>
      <c r="B3482">
        <v>204341323.14500087</v>
      </c>
    </row>
    <row r="3483" spans="1:2" x14ac:dyDescent="0.25">
      <c r="A3483">
        <f ca="1">32497.6661672523*((RANDBETWEEN(1587,2416)))</f>
        <v>72469795.552972585</v>
      </c>
      <c r="B3483">
        <v>213841686.89300039</v>
      </c>
    </row>
    <row r="3484" spans="1:2" x14ac:dyDescent="0.25">
      <c r="A3484">
        <f ca="1">36321.7183212917*((RANDBETWEEN(1587,2416)))</f>
        <v>79871458.588520437</v>
      </c>
      <c r="B3484">
        <v>226680067.35425836</v>
      </c>
    </row>
    <row r="3485" spans="1:2" x14ac:dyDescent="0.25">
      <c r="A3485">
        <f ca="1">30354.894959743*((RANDBETWEEN(1587,2416)))</f>
        <v>67236092.335830793</v>
      </c>
      <c r="B3485">
        <v>229968947.36302322</v>
      </c>
    </row>
    <row r="3486" spans="1:2" x14ac:dyDescent="0.25">
      <c r="A3486">
        <f ca="1">34118.4074115591*((RANDBETWEEN(1587,2416)))</f>
        <v>66872078.526655808</v>
      </c>
      <c r="B3486">
        <v>243139686.38758445</v>
      </c>
    </row>
    <row r="3487" spans="1:2" x14ac:dyDescent="0.25">
      <c r="A3487">
        <f ca="1">32652.2842719103*((RANDBETWEEN(1587,2416)))</f>
        <v>64422956.868478969</v>
      </c>
      <c r="B3487">
        <v>217907727.53598845</v>
      </c>
    </row>
    <row r="3488" spans="1:2" x14ac:dyDescent="0.25">
      <c r="A3488">
        <f ca="1">30625.4903382918*((RANDBETWEEN(1587,2416)))</f>
        <v>65201668.930223152</v>
      </c>
      <c r="B3488">
        <v>236952248.31834748</v>
      </c>
    </row>
    <row r="3489" spans="1:2" x14ac:dyDescent="0.25">
      <c r="A3489">
        <f ca="1">37299.7530505717*((RANDBETWEEN(1587,2416)))</f>
        <v>82096756.464308411</v>
      </c>
      <c r="B3489">
        <v>243900173.13682836</v>
      </c>
    </row>
    <row r="3490" spans="1:2" x14ac:dyDescent="0.25">
      <c r="A3490">
        <f ca="1">32480.0903081585*((RANDBETWEEN(1587,2416)))</f>
        <v>57424799.664824203</v>
      </c>
      <c r="B3490">
        <v>241540340.34517995</v>
      </c>
    </row>
    <row r="3491" spans="1:2" x14ac:dyDescent="0.25">
      <c r="A3491">
        <f ca="1">30941.5967619948*((RANDBETWEEN(1587,2416)))</f>
        <v>59315040.992743969</v>
      </c>
      <c r="B3491">
        <v>243024030.70873493</v>
      </c>
    </row>
    <row r="3492" spans="1:2" x14ac:dyDescent="0.25">
      <c r="A3492">
        <f ca="1">37150.5199933169*((RANDBETWEEN(1587,2416)))</f>
        <v>70214482.787368983</v>
      </c>
      <c r="B3492">
        <v>205221804.32749796</v>
      </c>
    </row>
    <row r="3493" spans="1:2" x14ac:dyDescent="0.25">
      <c r="A3493">
        <f ca="1">38226.3667675209*((RANDBETWEEN(1587,2416)))</f>
        <v>83218800.452893019</v>
      </c>
      <c r="B3493">
        <v>231020799.52258161</v>
      </c>
    </row>
    <row r="3494" spans="1:2" x14ac:dyDescent="0.25">
      <c r="A3494">
        <f ca="1">38146.0085337819*((RANDBETWEEN(1587,2416)))</f>
        <v>91779296.532279179</v>
      </c>
      <c r="B3494">
        <v>256916911.57873046</v>
      </c>
    </row>
    <row r="3495" spans="1:2" x14ac:dyDescent="0.25">
      <c r="A3495">
        <f ca="1">30027.5348749668*((RANDBETWEEN(1587,2416)))</f>
        <v>68432751.980049446</v>
      </c>
      <c r="B3495">
        <v>237718500.19755223</v>
      </c>
    </row>
    <row r="3496" spans="1:2" x14ac:dyDescent="0.25">
      <c r="A3496">
        <f ca="1">30224.2456067502*((RANDBETWEEN(1587,2416)))</f>
        <v>55521939.179600067</v>
      </c>
      <c r="B3496">
        <v>228526754.6602</v>
      </c>
    </row>
    <row r="3497" spans="1:2" x14ac:dyDescent="0.25">
      <c r="A3497">
        <f ca="1">32294.5517427212*((RANDBETWEEN(1587,2416)))</f>
        <v>72598152.317637295</v>
      </c>
      <c r="B3497">
        <v>251500609.27459332</v>
      </c>
    </row>
    <row r="3498" spans="1:2" x14ac:dyDescent="0.25">
      <c r="A3498">
        <f ca="1">32649.7978438028*((RANDBETWEEN(1587,2416)))</f>
        <v>66605587.601357684</v>
      </c>
      <c r="B3498">
        <v>257611459.39262348</v>
      </c>
    </row>
    <row r="3499" spans="1:2" x14ac:dyDescent="0.25">
      <c r="A3499">
        <f ca="1">29865.0546140944*((RANDBETWEEN(1587,2416)))</f>
        <v>51188703.608557872</v>
      </c>
      <c r="B3499">
        <v>229980999.44740951</v>
      </c>
    </row>
    <row r="3500" spans="1:2" x14ac:dyDescent="0.25">
      <c r="A3500">
        <f ca="1">32715.2155360119*((RANDBETWEEN(1587,2416)))</f>
        <v>68440230.901336953</v>
      </c>
      <c r="B3500">
        <v>244827733.71510994</v>
      </c>
    </row>
    <row r="3501" spans="1:2" x14ac:dyDescent="0.25">
      <c r="A3501">
        <f ca="1">34929.0716390774*((RANDBETWEEN(1587,2416)))</f>
        <v>55921443.694162995</v>
      </c>
      <c r="B3501">
        <v>239087215.34221309</v>
      </c>
    </row>
    <row r="3502" spans="1:2" x14ac:dyDescent="0.25">
      <c r="A3502">
        <f ca="1">37292.2783511801*((RANDBETWEEN(1587,2416)))</f>
        <v>81707381.8674355</v>
      </c>
      <c r="B3502">
        <v>249421271.82839984</v>
      </c>
    </row>
    <row r="3503" spans="1:2" x14ac:dyDescent="0.25">
      <c r="A3503">
        <f ca="1">31638.4648811455*((RANDBETWEEN(1587,2416)))</f>
        <v>63909699.059913911</v>
      </c>
      <c r="B3503">
        <v>255246900.67594966</v>
      </c>
    </row>
    <row r="3504" spans="1:2" x14ac:dyDescent="0.25">
      <c r="A3504">
        <f ca="1">32037.9855284117*((RANDBETWEEN(1587,2416)))</f>
        <v>63050755.51991415</v>
      </c>
      <c r="B3504">
        <v>228803523.46055466</v>
      </c>
    </row>
    <row r="3505" spans="1:2" x14ac:dyDescent="0.25">
      <c r="A3505">
        <f ca="1">33422.5166535063*((RANDBETWEEN(1587,2416)))</f>
        <v>66911878.340319619</v>
      </c>
      <c r="B3505">
        <v>209847212.7277419</v>
      </c>
    </row>
    <row r="3506" spans="1:2" x14ac:dyDescent="0.25">
      <c r="A3506">
        <f ca="1">36027.3311949586*((RANDBETWEEN(1587,2416)))</f>
        <v>59156877.82212203</v>
      </c>
      <c r="B3506">
        <v>258407971.56355578</v>
      </c>
    </row>
    <row r="3507" spans="1:2" x14ac:dyDescent="0.25">
      <c r="A3507">
        <f ca="1">33746.5966369739*((RANDBETWEEN(1587,2416)))</f>
        <v>69517989.072166234</v>
      </c>
      <c r="B3507">
        <v>220527192.79269761</v>
      </c>
    </row>
    <row r="3508" spans="1:2" x14ac:dyDescent="0.25">
      <c r="A3508">
        <f ca="1">40024.5351145461*((RANDBETWEEN(1587,2416)))</f>
        <v>73044776.584046543</v>
      </c>
      <c r="B3508">
        <v>254609606.98238218</v>
      </c>
    </row>
    <row r="3509" spans="1:2" x14ac:dyDescent="0.25">
      <c r="A3509">
        <f ca="1">35698.2546237337*((RANDBETWEEN(1587,2416)))</f>
        <v>69682993.025528207</v>
      </c>
      <c r="B3509">
        <v>258847495.51398882</v>
      </c>
    </row>
    <row r="3510" spans="1:2" x14ac:dyDescent="0.25">
      <c r="A3510">
        <f ca="1">33144.2735455585*((RANDBETWEEN(1587,2416)))</f>
        <v>55350936.821082704</v>
      </c>
      <c r="B3510">
        <v>218397501.37545583</v>
      </c>
    </row>
    <row r="3511" spans="1:2" x14ac:dyDescent="0.25">
      <c r="A3511">
        <f ca="1">31263.1517880727*((RANDBETWEEN(1587,2416)))</f>
        <v>55023147.147008039</v>
      </c>
      <c r="B3511">
        <v>240595636.33872473</v>
      </c>
    </row>
    <row r="3512" spans="1:2" x14ac:dyDescent="0.25">
      <c r="A3512">
        <f ca="1">41618.6767147465*((RANDBETWEEN(1587,2416)))</f>
        <v>100051298.82225068</v>
      </c>
      <c r="B3512">
        <v>253588721.54050189</v>
      </c>
    </row>
    <row r="3513" spans="1:2" x14ac:dyDescent="0.25">
      <c r="A3513">
        <f ca="1">28984.3531236976*((RANDBETWEEN(1587,2416)))</f>
        <v>58635346.369240336</v>
      </c>
      <c r="B3513">
        <v>206762356.98922235</v>
      </c>
    </row>
    <row r="3514" spans="1:2" x14ac:dyDescent="0.25">
      <c r="A3514">
        <f ca="1">32084.7397923108*((RANDBETWEEN(1587,2416)))</f>
        <v>59934293.932036638</v>
      </c>
      <c r="B3514">
        <v>232329059.68003124</v>
      </c>
    </row>
    <row r="3515" spans="1:2" x14ac:dyDescent="0.25">
      <c r="A3515">
        <f ca="1">28972.1703469092*((RANDBETWEEN(1587,2416)))</f>
        <v>51077936.321600869</v>
      </c>
      <c r="B3515">
        <v>253293361.51852685</v>
      </c>
    </row>
    <row r="3516" spans="1:2" x14ac:dyDescent="0.25">
      <c r="A3516">
        <f ca="1">34419.6613405898*((RANDBETWEEN(1587,2416)))</f>
        <v>71764993.8951298</v>
      </c>
      <c r="B3516">
        <v>224105818.82185358</v>
      </c>
    </row>
    <row r="3517" spans="1:2" x14ac:dyDescent="0.25">
      <c r="A3517">
        <f ca="1">32661.1442915157*((RANDBETWEEN(1587,2416)))</f>
        <v>60651744.949344635</v>
      </c>
      <c r="B3517">
        <v>214916730.34445971</v>
      </c>
    </row>
    <row r="3518" spans="1:2" x14ac:dyDescent="0.25">
      <c r="A3518">
        <f ca="1">40717.716074376*((RANDBETWEEN(1587,2416)))</f>
        <v>68242892.140654236</v>
      </c>
      <c r="B3518">
        <v>212887899.27591366</v>
      </c>
    </row>
    <row r="3519" spans="1:2" x14ac:dyDescent="0.25">
      <c r="A3519">
        <f ca="1">36518.7389494368*((RANDBETWEEN(1587,2416)))</f>
        <v>65332023.980542429</v>
      </c>
      <c r="B3519">
        <v>232348613.54080045</v>
      </c>
    </row>
    <row r="3520" spans="1:2" x14ac:dyDescent="0.25">
      <c r="A3520">
        <f ca="1">39613.4538919128*((RANDBETWEEN(1587,2416)))</f>
        <v>86555396.753829539</v>
      </c>
      <c r="B3520">
        <v>207561429.1600967</v>
      </c>
    </row>
    <row r="3521" spans="1:2" x14ac:dyDescent="0.25">
      <c r="A3521">
        <f ca="1">38632.6768430639*((RANDBETWEEN(1587,2416)))</f>
        <v>72281738.37337248</v>
      </c>
      <c r="B3521">
        <v>206881198.94095737</v>
      </c>
    </row>
    <row r="3522" spans="1:2" x14ac:dyDescent="0.25">
      <c r="A3522">
        <f ca="1">33046.7976104684*((RANDBETWEEN(1587,2416)))</f>
        <v>71612410.421884999</v>
      </c>
      <c r="B3522">
        <v>258424134.75520688</v>
      </c>
    </row>
    <row r="3523" spans="1:2" x14ac:dyDescent="0.25">
      <c r="A3523">
        <f ca="1">31485.1199809467*((RANDBETWEEN(1587,2416)))</f>
        <v>63442516.761607654</v>
      </c>
      <c r="B3523">
        <v>214118602.8108511</v>
      </c>
    </row>
    <row r="3524" spans="1:2" x14ac:dyDescent="0.25">
      <c r="A3524">
        <f ca="1">30312.6593979534*((RANDBETWEEN(1587,2416)))</f>
        <v>50228076.62240871</v>
      </c>
      <c r="B3524">
        <v>214156082.66654846</v>
      </c>
    </row>
    <row r="3525" spans="1:2" x14ac:dyDescent="0.25">
      <c r="A3525">
        <f ca="1">30162.5715613713*((RANDBETWEEN(1587,2416)))</f>
        <v>50341331.935928673</v>
      </c>
      <c r="B3525">
        <v>232904697.95570964</v>
      </c>
    </row>
    <row r="3526" spans="1:2" x14ac:dyDescent="0.25">
      <c r="A3526">
        <f ca="1">34589.2533560341*((RANDBETWEEN(1587,2416)))</f>
        <v>64578136.015715659</v>
      </c>
      <c r="B3526">
        <v>254495229.01561734</v>
      </c>
    </row>
    <row r="3527" spans="1:2" x14ac:dyDescent="0.25">
      <c r="A3527">
        <f ca="1">30228.9636261904*((RANDBETWEEN(1587,2416)))</f>
        <v>69919592.867378473</v>
      </c>
      <c r="B3527">
        <v>265939457.692743</v>
      </c>
    </row>
    <row r="3528" spans="1:2" x14ac:dyDescent="0.25">
      <c r="A3528">
        <f ca="1">32205.2994421801*((RANDBETWEEN(1587,2416)))</f>
        <v>57261022.408196293</v>
      </c>
      <c r="B3528">
        <v>203808619.42386764</v>
      </c>
    </row>
    <row r="3529" spans="1:2" x14ac:dyDescent="0.25">
      <c r="A3529">
        <f ca="1">37588.8502572684*((RANDBETWEEN(1587,2416)))</f>
        <v>71794703.991382629</v>
      </c>
      <c r="B3529">
        <v>253200525.71084172</v>
      </c>
    </row>
    <row r="3530" spans="1:2" x14ac:dyDescent="0.25">
      <c r="A3530">
        <f ca="1">31768.0314318374*((RANDBETWEEN(1587,2416)))</f>
        <v>75417306.619181886</v>
      </c>
      <c r="B3530">
        <v>212258373.75643697</v>
      </c>
    </row>
    <row r="3531" spans="1:2" x14ac:dyDescent="0.25">
      <c r="A3531">
        <f ca="1">34046.7577780088*((RANDBETWEEN(1587,2416)))</f>
        <v>55223841.115930349</v>
      </c>
      <c r="B3531">
        <v>234407306.01606435</v>
      </c>
    </row>
    <row r="3532" spans="1:2" x14ac:dyDescent="0.25">
      <c r="A3532">
        <f ca="1">38223.258656223*((RANDBETWEEN(1587,2416)))</f>
        <v>82524015.438785493</v>
      </c>
      <c r="B3532">
        <v>263015963.43466187</v>
      </c>
    </row>
    <row r="3533" spans="1:2" x14ac:dyDescent="0.25">
      <c r="A3533">
        <f ca="1">38703.409137139*((RANDBETWEEN(1587,2416)))</f>
        <v>73110739.860055551</v>
      </c>
      <c r="B3533">
        <v>238227774.60878992</v>
      </c>
    </row>
    <row r="3534" spans="1:2" x14ac:dyDescent="0.25">
      <c r="A3534">
        <f ca="1">39233.6504607487*((RANDBETWEEN(1587,2416)))</f>
        <v>81095955.502367616</v>
      </c>
      <c r="B3534">
        <v>216691353.28210026</v>
      </c>
    </row>
    <row r="3535" spans="1:2" x14ac:dyDescent="0.25">
      <c r="A3535">
        <f ca="1">37161.073196636*((RANDBETWEEN(1587,2416)))</f>
        <v>74507951.759255171</v>
      </c>
      <c r="B3535">
        <v>248446186.15563694</v>
      </c>
    </row>
    <row r="3536" spans="1:2" x14ac:dyDescent="0.25">
      <c r="A3536">
        <f ca="1">32177.0278396725*((RANDBETWEEN(1587,2416)))</f>
        <v>65802021.932130285</v>
      </c>
      <c r="B3536">
        <v>244476095.57789269</v>
      </c>
    </row>
    <row r="3537" spans="1:2" x14ac:dyDescent="0.25">
      <c r="A3537">
        <f ca="1">33153.7069068413*((RANDBETWEEN(1587,2416)))</f>
        <v>72009851.401659414</v>
      </c>
      <c r="B3537">
        <v>228394238.73874554</v>
      </c>
    </row>
    <row r="3538" spans="1:2" x14ac:dyDescent="0.25">
      <c r="A3538">
        <f ca="1">33436.3482964826*((RANDBETWEEN(1587,2416)))</f>
        <v>53431284.577779256</v>
      </c>
      <c r="B3538">
        <v>227495404.80951652</v>
      </c>
    </row>
    <row r="3539" spans="1:2" x14ac:dyDescent="0.25">
      <c r="A3539">
        <f ca="1">38591.9534942626*((RANDBETWEEN(1587,2416)))</f>
        <v>68462125.498821825</v>
      </c>
      <c r="B3539">
        <v>253578916.09460899</v>
      </c>
    </row>
    <row r="3540" spans="1:2" x14ac:dyDescent="0.25">
      <c r="A3540">
        <f ca="1">36373.2429240771*((RANDBETWEEN(1587,2416)))</f>
        <v>70600464.515633732</v>
      </c>
      <c r="B3540">
        <v>204401665.97809041</v>
      </c>
    </row>
    <row r="3541" spans="1:2" x14ac:dyDescent="0.25">
      <c r="A3541">
        <f ca="1">30961.445941739*((RANDBETWEEN(1587,2416)))</f>
        <v>55142335.222237095</v>
      </c>
      <c r="B3541">
        <v>208091282.79048598</v>
      </c>
    </row>
    <row r="3542" spans="1:2" x14ac:dyDescent="0.25">
      <c r="A3542">
        <f ca="1">29003.1038483398*((RANDBETWEEN(1587,2416)))</f>
        <v>50987456.565381423</v>
      </c>
      <c r="B3542">
        <v>227240398.21570307</v>
      </c>
    </row>
    <row r="3543" spans="1:2" x14ac:dyDescent="0.25">
      <c r="A3543">
        <f ca="1">28623.9538532894*((RANDBETWEEN(1587,2416)))</f>
        <v>67838770.632295907</v>
      </c>
      <c r="B3543">
        <v>222046058.84980583</v>
      </c>
    </row>
    <row r="3544" spans="1:2" x14ac:dyDescent="0.25">
      <c r="A3544">
        <f ca="1">36335.0156202621*((RANDBETWEEN(1587,2416)))</f>
        <v>72561026.193663463</v>
      </c>
      <c r="B3544">
        <v>259418774.93765071</v>
      </c>
    </row>
    <row r="3545" spans="1:2" x14ac:dyDescent="0.25">
      <c r="A3545">
        <f ca="1">41516.9878745572*((RANDBETWEEN(1587,2416)))</f>
        <v>95572106.087230757</v>
      </c>
      <c r="B3545">
        <v>219272838.72316694</v>
      </c>
    </row>
    <row r="3546" spans="1:2" x14ac:dyDescent="0.25">
      <c r="A3546">
        <f ca="1">30628.4779253907*((RANDBETWEEN(1587,2416)))</f>
        <v>69679787.280263901</v>
      </c>
      <c r="B3546">
        <v>247467586.86572859</v>
      </c>
    </row>
    <row r="3547" spans="1:2" x14ac:dyDescent="0.25">
      <c r="A3547">
        <f ca="1">37442.3557665009*((RANDBETWEEN(1587,2416)))</f>
        <v>65973430.860574633</v>
      </c>
      <c r="B3547">
        <v>258136714.87380096</v>
      </c>
    </row>
    <row r="3548" spans="1:2" x14ac:dyDescent="0.25">
      <c r="A3548">
        <f ca="1">31044.2089643203*((RANDBETWEEN(1587,2416)))</f>
        <v>52340536.31384401</v>
      </c>
      <c r="B3548">
        <v>261748962.52367517</v>
      </c>
    </row>
    <row r="3549" spans="1:2" x14ac:dyDescent="0.25">
      <c r="A3549">
        <f ca="1">29601.1034386012*((RANDBETWEEN(1587,2416)))</f>
        <v>54969249.085482374</v>
      </c>
      <c r="B3549">
        <v>266237850.84449673</v>
      </c>
    </row>
    <row r="3550" spans="1:2" x14ac:dyDescent="0.25">
      <c r="A3550">
        <f ca="1">41016.9573515751*((RANDBETWEEN(1587,2416)))</f>
        <v>71615607.535850108</v>
      </c>
      <c r="B3550">
        <v>226646900.59600186</v>
      </c>
    </row>
    <row r="3551" spans="1:2" x14ac:dyDescent="0.25">
      <c r="A3551">
        <f ca="1">32531.1773902964*((RANDBETWEEN(1587,2416)))</f>
        <v>65680447.151008368</v>
      </c>
      <c r="B3551">
        <v>231647803.44852909</v>
      </c>
    </row>
    <row r="3552" spans="1:2" x14ac:dyDescent="0.25">
      <c r="A3552">
        <f ca="1">39277.28630947*((RANDBETWEEN(1587,2416)))</f>
        <v>79025900.054653615</v>
      </c>
      <c r="B3552">
        <v>241361667.74710426</v>
      </c>
    </row>
    <row r="3553" spans="1:2" x14ac:dyDescent="0.25">
      <c r="A3553">
        <f ca="1">36676.4459228235*((RANDBETWEEN(1587,2416)))</f>
        <v>75883566.614321858</v>
      </c>
      <c r="B3553">
        <v>206644728.93380085</v>
      </c>
    </row>
    <row r="3554" spans="1:2" x14ac:dyDescent="0.25">
      <c r="A3554">
        <f ca="1">32555.9275224443*((RANDBETWEEN(1587,2416)))</f>
        <v>52154595.890955694</v>
      </c>
      <c r="B3554">
        <v>250096788.87038136</v>
      </c>
    </row>
    <row r="3555" spans="1:2" x14ac:dyDescent="0.25">
      <c r="A3555">
        <f ca="1">34865.412287514*((RANDBETWEEN(1587,2416)))</f>
        <v>82421834.647683069</v>
      </c>
      <c r="B3555">
        <v>224471071.61459503</v>
      </c>
    </row>
    <row r="3556" spans="1:2" x14ac:dyDescent="0.25">
      <c r="A3556">
        <f ca="1">35794.954133401*((RANDBETWEEN(1587,2416)))</f>
        <v>73343861.019338682</v>
      </c>
      <c r="B3556">
        <v>206801421.17414641</v>
      </c>
    </row>
    <row r="3557" spans="1:2" x14ac:dyDescent="0.25">
      <c r="A3557">
        <f ca="1">36608.3706243712*((RANDBETWEEN(1587,2416)))</f>
        <v>84162644.065429285</v>
      </c>
      <c r="B3557">
        <v>252649424.738855</v>
      </c>
    </row>
    <row r="3558" spans="1:2" x14ac:dyDescent="0.25">
      <c r="A3558">
        <f ca="1">31769.1199474982*((RANDBETWEEN(1587,2416)))</f>
        <v>64078314.934103921</v>
      </c>
      <c r="B3558">
        <v>236858683.77954739</v>
      </c>
    </row>
    <row r="3559" spans="1:2" x14ac:dyDescent="0.25">
      <c r="A3559">
        <f ca="1">36197.4499055822*((RANDBETWEEN(1587,2416)))</f>
        <v>73987587.607009992</v>
      </c>
      <c r="B3559">
        <v>207540834.06250659</v>
      </c>
    </row>
    <row r="3560" spans="1:2" x14ac:dyDescent="0.25">
      <c r="A3560">
        <f ca="1">38010.190561718*((RANDBETWEEN(1587,2416)))</f>
        <v>78262982.366577357</v>
      </c>
      <c r="B3560">
        <v>255060429.3288691</v>
      </c>
    </row>
    <row r="3561" spans="1:2" x14ac:dyDescent="0.25">
      <c r="A3561">
        <f ca="1">39157.0071473849*((RANDBETWEEN(1587,2416)))</f>
        <v>88299051.117352992</v>
      </c>
      <c r="B3561">
        <v>228038434.00120693</v>
      </c>
    </row>
    <row r="3562" spans="1:2" x14ac:dyDescent="0.25">
      <c r="A3562">
        <f ca="1">40309.2720914892*((RANDBETWEEN(1587,2416)))</f>
        <v>73886895.74369964</v>
      </c>
      <c r="B3562">
        <v>214726002.13095844</v>
      </c>
    </row>
    <row r="3563" spans="1:2" x14ac:dyDescent="0.25">
      <c r="A3563">
        <f ca="1">30910.8038410981*((RANDBETWEEN(1587,2416)))</f>
        <v>61327034.820738643</v>
      </c>
      <c r="B3563">
        <v>264006655.2163063</v>
      </c>
    </row>
    <row r="3564" spans="1:2" x14ac:dyDescent="0.25">
      <c r="A3564">
        <f ca="1">34056.2070239967*((RANDBETWEEN(1587,2416)))</f>
        <v>76898915.4601845</v>
      </c>
      <c r="B3564">
        <v>232281972.39470965</v>
      </c>
    </row>
    <row r="3565" spans="1:2" x14ac:dyDescent="0.25">
      <c r="A3565">
        <f ca="1">32958.4340811324*((RANDBETWEEN(1587,2416)))</f>
        <v>56919215.658115633</v>
      </c>
      <c r="B3565">
        <v>232099793.99617037</v>
      </c>
    </row>
    <row r="3566" spans="1:2" x14ac:dyDescent="0.25">
      <c r="A3566">
        <f ca="1">30668.7633038459*((RANDBETWEEN(1587,2416)))</f>
        <v>64588415.517899364</v>
      </c>
      <c r="B3566">
        <v>251314589.60600623</v>
      </c>
    </row>
    <row r="3567" spans="1:2" x14ac:dyDescent="0.25">
      <c r="A3567">
        <f ca="1">34978.4690589589*((RANDBETWEEN(1587,2416)))</f>
        <v>77197481.213122204</v>
      </c>
      <c r="B3567">
        <v>228275809.76867568</v>
      </c>
    </row>
    <row r="3568" spans="1:2" x14ac:dyDescent="0.25">
      <c r="A3568">
        <f ca="1">39505.187585533*((RANDBETWEEN(1587,2416)))</f>
        <v>69687150.900880143</v>
      </c>
      <c r="B3568">
        <v>263515264.28047124</v>
      </c>
    </row>
    <row r="3569" spans="1:2" x14ac:dyDescent="0.25">
      <c r="A3569">
        <f ca="1">35626.9074725553*((RANDBETWEEN(1587,2416)))</f>
        <v>62774610.966642387</v>
      </c>
      <c r="B3569">
        <v>232223624.02905387</v>
      </c>
    </row>
    <row r="3570" spans="1:2" x14ac:dyDescent="0.25">
      <c r="A3570">
        <f ca="1">37588.301624194*((RANDBETWEEN(1587,2416)))</f>
        <v>85287856.385296151</v>
      </c>
      <c r="B3570">
        <v>254780736.95547816</v>
      </c>
    </row>
    <row r="3571" spans="1:2" x14ac:dyDescent="0.25">
      <c r="A3571">
        <f ca="1">30114.7652360669*((RANDBETWEEN(1587,2416)))</f>
        <v>50261543.178995721</v>
      </c>
      <c r="B3571">
        <v>205814963.05533403</v>
      </c>
    </row>
    <row r="3572" spans="1:2" x14ac:dyDescent="0.25">
      <c r="A3572">
        <f ca="1">29021.2842278024*((RANDBETWEEN(1587,2416)))</f>
        <v>48610651.081568986</v>
      </c>
      <c r="B3572">
        <v>238612320.23630002</v>
      </c>
    </row>
    <row r="3573" spans="1:2" x14ac:dyDescent="0.25">
      <c r="A3573">
        <f ca="1">39888.4155148009*((RANDBETWEEN(1587,2416)))</f>
        <v>69924392.397446051</v>
      </c>
      <c r="B3573">
        <v>239865286.27598083</v>
      </c>
    </row>
    <row r="3574" spans="1:2" x14ac:dyDescent="0.25">
      <c r="A3574">
        <f ca="1">31759.9435534874*((RANDBETWEEN(1587,2416)))</f>
        <v>52118067.371272817</v>
      </c>
      <c r="B3574">
        <v>221526920.29745463</v>
      </c>
    </row>
    <row r="3575" spans="1:2" x14ac:dyDescent="0.25">
      <c r="A3575">
        <f ca="1">31980.8732886605*((RANDBETWEEN(1587,2416)))</f>
        <v>62458645.532753937</v>
      </c>
      <c r="B3575">
        <v>204455930.01177293</v>
      </c>
    </row>
    <row r="3576" spans="1:2" x14ac:dyDescent="0.25">
      <c r="A3576">
        <f ca="1">39823.5677208294*((RANDBETWEEN(1587,2416)))</f>
        <v>63558414.082443736</v>
      </c>
      <c r="B3576">
        <v>242257446.80522752</v>
      </c>
    </row>
    <row r="3577" spans="1:2" x14ac:dyDescent="0.25">
      <c r="A3577">
        <f ca="1">34941.4721219178*((RANDBETWEEN(1587,2416)))</f>
        <v>65340552.867986247</v>
      </c>
      <c r="B3577">
        <v>226274143.04814953</v>
      </c>
    </row>
    <row r="3578" spans="1:2" x14ac:dyDescent="0.25">
      <c r="A3578">
        <f ca="1">31161.8780922877*((RANDBETWEEN(1587,2416)))</f>
        <v>68898912.462048039</v>
      </c>
      <c r="B3578">
        <v>224771903.13693091</v>
      </c>
    </row>
    <row r="3579" spans="1:2" x14ac:dyDescent="0.25">
      <c r="A3579">
        <f ca="1">35264.6597175525*((RANDBETWEEN(1587,2416)))</f>
        <v>73985256.087425098</v>
      </c>
      <c r="B3579">
        <v>226266257.70849377</v>
      </c>
    </row>
    <row r="3580" spans="1:2" x14ac:dyDescent="0.25">
      <c r="A3580">
        <f ca="1">38217.6081031198*((RANDBETWEEN(1587,2416)))</f>
        <v>89199897.312681556</v>
      </c>
      <c r="B3580">
        <v>249821357.77948189</v>
      </c>
    </row>
    <row r="3581" spans="1:2" x14ac:dyDescent="0.25">
      <c r="A3581">
        <f ca="1">27859.2727783468*((RANDBETWEEN(1587,2416)))</f>
        <v>52459010.641627014</v>
      </c>
      <c r="B3581">
        <v>223630999.85009989</v>
      </c>
    </row>
    <row r="3582" spans="1:2" x14ac:dyDescent="0.25">
      <c r="A3582">
        <f ca="1">28725.9510760507*((RANDBETWEEN(1587,2416)))</f>
        <v>64978101.334026575</v>
      </c>
      <c r="B3582">
        <v>205133445.60002652</v>
      </c>
    </row>
    <row r="3583" spans="1:2" x14ac:dyDescent="0.25">
      <c r="A3583">
        <f ca="1">39865.401706876*((RANDBETWEEN(1587,2416)))</f>
        <v>92806655.17360726</v>
      </c>
      <c r="B3583">
        <v>243614933.66934821</v>
      </c>
    </row>
    <row r="3584" spans="1:2" x14ac:dyDescent="0.25">
      <c r="A3584">
        <f ca="1">35351.9978439677*((RANDBETWEEN(1587,2416)))</f>
        <v>69431323.765552625</v>
      </c>
      <c r="B3584">
        <v>261091055.83786458</v>
      </c>
    </row>
    <row r="3585" spans="1:2" x14ac:dyDescent="0.25">
      <c r="A3585">
        <f ca="1">37798.3705272844*((RANDBETWEEN(1587,2416)))</f>
        <v>83307608.64213489</v>
      </c>
      <c r="B3585">
        <v>241616511.97487846</v>
      </c>
    </row>
    <row r="3586" spans="1:2" x14ac:dyDescent="0.25">
      <c r="A3586">
        <f ca="1">38209.8696343266*((RANDBETWEEN(1587,2416)))</f>
        <v>71834554.912534043</v>
      </c>
      <c r="B3586">
        <v>214897780.76250041</v>
      </c>
    </row>
    <row r="3587" spans="1:2" x14ac:dyDescent="0.25">
      <c r="A3587">
        <f ca="1">38352.8211113105*((RANDBETWEEN(1587,2416)))</f>
        <v>78009638.140405536</v>
      </c>
      <c r="B3587">
        <v>255935054.52573186</v>
      </c>
    </row>
    <row r="3588" spans="1:2" x14ac:dyDescent="0.25">
      <c r="A3588">
        <f ca="1">31803.5997525423*((RANDBETWEEN(1587,2416)))</f>
        <v>72575814.635301605</v>
      </c>
      <c r="B3588">
        <v>221175057.39642775</v>
      </c>
    </row>
    <row r="3589" spans="1:2" x14ac:dyDescent="0.25">
      <c r="A3589">
        <f ca="1">31054.4462988686*((RANDBETWEEN(1587,2416)))</f>
        <v>62512600.39962253</v>
      </c>
      <c r="B3589">
        <v>228916311.1292927</v>
      </c>
    </row>
    <row r="3590" spans="1:2" x14ac:dyDescent="0.25">
      <c r="A3590">
        <f ca="1">31162.9403307761*((RANDBETWEEN(1587,2416)))</f>
        <v>52634206.218680769</v>
      </c>
      <c r="B3590">
        <v>210481809.54269314</v>
      </c>
    </row>
    <row r="3591" spans="1:2" x14ac:dyDescent="0.25">
      <c r="A3591">
        <f ca="1">36607.6738943834*((RANDBETWEEN(1587,2416)))</f>
        <v>61793753.533719115</v>
      </c>
      <c r="B3591">
        <v>207821807.26378325</v>
      </c>
    </row>
    <row r="3592" spans="1:2" x14ac:dyDescent="0.25">
      <c r="A3592">
        <f ca="1">29652.7500609623*((RANDBETWEEN(1587,2416)))</f>
        <v>51655090.606196404</v>
      </c>
      <c r="B3592">
        <v>255221893.41512719</v>
      </c>
    </row>
    <row r="3593" spans="1:2" x14ac:dyDescent="0.25">
      <c r="A3593">
        <f ca="1">30157.5315931306*((RANDBETWEEN(1587,2416)))</f>
        <v>67281452.984274372</v>
      </c>
      <c r="B3593">
        <v>219643726.06260341</v>
      </c>
    </row>
    <row r="3594" spans="1:2" x14ac:dyDescent="0.25">
      <c r="A3594">
        <f ca="1">35631.8619932484*((RANDBETWEEN(1587,2416)))</f>
        <v>64208615.31183362</v>
      </c>
      <c r="B3594">
        <v>257101994.66883802</v>
      </c>
    </row>
    <row r="3595" spans="1:2" x14ac:dyDescent="0.25">
      <c r="A3595">
        <f ca="1">32298.5235900339*((RANDBETWEEN(1587,2416)))</f>
        <v>61819374.151324831</v>
      </c>
      <c r="B3595">
        <v>206469283.45339662</v>
      </c>
    </row>
    <row r="3596" spans="1:2" x14ac:dyDescent="0.25">
      <c r="A3596">
        <f ca="1">32133.8358866345*((RANDBETWEEN(1587,2416)))</f>
        <v>52731624.689967163</v>
      </c>
      <c r="B3596">
        <v>208182582.94385251</v>
      </c>
    </row>
    <row r="3597" spans="1:2" x14ac:dyDescent="0.25">
      <c r="A3597">
        <f ca="1">30533.3468236329*((RANDBETWEEN(1587,2416)))</f>
        <v>62807094.416212916</v>
      </c>
      <c r="B3597">
        <v>222425199.7770108</v>
      </c>
    </row>
    <row r="3598" spans="1:2" x14ac:dyDescent="0.25">
      <c r="A3598">
        <f ca="1">33679.3841600344*((RANDBETWEEN(1587,2416)))</f>
        <v>70928783.041032374</v>
      </c>
      <c r="B3598">
        <v>226260514.32797477</v>
      </c>
    </row>
    <row r="3599" spans="1:2" x14ac:dyDescent="0.25">
      <c r="A3599">
        <f ca="1">36202.5601083905*((RANDBETWEEN(1587,2416)))</f>
        <v>80948924.402361259</v>
      </c>
      <c r="B3599">
        <v>251559248.40757307</v>
      </c>
    </row>
    <row r="3600" spans="1:2" x14ac:dyDescent="0.25">
      <c r="A3600">
        <f ca="1">35147.0428152286*((RANDBETWEEN(1587,2416)))</f>
        <v>59257914.186475486</v>
      </c>
      <c r="B3600">
        <v>232566263.26726341</v>
      </c>
    </row>
    <row r="3601" spans="1:2" x14ac:dyDescent="0.25">
      <c r="A3601">
        <f ca="1">32767.5672148827*((RANDBETWEEN(1587,2416)))</f>
        <v>52493642.678242065</v>
      </c>
      <c r="B3601">
        <v>212187147.61524194</v>
      </c>
    </row>
    <row r="3602" spans="1:2" x14ac:dyDescent="0.25">
      <c r="A3602">
        <f ca="1">38550.109649896*((RANDBETWEEN(1587,2416)))</f>
        <v>79991477.523534223</v>
      </c>
      <c r="B3602">
        <v>220749434.17690042</v>
      </c>
    </row>
    <row r="3603" spans="1:2" x14ac:dyDescent="0.25">
      <c r="A3603">
        <f ca="1">34958.1147470228*((RANDBETWEEN(1587,2416)))</f>
        <v>80193915.229670227</v>
      </c>
      <c r="B3603">
        <v>261808426.39792067</v>
      </c>
    </row>
    <row r="3604" spans="1:2" x14ac:dyDescent="0.25">
      <c r="A3604">
        <f ca="1">36871.7345917309*((RANDBETWEEN(1587,2416)))</f>
        <v>84067554.869146436</v>
      </c>
      <c r="B3604">
        <v>257278949.85162777</v>
      </c>
    </row>
    <row r="3605" spans="1:2" x14ac:dyDescent="0.25">
      <c r="A3605">
        <f ca="1">34088.1325888091*((RANDBETWEEN(1587,2416)))</f>
        <v>80959314.89842163</v>
      </c>
      <c r="B3605">
        <v>261398366.27889657</v>
      </c>
    </row>
    <row r="3606" spans="1:2" x14ac:dyDescent="0.25">
      <c r="A3606">
        <f ca="1">32364.2061027614*((RANDBETWEEN(1587,2416)))</f>
        <v>63110201.900384724</v>
      </c>
      <c r="B3606">
        <v>227655389.77508289</v>
      </c>
    </row>
    <row r="3607" spans="1:2" x14ac:dyDescent="0.25">
      <c r="A3607">
        <f ca="1">34692.3398824119*((RANDBETWEEN(1587,2416)))</f>
        <v>71327450.798238873</v>
      </c>
      <c r="B3607">
        <v>249235589.45260665</v>
      </c>
    </row>
    <row r="3608" spans="1:2" x14ac:dyDescent="0.25">
      <c r="A3608">
        <f ca="1">31120.9288583961*((RANDBETWEEN(1587,2416)))</f>
        <v>56608969.593422547</v>
      </c>
      <c r="B3608">
        <v>265384798.7791495</v>
      </c>
    </row>
    <row r="3609" spans="1:2" x14ac:dyDescent="0.25">
      <c r="A3609">
        <f ca="1">36244.5546088634*((RANDBETWEEN(1587,2416)))</f>
        <v>62775568.58255145</v>
      </c>
      <c r="B3609">
        <v>205504119.80524898</v>
      </c>
    </row>
    <row r="3610" spans="1:2" x14ac:dyDescent="0.25">
      <c r="A3610">
        <f ca="1">37802.1607372031*((RANDBETWEEN(1587,2416)))</f>
        <v>63696640.842187285</v>
      </c>
      <c r="B3610">
        <v>238063756.90560129</v>
      </c>
    </row>
    <row r="3611" spans="1:2" x14ac:dyDescent="0.25">
      <c r="A3611">
        <f ca="1">40205.8713566894*((RANDBETWEEN(1587,2416)))</f>
        <v>83748830.03598401</v>
      </c>
      <c r="B3611">
        <v>226329260.23018509</v>
      </c>
    </row>
    <row r="3612" spans="1:2" x14ac:dyDescent="0.25">
      <c r="A3612">
        <f ca="1">33165.9102679385*((RANDBETWEEN(1587,2416)))</f>
        <v>77143907.283224985</v>
      </c>
      <c r="B3612">
        <v>225751003.30069199</v>
      </c>
    </row>
    <row r="3613" spans="1:2" x14ac:dyDescent="0.25">
      <c r="A3613">
        <f ca="1">30168.3227058474*((RANDBETWEEN(1587,2416)))</f>
        <v>66943508.084275305</v>
      </c>
      <c r="B3613">
        <v>234078724.84435436</v>
      </c>
    </row>
    <row r="3614" spans="1:2" x14ac:dyDescent="0.25">
      <c r="A3614">
        <f ca="1">30837.3627197055*((RANDBETWEEN(1587,2416)))</f>
        <v>66115305.671048626</v>
      </c>
      <c r="B3614">
        <v>233240142.73760784</v>
      </c>
    </row>
    <row r="3615" spans="1:2" x14ac:dyDescent="0.25">
      <c r="A3615">
        <f ca="1">31452.0709452508*((RANDBETWEEN(1587,2416)))</f>
        <v>70138118.207909197</v>
      </c>
      <c r="B3615">
        <v>263304350.55420145</v>
      </c>
    </row>
    <row r="3616" spans="1:2" x14ac:dyDescent="0.25">
      <c r="A3616">
        <f ca="1">32773.085997114*((RANDBETWEEN(1587,2416)))</f>
        <v>77180617.523203537</v>
      </c>
      <c r="B3616">
        <v>206076465.5507766</v>
      </c>
    </row>
    <row r="3617" spans="1:2" x14ac:dyDescent="0.25">
      <c r="A3617">
        <f ca="1">37492.3426236916*((RANDBETWEEN(1587,2416)))</f>
        <v>89794160.583741412</v>
      </c>
      <c r="B3617">
        <v>266824714.01618287</v>
      </c>
    </row>
    <row r="3618" spans="1:2" x14ac:dyDescent="0.25">
      <c r="A3618">
        <f ca="1">34711.238890241*((RANDBETWEEN(1587,2416)))</f>
        <v>62757919.913555704</v>
      </c>
      <c r="B3618">
        <v>255927165.62554696</v>
      </c>
    </row>
    <row r="3619" spans="1:2" x14ac:dyDescent="0.25">
      <c r="A3619">
        <f ca="1">31284.2662194584*((RANDBETWEEN(1587,2416)))</f>
        <v>64195314.282328561</v>
      </c>
      <c r="B3619">
        <v>216783590.74126449</v>
      </c>
    </row>
    <row r="3620" spans="1:2" x14ac:dyDescent="0.25">
      <c r="A3620">
        <f ca="1">39812.5700340429*((RANDBETWEEN(1587,2416)))</f>
        <v>68278557.608383551</v>
      </c>
      <c r="B3620">
        <v>240184100.83782092</v>
      </c>
    </row>
    <row r="3621" spans="1:2" x14ac:dyDescent="0.25">
      <c r="A3621">
        <f ca="1">28639.889504331*((RANDBETWEEN(1587,2416)))</f>
        <v>52153238.78738676</v>
      </c>
      <c r="B3621">
        <v>229644920.08518267</v>
      </c>
    </row>
    <row r="3622" spans="1:2" x14ac:dyDescent="0.25">
      <c r="A3622">
        <f ca="1">40725.5388564552*((RANDBETWEEN(1587,2416)))</f>
        <v>87071202.075101256</v>
      </c>
      <c r="B3622">
        <v>213935885.78782147</v>
      </c>
    </row>
    <row r="3623" spans="1:2" x14ac:dyDescent="0.25">
      <c r="A3623">
        <f ca="1">38078.9409491072*((RANDBETWEEN(1587,2416)))</f>
        <v>81869723.040580437</v>
      </c>
      <c r="B3623">
        <v>226838312.6059804</v>
      </c>
    </row>
    <row r="3624" spans="1:2" x14ac:dyDescent="0.25">
      <c r="A3624">
        <f ca="1">39124.8257748517*((RANDBETWEEN(1587,2416)))</f>
        <v>93860457.033869132</v>
      </c>
      <c r="B3624">
        <v>232216786.39138699</v>
      </c>
    </row>
    <row r="3625" spans="1:2" x14ac:dyDescent="0.25">
      <c r="A3625">
        <f ca="1">31413.2664562001*((RANDBETWEEN(1587,2416)))</f>
        <v>56481053.088247851</v>
      </c>
      <c r="B3625">
        <v>250629966.67293081</v>
      </c>
    </row>
    <row r="3626" spans="1:2" x14ac:dyDescent="0.25">
      <c r="A3626">
        <f ca="1">30486.5244232511*((RANDBETWEEN(1587,2416)))</f>
        <v>73503010.384458482</v>
      </c>
      <c r="B3626">
        <v>249514404.65179491</v>
      </c>
    </row>
    <row r="3627" spans="1:2" x14ac:dyDescent="0.25">
      <c r="A3627">
        <f ca="1">29857.5941422409*((RANDBETWEEN(1587,2416)))</f>
        <v>70911786.087822124</v>
      </c>
      <c r="B3627">
        <v>225663097.63098592</v>
      </c>
    </row>
    <row r="3628" spans="1:2" x14ac:dyDescent="0.25">
      <c r="A3628">
        <f ca="1">38338.6859109172*((RANDBETWEEN(1587,2416)))</f>
        <v>67974490.120056242</v>
      </c>
      <c r="B3628">
        <v>211619178.19298232</v>
      </c>
    </row>
    <row r="3629" spans="1:2" x14ac:dyDescent="0.25">
      <c r="A3629">
        <f ca="1">39872.2928838231*((RANDBETWEEN(1587,2416)))</f>
        <v>86562747.850779846</v>
      </c>
      <c r="B3629">
        <v>204199271.66898197</v>
      </c>
    </row>
    <row r="3630" spans="1:2" x14ac:dyDescent="0.25">
      <c r="A3630">
        <f ca="1">32264.893592787*((RANDBETWEEN(1587,2416)))</f>
        <v>66723799.949883498</v>
      </c>
      <c r="B3630">
        <v>239392507.30564547</v>
      </c>
    </row>
    <row r="3631" spans="1:2" x14ac:dyDescent="0.25">
      <c r="A3631">
        <f ca="1">38566.8890593244*((RANDBETWEEN(1587,2416)))</f>
        <v>81299002.137055799</v>
      </c>
      <c r="B3631">
        <v>210884574.98816633</v>
      </c>
    </row>
    <row r="3632" spans="1:2" x14ac:dyDescent="0.25">
      <c r="A3632">
        <f ca="1">32497.1339280633*((RANDBETWEEN(1587,2416)))</f>
        <v>67074084.427522674</v>
      </c>
      <c r="B3632">
        <v>203790416.84379476</v>
      </c>
    </row>
    <row r="3633" spans="1:2" x14ac:dyDescent="0.25">
      <c r="A3633">
        <f ca="1">29209.9226786305*((RANDBETWEEN(1587,2416)))</f>
        <v>57339078.218151718</v>
      </c>
      <c r="B3633">
        <v>214312295.21139601</v>
      </c>
    </row>
    <row r="3634" spans="1:2" x14ac:dyDescent="0.25">
      <c r="A3634">
        <f ca="1">29948.768288659*((RANDBETWEEN(1587,2416)))</f>
        <v>64539595.662060164</v>
      </c>
      <c r="B3634">
        <v>244342111.70312354</v>
      </c>
    </row>
    <row r="3635" spans="1:2" x14ac:dyDescent="0.25">
      <c r="A3635">
        <f ca="1">38564.6704637092*((RANDBETWEEN(1587,2416)))</f>
        <v>75933836.143043444</v>
      </c>
      <c r="B3635">
        <v>233899284.79492211</v>
      </c>
    </row>
    <row r="3636" spans="1:2" x14ac:dyDescent="0.25">
      <c r="A3636">
        <f ca="1">28040.1818445141*((RANDBETWEEN(1587,2416)))</f>
        <v>62052922.421909735</v>
      </c>
      <c r="B3636">
        <v>226853065.71859851</v>
      </c>
    </row>
    <row r="3637" spans="1:2" x14ac:dyDescent="0.25">
      <c r="A3637">
        <f ca="1">33624.8120098822*((RANDBETWEEN(1587,2416)))</f>
        <v>71788973.641098514</v>
      </c>
      <c r="B3637">
        <v>251113354.83444542</v>
      </c>
    </row>
    <row r="3638" spans="1:2" x14ac:dyDescent="0.25">
      <c r="A3638">
        <f ca="1">30309.8161836503*((RANDBETWEEN(1587,2416)))</f>
        <v>62498840.970686965</v>
      </c>
      <c r="B3638">
        <v>230198812.90732253</v>
      </c>
    </row>
    <row r="3639" spans="1:2" x14ac:dyDescent="0.25">
      <c r="A3639">
        <f ca="1">35705.1634705152*((RANDBETWEEN(1587,2416)))</f>
        <v>62484036.073401742</v>
      </c>
      <c r="B3639">
        <v>229932977.31275707</v>
      </c>
    </row>
    <row r="3640" spans="1:2" x14ac:dyDescent="0.25">
      <c r="A3640">
        <f ca="1">32139.2147981462*((RANDBETWEEN(1587,2416)))</f>
        <v>54058159.290481977</v>
      </c>
      <c r="B3640">
        <v>230654815.6056096</v>
      </c>
    </row>
    <row r="3641" spans="1:2" x14ac:dyDescent="0.25">
      <c r="A3641">
        <f ca="1">32903.9480209515*((RANDBETWEEN(1587,2416)))</f>
        <v>55706383.999470927</v>
      </c>
      <c r="B3641">
        <v>226933118.72250649</v>
      </c>
    </row>
    <row r="3642" spans="1:2" x14ac:dyDescent="0.25">
      <c r="A3642">
        <f ca="1">31147.3686693849*((RANDBETWEEN(1587,2416)))</f>
        <v>63509484.716875829</v>
      </c>
      <c r="B3642">
        <v>207008357.97533312</v>
      </c>
    </row>
    <row r="3643" spans="1:2" x14ac:dyDescent="0.25">
      <c r="A3643">
        <f ca="1">41012.7571437856*((RANDBETWEEN(1587,2416)))</f>
        <v>71280171.915899396</v>
      </c>
      <c r="B3643">
        <v>236911046.58676761</v>
      </c>
    </row>
    <row r="3644" spans="1:2" x14ac:dyDescent="0.25">
      <c r="A3644">
        <f ca="1">36133.8252815567*((RANDBETWEEN(1587,2416)))</f>
        <v>74905419.808667064</v>
      </c>
      <c r="B3644">
        <v>243898781.71455625</v>
      </c>
    </row>
    <row r="3645" spans="1:2" x14ac:dyDescent="0.25">
      <c r="A3645">
        <f ca="1">38040.5319694587*((RANDBETWEEN(1587,2416)))</f>
        <v>65886201.371102497</v>
      </c>
      <c r="B3645">
        <v>254736503.43358189</v>
      </c>
    </row>
    <row r="3646" spans="1:2" x14ac:dyDescent="0.25">
      <c r="A3646">
        <f ca="1">30644.966288569*((RANDBETWEEN(1587,2416)))</f>
        <v>64967328.531766213</v>
      </c>
      <c r="B3646">
        <v>210394308.90448645</v>
      </c>
    </row>
    <row r="3647" spans="1:2" x14ac:dyDescent="0.25">
      <c r="A3647">
        <f ca="1">40118.0041350608*((RANDBETWEEN(1587,2416)))</f>
        <v>65994116.802175067</v>
      </c>
      <c r="B3647">
        <v>254381974.82935902</v>
      </c>
    </row>
    <row r="3648" spans="1:2" x14ac:dyDescent="0.25">
      <c r="A3648">
        <f ca="1">29744.7323704187*((RANDBETWEEN(1587,2416)))</f>
        <v>54373370.77312547</v>
      </c>
      <c r="B3648">
        <v>210541037.87922332</v>
      </c>
    </row>
    <row r="3649" spans="1:2" x14ac:dyDescent="0.25">
      <c r="A3649">
        <f ca="1">28939.3621652937*((RANDBETWEEN(1587,2416)))</f>
        <v>64997807.423249587</v>
      </c>
      <c r="B3649">
        <v>262039691.55381152</v>
      </c>
    </row>
    <row r="3650" spans="1:2" x14ac:dyDescent="0.25">
      <c r="A3650">
        <f ca="1">38698.7307211522*((RANDBETWEEN(1587,2416)))</f>
        <v>80802949.745765895</v>
      </c>
      <c r="B3650">
        <v>205097276.04409054</v>
      </c>
    </row>
    <row r="3651" spans="1:2" x14ac:dyDescent="0.25">
      <c r="A3651">
        <f ca="1">36918.2716212649*((RANDBETWEEN(1587,2416)))</f>
        <v>82180072.62893562</v>
      </c>
      <c r="B3651">
        <v>242557449.47826868</v>
      </c>
    </row>
    <row r="3652" spans="1:2" x14ac:dyDescent="0.25">
      <c r="A3652">
        <f ca="1">32291.6610068812*((RANDBETWEEN(1587,2416)))</f>
        <v>52893740.729271442</v>
      </c>
      <c r="B3652">
        <v>243554108.57909334</v>
      </c>
    </row>
    <row r="3653" spans="1:2" x14ac:dyDescent="0.25">
      <c r="A3653">
        <f ca="1">32710.2704879766*((RANDBETWEEN(1587,2416)))</f>
        <v>53775684.68223349</v>
      </c>
      <c r="B3653">
        <v>212894384.18783414</v>
      </c>
    </row>
    <row r="3654" spans="1:2" x14ac:dyDescent="0.25">
      <c r="A3654">
        <f ca="1">32335.8656909197*((RANDBETWEEN(1587,2416)))</f>
        <v>64995090.038748622</v>
      </c>
      <c r="B3654">
        <v>256106311.82231784</v>
      </c>
    </row>
    <row r="3655" spans="1:2" x14ac:dyDescent="0.25">
      <c r="A3655">
        <f ca="1">39931.2232288588*((RANDBETWEEN(1587,2416)))</f>
        <v>70877921.231224403</v>
      </c>
      <c r="B3655">
        <v>211537961.17423156</v>
      </c>
    </row>
    <row r="3656" spans="1:2" x14ac:dyDescent="0.25">
      <c r="A3656">
        <f ca="1">31261.800296305*((RANDBETWEEN(1587,2416)))</f>
        <v>70057694.464019462</v>
      </c>
      <c r="B3656">
        <v>224039798.73363331</v>
      </c>
    </row>
    <row r="3657" spans="1:2" x14ac:dyDescent="0.25">
      <c r="A3657">
        <f ca="1">34431.2543946194*((RANDBETWEEN(1587,2416)))</f>
        <v>68518196.245292649</v>
      </c>
      <c r="B3657">
        <v>244059392.03997332</v>
      </c>
    </row>
    <row r="3658" spans="1:2" x14ac:dyDescent="0.25">
      <c r="A3658">
        <f ca="1">33848.8748678806*((RANDBETWEEN(1587,2416)))</f>
        <v>64177466.749501608</v>
      </c>
      <c r="B3658">
        <v>249529235.10616395</v>
      </c>
    </row>
    <row r="3659" spans="1:2" x14ac:dyDescent="0.25">
      <c r="A3659">
        <f ca="1">32312.3998413095*((RANDBETWEEN(1587,2416)))</f>
        <v>77808258.817873359</v>
      </c>
      <c r="B3659">
        <v>213110425.93092695</v>
      </c>
    </row>
    <row r="3660" spans="1:2" x14ac:dyDescent="0.25">
      <c r="A3660">
        <f ca="1">28534.2200966255*((RANDBETWEEN(1587,2416)))</f>
        <v>50106090.489674382</v>
      </c>
      <c r="B3660">
        <v>242764423.18171048</v>
      </c>
    </row>
    <row r="3661" spans="1:2" x14ac:dyDescent="0.25">
      <c r="A3661">
        <f ca="1">32944.0570928915*((RANDBETWEEN(1587,2416)))</f>
        <v>57487379.62709564</v>
      </c>
      <c r="B3661">
        <v>251760260.84561244</v>
      </c>
    </row>
    <row r="3662" spans="1:2" x14ac:dyDescent="0.25">
      <c r="A3662">
        <f ca="1">34544.61816127*((RANDBETWEEN(1587,2416)))</f>
        <v>79832612.570695058</v>
      </c>
      <c r="B3662">
        <v>226068327.93162289</v>
      </c>
    </row>
    <row r="3663" spans="1:2" x14ac:dyDescent="0.25">
      <c r="A3663">
        <f ca="1">30589.711661684*((RANDBETWEEN(1587,2416)))</f>
        <v>64177215.066213049</v>
      </c>
      <c r="B3663">
        <v>259821713.63054666</v>
      </c>
    </row>
    <row r="3664" spans="1:2" x14ac:dyDescent="0.25">
      <c r="A3664">
        <f ca="1">34213.9248873747*((RANDBETWEEN(1587,2416)))</f>
        <v>69727978.920469582</v>
      </c>
      <c r="B3664">
        <v>257074391.18277565</v>
      </c>
    </row>
    <row r="3665" spans="1:2" x14ac:dyDescent="0.25">
      <c r="A3665">
        <f ca="1">36405.3711772217*((RANDBETWEEN(1587,2416)))</f>
        <v>78635601.742798775</v>
      </c>
      <c r="B3665">
        <v>214052500.53960177</v>
      </c>
    </row>
    <row r="3666" spans="1:2" x14ac:dyDescent="0.25">
      <c r="A3666">
        <f ca="1">31419.5337482675*((RANDBETWEEN(1587,2416)))</f>
        <v>60231246.195428714</v>
      </c>
      <c r="B3666">
        <v>216568087.21421373</v>
      </c>
    </row>
    <row r="3667" spans="1:2" x14ac:dyDescent="0.25">
      <c r="A3667">
        <f ca="1">38429.8240245761*((RANDBETWEEN(1587,2416)))</f>
        <v>90041077.689581901</v>
      </c>
      <c r="B3667">
        <v>232914757.8823638</v>
      </c>
    </row>
    <row r="3668" spans="1:2" x14ac:dyDescent="0.25">
      <c r="A3668">
        <f ca="1">30900.1548090921*((RANDBETWEEN(1587,2416)))</f>
        <v>60502503.116202287</v>
      </c>
      <c r="B3668">
        <v>216708486.21406382</v>
      </c>
    </row>
    <row r="3669" spans="1:2" x14ac:dyDescent="0.25">
      <c r="A3669">
        <f ca="1">35535.4969727113*((RANDBETWEEN(1587,2416)))</f>
        <v>58207144.041301131</v>
      </c>
      <c r="B3669">
        <v>239174211.44102013</v>
      </c>
    </row>
    <row r="3670" spans="1:2" x14ac:dyDescent="0.25">
      <c r="A3670">
        <f ca="1">33011.510452553*((RANDBETWEEN(1587,2416)))</f>
        <v>64240399.340668157</v>
      </c>
      <c r="B3670">
        <v>241612947.64408755</v>
      </c>
    </row>
    <row r="3671" spans="1:2" x14ac:dyDescent="0.25">
      <c r="A3671">
        <f ca="1">33143.6277298151*((RANDBETWEEN(1587,2416)))</f>
        <v>68408447.634338364</v>
      </c>
      <c r="B3671">
        <v>257360851.89515448</v>
      </c>
    </row>
    <row r="3672" spans="1:2" x14ac:dyDescent="0.25">
      <c r="A3672">
        <f ca="1">38045.1368245061*((RANDBETWEEN(1587,2416)))</f>
        <v>89976748.589956924</v>
      </c>
      <c r="B3672">
        <v>212255110.44059157</v>
      </c>
    </row>
    <row r="3673" spans="1:2" x14ac:dyDescent="0.25">
      <c r="A3673">
        <f ca="1">37099.4472253785*((RANDBETWEEN(1587,2416)))</f>
        <v>76461960.731505036</v>
      </c>
      <c r="B3673">
        <v>207651030.23930123</v>
      </c>
    </row>
    <row r="3674" spans="1:2" x14ac:dyDescent="0.25">
      <c r="A3674">
        <f ca="1">36764.5299594263*((RANDBETWEEN(1587,2416)))</f>
        <v>80036381.721671164</v>
      </c>
      <c r="B3674">
        <v>228495254.95063168</v>
      </c>
    </row>
    <row r="3675" spans="1:2" x14ac:dyDescent="0.25">
      <c r="A3675">
        <f ca="1">34130.8152812426*((RANDBETWEEN(1587,2416)))</f>
        <v>73824953.453327835</v>
      </c>
      <c r="B3675">
        <v>217465542.78560174</v>
      </c>
    </row>
    <row r="3676" spans="1:2" x14ac:dyDescent="0.25">
      <c r="A3676">
        <f ca="1">32078.2277772943*((RANDBETWEEN(1587,2416)))</f>
        <v>59376799.61577183</v>
      </c>
      <c r="B3676">
        <v>238207376.78479761</v>
      </c>
    </row>
    <row r="3677" spans="1:2" x14ac:dyDescent="0.25">
      <c r="A3677">
        <f ca="1">32210.79471864*((RANDBETWEEN(1587,2416)))</f>
        <v>65484545.662995137</v>
      </c>
      <c r="B3677">
        <v>210676255.82836977</v>
      </c>
    </row>
    <row r="3678" spans="1:2" x14ac:dyDescent="0.25">
      <c r="A3678">
        <f ca="1">32723.2071533518*((RANDBETWEEN(1587,2416)))</f>
        <v>61977754.348448224</v>
      </c>
      <c r="B3678">
        <v>208751749.10821044</v>
      </c>
    </row>
    <row r="3679" spans="1:2" x14ac:dyDescent="0.25">
      <c r="A3679">
        <f ca="1">31522.1829820502*((RANDBETWEEN(1587,2416)))</f>
        <v>68560747.985959128</v>
      </c>
      <c r="B3679">
        <v>204456038.66358313</v>
      </c>
    </row>
    <row r="3680" spans="1:2" x14ac:dyDescent="0.25">
      <c r="A3680">
        <f ca="1">37032.3650965674*((RANDBETWEEN(1587,2416)))</f>
        <v>72879694.510044649</v>
      </c>
      <c r="B3680">
        <v>267633628.77942756</v>
      </c>
    </row>
    <row r="3681" spans="1:2" x14ac:dyDescent="0.25">
      <c r="A3681">
        <f ca="1">31382.6715687997*((RANDBETWEEN(1587,2416)))</f>
        <v>57210610.269921869</v>
      </c>
      <c r="B3681">
        <v>251055496.12625259</v>
      </c>
    </row>
    <row r="3682" spans="1:2" x14ac:dyDescent="0.25">
      <c r="A3682">
        <f ca="1">33282.4756423927*((RANDBETWEEN(1587,2416)))</f>
        <v>69626939.04388544</v>
      </c>
      <c r="B3682">
        <v>238595945.10930032</v>
      </c>
    </row>
    <row r="3683" spans="1:2" x14ac:dyDescent="0.25">
      <c r="A3683">
        <f ca="1">30428.3730839088*((RANDBETWEEN(1587,2416)))</f>
        <v>58757188.425027862</v>
      </c>
      <c r="B3683">
        <v>205184999.54347104</v>
      </c>
    </row>
    <row r="3684" spans="1:2" x14ac:dyDescent="0.25">
      <c r="A3684">
        <f ca="1">30896.9557778467*((RANDBETWEEN(1587,2416)))</f>
        <v>59291258.137687743</v>
      </c>
      <c r="B3684">
        <v>231497161.94400382</v>
      </c>
    </row>
    <row r="3685" spans="1:2" x14ac:dyDescent="0.25">
      <c r="A3685">
        <f ca="1">30125.1387280018*((RANDBETWEEN(1587,2416)))</f>
        <v>70462699.484796152</v>
      </c>
      <c r="B3685">
        <v>258007563.67442986</v>
      </c>
    </row>
    <row r="3686" spans="1:2" x14ac:dyDescent="0.25">
      <c r="A3686">
        <f ca="1">42855.1468001343*((RANDBETWEEN(1587,2416)))</f>
        <v>101438132.47591783</v>
      </c>
      <c r="B3686">
        <v>258689489.98093349</v>
      </c>
    </row>
    <row r="3687" spans="1:2" x14ac:dyDescent="0.25">
      <c r="A3687">
        <f ca="1">28874.0700146581*((RANDBETWEEN(1587,2416)))</f>
        <v>64533546.482760891</v>
      </c>
      <c r="B3687">
        <v>255915805.80249298</v>
      </c>
    </row>
    <row r="3688" spans="1:2" x14ac:dyDescent="0.25">
      <c r="A3688">
        <f ca="1">30863.914019606*((RANDBETWEEN(1587,2416)))</f>
        <v>61696964.125192463</v>
      </c>
      <c r="B3688">
        <v>206583824.47979259</v>
      </c>
    </row>
    <row r="3689" spans="1:2" x14ac:dyDescent="0.25">
      <c r="A3689">
        <f ca="1">30240.3402464808*((RANDBETWEEN(1587,2416)))</f>
        <v>55974869.796235956</v>
      </c>
      <c r="B3689">
        <v>211707815.0600858</v>
      </c>
    </row>
    <row r="3690" spans="1:2" x14ac:dyDescent="0.25">
      <c r="A3690">
        <f ca="1">30819.9190931656*((RANDBETWEEN(1587,2416)))</f>
        <v>73844526.147224784</v>
      </c>
      <c r="B3690">
        <v>227062713.01152241</v>
      </c>
    </row>
    <row r="3691" spans="1:2" x14ac:dyDescent="0.25">
      <c r="A3691">
        <f ca="1">34377.7644034783*((RANDBETWEEN(1587,2416)))</f>
        <v>68171106.812097535</v>
      </c>
      <c r="B3691">
        <v>250202003.0376685</v>
      </c>
    </row>
    <row r="3692" spans="1:2" x14ac:dyDescent="0.25">
      <c r="A3692">
        <f ca="1">40342.2449896259*((RANDBETWEEN(1587,2416)))</f>
        <v>85001110.193141833</v>
      </c>
      <c r="B3692">
        <v>204149289.17618152</v>
      </c>
    </row>
    <row r="3693" spans="1:2" x14ac:dyDescent="0.25">
      <c r="A3693">
        <f ca="1">31860.5270162941*((RANDBETWEEN(1587,2416)))</f>
        <v>75190843.75845404</v>
      </c>
      <c r="B3693">
        <v>266738135.56894848</v>
      </c>
    </row>
    <row r="3694" spans="1:2" x14ac:dyDescent="0.25">
      <c r="A3694">
        <f ca="1">41523.5401403023*((RANDBETWEEN(1587,2416)))</f>
        <v>95171954.001572907</v>
      </c>
      <c r="B3694">
        <v>243820545.98869735</v>
      </c>
    </row>
    <row r="3695" spans="1:2" x14ac:dyDescent="0.25">
      <c r="A3695">
        <f ca="1">32073.322776692*((RANDBETWEEN(1587,2416)))</f>
        <v>71106556.595926076</v>
      </c>
      <c r="B3695">
        <v>242416089.99652061</v>
      </c>
    </row>
    <row r="3696" spans="1:2" x14ac:dyDescent="0.25">
      <c r="A3696">
        <f ca="1">30535.6952132733*((RANDBETWEEN(1587,2416)))</f>
        <v>72644418.912377268</v>
      </c>
      <c r="B3696">
        <v>212966183.69620609</v>
      </c>
    </row>
    <row r="3697" spans="1:2" x14ac:dyDescent="0.25">
      <c r="A3697">
        <f ca="1">30241.6237217163*((RANDBETWEEN(1587,2416)))</f>
        <v>48084181.717528984</v>
      </c>
      <c r="B3697">
        <v>247720485.11037892</v>
      </c>
    </row>
    <row r="3698" spans="1:2" x14ac:dyDescent="0.25">
      <c r="A3698">
        <f ca="1">30637.3457967532*((RANDBETWEEN(1587,2416)))</f>
        <v>52941333.536789522</v>
      </c>
      <c r="B3698">
        <v>260083896.95698276</v>
      </c>
    </row>
    <row r="3699" spans="1:2" x14ac:dyDescent="0.25">
      <c r="A3699">
        <f ca="1">36532.135317004*((RANDBETWEEN(1587,2416)))</f>
        <v>64588815.240463138</v>
      </c>
      <c r="B3699">
        <v>233760444.1908868</v>
      </c>
    </row>
    <row r="3700" spans="1:2" x14ac:dyDescent="0.25">
      <c r="A3700">
        <f ca="1">35146.3369615209*((RANDBETWEEN(1587,2416)))</f>
        <v>75072575.749808535</v>
      </c>
      <c r="B3700">
        <v>231133552.11041957</v>
      </c>
    </row>
    <row r="3701" spans="1:2" x14ac:dyDescent="0.25">
      <c r="A3701">
        <f ca="1">33667.6561939205*((RANDBETWEEN(1587,2416)))</f>
        <v>58615389.433615535</v>
      </c>
      <c r="B3701">
        <v>205885457.63399684</v>
      </c>
    </row>
    <row r="3702" spans="1:2" x14ac:dyDescent="0.25">
      <c r="A3702">
        <f ca="1">36974.6169545783*((RANDBETWEEN(1587,2416)))</f>
        <v>86483629.056758583</v>
      </c>
      <c r="B3702">
        <v>250009786.61814126</v>
      </c>
    </row>
    <row r="3703" spans="1:2" x14ac:dyDescent="0.25">
      <c r="A3703">
        <f ca="1">34611.6217204876*((RANDBETWEEN(1587,2416)))</f>
        <v>55170925.022457235</v>
      </c>
      <c r="B3703">
        <v>224086992.49569118</v>
      </c>
    </row>
    <row r="3704" spans="1:2" x14ac:dyDescent="0.25">
      <c r="A3704">
        <f ca="1">40046.875966447*((RANDBETWEEN(1587,2416)))</f>
        <v>93349267.877788052</v>
      </c>
      <c r="B3704">
        <v>227024160.90958256</v>
      </c>
    </row>
    <row r="3705" spans="1:2" x14ac:dyDescent="0.25">
      <c r="A3705">
        <f ca="1">28771.1947295661*((RANDBETWEEN(1587,2416)))</f>
        <v>54089846.091584273</v>
      </c>
      <c r="B3705">
        <v>240523260.54054847</v>
      </c>
    </row>
    <row r="3706" spans="1:2" x14ac:dyDescent="0.25">
      <c r="A3706">
        <f ca="1">40060.0319753617*((RANDBETWEEN(1587,2416)))</f>
        <v>84246247.244185701</v>
      </c>
      <c r="B3706">
        <v>205788655.68481502</v>
      </c>
    </row>
    <row r="3707" spans="1:2" x14ac:dyDescent="0.25">
      <c r="A3707">
        <f ca="1">31769.3166243812*((RANDBETWEEN(1587,2416)))</f>
        <v>60044008.420080483</v>
      </c>
      <c r="B3707">
        <v>265154182.58186862</v>
      </c>
    </row>
    <row r="3708" spans="1:2" x14ac:dyDescent="0.25">
      <c r="A3708">
        <f ca="1">32650.5153571906*((RANDBETWEEN(1587,2416)))</f>
        <v>65856089.475453489</v>
      </c>
      <c r="B3708">
        <v>211103763.63246316</v>
      </c>
    </row>
    <row r="3709" spans="1:2" x14ac:dyDescent="0.25">
      <c r="A3709">
        <f ca="1">31692.0088602758*((RANDBETWEEN(1587,2416)))</f>
        <v>64398162.004080422</v>
      </c>
      <c r="B3709">
        <v>239276288.77149549</v>
      </c>
    </row>
    <row r="3710" spans="1:2" x14ac:dyDescent="0.25">
      <c r="A3710">
        <f ca="1">30157.6699750313*((RANDBETWEEN(1587,2416)))</f>
        <v>68035703.463670716</v>
      </c>
      <c r="B3710">
        <v>262853115.45271438</v>
      </c>
    </row>
    <row r="3711" spans="1:2" x14ac:dyDescent="0.25">
      <c r="A3711">
        <f ca="1">35978.3613884407*((RANDBETWEEN(1587,2416)))</f>
        <v>65948336.425011873</v>
      </c>
      <c r="B3711">
        <v>226574765.43163615</v>
      </c>
    </row>
    <row r="3712" spans="1:2" x14ac:dyDescent="0.25">
      <c r="A3712">
        <f ca="1">37186.8656539159*((RANDBETWEEN(1587,2416)))</f>
        <v>85455417.272698835</v>
      </c>
      <c r="B3712">
        <v>229126040.4802303</v>
      </c>
    </row>
    <row r="3713" spans="1:2" x14ac:dyDescent="0.25">
      <c r="A3713">
        <f ca="1">30377.9728549224*((RANDBETWEEN(1587,2416)))</f>
        <v>69838959.59346658</v>
      </c>
      <c r="B3713">
        <v>238063442.60063809</v>
      </c>
    </row>
    <row r="3714" spans="1:2" x14ac:dyDescent="0.25">
      <c r="A3714">
        <f ca="1">34972.8783912651*((RANDBETWEEN(1587,2416)))</f>
        <v>64105286.091188937</v>
      </c>
      <c r="B3714">
        <v>249733906.00868803</v>
      </c>
    </row>
    <row r="3715" spans="1:2" x14ac:dyDescent="0.25">
      <c r="A3715">
        <f ca="1">31042.0557552341*((RANDBETWEEN(1587,2416)))</f>
        <v>73849050.641701952</v>
      </c>
      <c r="B3715">
        <v>241733140.84395212</v>
      </c>
    </row>
    <row r="3716" spans="1:2" x14ac:dyDescent="0.25">
      <c r="A3716">
        <f ca="1">38875.8935906995*((RANDBETWEEN(1587,2416)))</f>
        <v>82028135.476376042</v>
      </c>
      <c r="B3716">
        <v>206168003.35502204</v>
      </c>
    </row>
    <row r="3717" spans="1:2" x14ac:dyDescent="0.25">
      <c r="A3717">
        <f ca="1">38170.4697516378*((RANDBETWEEN(1587,2416)))</f>
        <v>69050379.780712813</v>
      </c>
      <c r="B3717">
        <v>249918016.50107971</v>
      </c>
    </row>
    <row r="3718" spans="1:2" x14ac:dyDescent="0.25">
      <c r="A3718">
        <f ca="1">29250.8934404313*((RANDBETWEEN(1587,2416)))</f>
        <v>68505592.437490001</v>
      </c>
      <c r="B3718">
        <v>207640247.40122876</v>
      </c>
    </row>
    <row r="3719" spans="1:2" x14ac:dyDescent="0.25">
      <c r="A3719">
        <f ca="1">31649.4701265691*((RANDBETWEEN(1587,2416)))</f>
        <v>58488220.793899715</v>
      </c>
      <c r="B3719">
        <v>256540694.17514294</v>
      </c>
    </row>
    <row r="3720" spans="1:2" x14ac:dyDescent="0.25">
      <c r="A3720">
        <f ca="1">39515.0747637454*((RANDBETWEEN(1587,2416)))</f>
        <v>69111865.761790723</v>
      </c>
      <c r="B3720">
        <v>214150325.37721556</v>
      </c>
    </row>
    <row r="3721" spans="1:2" x14ac:dyDescent="0.25">
      <c r="A3721">
        <f ca="1">31528.3573423712*((RANDBETWEEN(1587,2416)))</f>
        <v>55174625.349149533</v>
      </c>
      <c r="B3721">
        <v>224113716.81058401</v>
      </c>
    </row>
    <row r="3722" spans="1:2" x14ac:dyDescent="0.25">
      <c r="A3722">
        <f ca="1">39948.3553706177*((RANDBETWEEN(1587,2416)))</f>
        <v>87446949.906282216</v>
      </c>
      <c r="B3722">
        <v>214145173.4111385</v>
      </c>
    </row>
    <row r="3723" spans="1:2" x14ac:dyDescent="0.25">
      <c r="A3723">
        <f ca="1">32574.442076975*((RANDBETWEEN(1587,2416)))</f>
        <v>77299151.048661679</v>
      </c>
      <c r="B3723">
        <v>206979648.17628658</v>
      </c>
    </row>
    <row r="3724" spans="1:2" x14ac:dyDescent="0.25">
      <c r="A3724">
        <f ca="1">38890.4347982139*((RANDBETWEEN(1587,2416)))</f>
        <v>91275850.471408024</v>
      </c>
      <c r="B3724">
        <v>250732355.88276762</v>
      </c>
    </row>
    <row r="3725" spans="1:2" x14ac:dyDescent="0.25">
      <c r="A3725">
        <f ca="1">41455.2407878826*((RANDBETWEEN(1587,2416)))</f>
        <v>72546671.378794491</v>
      </c>
      <c r="B3725">
        <v>225175684.12257522</v>
      </c>
    </row>
    <row r="3726" spans="1:2" x14ac:dyDescent="0.25">
      <c r="A3726">
        <f ca="1">30890.8488009571*((RANDBETWEEN(1587,2416)))</f>
        <v>51217027.311986886</v>
      </c>
      <c r="B3726">
        <v>253871757.6806016</v>
      </c>
    </row>
    <row r="3727" spans="1:2" x14ac:dyDescent="0.25">
      <c r="A3727">
        <f ca="1">31541.9531348563*((RANDBETWEEN(1587,2416)))</f>
        <v>65828056.192445137</v>
      </c>
      <c r="B3727">
        <v>222097166.22503823</v>
      </c>
    </row>
    <row r="3728" spans="1:2" x14ac:dyDescent="0.25">
      <c r="A3728">
        <f ca="1">36891.879110944*((RANDBETWEEN(1587,2416)))</f>
        <v>83781457.460953936</v>
      </c>
      <c r="B3728">
        <v>250738832.22221023</v>
      </c>
    </row>
    <row r="3729" spans="1:2" x14ac:dyDescent="0.25">
      <c r="A3729">
        <f ca="1">31093.1568539925*((RANDBETWEEN(1587,2416)))</f>
        <v>57553433.336740032</v>
      </c>
      <c r="B3729">
        <v>236815642.72826013</v>
      </c>
    </row>
    <row r="3730" spans="1:2" x14ac:dyDescent="0.25">
      <c r="A3730">
        <f ca="1">34229.4497262737*((RANDBETWEEN(1587,2416)))</f>
        <v>69554241.843788132</v>
      </c>
      <c r="B3730">
        <v>241251869.67406836</v>
      </c>
    </row>
    <row r="3731" spans="1:2" x14ac:dyDescent="0.25">
      <c r="A3731">
        <f ca="1">38737.3707124046*((RANDBETWEEN(1587,2416)))</f>
        <v>90413023.242752418</v>
      </c>
      <c r="B3731">
        <v>208875684.38758826</v>
      </c>
    </row>
    <row r="3732" spans="1:2" x14ac:dyDescent="0.25">
      <c r="A3732">
        <f ca="1">30822.5261097738*((RANDBETWEEN(1587,2416)))</f>
        <v>58223751.821362771</v>
      </c>
      <c r="B3732">
        <v>211473037.32304838</v>
      </c>
    </row>
    <row r="3733" spans="1:2" x14ac:dyDescent="0.25">
      <c r="A3733">
        <f ca="1">30869.6253349005*((RANDBETWEEN(1587,2416)))</f>
        <v>64671865.076616444</v>
      </c>
      <c r="B3733">
        <v>249397488.32139742</v>
      </c>
    </row>
    <row r="3734" spans="1:2" x14ac:dyDescent="0.25">
      <c r="A3734">
        <f ca="1">32972.2916438121*((RANDBETWEEN(1587,2416)))</f>
        <v>70824482.450908348</v>
      </c>
      <c r="B3734">
        <v>212467620.81468797</v>
      </c>
    </row>
    <row r="3735" spans="1:2" x14ac:dyDescent="0.25">
      <c r="A3735">
        <f ca="1">34364.5243570593*((RANDBETWEEN(1587,2416)))</f>
        <v>78935312.448165104</v>
      </c>
      <c r="B3735">
        <v>250024710.36194369</v>
      </c>
    </row>
    <row r="3736" spans="1:2" x14ac:dyDescent="0.25">
      <c r="A3736">
        <f ca="1">41896.1720046142*((RANDBETWEEN(1587,2416)))</f>
        <v>67829902.475470454</v>
      </c>
      <c r="B3736">
        <v>233334536.64312032</v>
      </c>
    </row>
    <row r="3737" spans="1:2" x14ac:dyDescent="0.25">
      <c r="A3737">
        <f ca="1">38279.4849366655*((RANDBETWEEN(1587,2416)))</f>
        <v>84521102.740157396</v>
      </c>
      <c r="B3737">
        <v>229618205.40914515</v>
      </c>
    </row>
    <row r="3738" spans="1:2" x14ac:dyDescent="0.25">
      <c r="A3738">
        <f ca="1">33243.9358166657*((RANDBETWEEN(1587,2416)))</f>
        <v>72804219.438497797</v>
      </c>
      <c r="B3738">
        <v>206323377.57244408</v>
      </c>
    </row>
    <row r="3739" spans="1:2" x14ac:dyDescent="0.25">
      <c r="A3739">
        <f ca="1">31299.406587713*((RANDBETWEEN(1587,2416)))</f>
        <v>51487523.836787924</v>
      </c>
      <c r="B3739">
        <v>211820833.95073172</v>
      </c>
    </row>
    <row r="3740" spans="1:2" x14ac:dyDescent="0.25">
      <c r="A3740">
        <f ca="1">36386.5214551989*((RANDBETWEEN(1587,2416)))</f>
        <v>78412953.735953584</v>
      </c>
      <c r="B3740">
        <v>254672153.40168992</v>
      </c>
    </row>
    <row r="3741" spans="1:2" x14ac:dyDescent="0.25">
      <c r="A3741">
        <f ca="1">30808.9941274087*((RANDBETWEEN(1587,2416)))</f>
        <v>58105762.92429281</v>
      </c>
      <c r="B3741">
        <v>205818571.14142653</v>
      </c>
    </row>
    <row r="3742" spans="1:2" x14ac:dyDescent="0.25">
      <c r="A3742">
        <f ca="1">31596.3852531826*((RANDBETWEEN(1587,2416)))</f>
        <v>54977710.340537749</v>
      </c>
      <c r="B3742">
        <v>237793318.5244807</v>
      </c>
    </row>
    <row r="3743" spans="1:2" x14ac:dyDescent="0.25">
      <c r="A3743">
        <f ca="1">32132.6642801517*((RANDBETWEEN(1587,2416)))</f>
        <v>73294607.223025933</v>
      </c>
      <c r="B3743">
        <v>264873968.11443466</v>
      </c>
    </row>
    <row r="3744" spans="1:2" x14ac:dyDescent="0.25">
      <c r="A3744">
        <f ca="1">34735.3605230999*((RANDBETWEEN(1587,2416)))</f>
        <v>71902196.282816738</v>
      </c>
      <c r="B3744">
        <v>235985871.9868046</v>
      </c>
    </row>
    <row r="3745" spans="1:2" x14ac:dyDescent="0.25">
      <c r="A3745">
        <f ca="1">39418.1368605708*((RANDBETWEEN(1587,2416)))</f>
        <v>69691265.969489262</v>
      </c>
      <c r="B3745">
        <v>250767665.40519893</v>
      </c>
    </row>
    <row r="3746" spans="1:2" x14ac:dyDescent="0.25">
      <c r="A3746">
        <f ca="1">29020.5447256249*((RANDBETWEEN(1587,2416)))</f>
        <v>64425609.290887378</v>
      </c>
      <c r="B3746">
        <v>240869242.95230097</v>
      </c>
    </row>
    <row r="3747" spans="1:2" x14ac:dyDescent="0.25">
      <c r="A3747">
        <f ca="1">31463.7375670817*((RANDBETWEEN(1587,2416)))</f>
        <v>53268107.701069392</v>
      </c>
      <c r="B3747">
        <v>254970106.30097729</v>
      </c>
    </row>
    <row r="3748" spans="1:2" x14ac:dyDescent="0.25">
      <c r="A3748">
        <f ca="1">29936.0322130586*((RANDBETWEEN(1587,2416)))</f>
        <v>58824303.298660055</v>
      </c>
      <c r="B3748">
        <v>235025724.98476812</v>
      </c>
    </row>
    <row r="3749" spans="1:2" x14ac:dyDescent="0.25">
      <c r="A3749">
        <f ca="1">37643.4286482275*((RANDBETWEEN(1587,2416)))</f>
        <v>63504464.129559837</v>
      </c>
      <c r="B3749">
        <v>247685542.88093445</v>
      </c>
    </row>
    <row r="3750" spans="1:2" x14ac:dyDescent="0.25">
      <c r="A3750">
        <f ca="1">33260.6852858583*((RANDBETWEEN(1587,2416)))</f>
        <v>57374682.118105635</v>
      </c>
      <c r="B3750">
        <v>212869678.72783849</v>
      </c>
    </row>
    <row r="3751" spans="1:2" x14ac:dyDescent="0.25">
      <c r="A3751">
        <f ca="1">28595.9376303794*((RANDBETWEEN(1587,2416)))</f>
        <v>59879893.398014471</v>
      </c>
      <c r="B3751">
        <v>234909699.97702721</v>
      </c>
    </row>
    <row r="3752" spans="1:2" x14ac:dyDescent="0.25">
      <c r="A3752">
        <f ca="1">32117.835196725*((RANDBETWEEN(1587,2416)))</f>
        <v>64653202.251007527</v>
      </c>
      <c r="B3752">
        <v>207299667.51330879</v>
      </c>
    </row>
    <row r="3753" spans="1:2" x14ac:dyDescent="0.25">
      <c r="A3753">
        <f ca="1">29138.2950281083*((RANDBETWEEN(1587,2416)))</f>
        <v>53410494.786522478</v>
      </c>
      <c r="B3753">
        <v>207032839.49003142</v>
      </c>
    </row>
    <row r="3754" spans="1:2" x14ac:dyDescent="0.25">
      <c r="A3754">
        <f ca="1">42589.1299397676*((RANDBETWEEN(1587,2416)))</f>
        <v>94675635.85610345</v>
      </c>
      <c r="B3754">
        <v>205268987.90423268</v>
      </c>
    </row>
    <row r="3755" spans="1:2" x14ac:dyDescent="0.25">
      <c r="A3755">
        <f ca="1">31470.8112883641*((RANDBETWEEN(1587,2416)))</f>
        <v>53091258.643470295</v>
      </c>
      <c r="B3755">
        <v>204416993.17502904</v>
      </c>
    </row>
    <row r="3756" spans="1:2" x14ac:dyDescent="0.25">
      <c r="A3756">
        <f ca="1">36879.3753978711*((RANDBETWEEN(1587,2416)))</f>
        <v>87145964.065169349</v>
      </c>
      <c r="B3756">
        <v>236441964.04722464</v>
      </c>
    </row>
    <row r="3757" spans="1:2" x14ac:dyDescent="0.25">
      <c r="A3757">
        <f ca="1">33220.9269846597*((RANDBETWEEN(1587,2416)))</f>
        <v>57106773.486629963</v>
      </c>
      <c r="B3757">
        <v>206539449.4319548</v>
      </c>
    </row>
    <row r="3758" spans="1:2" x14ac:dyDescent="0.25">
      <c r="A3758">
        <f ca="1">31446.4693813022*((RANDBETWEEN(1587,2416)))</f>
        <v>51194852.152760044</v>
      </c>
      <c r="B3758">
        <v>217537694.34050959</v>
      </c>
    </row>
    <row r="3759" spans="1:2" x14ac:dyDescent="0.25">
      <c r="A3759">
        <f ca="1">30502.4473214227*((RANDBETWEEN(1587,2416)))</f>
        <v>57131083.833024651</v>
      </c>
      <c r="B3759">
        <v>229533038.06123996</v>
      </c>
    </row>
    <row r="3760" spans="1:2" x14ac:dyDescent="0.25">
      <c r="A3760">
        <f ca="1">31260.1070275495*((RANDBETWEEN(1587,2416)))</f>
        <v>70178940.276848584</v>
      </c>
      <c r="B3760">
        <v>249401328.2393513</v>
      </c>
    </row>
    <row r="3761" spans="1:2" x14ac:dyDescent="0.25">
      <c r="A3761">
        <f ca="1">34953.4030375436*((RANDBETWEEN(1587,2416)))</f>
        <v>59490691.96989914</v>
      </c>
      <c r="B3761">
        <v>212185735.95135748</v>
      </c>
    </row>
    <row r="3762" spans="1:2" x14ac:dyDescent="0.25">
      <c r="A3762">
        <f ca="1">36858.7301768804*((RANDBETWEEN(1587,2416)))</f>
        <v>79283128.610469699</v>
      </c>
      <c r="B3762">
        <v>267892766.75410205</v>
      </c>
    </row>
    <row r="3763" spans="1:2" x14ac:dyDescent="0.25">
      <c r="A3763">
        <f ca="1">35379.9128456285*((RANDBETWEEN(1587,2416)))</f>
        <v>60535030.878870293</v>
      </c>
      <c r="B3763">
        <v>215710176.34959364</v>
      </c>
    </row>
    <row r="3764" spans="1:2" x14ac:dyDescent="0.25">
      <c r="A3764">
        <f ca="1">36670.2860198875*((RANDBETWEEN(1587,2416)))</f>
        <v>60175939.358635329</v>
      </c>
      <c r="B3764">
        <v>261120951.73461518</v>
      </c>
    </row>
    <row r="3765" spans="1:2" x14ac:dyDescent="0.25">
      <c r="A3765">
        <f ca="1">36978.9121800564*((RANDBETWEEN(1587,2416)))</f>
        <v>76546348.212716848</v>
      </c>
      <c r="B3765">
        <v>207614193.45371962</v>
      </c>
    </row>
    <row r="3766" spans="1:2" x14ac:dyDescent="0.25">
      <c r="A3766">
        <f ca="1">40610.1294332718*((RANDBETWEEN(1587,2416)))</f>
        <v>80814157.572210923</v>
      </c>
      <c r="B3766">
        <v>244438096.7355428</v>
      </c>
    </row>
    <row r="3767" spans="1:2" x14ac:dyDescent="0.25">
      <c r="A3767">
        <f ca="1">41993.1376462976*((RANDBETWEEN(1587,2416)))</f>
        <v>78989091.912685871</v>
      </c>
      <c r="B3767">
        <v>262276544.22660953</v>
      </c>
    </row>
    <row r="3768" spans="1:2" x14ac:dyDescent="0.25">
      <c r="A3768">
        <f ca="1">30618.1532247037*((RANDBETWEEN(1587,2416)))</f>
        <v>55112675.804466583</v>
      </c>
      <c r="B3768">
        <v>239330571.59450251</v>
      </c>
    </row>
    <row r="3769" spans="1:2" x14ac:dyDescent="0.25">
      <c r="A3769">
        <f ca="1">32491.4734504544*((RANDBETWEEN(1587,2416)))</f>
        <v>65242878.68851243</v>
      </c>
      <c r="B3769">
        <v>224359066.60497871</v>
      </c>
    </row>
    <row r="3770" spans="1:2" x14ac:dyDescent="0.25">
      <c r="A3770">
        <f ca="1">32169.1110719071*((RANDBETWEEN(1587,2416)))</f>
        <v>76723329.906498462</v>
      </c>
      <c r="B3770">
        <v>266050156.33047691</v>
      </c>
    </row>
    <row r="3771" spans="1:2" x14ac:dyDescent="0.25">
      <c r="A3771">
        <f ca="1">39644.284279919*((RANDBETWEEN(1587,2416)))</f>
        <v>90507901.011055082</v>
      </c>
      <c r="B3771">
        <v>210815247.38219151</v>
      </c>
    </row>
    <row r="3772" spans="1:2" x14ac:dyDescent="0.25">
      <c r="A3772">
        <f ca="1">34781.3737852618*((RANDBETWEEN(1587,2416)))</f>
        <v>76936398.812999114</v>
      </c>
      <c r="B3772">
        <v>262987464.86652538</v>
      </c>
    </row>
    <row r="3773" spans="1:2" x14ac:dyDescent="0.25">
      <c r="A3773">
        <f ca="1">39096.2721163215*((RANDBETWEEN(1587,2416)))</f>
        <v>89960522.139655873</v>
      </c>
      <c r="B3773">
        <v>216792429.04037172</v>
      </c>
    </row>
    <row r="3774" spans="1:2" x14ac:dyDescent="0.25">
      <c r="A3774">
        <f ca="1">38811.3007241663*((RANDBETWEEN(1587,2416)))</f>
        <v>73430980.97012271</v>
      </c>
      <c r="B3774">
        <v>250617441.14986619</v>
      </c>
    </row>
    <row r="3775" spans="1:2" x14ac:dyDescent="0.25">
      <c r="A3775">
        <f ca="1">39787.808553256*((RANDBETWEEN(1587,2416)))</f>
        <v>94297106.271216795</v>
      </c>
      <c r="B3775">
        <v>217150052.98725677</v>
      </c>
    </row>
    <row r="3776" spans="1:2" x14ac:dyDescent="0.25">
      <c r="A3776">
        <f ca="1">30344.6397069459*((RANDBETWEEN(1587,2416)))</f>
        <v>62995472.031619728</v>
      </c>
      <c r="B3776">
        <v>254997223.48891711</v>
      </c>
    </row>
    <row r="3777" spans="1:2" x14ac:dyDescent="0.25">
      <c r="A3777">
        <f ca="1">37502.4220965317*((RANDBETWEEN(1587,2416)))</f>
        <v>68291910.637784168</v>
      </c>
      <c r="B3777">
        <v>218694008.59596175</v>
      </c>
    </row>
    <row r="3778" spans="1:2" x14ac:dyDescent="0.25">
      <c r="A3778">
        <f ca="1">33496.1945460412*((RANDBETWEEN(1587,2416)))</f>
        <v>72318284.02490285</v>
      </c>
      <c r="B3778">
        <v>222678592.07198662</v>
      </c>
    </row>
    <row r="3779" spans="1:2" x14ac:dyDescent="0.25">
      <c r="A3779">
        <f ca="1">34049.3840277967*((RANDBETWEEN(1587,2416)))</f>
        <v>54410915.676419191</v>
      </c>
      <c r="B3779">
        <v>246572260.51568154</v>
      </c>
    </row>
    <row r="3780" spans="1:2" x14ac:dyDescent="0.25">
      <c r="A3780">
        <f ca="1">37238.005335899*((RANDBETWEEN(1587,2416)))</f>
        <v>84828176.155177936</v>
      </c>
      <c r="B3780">
        <v>213328775.32058051</v>
      </c>
    </row>
    <row r="3781" spans="1:2" x14ac:dyDescent="0.25">
      <c r="A3781">
        <f ca="1">38459.9585484632*((RANDBETWEEN(1587,2416)))</f>
        <v>91842381.013730243</v>
      </c>
      <c r="B3781">
        <v>236303638.41811273</v>
      </c>
    </row>
    <row r="3782" spans="1:2" x14ac:dyDescent="0.25">
      <c r="A3782">
        <f ca="1">32201.750859701*((RANDBETWEEN(1587,2416)))</f>
        <v>70006606.368989944</v>
      </c>
      <c r="B3782">
        <v>265097798.31220251</v>
      </c>
    </row>
    <row r="3783" spans="1:2" x14ac:dyDescent="0.25">
      <c r="A3783">
        <f ca="1">32687.5507850076*((RANDBETWEEN(1587,2416)))</f>
        <v>77992496.173028171</v>
      </c>
      <c r="B3783">
        <v>207403937.33168903</v>
      </c>
    </row>
    <row r="3784" spans="1:2" x14ac:dyDescent="0.25">
      <c r="A3784">
        <f ca="1">36394.6655996545*((RANDBETWEEN(1587,2416)))</f>
        <v>71297149.909723133</v>
      </c>
      <c r="B3784">
        <v>264998985.84378287</v>
      </c>
    </row>
    <row r="3785" spans="1:2" x14ac:dyDescent="0.25">
      <c r="A3785">
        <f ca="1">32262.8969401807*((RANDBETWEEN(1587,2416)))</f>
        <v>59976725.411796011</v>
      </c>
      <c r="B3785">
        <v>247743635.87450394</v>
      </c>
    </row>
    <row r="3786" spans="1:2" x14ac:dyDescent="0.25">
      <c r="A3786">
        <f ca="1">34510.856016804*((RANDBETWEEN(1587,2416)))</f>
        <v>61843453.982112855</v>
      </c>
      <c r="B3786">
        <v>239438235.53444046</v>
      </c>
    </row>
    <row r="3787" spans="1:2" x14ac:dyDescent="0.25">
      <c r="A3787">
        <f ca="1">33009.9389439819*((RANDBETWEEN(1587,2416)))</f>
        <v>56711075.105760828</v>
      </c>
      <c r="B3787">
        <v>225143226.77566192</v>
      </c>
    </row>
    <row r="3788" spans="1:2" x14ac:dyDescent="0.25">
      <c r="A3788">
        <f ca="1">32939.6271631413*((RANDBETWEEN(1587,2416)))</f>
        <v>72533059.013237253</v>
      </c>
      <c r="B3788">
        <v>239150245.79722169</v>
      </c>
    </row>
    <row r="3789" spans="1:2" x14ac:dyDescent="0.25">
      <c r="A3789">
        <f ca="1">37168.588652094*((RANDBETWEEN(1587,2416)))</f>
        <v>84595707.772166058</v>
      </c>
      <c r="B3789">
        <v>262160106.86078972</v>
      </c>
    </row>
    <row r="3790" spans="1:2" x14ac:dyDescent="0.25">
      <c r="A3790">
        <f ca="1">36952.0498735514*((RANDBETWEEN(1587,2416)))</f>
        <v>76232078.889136553</v>
      </c>
      <c r="B3790">
        <v>214949019.41769853</v>
      </c>
    </row>
    <row r="3791" spans="1:2" x14ac:dyDescent="0.25">
      <c r="A3791">
        <f ca="1">29754.5086088594*((RANDBETWEEN(1587,2416)))</f>
        <v>58051046.295884728</v>
      </c>
      <c r="B3791">
        <v>263996806.30215263</v>
      </c>
    </row>
    <row r="3792" spans="1:2" x14ac:dyDescent="0.25">
      <c r="A3792">
        <f ca="1">31747.6255584499*((RANDBETWEEN(1587,2416)))</f>
        <v>60828450.569989942</v>
      </c>
      <c r="B3792">
        <v>204596808.47228482</v>
      </c>
    </row>
    <row r="3793" spans="1:2" x14ac:dyDescent="0.25">
      <c r="A3793">
        <f ca="1">40296.0948607708*((RANDBETWEEN(1587,2416)))</f>
        <v>97032996.424736053</v>
      </c>
      <c r="B3793">
        <v>233295956.23823938</v>
      </c>
    </row>
    <row r="3794" spans="1:2" x14ac:dyDescent="0.25">
      <c r="A3794">
        <f ca="1">32358.544577978*((RANDBETWEEN(1587,2416)))</f>
        <v>57760002.071690656</v>
      </c>
      <c r="B3794">
        <v>267553482.60529441</v>
      </c>
    </row>
    <row r="3795" spans="1:2" x14ac:dyDescent="0.25">
      <c r="A3795">
        <f ca="1">38841.9387727702*((RANDBETWEEN(1587,2416)))</f>
        <v>66575083.056528166</v>
      </c>
      <c r="B3795">
        <v>256304557.61384818</v>
      </c>
    </row>
    <row r="3796" spans="1:2" x14ac:dyDescent="0.25">
      <c r="A3796">
        <f ca="1">31175.1544736319*((RANDBETWEEN(1587,2416)))</f>
        <v>62849111.418841906</v>
      </c>
      <c r="B3796">
        <v>266200618.31900689</v>
      </c>
    </row>
    <row r="3797" spans="1:2" x14ac:dyDescent="0.25">
      <c r="A3797">
        <f ca="1">34245.126586965*((RANDBETWEEN(1587,2416)))</f>
        <v>60237177.666471377</v>
      </c>
      <c r="B3797">
        <v>205528334.20573795</v>
      </c>
    </row>
    <row r="3798" spans="1:2" x14ac:dyDescent="0.25">
      <c r="A3798">
        <f ca="1">30792.3146773763*((RANDBETWEEN(1587,2416)))</f>
        <v>70791531.443288162</v>
      </c>
      <c r="B3798">
        <v>248716814.5694842</v>
      </c>
    </row>
    <row r="3799" spans="1:2" x14ac:dyDescent="0.25">
      <c r="A3799">
        <f ca="1">31981.7668848636*((RANDBETWEEN(1587,2416)))</f>
        <v>59294195.804537207</v>
      </c>
      <c r="B3799">
        <v>216443846.44410688</v>
      </c>
    </row>
    <row r="3800" spans="1:2" x14ac:dyDescent="0.25">
      <c r="A3800">
        <f ca="1">36905.3859635548*((RANDBETWEEN(1587,2416)))</f>
        <v>62591534.594188988</v>
      </c>
      <c r="B3800">
        <v>241179820.2852748</v>
      </c>
    </row>
    <row r="3801" spans="1:2" x14ac:dyDescent="0.25">
      <c r="A3801">
        <f ca="1">29742.8912801582*((RANDBETWEEN(1587,2416)))</f>
        <v>54280776.58628875</v>
      </c>
      <c r="B3801">
        <v>243052892.12219459</v>
      </c>
    </row>
    <row r="3802" spans="1:2" x14ac:dyDescent="0.25">
      <c r="A3802">
        <f ca="1">39606.7378788303*((RANDBETWEEN(1587,2416)))</f>
        <v>78619374.689478159</v>
      </c>
      <c r="B3802">
        <v>263993682.30190647</v>
      </c>
    </row>
    <row r="3803" spans="1:2" x14ac:dyDescent="0.25">
      <c r="A3803">
        <f ca="1">31148.6715152357*((RANDBETWEEN(1587,2416)))</f>
        <v>63107208.489867531</v>
      </c>
      <c r="B3803">
        <v>246634349.21155089</v>
      </c>
    </row>
    <row r="3804" spans="1:2" x14ac:dyDescent="0.25">
      <c r="A3804">
        <f ca="1">32316.8474097269*((RANDBETWEEN(1587,2416)))</f>
        <v>75847640.870629042</v>
      </c>
      <c r="B3804">
        <v>249342042.47536555</v>
      </c>
    </row>
    <row r="3805" spans="1:2" x14ac:dyDescent="0.25">
      <c r="A3805">
        <f ca="1">40093.3396127589*((RANDBETWEEN(1587,2416)))</f>
        <v>82512092.923057839</v>
      </c>
      <c r="B3805">
        <v>265470742.61707383</v>
      </c>
    </row>
    <row r="3806" spans="1:2" x14ac:dyDescent="0.25">
      <c r="A3806">
        <f ca="1">33709.2268096601*((RANDBETWEEN(1587,2416)))</f>
        <v>58451799.287950605</v>
      </c>
      <c r="B3806">
        <v>206535542.8337453</v>
      </c>
    </row>
    <row r="3807" spans="1:2" x14ac:dyDescent="0.25">
      <c r="A3807">
        <f ca="1">35319.123900947*((RANDBETWEEN(1587,2416)))</f>
        <v>70002503.57167685</v>
      </c>
      <c r="B3807">
        <v>227575406.91656715</v>
      </c>
    </row>
    <row r="3808" spans="1:2" x14ac:dyDescent="0.25">
      <c r="A3808">
        <f ca="1">40623.4720782708*((RANDBETWEEN(1587,2416)))</f>
        <v>79418887.913019508</v>
      </c>
      <c r="B3808">
        <v>256252873.61433676</v>
      </c>
    </row>
    <row r="3809" spans="1:2" x14ac:dyDescent="0.25">
      <c r="A3809">
        <f ca="1">37173.8845624634*((RANDBETWEEN(1587,2416)))</f>
        <v>60853649.028752662</v>
      </c>
      <c r="B3809">
        <v>247154090.40472236</v>
      </c>
    </row>
    <row r="3810" spans="1:2" x14ac:dyDescent="0.25">
      <c r="A3810">
        <f ca="1">28506.272006751*((RANDBETWEEN(1587,2416)))</f>
        <v>63112886.222946726</v>
      </c>
      <c r="B3810">
        <v>206188621.22823742</v>
      </c>
    </row>
    <row r="3811" spans="1:2" x14ac:dyDescent="0.25">
      <c r="A3811">
        <f ca="1">38149.6950823181*((RANDBETWEEN(1587,2416)))</f>
        <v>74010408.459697112</v>
      </c>
      <c r="B3811">
        <v>211640229.97303975</v>
      </c>
    </row>
    <row r="3812" spans="1:2" x14ac:dyDescent="0.25">
      <c r="A3812">
        <f ca="1">40687.5957704719*((RANDBETWEEN(1587,2416)))</f>
        <v>89105834.737333357</v>
      </c>
      <c r="B3812">
        <v>244883926.97509354</v>
      </c>
    </row>
    <row r="3813" spans="1:2" x14ac:dyDescent="0.25">
      <c r="A3813">
        <f ca="1">36314.0142690783*((RANDBETWEEN(1587,2416)))</f>
        <v>72882226.638040215</v>
      </c>
      <c r="B3813">
        <v>254956888.80978879</v>
      </c>
    </row>
    <row r="3814" spans="1:2" x14ac:dyDescent="0.25">
      <c r="A3814">
        <f ca="1">34606.3644475568*((RANDBETWEEN(1587,2416)))</f>
        <v>80252159.153884172</v>
      </c>
      <c r="B3814">
        <v>236791496.08505538</v>
      </c>
    </row>
    <row r="3815" spans="1:2" x14ac:dyDescent="0.25">
      <c r="A3815">
        <f ca="1">39211.7507953586*((RANDBETWEEN(1587,2416)))</f>
        <v>83952358.452862754</v>
      </c>
      <c r="B3815">
        <v>214951946.58458027</v>
      </c>
    </row>
    <row r="3816" spans="1:2" x14ac:dyDescent="0.25">
      <c r="A3816">
        <f ca="1">35363.6573272188*((RANDBETWEEN(1587,2416)))</f>
        <v>75218499.134994373</v>
      </c>
      <c r="B3816">
        <v>223824105.4666962</v>
      </c>
    </row>
    <row r="3817" spans="1:2" x14ac:dyDescent="0.25">
      <c r="A3817">
        <f ca="1">37057.957006921*((RANDBETWEEN(1587,2416)))</f>
        <v>59255673.254066646</v>
      </c>
      <c r="B3817">
        <v>214730850.22667235</v>
      </c>
    </row>
    <row r="3818" spans="1:2" x14ac:dyDescent="0.25">
      <c r="A3818">
        <f ca="1">32853.3157943172*((RANDBETWEEN(1587,2416)))</f>
        <v>74117080.431979537</v>
      </c>
      <c r="B3818">
        <v>221645981.81435159</v>
      </c>
    </row>
    <row r="3819" spans="1:2" x14ac:dyDescent="0.25">
      <c r="A3819">
        <f ca="1">31919.9568197527*((RANDBETWEEN(1587,2416)))</f>
        <v>53082888.19124876</v>
      </c>
      <c r="B3819">
        <v>236456296.91941369</v>
      </c>
    </row>
    <row r="3820" spans="1:2" x14ac:dyDescent="0.25">
      <c r="A3820">
        <f ca="1">32151.3529258234*((RANDBETWEEN(1587,2416)))</f>
        <v>56522078.443597466</v>
      </c>
      <c r="B3820">
        <v>223635396.97676486</v>
      </c>
    </row>
    <row r="3821" spans="1:2" x14ac:dyDescent="0.25">
      <c r="A3821">
        <f ca="1">39902.9625730642*((RANDBETWEEN(1587,2416)))</f>
        <v>96245945.726230741</v>
      </c>
      <c r="B3821">
        <v>228158375.48907915</v>
      </c>
    </row>
    <row r="3822" spans="1:2" x14ac:dyDescent="0.25">
      <c r="A3822">
        <f ca="1">38832.6836536224*((RANDBETWEEN(1587,2416)))</f>
        <v>69355173.005369574</v>
      </c>
      <c r="B3822">
        <v>208837853.47998479</v>
      </c>
    </row>
    <row r="3823" spans="1:2" x14ac:dyDescent="0.25">
      <c r="A3823">
        <f ca="1">31791.6402248217*((RANDBETWEEN(1587,2416)))</f>
        <v>73661230.400911972</v>
      </c>
      <c r="B3823">
        <v>235922281.60828745</v>
      </c>
    </row>
    <row r="3824" spans="1:2" x14ac:dyDescent="0.25">
      <c r="A3824">
        <f ca="1">30603.3821361715*((RANDBETWEEN(1587,2416)))</f>
        <v>52760230.802759692</v>
      </c>
      <c r="B3824">
        <v>239424065.66290808</v>
      </c>
    </row>
    <row r="3825" spans="1:2" x14ac:dyDescent="0.25">
      <c r="A3825">
        <f ca="1">30837.8995976668*((RANDBETWEEN(1587,2416)))</f>
        <v>56710897.360109322</v>
      </c>
      <c r="B3825">
        <v>254375222.89361954</v>
      </c>
    </row>
    <row r="3826" spans="1:2" x14ac:dyDescent="0.25">
      <c r="A3826">
        <f ca="1">30135.6330441982*((RANDBETWEEN(1587,2416)))</f>
        <v>66840834.09203165</v>
      </c>
      <c r="B3826">
        <v>206179540.0696854</v>
      </c>
    </row>
    <row r="3827" spans="1:2" x14ac:dyDescent="0.25">
      <c r="A3827">
        <f ca="1">30589.7822477828*((RANDBETWEEN(1587,2416)))</f>
        <v>50167242.886363782</v>
      </c>
      <c r="B3827">
        <v>216506517.36934444</v>
      </c>
    </row>
    <row r="3828" spans="1:2" x14ac:dyDescent="0.25">
      <c r="A3828">
        <f ca="1">29953.5473460797*((RANDBETWEEN(1587,2416)))</f>
        <v>58349510.230163172</v>
      </c>
      <c r="B3828">
        <v>221932682.73113704</v>
      </c>
    </row>
    <row r="3829" spans="1:2" x14ac:dyDescent="0.25">
      <c r="A3829">
        <f ca="1">39730.6032076129*((RANDBETWEEN(1587,2416)))</f>
        <v>80454471.495416149</v>
      </c>
      <c r="B3829">
        <v>262389890.28550592</v>
      </c>
    </row>
    <row r="3830" spans="1:2" x14ac:dyDescent="0.25">
      <c r="A3830">
        <f ca="1">30980.3681962914*((RANDBETWEEN(1587,2416)))</f>
        <v>58367013.681813024</v>
      </c>
      <c r="B3830">
        <v>222904725.65539837</v>
      </c>
    </row>
    <row r="3831" spans="1:2" x14ac:dyDescent="0.25">
      <c r="A3831">
        <f ca="1">36416.7761526916*((RANDBETWEEN(1587,2416)))</f>
        <v>72178050.33463484</v>
      </c>
      <c r="B3831">
        <v>250449868.26335084</v>
      </c>
    </row>
    <row r="3832" spans="1:2" x14ac:dyDescent="0.25">
      <c r="A3832">
        <f ca="1">36922.8768467083*((RANDBETWEEN(1587,2416)))</f>
        <v>83778007.565181166</v>
      </c>
      <c r="B3832">
        <v>259764550.78565949</v>
      </c>
    </row>
    <row r="3833" spans="1:2" x14ac:dyDescent="0.25">
      <c r="A3833">
        <f ca="1">41988.8684778824*((RANDBETWEEN(1587,2416)))</f>
        <v>85993202.64270322</v>
      </c>
      <c r="B3833">
        <v>252691499.51271653</v>
      </c>
    </row>
    <row r="3834" spans="1:2" x14ac:dyDescent="0.25">
      <c r="A3834">
        <f ca="1">36744.517688608*((RANDBETWEEN(1587,2416)))</f>
        <v>58901461.854838669</v>
      </c>
      <c r="B3834">
        <v>214133124.37903342</v>
      </c>
    </row>
    <row r="3835" spans="1:2" x14ac:dyDescent="0.25">
      <c r="A3835">
        <f ca="1">32640.883108425*((RANDBETWEEN(1587,2416)))</f>
        <v>76347025.590606004</v>
      </c>
      <c r="B3835">
        <v>237371018.92011148</v>
      </c>
    </row>
    <row r="3836" spans="1:2" x14ac:dyDescent="0.25">
      <c r="A3836">
        <f ca="1">31098.3203154404*((RANDBETWEEN(1587,2416)))</f>
        <v>50659163.793852463</v>
      </c>
      <c r="B3836">
        <v>228232945.07420334</v>
      </c>
    </row>
    <row r="3837" spans="1:2" x14ac:dyDescent="0.25">
      <c r="A3837">
        <f ca="1">37494.6319204938*((RANDBETWEEN(1587,2416)))</f>
        <v>78251296.818070561</v>
      </c>
      <c r="B3837">
        <v>233277617.51511207</v>
      </c>
    </row>
    <row r="3838" spans="1:2" x14ac:dyDescent="0.25">
      <c r="A3838">
        <f ca="1">28596.6941244585*((RANDBETWEEN(1587,2416)))</f>
        <v>67459601.439597815</v>
      </c>
      <c r="B3838">
        <v>216428210.66858932</v>
      </c>
    </row>
    <row r="3839" spans="1:2" x14ac:dyDescent="0.25">
      <c r="A3839">
        <f ca="1">30081.3215763781*((RANDBETWEEN(1587,2416)))</f>
        <v>53875646.943293169</v>
      </c>
      <c r="B3839">
        <v>239775744.49967113</v>
      </c>
    </row>
    <row r="3840" spans="1:2" x14ac:dyDescent="0.25">
      <c r="A3840">
        <f ca="1">33473.6172088931*((RANDBETWEEN(1587,2416)))</f>
        <v>67215023.3554575</v>
      </c>
      <c r="B3840">
        <v>261025130.00984353</v>
      </c>
    </row>
    <row r="3841" spans="1:2" x14ac:dyDescent="0.25">
      <c r="A3841">
        <f ca="1">42103.0283233565*((RANDBETWEEN(1587,2416)))</f>
        <v>88374256.450725317</v>
      </c>
      <c r="B3841">
        <v>246869679.12476224</v>
      </c>
    </row>
    <row r="3842" spans="1:2" x14ac:dyDescent="0.25">
      <c r="A3842">
        <f ca="1">40419.373198498*((RANDBETWEEN(1587,2416)))</f>
        <v>82374682.578538984</v>
      </c>
      <c r="B3842">
        <v>267917363.90880921</v>
      </c>
    </row>
    <row r="3843" spans="1:2" x14ac:dyDescent="0.25">
      <c r="A3843">
        <f ca="1">31668.2900027004*((RANDBETWEEN(1587,2416)))</f>
        <v>62798219.075354874</v>
      </c>
      <c r="B3843">
        <v>236601678.50869831</v>
      </c>
    </row>
    <row r="3844" spans="1:2" x14ac:dyDescent="0.25">
      <c r="A3844">
        <f ca="1">30714.7869399005*((RANDBETWEEN(1587,2416)))</f>
        <v>56330919.247777499</v>
      </c>
      <c r="B3844">
        <v>218489769.994342</v>
      </c>
    </row>
    <row r="3845" spans="1:2" x14ac:dyDescent="0.25">
      <c r="A3845">
        <f ca="1">30147.163261109*((RANDBETWEEN(1587,2416)))</f>
        <v>56706814.094145991</v>
      </c>
      <c r="B3845">
        <v>238297865.84803462</v>
      </c>
    </row>
    <row r="3846" spans="1:2" x14ac:dyDescent="0.25">
      <c r="A3846">
        <f ca="1">39687.6514734044*((RANDBETWEEN(1587,2416)))</f>
        <v>76478104.389250323</v>
      </c>
      <c r="B3846">
        <v>263072008.05703598</v>
      </c>
    </row>
    <row r="3847" spans="1:2" x14ac:dyDescent="0.25">
      <c r="A3847">
        <f ca="1">33450.4849667416*((RANDBETWEEN(1587,2416)))</f>
        <v>56196814.744125962</v>
      </c>
      <c r="B3847">
        <v>209952316.20274743</v>
      </c>
    </row>
    <row r="3848" spans="1:2" x14ac:dyDescent="0.25">
      <c r="A3848">
        <f ca="1">29672.0656415718*((RANDBETWEEN(1587,2416)))</f>
        <v>67088540.415593863</v>
      </c>
      <c r="B3848">
        <v>242485403.68546271</v>
      </c>
    </row>
    <row r="3849" spans="1:2" x14ac:dyDescent="0.25">
      <c r="A3849">
        <f ca="1">31040.9223807589*((RANDBETWEEN(1587,2416)))</f>
        <v>62919949.665798262</v>
      </c>
      <c r="B3849">
        <v>206900725.97436577</v>
      </c>
    </row>
    <row r="3850" spans="1:2" x14ac:dyDescent="0.25">
      <c r="A3850">
        <f ca="1">35363.7101227861*((RANDBETWEEN(1587,2416)))</f>
        <v>82079171.194986656</v>
      </c>
      <c r="B3850">
        <v>234926636.33568311</v>
      </c>
    </row>
    <row r="3851" spans="1:2" x14ac:dyDescent="0.25">
      <c r="A3851">
        <f ca="1">38391.8587533249*((RANDBETWEEN(1587,2416)))</f>
        <v>77628338.399222925</v>
      </c>
      <c r="B3851">
        <v>237025116.01120579</v>
      </c>
    </row>
    <row r="3852" spans="1:2" x14ac:dyDescent="0.25">
      <c r="A3852">
        <f ca="1">30335.5524322512*((RANDBETWEEN(1587,2416)))</f>
        <v>68042644.105539382</v>
      </c>
      <c r="B3852">
        <v>250052299.918524</v>
      </c>
    </row>
    <row r="3853" spans="1:2" x14ac:dyDescent="0.25">
      <c r="A3853">
        <f ca="1">33367.9570909342*((RANDBETWEEN(1587,2416)))</f>
        <v>60963257.605136707</v>
      </c>
      <c r="B3853">
        <v>228801533.08778143</v>
      </c>
    </row>
    <row r="3854" spans="1:2" x14ac:dyDescent="0.25">
      <c r="A3854">
        <f ca="1">28164.4349890672*((RANDBETWEEN(1587,2416)))</f>
        <v>50076365.410561524</v>
      </c>
      <c r="B3854">
        <v>266512726.06149477</v>
      </c>
    </row>
    <row r="3855" spans="1:2" x14ac:dyDescent="0.25">
      <c r="A3855">
        <f ca="1">31889.3302522764*((RANDBETWEEN(1587,2416)))</f>
        <v>53000066.879283406</v>
      </c>
      <c r="B3855">
        <v>253047809.01048982</v>
      </c>
    </row>
    <row r="3856" spans="1:2" x14ac:dyDescent="0.25">
      <c r="A3856">
        <f ca="1">33405.0362552239*((RANDBETWEEN(1587,2416)))</f>
        <v>59661394.751829796</v>
      </c>
      <c r="B3856">
        <v>203969570.76197398</v>
      </c>
    </row>
    <row r="3857" spans="1:2" x14ac:dyDescent="0.25">
      <c r="A3857">
        <f ca="1">36089.2505254966*((RANDBETWEEN(1587,2416)))</f>
        <v>81489527.68657124</v>
      </c>
      <c r="B3857">
        <v>266862727.57625911</v>
      </c>
    </row>
    <row r="3858" spans="1:2" x14ac:dyDescent="0.25">
      <c r="A3858">
        <f ca="1">41906.7156344038*((RANDBETWEEN(1587,2416)))</f>
        <v>87836475.96971035</v>
      </c>
      <c r="B3858">
        <v>210455576.62243918</v>
      </c>
    </row>
    <row r="3859" spans="1:2" x14ac:dyDescent="0.25">
      <c r="A3859">
        <f ca="1">33709.3992117728*((RANDBETWEEN(1587,2416)))</f>
        <v>65025431.079509757</v>
      </c>
      <c r="B3859">
        <v>224896824.20797312</v>
      </c>
    </row>
    <row r="3860" spans="1:2" x14ac:dyDescent="0.25">
      <c r="A3860">
        <f ca="1">34955.0188490066*((RANDBETWEEN(1587,2416)))</f>
        <v>76726266.373569563</v>
      </c>
      <c r="B3860">
        <v>226853550.70250496</v>
      </c>
    </row>
    <row r="3861" spans="1:2" x14ac:dyDescent="0.25">
      <c r="A3861">
        <f ca="1">31364.5736131467*((RANDBETWEEN(1587,2416)))</f>
        <v>74741778.920128584</v>
      </c>
      <c r="B3861">
        <v>204914743.72822315</v>
      </c>
    </row>
    <row r="3862" spans="1:2" x14ac:dyDescent="0.25">
      <c r="A3862">
        <f ca="1">33700.5244104879*((RANDBETWEEN(1587,2416)))</f>
        <v>81117162.256044418</v>
      </c>
      <c r="B3862">
        <v>224325228.06183901</v>
      </c>
    </row>
    <row r="3863" spans="1:2" x14ac:dyDescent="0.25">
      <c r="A3863">
        <f ca="1">30456.8891822987*((RANDBETWEEN(1587,2416)))</f>
        <v>50741177.377709635</v>
      </c>
      <c r="B3863">
        <v>264165529.12459856</v>
      </c>
    </row>
    <row r="3864" spans="1:2" x14ac:dyDescent="0.25">
      <c r="A3864">
        <f ca="1">30998.5622333303*((RANDBETWEEN(1587,2416)))</f>
        <v>69436779.402659923</v>
      </c>
      <c r="B3864">
        <v>230938217.99707469</v>
      </c>
    </row>
    <row r="3865" spans="1:2" x14ac:dyDescent="0.25">
      <c r="A3865">
        <f ca="1">36869.5407863808*((RANDBETWEEN(1587,2416)))</f>
        <v>86127247.276985571</v>
      </c>
      <c r="B3865">
        <v>259108458.84156951</v>
      </c>
    </row>
    <row r="3866" spans="1:2" x14ac:dyDescent="0.25">
      <c r="A3866">
        <f ca="1">39135.8751879852*((RANDBETWEEN(1587,2416)))</f>
        <v>90795230.436125562</v>
      </c>
      <c r="B3866">
        <v>233545358.02900392</v>
      </c>
    </row>
    <row r="3867" spans="1:2" x14ac:dyDescent="0.25">
      <c r="A3867">
        <f ca="1">35545.86851822*((RANDBETWEEN(1587,2416)))</f>
        <v>68567980.371646345</v>
      </c>
      <c r="B3867">
        <v>234751772.71721199</v>
      </c>
    </row>
    <row r="3868" spans="1:2" x14ac:dyDescent="0.25">
      <c r="A3868">
        <f ca="1">32402.9820368456*((RANDBETWEEN(1587,2416)))</f>
        <v>63153411.989812113</v>
      </c>
      <c r="B3868">
        <v>215428522.80524814</v>
      </c>
    </row>
    <row r="3869" spans="1:2" x14ac:dyDescent="0.25">
      <c r="A3869">
        <f ca="1">39026.4754069711*((RANDBETWEEN(1587,2416)))</f>
        <v>80160380.485918626</v>
      </c>
      <c r="B3869">
        <v>258989425.99160701</v>
      </c>
    </row>
    <row r="3870" spans="1:2" x14ac:dyDescent="0.25">
      <c r="A3870">
        <f ca="1">37294.0736798034*((RANDBETWEEN(1587,2416)))</f>
        <v>82382608.758685619</v>
      </c>
      <c r="B3870">
        <v>221084789.89849937</v>
      </c>
    </row>
    <row r="3871" spans="1:2" x14ac:dyDescent="0.25">
      <c r="A3871">
        <f ca="1">31758.8429503369*((RANDBETWEEN(1587,2416)))</f>
        <v>65677287.221296683</v>
      </c>
      <c r="B3871">
        <v>218269675.4794783</v>
      </c>
    </row>
    <row r="3872" spans="1:2" x14ac:dyDescent="0.25">
      <c r="A3872">
        <f ca="1">32306.2055464986*((RANDBETWEEN(1587,2416)))</f>
        <v>56051266.623175099</v>
      </c>
      <c r="B3872">
        <v>249527826.65317899</v>
      </c>
    </row>
    <row r="3873" spans="1:2" x14ac:dyDescent="0.25">
      <c r="A3873">
        <f ca="1">35323.4134238851*((RANDBETWEEN(1587,2416)))</f>
        <v>82974698.13270615</v>
      </c>
      <c r="B3873">
        <v>265459540.00718367</v>
      </c>
    </row>
    <row r="3874" spans="1:2" x14ac:dyDescent="0.25">
      <c r="A3874">
        <f ca="1">31513.7960644873*((RANDBETWEEN(1587,2416)))</f>
        <v>63279702.497490577</v>
      </c>
      <c r="B3874">
        <v>261605711.11441553</v>
      </c>
    </row>
    <row r="3875" spans="1:2" x14ac:dyDescent="0.25">
      <c r="A3875">
        <f ca="1">30514.0860509119*((RANDBETWEEN(1587,2416)))</f>
        <v>56176432.419728808</v>
      </c>
      <c r="B3875">
        <v>229267028.36617404</v>
      </c>
    </row>
    <row r="3876" spans="1:2" x14ac:dyDescent="0.25">
      <c r="A3876">
        <f ca="1">34443.5453301083*((RANDBETWEEN(1587,2416)))</f>
        <v>65546066.763196029</v>
      </c>
      <c r="B3876">
        <v>231224730.36106485</v>
      </c>
    </row>
    <row r="3877" spans="1:2" x14ac:dyDescent="0.25">
      <c r="A3877">
        <f ca="1">43300.801524449*((RANDBETWEEN(1587,2416)))</f>
        <v>72788647.362598851</v>
      </c>
      <c r="B3877">
        <v>263158828.76679659</v>
      </c>
    </row>
    <row r="3878" spans="1:2" x14ac:dyDescent="0.25">
      <c r="A3878">
        <f ca="1">29854.5935873249*((RANDBETWEEN(1587,2416)))</f>
        <v>48036041.082005791</v>
      </c>
      <c r="B3878">
        <v>242097880.55876809</v>
      </c>
    </row>
    <row r="3879" spans="1:2" x14ac:dyDescent="0.25">
      <c r="A3879">
        <f ca="1">32166.3395057302*((RANDBETWEEN(1587,2416)))</f>
        <v>53653454.295557939</v>
      </c>
      <c r="B3879">
        <v>228894815.08506477</v>
      </c>
    </row>
    <row r="3880" spans="1:2" x14ac:dyDescent="0.25">
      <c r="A3880">
        <f ca="1">31455.8695244738*((RANDBETWEEN(1587,2416)))</f>
        <v>58256270.359325394</v>
      </c>
      <c r="B3880">
        <v>253483838.97842628</v>
      </c>
    </row>
    <row r="3881" spans="1:2" x14ac:dyDescent="0.25">
      <c r="A3881">
        <f ca="1">38022.9609292485*((RANDBETWEEN(1587,2416)))</f>
        <v>79315896.498412266</v>
      </c>
      <c r="B3881">
        <v>222546921.47538459</v>
      </c>
    </row>
    <row r="3882" spans="1:2" x14ac:dyDescent="0.25">
      <c r="A3882">
        <f ca="1">33921.1747484359*((RANDBETWEEN(1587,2416)))</f>
        <v>56682283.004636429</v>
      </c>
      <c r="B3882">
        <v>233838413.87605637</v>
      </c>
    </row>
    <row r="3883" spans="1:2" x14ac:dyDescent="0.25">
      <c r="A3883">
        <f ca="1">35137.6465850077*((RANDBETWEEN(1587,2416)))</f>
        <v>71294284.920980647</v>
      </c>
      <c r="B3883">
        <v>226707217.78268862</v>
      </c>
    </row>
    <row r="3884" spans="1:2" x14ac:dyDescent="0.25">
      <c r="A3884">
        <f ca="1">37692.2661011642*((RANDBETWEEN(1587,2416)))</f>
        <v>66376080.604150139</v>
      </c>
      <c r="B3884">
        <v>225336512.62311426</v>
      </c>
    </row>
    <row r="3885" spans="1:2" x14ac:dyDescent="0.25">
      <c r="A3885">
        <f ca="1">33225.2332742118*((RANDBETWEEN(1587,2416)))</f>
        <v>68344304.845053673</v>
      </c>
      <c r="B3885">
        <v>245194947.50872821</v>
      </c>
    </row>
    <row r="3886" spans="1:2" x14ac:dyDescent="0.25">
      <c r="A3886">
        <f ca="1">31915.4307454254*((RANDBETWEEN(1587,2416)))</f>
        <v>71171410.562298641</v>
      </c>
      <c r="B3886">
        <v>216838819.22515494</v>
      </c>
    </row>
    <row r="3887" spans="1:2" x14ac:dyDescent="0.25">
      <c r="A3887">
        <f ca="1">29752.490391756*((RANDBETWEEN(1587,2416)))</f>
        <v>63491814.496007212</v>
      </c>
      <c r="B3887">
        <v>230390913.08115792</v>
      </c>
    </row>
    <row r="3888" spans="1:2" x14ac:dyDescent="0.25">
      <c r="A3888">
        <f ca="1">28336.2514166452*((RANDBETWEEN(1587,2416)))</f>
        <v>54490611.474208802</v>
      </c>
      <c r="B3888">
        <v>239798028.85577679</v>
      </c>
    </row>
    <row r="3889" spans="1:2" x14ac:dyDescent="0.25">
      <c r="A3889">
        <f ca="1">32046.3224423515*((RANDBETWEEN(1587,2416)))</f>
        <v>55664462.082364485</v>
      </c>
      <c r="B3889">
        <v>252262476.90157309</v>
      </c>
    </row>
    <row r="3890" spans="1:2" x14ac:dyDescent="0.25">
      <c r="A3890">
        <f ca="1">32628.0602051772*((RANDBETWEEN(1587,2416)))</f>
        <v>68160017.768615276</v>
      </c>
      <c r="B3890">
        <v>249057796.5846462</v>
      </c>
    </row>
    <row r="3891" spans="1:2" x14ac:dyDescent="0.25">
      <c r="A3891">
        <f ca="1">36393.9067414451*((RANDBETWEEN(1587,2416)))</f>
        <v>72132723.161544248</v>
      </c>
      <c r="B3891">
        <v>214540435.29783127</v>
      </c>
    </row>
    <row r="3892" spans="1:2" x14ac:dyDescent="0.25">
      <c r="A3892">
        <f ca="1">39587.3383300471*((RANDBETWEEN(1587,2416)))</f>
        <v>86933794.972783536</v>
      </c>
      <c r="B3892">
        <v>208963208.33203867</v>
      </c>
    </row>
    <row r="3893" spans="1:2" x14ac:dyDescent="0.25">
      <c r="A3893">
        <f ca="1">40275.1337695024*((RANDBETWEEN(1587,2416)))</f>
        <v>90498225.580072001</v>
      </c>
      <c r="B3893">
        <v>261138477.79772639</v>
      </c>
    </row>
    <row r="3894" spans="1:2" x14ac:dyDescent="0.25">
      <c r="A3894">
        <f ca="1">40366.3565654276*((RANDBETWEEN(1587,2416)))</f>
        <v>81055643.983378679</v>
      </c>
      <c r="B3894">
        <v>234432863.94961315</v>
      </c>
    </row>
    <row r="3895" spans="1:2" x14ac:dyDescent="0.25">
      <c r="A3895">
        <f ca="1">29906.093085775*((RANDBETWEEN(1587,2416)))</f>
        <v>59243970.402920336</v>
      </c>
      <c r="B3895">
        <v>245129383.73280469</v>
      </c>
    </row>
    <row r="3896" spans="1:2" x14ac:dyDescent="0.25">
      <c r="A3896">
        <f ca="1">39344.722119569*((RANDBETWEEN(1587,2416)))</f>
        <v>70505742.038267568</v>
      </c>
      <c r="B3896">
        <v>233465344.87261832</v>
      </c>
    </row>
    <row r="3897" spans="1:2" x14ac:dyDescent="0.25">
      <c r="A3897">
        <f ca="1">29645.5507645567*((RANDBETWEEN(1587,2416)))</f>
        <v>49419133.124515958</v>
      </c>
      <c r="B3897">
        <v>264730154.23385596</v>
      </c>
    </row>
    <row r="3898" spans="1:2" x14ac:dyDescent="0.25">
      <c r="A3898">
        <f ca="1">36743.4754683607*((RANDBETWEEN(1587,2416)))</f>
        <v>85318350.037533581</v>
      </c>
      <c r="B3898">
        <v>216342733.37259299</v>
      </c>
    </row>
    <row r="3899" spans="1:2" x14ac:dyDescent="0.25">
      <c r="A3899">
        <f ca="1">31551.8676868612*((RANDBETWEEN(1587,2416)))</f>
        <v>64807536.228812836</v>
      </c>
      <c r="B3899">
        <v>239894023.9234705</v>
      </c>
    </row>
    <row r="3900" spans="1:2" x14ac:dyDescent="0.25">
      <c r="A3900">
        <f ca="1">37196.9573498798*((RANDBETWEEN(1587,2416)))</f>
        <v>87970804.132465735</v>
      </c>
      <c r="B3900">
        <v>254753928.08024201</v>
      </c>
    </row>
    <row r="3901" spans="1:2" x14ac:dyDescent="0.25">
      <c r="A3901">
        <f ca="1">34887.0054446545*((RANDBETWEEN(1587,2416)))</f>
        <v>71448587.150652498</v>
      </c>
      <c r="B3901">
        <v>230357550.80844504</v>
      </c>
    </row>
    <row r="3902" spans="1:2" x14ac:dyDescent="0.25">
      <c r="A3902">
        <f ca="1">39885.4521469491*((RANDBETWEEN(1587,2416)))</f>
        <v>66369392.372523218</v>
      </c>
      <c r="B3902">
        <v>261127562.8057515</v>
      </c>
    </row>
    <row r="3903" spans="1:2" x14ac:dyDescent="0.25">
      <c r="A3903">
        <f ca="1">33942.6793395197*((RANDBETWEEN(1587,2416)))</f>
        <v>64253491.989710756</v>
      </c>
      <c r="B3903">
        <v>209704160.15134352</v>
      </c>
    </row>
    <row r="3904" spans="1:2" x14ac:dyDescent="0.25">
      <c r="A3904">
        <f ca="1">31318.8290259876*((RANDBETWEEN(1587,2416)))</f>
        <v>57877196.040025145</v>
      </c>
      <c r="B3904">
        <v>221845188.64953822</v>
      </c>
    </row>
    <row r="3905" spans="1:2" x14ac:dyDescent="0.25">
      <c r="A3905">
        <f ca="1">34571.2397192345*((RANDBETWEEN(1587,2416)))</f>
        <v>80585559.785535589</v>
      </c>
      <c r="B3905">
        <v>262757645.25188318</v>
      </c>
    </row>
    <row r="3906" spans="1:2" x14ac:dyDescent="0.25">
      <c r="A3906">
        <f ca="1">36253.7265446455*((RANDBETWEEN(1587,2416)))</f>
        <v>78090526.97716634</v>
      </c>
      <c r="B3906">
        <v>225130966.99214837</v>
      </c>
    </row>
    <row r="3907" spans="1:2" x14ac:dyDescent="0.25">
      <c r="A3907">
        <f ca="1">40165.7487826295*((RANDBETWEEN(1587,2416)))</f>
        <v>70490889.113514841</v>
      </c>
      <c r="B3907">
        <v>264773019.39461893</v>
      </c>
    </row>
    <row r="3908" spans="1:2" x14ac:dyDescent="0.25">
      <c r="A3908">
        <f ca="1">39526.1469164196*((RANDBETWEEN(1587,2416)))</f>
        <v>78261770.89451085</v>
      </c>
      <c r="B3908">
        <v>225640333.08197337</v>
      </c>
    </row>
    <row r="3909" spans="1:2" x14ac:dyDescent="0.25">
      <c r="A3909">
        <f ca="1">30269.0694486002*((RANDBETWEEN(1587,2416)))</f>
        <v>59660335.883190989</v>
      </c>
      <c r="B3909">
        <v>254893363.87641633</v>
      </c>
    </row>
    <row r="3910" spans="1:2" x14ac:dyDescent="0.25">
      <c r="A3910">
        <f ca="1">31055.427432935*((RANDBETWEEN(1587,2416)))</f>
        <v>66427559.279047929</v>
      </c>
      <c r="B3910">
        <v>233348489.26322347</v>
      </c>
    </row>
    <row r="3911" spans="1:2" x14ac:dyDescent="0.25">
      <c r="A3911">
        <f ca="1">35201.4487568706*((RANDBETWEEN(1587,2416)))</f>
        <v>82476994.4373478</v>
      </c>
      <c r="B3911">
        <v>217892944.69619781</v>
      </c>
    </row>
    <row r="3912" spans="1:2" x14ac:dyDescent="0.25">
      <c r="A3912">
        <f ca="1">32091.324583441*((RANDBETWEEN(1587,2416)))</f>
        <v>52148402.448091552</v>
      </c>
      <c r="B3912">
        <v>250855805.66375315</v>
      </c>
    </row>
    <row r="3913" spans="1:2" x14ac:dyDescent="0.25">
      <c r="A3913">
        <f ca="1">38319.2254021682*((RANDBETWEEN(1587,2416)))</f>
        <v>92196056.317616582</v>
      </c>
      <c r="B3913">
        <v>228418598.40766826</v>
      </c>
    </row>
    <row r="3914" spans="1:2" x14ac:dyDescent="0.25">
      <c r="A3914">
        <f ca="1">27830.9124931513*((RANDBETWEEN(1587,2416)))</f>
        <v>46060160.17616535</v>
      </c>
      <c r="B3914">
        <v>215519843.94987321</v>
      </c>
    </row>
    <row r="3915" spans="1:2" x14ac:dyDescent="0.25">
      <c r="A3915">
        <f ca="1">34212.6866705011*((RANDBETWEEN(1587,2416)))</f>
        <v>54877149.419483811</v>
      </c>
      <c r="B3915">
        <v>235027364.05234355</v>
      </c>
    </row>
    <row r="3916" spans="1:2" x14ac:dyDescent="0.25">
      <c r="A3916">
        <f ca="1">31279.4826693453*((RANDBETWEEN(1587,2416)))</f>
        <v>50547643.993662</v>
      </c>
      <c r="B3916">
        <v>214734755.35625547</v>
      </c>
    </row>
    <row r="3917" spans="1:2" x14ac:dyDescent="0.25">
      <c r="A3917">
        <f ca="1">37007.384945179*((RANDBETWEEN(1587,2416)))</f>
        <v>61691310.70361343</v>
      </c>
      <c r="B3917">
        <v>210950177.98147687</v>
      </c>
    </row>
    <row r="3918" spans="1:2" x14ac:dyDescent="0.25">
      <c r="A3918">
        <f ca="1">37066.4498661389*((RANDBETWEEN(1587,2416)))</f>
        <v>72168377.889372483</v>
      </c>
      <c r="B3918">
        <v>266029926.62558523</v>
      </c>
    </row>
    <row r="3919" spans="1:2" x14ac:dyDescent="0.25">
      <c r="A3919">
        <f ca="1">36832.1549405541*((RANDBETWEEN(1587,2416)))</f>
        <v>79446958.206775159</v>
      </c>
      <c r="B3919">
        <v>250890115.90161622</v>
      </c>
    </row>
    <row r="3920" spans="1:2" x14ac:dyDescent="0.25">
      <c r="A3920">
        <f ca="1">39051.3694006495*((RANDBETWEEN(1587,2416)))</f>
        <v>63888040.339462571</v>
      </c>
      <c r="B3920">
        <v>262720683.89513555</v>
      </c>
    </row>
    <row r="3921" spans="1:2" x14ac:dyDescent="0.25">
      <c r="A3921">
        <f ca="1">31840.3147737745*((RANDBETWEEN(1587,2416)))</f>
        <v>55975273.372295618</v>
      </c>
      <c r="B3921">
        <v>259180829.49587274</v>
      </c>
    </row>
    <row r="3922" spans="1:2" x14ac:dyDescent="0.25">
      <c r="A3922">
        <f ca="1">38847.9229367619*((RANDBETWEEN(1587,2416)))</f>
        <v>92147273.2059993</v>
      </c>
      <c r="B3922">
        <v>212398930.78541857</v>
      </c>
    </row>
    <row r="3923" spans="1:2" x14ac:dyDescent="0.25">
      <c r="A3923">
        <f ca="1">40202.4345639557*((RANDBETWEEN(1587,2416)))</f>
        <v>80927500.777242854</v>
      </c>
      <c r="B3923">
        <v>215902854.29766458</v>
      </c>
    </row>
    <row r="3924" spans="1:2" x14ac:dyDescent="0.25">
      <c r="A3924">
        <f ca="1">35640.0294901045*((RANDBETWEEN(1587,2416)))</f>
        <v>67145815.559356868</v>
      </c>
      <c r="B3924">
        <v>227432911.19391418</v>
      </c>
    </row>
    <row r="3925" spans="1:2" x14ac:dyDescent="0.25">
      <c r="A3925">
        <f ca="1">32347.9599226348*((RANDBETWEEN(1587,2416)))</f>
        <v>60717120.774785489</v>
      </c>
      <c r="B3925">
        <v>252601350.28652218</v>
      </c>
    </row>
    <row r="3926" spans="1:2" x14ac:dyDescent="0.25">
      <c r="A3926">
        <f ca="1">28262.9591690383*((RANDBETWEEN(1587,2416)))</f>
        <v>52597367.013580248</v>
      </c>
      <c r="B3926">
        <v>260139303.98086578</v>
      </c>
    </row>
    <row r="3927" spans="1:2" x14ac:dyDescent="0.25">
      <c r="A3927">
        <f ca="1">32079.0825721567*((RANDBETWEEN(1587,2416)))</f>
        <v>73396940.925094426</v>
      </c>
      <c r="B3927">
        <v>251190561.12805241</v>
      </c>
    </row>
    <row r="3928" spans="1:2" x14ac:dyDescent="0.25">
      <c r="A3928">
        <f ca="1">29303.8208297146*((RANDBETWEEN(1587,2416)))</f>
        <v>47296366.819159426</v>
      </c>
      <c r="B3928">
        <v>213743271.30538398</v>
      </c>
    </row>
    <row r="3929" spans="1:2" x14ac:dyDescent="0.25">
      <c r="A3929">
        <f ca="1">32260.9661823591*((RANDBETWEEN(1587,2416)))</f>
        <v>61166791.881752916</v>
      </c>
      <c r="B3929">
        <v>205467400.06596327</v>
      </c>
    </row>
    <row r="3930" spans="1:2" x14ac:dyDescent="0.25">
      <c r="A3930">
        <f ca="1">40843.7888791427*((RANDBETWEEN(1587,2416)))</f>
        <v>82096015.647076875</v>
      </c>
      <c r="B3930">
        <v>266472089.42422009</v>
      </c>
    </row>
    <row r="3931" spans="1:2" x14ac:dyDescent="0.25">
      <c r="A3931">
        <f ca="1">36293.6406047812*((RANDBETWEEN(1587,2416)))</f>
        <v>65255965.807396658</v>
      </c>
      <c r="B3931">
        <v>240407724.05074802</v>
      </c>
    </row>
    <row r="3932" spans="1:2" x14ac:dyDescent="0.25">
      <c r="A3932">
        <f ca="1">28707.9600009214*((RANDBETWEEN(1587,2416)))</f>
        <v>56698221.001819856</v>
      </c>
      <c r="B3932">
        <v>235585661.57458195</v>
      </c>
    </row>
    <row r="3933" spans="1:2" x14ac:dyDescent="0.25">
      <c r="A3933">
        <f ca="1">38795.2010346386*((RANDBETWEEN(1587,2416)))</f>
        <v>67542445.001305878</v>
      </c>
      <c r="B3933">
        <v>251853081.0835124</v>
      </c>
    </row>
    <row r="3934" spans="1:2" x14ac:dyDescent="0.25">
      <c r="A3934">
        <f ca="1">32148.2445531884*((RANDBETWEEN(1587,2416)))</f>
        <v>66032494.312248901</v>
      </c>
      <c r="B3934">
        <v>205915918.61773831</v>
      </c>
    </row>
    <row r="3935" spans="1:2" x14ac:dyDescent="0.25">
      <c r="A3935">
        <f ca="1">35834.3868671927*((RANDBETWEEN(1587,2416)))</f>
        <v>61563476.637837008</v>
      </c>
      <c r="B3935">
        <v>204523169.74140662</v>
      </c>
    </row>
    <row r="3936" spans="1:2" x14ac:dyDescent="0.25">
      <c r="A3936">
        <f ca="1">35682.2159698335*((RANDBETWEEN(1587,2416)))</f>
        <v>83460703.153440475</v>
      </c>
      <c r="B3936">
        <v>246524754.82091007</v>
      </c>
    </row>
    <row r="3937" spans="1:2" x14ac:dyDescent="0.25">
      <c r="A3937">
        <f ca="1">32955.6040977737*((RANDBETWEEN(1587,2416)))</f>
        <v>68481745.315173671</v>
      </c>
      <c r="B3937">
        <v>210719872.57804298</v>
      </c>
    </row>
    <row r="3938" spans="1:2" x14ac:dyDescent="0.25">
      <c r="A3938">
        <f ca="1">34802.5149379335*((RANDBETWEEN(1587,2416)))</f>
        <v>81368279.924888641</v>
      </c>
      <c r="B3938">
        <v>205834400.28990692</v>
      </c>
    </row>
    <row r="3939" spans="1:2" x14ac:dyDescent="0.25">
      <c r="A3939">
        <f ca="1">30392.5848749822*((RANDBETWEEN(1587,2416)))</f>
        <v>48476172.875596687</v>
      </c>
      <c r="B3939">
        <v>231582500.61674297</v>
      </c>
    </row>
    <row r="3940" spans="1:2" x14ac:dyDescent="0.25">
      <c r="A3940">
        <f ca="1">31739.4375865147*((RANDBETWEEN(1587,2416)))</f>
        <v>63193220.234750845</v>
      </c>
      <c r="B3940">
        <v>266704583.49086571</v>
      </c>
    </row>
    <row r="3941" spans="1:2" x14ac:dyDescent="0.25">
      <c r="A3941">
        <f ca="1">34216.6061901172*((RANDBETWEEN(1587,2416)))</f>
        <v>73942085.976843223</v>
      </c>
      <c r="B3941">
        <v>263247536.665277</v>
      </c>
    </row>
    <row r="3942" spans="1:2" x14ac:dyDescent="0.25">
      <c r="A3942">
        <f ca="1">34907.3804177216*((RANDBETWEEN(1587,2416)))</f>
        <v>73270591.496797651</v>
      </c>
      <c r="B3942">
        <v>215610985.34254727</v>
      </c>
    </row>
    <row r="3943" spans="1:2" x14ac:dyDescent="0.25">
      <c r="A3943">
        <f ca="1">39072.6763519639*((RANDBETWEEN(1587,2416)))</f>
        <v>72636105.338300988</v>
      </c>
      <c r="B3943">
        <v>216414589.3906067</v>
      </c>
    </row>
    <row r="3944" spans="1:2" x14ac:dyDescent="0.25">
      <c r="A3944">
        <f ca="1">28735.1053664053*((RANDBETWEEN(1587,2416)))</f>
        <v>62498854.171931587</v>
      </c>
      <c r="B3944">
        <v>245794831.80777827</v>
      </c>
    </row>
    <row r="3945" spans="1:2" x14ac:dyDescent="0.25">
      <c r="A3945">
        <f ca="1">33560.931953725*((RANDBETWEEN(1587,2416)))</f>
        <v>63933575.37184608</v>
      </c>
      <c r="B3945">
        <v>260300587.44944459</v>
      </c>
    </row>
    <row r="3946" spans="1:2" x14ac:dyDescent="0.25">
      <c r="A3946">
        <f ca="1">33089.5477324999*((RANDBETWEEN(1587,2416)))</f>
        <v>67899751.947089717</v>
      </c>
      <c r="B3946">
        <v>267475786.47662276</v>
      </c>
    </row>
    <row r="3947" spans="1:2" x14ac:dyDescent="0.25">
      <c r="A3947">
        <f ca="1">34264.3440249948*((RANDBETWEEN(1587,2416)))</f>
        <v>79219163.385787919</v>
      </c>
      <c r="B3947">
        <v>262934853.72145143</v>
      </c>
    </row>
    <row r="3948" spans="1:2" x14ac:dyDescent="0.25">
      <c r="A3948">
        <f ca="1">31567.6503831246*((RANDBETWEEN(1587,2416)))</f>
        <v>70427428.004750893</v>
      </c>
      <c r="B3948">
        <v>241157891.58490807</v>
      </c>
    </row>
    <row r="3949" spans="1:2" x14ac:dyDescent="0.25">
      <c r="A3949">
        <f ca="1">31025.7691046837*((RANDBETWEEN(1587,2416)))</f>
        <v>64037187.432067223</v>
      </c>
      <c r="B3949">
        <v>207427370.81505826</v>
      </c>
    </row>
    <row r="3950" spans="1:2" x14ac:dyDescent="0.25">
      <c r="A3950">
        <f ca="1">38651.0139142389*((RANDBETWEEN(1587,2416)))</f>
        <v>92723782.380259141</v>
      </c>
      <c r="B3950">
        <v>266099538.61178258</v>
      </c>
    </row>
    <row r="3951" spans="1:2" x14ac:dyDescent="0.25">
      <c r="A3951">
        <f ca="1">29780.2228882558*((RANDBETWEEN(1587,2416)))</f>
        <v>70102644.678954244</v>
      </c>
      <c r="B3951">
        <v>212262793.31435806</v>
      </c>
    </row>
    <row r="3952" spans="1:2" x14ac:dyDescent="0.25">
      <c r="A3952">
        <f ca="1">30137.9242985977*((RANDBETWEEN(1587,2416)))</f>
        <v>69106260.416684449</v>
      </c>
      <c r="B3952">
        <v>246012266.14515901</v>
      </c>
    </row>
    <row r="3953" spans="1:2" x14ac:dyDescent="0.25">
      <c r="A3953">
        <f ca="1">34106.4161535294*((RANDBETWEEN(1587,2416)))</f>
        <v>63165082.716336399</v>
      </c>
      <c r="B3953">
        <v>238698744.55834302</v>
      </c>
    </row>
    <row r="3954" spans="1:2" x14ac:dyDescent="0.25">
      <c r="A3954">
        <f ca="1">40985.0472216244*((RANDBETWEEN(1587,2416)))</f>
        <v>71518907.401734546</v>
      </c>
      <c r="B3954">
        <v>219389286.98528424</v>
      </c>
    </row>
    <row r="3955" spans="1:2" x14ac:dyDescent="0.25">
      <c r="A3955">
        <f ca="1">30258.1177523133*((RANDBETWEEN(1587,2416)))</f>
        <v>63421014.808848672</v>
      </c>
      <c r="B3955">
        <v>221226297.94677514</v>
      </c>
    </row>
    <row r="3956" spans="1:2" x14ac:dyDescent="0.25">
      <c r="A3956">
        <f ca="1">33221.5959017163*((RANDBETWEEN(1587,2416)))</f>
        <v>74815033.970665082</v>
      </c>
      <c r="B3956">
        <v>246665321.40381455</v>
      </c>
    </row>
    <row r="3957" spans="1:2" x14ac:dyDescent="0.25">
      <c r="A3957">
        <f ca="1">32410.3359396875*((RANDBETWEEN(1587,2416)))</f>
        <v>73344590.23151271</v>
      </c>
      <c r="B3957">
        <v>217593890.4265019</v>
      </c>
    </row>
    <row r="3958" spans="1:2" x14ac:dyDescent="0.25">
      <c r="A3958">
        <f ca="1">32534.7370163142*((RANDBETWEEN(1587,2416)))</f>
        <v>67281836.14973776</v>
      </c>
      <c r="B3958">
        <v>226792391.42742056</v>
      </c>
    </row>
    <row r="3959" spans="1:2" x14ac:dyDescent="0.25">
      <c r="A3959">
        <f ca="1">32626.3384491153*((RANDBETWEEN(1587,2416)))</f>
        <v>71158044.157520443</v>
      </c>
      <c r="B3959">
        <v>248513538.0521304</v>
      </c>
    </row>
    <row r="3960" spans="1:2" x14ac:dyDescent="0.25">
      <c r="A3960">
        <f ca="1">39965.975817097*((RANDBETWEEN(1587,2416)))</f>
        <v>70420049.38972491</v>
      </c>
      <c r="B3960">
        <v>218600771.16141659</v>
      </c>
    </row>
    <row r="3961" spans="1:2" x14ac:dyDescent="0.25">
      <c r="A3961">
        <f ca="1">32842.3423472068*((RANDBETWEEN(1587,2416)))</f>
        <v>66834166.676565915</v>
      </c>
      <c r="B3961">
        <v>242973912.70388848</v>
      </c>
    </row>
    <row r="3962" spans="1:2" x14ac:dyDescent="0.25">
      <c r="A3962">
        <f ca="1">34731.1897563057*((RANDBETWEEN(1587,2416)))</f>
        <v>67795282.404308766</v>
      </c>
      <c r="B3962">
        <v>222397901.97459275</v>
      </c>
    </row>
    <row r="3963" spans="1:2" x14ac:dyDescent="0.25">
      <c r="A3963">
        <f ca="1">32498.6032621128*((RANDBETWEEN(1587,2416)))</f>
        <v>58399990.062016614</v>
      </c>
      <c r="B3963">
        <v>231957470.4321152</v>
      </c>
    </row>
    <row r="3964" spans="1:2" x14ac:dyDescent="0.25">
      <c r="A3964">
        <f ca="1">28716.2223637623*((RANDBETWEEN(1587,2416)))</f>
        <v>60964540.078267366</v>
      </c>
      <c r="B3964">
        <v>205100642.16351509</v>
      </c>
    </row>
    <row r="3965" spans="1:2" x14ac:dyDescent="0.25">
      <c r="A3965">
        <f ca="1">32468.7658900394*((RANDBETWEEN(1587,2416)))</f>
        <v>69126002.579893932</v>
      </c>
      <c r="B3965">
        <v>267754682.72084063</v>
      </c>
    </row>
    <row r="3966" spans="1:2" x14ac:dyDescent="0.25">
      <c r="A3966">
        <f ca="1">30668.8728328284*((RANDBETWEEN(1587,2416)))</f>
        <v>49254209.769522332</v>
      </c>
      <c r="B3966">
        <v>247572395.46221682</v>
      </c>
    </row>
    <row r="3967" spans="1:2" x14ac:dyDescent="0.25">
      <c r="A3967">
        <f ca="1">31445.2199642242*((RANDBETWEEN(1587,2416)))</f>
        <v>69273819.581185952</v>
      </c>
      <c r="B3967">
        <v>234063050.20954883</v>
      </c>
    </row>
    <row r="3968" spans="1:2" x14ac:dyDescent="0.25">
      <c r="A3968">
        <f ca="1">39201.7044026511*((RANDBETWEEN(1587,2416)))</f>
        <v>92672829.207867146</v>
      </c>
      <c r="B3968">
        <v>206714133.16844037</v>
      </c>
    </row>
    <row r="3969" spans="1:2" x14ac:dyDescent="0.25">
      <c r="A3969">
        <f ca="1">31743.9593589052*((RANDBETWEEN(1587,2416)))</f>
        <v>55393209.081289485</v>
      </c>
      <c r="B3969">
        <v>208851297.54361355</v>
      </c>
    </row>
    <row r="3970" spans="1:2" x14ac:dyDescent="0.25">
      <c r="A3970">
        <f ca="1">36574.006865193*((RANDBETWEEN(1587,2416)))</f>
        <v>71173017.359665558</v>
      </c>
      <c r="B3970">
        <v>236075263.76550332</v>
      </c>
    </row>
    <row r="3971" spans="1:2" x14ac:dyDescent="0.25">
      <c r="A3971">
        <f ca="1">31943.0319597408*((RANDBETWEEN(1587,2416)))</f>
        <v>72925941.964088336</v>
      </c>
      <c r="B3971">
        <v>207440731.41443479</v>
      </c>
    </row>
    <row r="3972" spans="1:2" x14ac:dyDescent="0.25">
      <c r="A3972">
        <f ca="1">39997.3075183727*((RANDBETWEEN(1587,2416)))</f>
        <v>95593564.968910754</v>
      </c>
      <c r="B3972">
        <v>225744547.78738248</v>
      </c>
    </row>
    <row r="3973" spans="1:2" x14ac:dyDescent="0.25">
      <c r="A3973">
        <f ca="1">39233.7191871644*((RANDBETWEEN(1587,2416)))</f>
        <v>78153568.620831385</v>
      </c>
      <c r="B3973">
        <v>221082605.02456877</v>
      </c>
    </row>
    <row r="3974" spans="1:2" x14ac:dyDescent="0.25">
      <c r="A3974">
        <f ca="1">31705.0928259011*((RANDBETWEEN(1587,2416)))</f>
        <v>56752116.158362933</v>
      </c>
      <c r="B3974">
        <v>225355873.47974578</v>
      </c>
    </row>
    <row r="3975" spans="1:2" x14ac:dyDescent="0.25">
      <c r="A3975">
        <f ca="1">35543.1609071464*((RANDBETWEEN(1587,2416)))</f>
        <v>60778805.151220366</v>
      </c>
      <c r="B3975">
        <v>248154277.20046517</v>
      </c>
    </row>
    <row r="3976" spans="1:2" x14ac:dyDescent="0.25">
      <c r="A3976">
        <f ca="1">35139.7267855363*((RANDBETWEEN(1587,2416)))</f>
        <v>84651601.826357052</v>
      </c>
      <c r="B3976">
        <v>214522248.42665732</v>
      </c>
    </row>
    <row r="3977" spans="1:2" x14ac:dyDescent="0.25">
      <c r="A3977">
        <f ca="1">37879.3296359269*((RANDBETWEEN(1587,2416)))</f>
        <v>91402822.411491677</v>
      </c>
      <c r="B3977">
        <v>214517456.93799245</v>
      </c>
    </row>
    <row r="3978" spans="1:2" x14ac:dyDescent="0.25">
      <c r="A3978">
        <f ca="1">37880.6731787437*((RANDBETWEEN(1587,2416)))</f>
        <v>64321383.057506822</v>
      </c>
      <c r="B3978">
        <v>220151015.89508489</v>
      </c>
    </row>
    <row r="3979" spans="1:2" x14ac:dyDescent="0.25">
      <c r="A3979">
        <f ca="1">31000.7864490883*((RANDBETWEEN(1587,2416)))</f>
        <v>54313377.858802684</v>
      </c>
      <c r="B3979">
        <v>220406150.50504375</v>
      </c>
    </row>
    <row r="3980" spans="1:2" x14ac:dyDescent="0.25">
      <c r="A3980">
        <f ca="1">31146.2288763387*((RANDBETWEEN(1587,2416)))</f>
        <v>54630485.449098088</v>
      </c>
      <c r="B3980">
        <v>257462933.46154028</v>
      </c>
    </row>
    <row r="3981" spans="1:2" x14ac:dyDescent="0.25">
      <c r="A3981">
        <f ca="1">35721.6036150569*((RANDBETWEEN(1587,2416)))</f>
        <v>61869817.461278625</v>
      </c>
      <c r="B3981">
        <v>259979646.15823591</v>
      </c>
    </row>
    <row r="3982" spans="1:2" x14ac:dyDescent="0.25">
      <c r="A3982">
        <f ca="1">32316.5049482003*((RANDBETWEEN(1587,2416)))</f>
        <v>64374477.856814988</v>
      </c>
      <c r="B3982">
        <v>218462560.55319935</v>
      </c>
    </row>
    <row r="3983" spans="1:2" x14ac:dyDescent="0.25">
      <c r="A3983">
        <f ca="1">30679.5115910291*((RANDBETWEEN(1587,2416)))</f>
        <v>66513181.129351124</v>
      </c>
      <c r="B3983">
        <v>264670630.78670326</v>
      </c>
    </row>
    <row r="3984" spans="1:2" x14ac:dyDescent="0.25">
      <c r="A3984">
        <f ca="1">35795.0671904849*((RANDBETWEEN(1587,2416)))</f>
        <v>76136107.914161444</v>
      </c>
      <c r="B3984">
        <v>262266557.48454565</v>
      </c>
    </row>
    <row r="3985" spans="1:2" x14ac:dyDescent="0.25">
      <c r="A3985">
        <f ca="1">37314.4734029923*((RANDBETWEEN(1587,2416)))</f>
        <v>63695806.09890794</v>
      </c>
      <c r="B3985">
        <v>239461428.72978985</v>
      </c>
    </row>
    <row r="3986" spans="1:2" x14ac:dyDescent="0.25">
      <c r="A3986">
        <f ca="1">32525.9025409618*((RANDBETWEEN(1587,2416)))</f>
        <v>59327246.234714329</v>
      </c>
      <c r="B3986">
        <v>261858802.73809683</v>
      </c>
    </row>
    <row r="3987" spans="1:2" x14ac:dyDescent="0.25">
      <c r="A3987">
        <f ca="1">29100.034339358*((RANDBETWEEN(1587,2416)))</f>
        <v>61255572.284348495</v>
      </c>
      <c r="B3987">
        <v>237314446.52256548</v>
      </c>
    </row>
    <row r="3988" spans="1:2" x14ac:dyDescent="0.25">
      <c r="A3988">
        <f ca="1">32222.0188345567*((RANDBETWEEN(1587,2416)))</f>
        <v>66184026.686179437</v>
      </c>
      <c r="B3988">
        <v>204502279.13844869</v>
      </c>
    </row>
    <row r="3989" spans="1:2" x14ac:dyDescent="0.25">
      <c r="A3989">
        <f ca="1">33496.2473607335*((RANDBETWEEN(1587,2416)))</f>
        <v>64178809.943165369</v>
      </c>
      <c r="B3989">
        <v>218160135.69008133</v>
      </c>
    </row>
    <row r="3990" spans="1:2" x14ac:dyDescent="0.25">
      <c r="A3990">
        <f ca="1">33667.0660380938*((RANDBETWEEN(1587,2416)))</f>
        <v>60398716.472340368</v>
      </c>
      <c r="B3990">
        <v>230254489.3369531</v>
      </c>
    </row>
    <row r="3991" spans="1:2" x14ac:dyDescent="0.25">
      <c r="A3991">
        <f ca="1">38920.7873053379*((RANDBETWEEN(1587,2416)))</f>
        <v>63830091.180754155</v>
      </c>
      <c r="B3991">
        <v>232767277.8109237</v>
      </c>
    </row>
    <row r="3992" spans="1:2" x14ac:dyDescent="0.25">
      <c r="A3992">
        <f ca="1">35792.7144442569*((RANDBETWEEN(1587,2416)))</f>
        <v>81965316.077348262</v>
      </c>
      <c r="B3992">
        <v>250720633.42611846</v>
      </c>
    </row>
    <row r="3993" spans="1:2" x14ac:dyDescent="0.25">
      <c r="A3993">
        <f ca="1">35850.05068578*((RANDBETWEEN(1587,2416)))</f>
        <v>64637641.38646134</v>
      </c>
      <c r="B3993">
        <v>234853731.55859613</v>
      </c>
    </row>
    <row r="3994" spans="1:2" x14ac:dyDescent="0.25">
      <c r="A3994">
        <f ca="1">29873.007359527*((RANDBETWEEN(1587,2416)))</f>
        <v>52218016.864453211</v>
      </c>
      <c r="B3994">
        <v>213361480.87690675</v>
      </c>
    </row>
    <row r="3995" spans="1:2" x14ac:dyDescent="0.25">
      <c r="A3995">
        <f ca="1">36711.3820801694*((RANDBETWEEN(1587,2416)))</f>
        <v>70595987.740165845</v>
      </c>
      <c r="B3995">
        <v>243640936.11812446</v>
      </c>
    </row>
    <row r="3996" spans="1:2" x14ac:dyDescent="0.25">
      <c r="A3996">
        <f ca="1">29444.0463891507*((RANDBETWEEN(1587,2416)))</f>
        <v>69311285.200060636</v>
      </c>
      <c r="B3996">
        <v>260160945.42972508</v>
      </c>
    </row>
    <row r="3997" spans="1:2" x14ac:dyDescent="0.25">
      <c r="A3997">
        <f ca="1">29924.2814221793*((RANDBETWEEN(1587,2416)))</f>
        <v>47819001.712642491</v>
      </c>
      <c r="B3997">
        <v>236730618.82464594</v>
      </c>
    </row>
    <row r="3998" spans="1:2" x14ac:dyDescent="0.25">
      <c r="A3998">
        <f ca="1">41443.5055386522*((RANDBETWEEN(1587,2416)))</f>
        <v>87611570.708710685</v>
      </c>
      <c r="B3998">
        <v>256618121.94032797</v>
      </c>
    </row>
    <row r="3999" spans="1:2" x14ac:dyDescent="0.25">
      <c r="A3999">
        <f ca="1">32777.3743586384*((RANDBETWEEN(1587,2416)))</f>
        <v>64636982.235234857</v>
      </c>
      <c r="B3999">
        <v>248962204.8479341</v>
      </c>
    </row>
    <row r="4000" spans="1:2" x14ac:dyDescent="0.25">
      <c r="A4000">
        <f ca="1">32416.5460633113*((RANDBETWEEN(1587,2416)))</f>
        <v>52190639.161931351</v>
      </c>
      <c r="B4000">
        <v>216371766.89633054</v>
      </c>
    </row>
    <row r="4001" spans="1:2" x14ac:dyDescent="0.25">
      <c r="A4001">
        <f ca="1">36868.2735939315*((RANDBETWEEN(1587,2416)))</f>
        <v>83690981.05822444</v>
      </c>
      <c r="B4001">
        <v>253414218.30195057</v>
      </c>
    </row>
    <row r="4002" spans="1:2" x14ac:dyDescent="0.25">
      <c r="A4002">
        <f ca="1">40170.7404848454*((RANDBETWEEN(1587,2416)))</f>
        <v>74476552.858903423</v>
      </c>
      <c r="B4002">
        <v>217026397.78585213</v>
      </c>
    </row>
    <row r="4003" spans="1:2" x14ac:dyDescent="0.25">
      <c r="A4003">
        <f ca="1">29632.3990784508*((RANDBETWEEN(1587,2416)))</f>
        <v>66821059.921906561</v>
      </c>
      <c r="B4003">
        <v>253999603.54271638</v>
      </c>
    </row>
    <row r="4004" spans="1:2" x14ac:dyDescent="0.25">
      <c r="A4004">
        <f ca="1">32348.1448180125*((RANDBETWEEN(1587,2416)))</f>
        <v>73527333.171342388</v>
      </c>
      <c r="B4004">
        <v>243771558.70502159</v>
      </c>
    </row>
    <row r="4005" spans="1:2" x14ac:dyDescent="0.25">
      <c r="A4005">
        <f ca="1">30630.8514391551*((RANDBETWEEN(1587,2416)))</f>
        <v>58933758.16893433</v>
      </c>
      <c r="B4005">
        <v>225255918.75144666</v>
      </c>
    </row>
    <row r="4006" spans="1:2" x14ac:dyDescent="0.25">
      <c r="A4006">
        <f ca="1">31921.0558459267*((RANDBETWEEN(1587,2416)))</f>
        <v>74024928.506703973</v>
      </c>
      <c r="B4006">
        <v>232694688.30763856</v>
      </c>
    </row>
    <row r="4007" spans="1:2" x14ac:dyDescent="0.25">
      <c r="A4007">
        <f ca="1">30285.9455369317*((RANDBETWEEN(1587,2416)))</f>
        <v>58391302.995204374</v>
      </c>
      <c r="B4007">
        <v>214825577.22904345</v>
      </c>
    </row>
    <row r="4008" spans="1:2" x14ac:dyDescent="0.25">
      <c r="A4008">
        <f ca="1">35353.6688675634*((RANDBETWEEN(1587,2416)))</f>
        <v>60914371.458811738</v>
      </c>
      <c r="B4008">
        <v>209814468.86661756</v>
      </c>
    </row>
    <row r="4009" spans="1:2" x14ac:dyDescent="0.25">
      <c r="A4009">
        <f ca="1">42708.4660799114*((RANDBETWEEN(1587,2416)))</f>
        <v>87125270.803019345</v>
      </c>
      <c r="B4009">
        <v>214041310.17951122</v>
      </c>
    </row>
    <row r="4010" spans="1:2" x14ac:dyDescent="0.25">
      <c r="A4010">
        <f ca="1">36329.0117210702*((RANDBETWEEN(1587,2416)))</f>
        <v>77998388.165137798</v>
      </c>
      <c r="B4010">
        <v>243382288.62181687</v>
      </c>
    </row>
    <row r="4011" spans="1:2" x14ac:dyDescent="0.25">
      <c r="A4011">
        <f ca="1">37606.2106804729*((RANDBETWEEN(1587,2416)))</f>
        <v>66224537.008312859</v>
      </c>
      <c r="B4011">
        <v>215848425.17834723</v>
      </c>
    </row>
    <row r="4012" spans="1:2" x14ac:dyDescent="0.25">
      <c r="A4012">
        <f ca="1">30179.2017519361*((RANDBETWEEN(1587,2416)))</f>
        <v>58426934.591748327</v>
      </c>
      <c r="B4012">
        <v>267713526.07957721</v>
      </c>
    </row>
    <row r="4013" spans="1:2" x14ac:dyDescent="0.25">
      <c r="A4013">
        <f ca="1">32234.3470987262*((RANDBETWEEN(1587,2416)))</f>
        <v>75138263.087130696</v>
      </c>
      <c r="B4013">
        <v>207289963.4073683</v>
      </c>
    </row>
    <row r="4014" spans="1:2" x14ac:dyDescent="0.25">
      <c r="A4014">
        <f ca="1">31365.5696354721*((RANDBETWEEN(1587,2416)))</f>
        <v>56959874.458017275</v>
      </c>
      <c r="B4014">
        <v>221906183.44736794</v>
      </c>
    </row>
    <row r="4015" spans="1:2" x14ac:dyDescent="0.25">
      <c r="A4015">
        <f ca="1">36427.5469244501*((RANDBETWEEN(1587,2416)))</f>
        <v>86624706.586342439</v>
      </c>
      <c r="B4015">
        <v>215811006.12307125</v>
      </c>
    </row>
    <row r="4016" spans="1:2" x14ac:dyDescent="0.25">
      <c r="A4016">
        <f ca="1">29268.1376533113*((RANDBETWEEN(1587,2416)))</f>
        <v>69482558.788961023</v>
      </c>
      <c r="B4016">
        <v>262819932.74313998</v>
      </c>
    </row>
    <row r="4017" spans="1:2" x14ac:dyDescent="0.25">
      <c r="A4017">
        <f ca="1">32238.4088842362*((RANDBETWEEN(1587,2416)))</f>
        <v>75921452.922376305</v>
      </c>
      <c r="B4017">
        <v>215557461.58772266</v>
      </c>
    </row>
    <row r="4018" spans="1:2" x14ac:dyDescent="0.25">
      <c r="A4018">
        <f ca="1">28468.4764994239*((RANDBETWEEN(1587,2416)))</f>
        <v>49962176.256488949</v>
      </c>
      <c r="B4018">
        <v>211175483.41395241</v>
      </c>
    </row>
    <row r="4019" spans="1:2" x14ac:dyDescent="0.25">
      <c r="A4019">
        <f ca="1">32506.0097898481*((RANDBETWEEN(1587,2416)))</f>
        <v>60493684.218907297</v>
      </c>
      <c r="B4019">
        <v>218505631.27520201</v>
      </c>
    </row>
    <row r="4020" spans="1:2" x14ac:dyDescent="0.25">
      <c r="A4020">
        <f ca="1">29289.1410619149*((RANDBETWEEN(1587,2416)))</f>
        <v>70293938.548595831</v>
      </c>
      <c r="B4020">
        <v>256204551.1550222</v>
      </c>
    </row>
    <row r="4021" spans="1:2" x14ac:dyDescent="0.25">
      <c r="A4021">
        <f ca="1">38671.8053535704*((RANDBETWEEN(1587,2416)))</f>
        <v>66051443.54389821</v>
      </c>
      <c r="B4021">
        <v>253512174.65578517</v>
      </c>
    </row>
    <row r="4022" spans="1:2" x14ac:dyDescent="0.25">
      <c r="A4022">
        <f ca="1">38270.9394534071*((RANDBETWEEN(1587,2416)))</f>
        <v>66170454.314940929</v>
      </c>
      <c r="B4022">
        <v>232873440.22118804</v>
      </c>
    </row>
    <row r="4023" spans="1:2" x14ac:dyDescent="0.25">
      <c r="A4023">
        <f ca="1">39708.9587840078*((RANDBETWEEN(1587,2416)))</f>
        <v>78385484.63963142</v>
      </c>
      <c r="B4023">
        <v>247041762.57892355</v>
      </c>
    </row>
    <row r="4024" spans="1:2" x14ac:dyDescent="0.25">
      <c r="A4024">
        <f ca="1">42523.6870842788*((RANDBETWEEN(1587,2416)))</f>
        <v>78881439.541337252</v>
      </c>
      <c r="B4024">
        <v>263573234.93602949</v>
      </c>
    </row>
    <row r="4025" spans="1:2" x14ac:dyDescent="0.25">
      <c r="A4025">
        <f ca="1">31094.6892877437*((RANDBETWEEN(1587,2416)))</f>
        <v>52550024.896286964</v>
      </c>
      <c r="B4025">
        <v>229238893.46197933</v>
      </c>
    </row>
    <row r="4026" spans="1:2" x14ac:dyDescent="0.25">
      <c r="A4026">
        <f ca="1">37178.9948566808*((RANDBETWEEN(1587,2416)))</f>
        <v>66550400.793458581</v>
      </c>
      <c r="B4026">
        <v>207290749.02489036</v>
      </c>
    </row>
    <row r="4027" spans="1:2" x14ac:dyDescent="0.25">
      <c r="A4027">
        <f ca="1">38013.7543655999*((RANDBETWEEN(1587,2416)))</f>
        <v>68994964.173563778</v>
      </c>
      <c r="B4027">
        <v>264582575.25779569</v>
      </c>
    </row>
    <row r="4028" spans="1:2" x14ac:dyDescent="0.25">
      <c r="A4028">
        <f ca="1">31324.2812358698*((RANDBETWEEN(1587,2416)))</f>
        <v>52342873.945138402</v>
      </c>
      <c r="B4028">
        <v>227231608.93479213</v>
      </c>
    </row>
    <row r="4029" spans="1:2" x14ac:dyDescent="0.25">
      <c r="A4029">
        <f ca="1">33253.8101058139*((RANDBETWEEN(1587,2416)))</f>
        <v>54203710.472476624</v>
      </c>
      <c r="B4029">
        <v>213714655.52820647</v>
      </c>
    </row>
    <row r="4030" spans="1:2" x14ac:dyDescent="0.25">
      <c r="A4030">
        <f ca="1">33623.4596437475*((RANDBETWEEN(1587,2416)))</f>
        <v>69365197.245051101</v>
      </c>
      <c r="B4030">
        <v>233395962.96129304</v>
      </c>
    </row>
    <row r="4031" spans="1:2" x14ac:dyDescent="0.25">
      <c r="A4031">
        <f ca="1">37693.6104259865*((RANDBETWEEN(1587,2416)))</f>
        <v>64418380.218010947</v>
      </c>
      <c r="B4031">
        <v>248196670.58855176</v>
      </c>
    </row>
    <row r="4032" spans="1:2" x14ac:dyDescent="0.25">
      <c r="A4032">
        <f ca="1">33492.1687878635*((RANDBETWEEN(1587,2416)))</f>
        <v>75725793.629359424</v>
      </c>
      <c r="B4032">
        <v>226385871.39825019</v>
      </c>
    </row>
    <row r="4033" spans="1:2" x14ac:dyDescent="0.25">
      <c r="A4033">
        <f ca="1">32652.7462706967*((RANDBETWEEN(1587,2416)))</f>
        <v>60701455.317225143</v>
      </c>
      <c r="B4033">
        <v>252152761.60398963</v>
      </c>
    </row>
    <row r="4034" spans="1:2" x14ac:dyDescent="0.25">
      <c r="A4034">
        <f ca="1">32031.1605403725*((RANDBETWEEN(1587,2416)))</f>
        <v>66304502.318571024</v>
      </c>
      <c r="B4034">
        <v>206770424.2061426</v>
      </c>
    </row>
    <row r="4035" spans="1:2" x14ac:dyDescent="0.25">
      <c r="A4035">
        <f ca="1">32411.0830017519*((RANDBETWEEN(1587,2416)))</f>
        <v>61581057.70332855</v>
      </c>
      <c r="B4035">
        <v>239534275.45671961</v>
      </c>
    </row>
    <row r="4036" spans="1:2" x14ac:dyDescent="0.25">
      <c r="A4036">
        <f ca="1">32159.5367011373*((RANDBETWEEN(1587,2416)))</f>
        <v>65669773.9437223</v>
      </c>
      <c r="B4036">
        <v>236343888.88433596</v>
      </c>
    </row>
    <row r="4037" spans="1:2" x14ac:dyDescent="0.25">
      <c r="A4037">
        <f ca="1">36006.76731618*((RANDBETWEEN(1587,2416)))</f>
        <v>65172248.84228576</v>
      </c>
      <c r="B4037">
        <v>258774770.58607051</v>
      </c>
    </row>
    <row r="4038" spans="1:2" x14ac:dyDescent="0.25">
      <c r="A4038">
        <f ca="1">39329.3974010481*((RANDBETWEEN(1587,2416)))</f>
        <v>73309996.755553663</v>
      </c>
      <c r="B4038">
        <v>260794785.04331669</v>
      </c>
    </row>
    <row r="4039" spans="1:2" x14ac:dyDescent="0.25">
      <c r="A4039">
        <f ca="1">34045.9820845848*((RANDBETWEEN(1587,2416)))</f>
        <v>64755457.92488046</v>
      </c>
      <c r="B4039">
        <v>258137215.9521465</v>
      </c>
    </row>
    <row r="4040" spans="1:2" x14ac:dyDescent="0.25">
      <c r="A4040">
        <f ca="1">44010.9659801012*((RANDBETWEEN(1587,2416)))</f>
        <v>94931653.619078383</v>
      </c>
      <c r="B4040">
        <v>208876074.95862752</v>
      </c>
    </row>
    <row r="4041" spans="1:2" x14ac:dyDescent="0.25">
      <c r="A4041">
        <f ca="1">37269.5718360153*((RANDBETWEEN(1587,2416)))</f>
        <v>66973420.589319512</v>
      </c>
      <c r="B4041">
        <v>208820081.81360176</v>
      </c>
    </row>
    <row r="4042" spans="1:2" x14ac:dyDescent="0.25">
      <c r="A4042">
        <f ca="1">30352.8356476889*((RANDBETWEEN(1587,2416)))</f>
        <v>63133898.147192962</v>
      </c>
      <c r="B4042">
        <v>235475053.41174337</v>
      </c>
    </row>
    <row r="4043" spans="1:2" x14ac:dyDescent="0.25">
      <c r="A4043">
        <f ca="1">28807.1774876168*((RANDBETWEEN(1587,2416)))</f>
        <v>49202659.148849532</v>
      </c>
      <c r="B4043">
        <v>263328510.05708033</v>
      </c>
    </row>
    <row r="4044" spans="1:2" x14ac:dyDescent="0.25">
      <c r="A4044">
        <f ca="1">29695.4417014419*((RANDBETWEEN(1587,2416)))</f>
        <v>50511946.334152602</v>
      </c>
      <c r="B4044">
        <v>226301453.52508864</v>
      </c>
    </row>
    <row r="4045" spans="1:2" x14ac:dyDescent="0.25">
      <c r="A4045">
        <f ca="1">39413.1300390334*((RANDBETWEEN(1587,2416)))</f>
        <v>92463203.071572423</v>
      </c>
      <c r="B4045">
        <v>261899189.58497804</v>
      </c>
    </row>
    <row r="4046" spans="1:2" x14ac:dyDescent="0.25">
      <c r="A4046">
        <f ca="1">35469.6165694042*((RANDBETWEEN(1587,2416)))</f>
        <v>71648625.470196605</v>
      </c>
      <c r="B4046">
        <v>253623285.30059195</v>
      </c>
    </row>
    <row r="4047" spans="1:2" x14ac:dyDescent="0.25">
      <c r="A4047">
        <f ca="1">28575.1064699161*((RANDBETWEEN(1587,2416)))</f>
        <v>67322950.843122214</v>
      </c>
      <c r="B4047">
        <v>205965387.78207031</v>
      </c>
    </row>
    <row r="4048" spans="1:2" x14ac:dyDescent="0.25">
      <c r="A4048">
        <f ca="1">33827.8989681233*((RANDBETWEEN(1587,2416)))</f>
        <v>66302681.97752168</v>
      </c>
      <c r="B4048">
        <v>217530783.3581911</v>
      </c>
    </row>
    <row r="4049" spans="1:2" x14ac:dyDescent="0.25">
      <c r="A4049">
        <f ca="1">32671.6324221477*((RANDBETWEEN(1587,2416)))</f>
        <v>67499592.584157318</v>
      </c>
      <c r="B4049">
        <v>217908113.63936302</v>
      </c>
    </row>
    <row r="4050" spans="1:2" x14ac:dyDescent="0.25">
      <c r="A4050">
        <f ca="1">36338.6396162192*((RANDBETWEEN(1587,2416)))</f>
        <v>68389319.757724568</v>
      </c>
      <c r="B4050">
        <v>218119309.85326394</v>
      </c>
    </row>
    <row r="4051" spans="1:2" x14ac:dyDescent="0.25">
      <c r="A4051">
        <f ca="1">35570.9369014023*((RANDBETWEEN(1587,2416)))</f>
        <v>85832670.743083805</v>
      </c>
      <c r="B4051">
        <v>218241930.93503076</v>
      </c>
    </row>
    <row r="4052" spans="1:2" x14ac:dyDescent="0.25">
      <c r="A4052">
        <f ca="1">30210.5543873505*((RANDBETWEEN(1587,2416)))</f>
        <v>48790045.335570984</v>
      </c>
      <c r="B4052">
        <v>218616835.34474909</v>
      </c>
    </row>
    <row r="4053" spans="1:2" x14ac:dyDescent="0.25">
      <c r="A4053">
        <f ca="1">40883.0867548582*((RANDBETWEEN(1587,2416)))</f>
        <v>82747367.591832966</v>
      </c>
      <c r="B4053">
        <v>235440919.22403941</v>
      </c>
    </row>
    <row r="4054" spans="1:2" x14ac:dyDescent="0.25">
      <c r="A4054">
        <f ca="1">30842.2253627375*((RANDBETWEEN(1587,2416)))</f>
        <v>71615647.292276442</v>
      </c>
      <c r="B4054">
        <v>227312703.90626299</v>
      </c>
    </row>
    <row r="4055" spans="1:2" x14ac:dyDescent="0.25">
      <c r="A4055">
        <f ca="1">36769.0592515449*((RANDBETWEEN(1587,2416)))</f>
        <v>84936526.871068731</v>
      </c>
      <c r="B4055">
        <v>208281040.72209495</v>
      </c>
    </row>
    <row r="4056" spans="1:2" x14ac:dyDescent="0.25">
      <c r="A4056">
        <f ca="1">30092.3158908848*((RANDBETWEEN(1587,2416)))</f>
        <v>53805060.812901959</v>
      </c>
      <c r="B4056">
        <v>249300697.45597777</v>
      </c>
    </row>
    <row r="4057" spans="1:2" x14ac:dyDescent="0.25">
      <c r="A4057">
        <f ca="1">37295.0173361527*((RANDBETWEEN(1587,2416)))</f>
        <v>76342900.487104535</v>
      </c>
      <c r="B4057">
        <v>235532415.85949245</v>
      </c>
    </row>
    <row r="4058" spans="1:2" x14ac:dyDescent="0.25">
      <c r="A4058">
        <f ca="1">39122.1252814561*((RANDBETWEEN(1587,2416)))</f>
        <v>77774785.059534684</v>
      </c>
      <c r="B4058">
        <v>209422922.40611833</v>
      </c>
    </row>
    <row r="4059" spans="1:2" x14ac:dyDescent="0.25">
      <c r="A4059">
        <f ca="1">29662.7889901769*((RANDBETWEEN(1587,2416)))</f>
        <v>49863148.292487375</v>
      </c>
      <c r="B4059">
        <v>235207240.90924421</v>
      </c>
    </row>
    <row r="4060" spans="1:2" x14ac:dyDescent="0.25">
      <c r="A4060">
        <f ca="1">37718.2659495995*((RANDBETWEEN(1587,2416)))</f>
        <v>78793457.568713441</v>
      </c>
      <c r="B4060">
        <v>245330423.32120144</v>
      </c>
    </row>
    <row r="4061" spans="1:2" x14ac:dyDescent="0.25">
      <c r="A4061">
        <f ca="1">38183.200581169*((RANDBETWEEN(1587,2416)))</f>
        <v>64338692.979269698</v>
      </c>
      <c r="B4061">
        <v>238244285.59039313</v>
      </c>
    </row>
    <row r="4062" spans="1:2" x14ac:dyDescent="0.25">
      <c r="A4062">
        <f ca="1">32487.7088434866*((RANDBETWEEN(1587,2416)))</f>
        <v>67217069.59717375</v>
      </c>
      <c r="B4062">
        <v>240951305.28718495</v>
      </c>
    </row>
    <row r="4063" spans="1:2" x14ac:dyDescent="0.25">
      <c r="A4063">
        <f ca="1">31168.7901421503*((RANDBETWEEN(1587,2416)))</f>
        <v>60093427.39406573</v>
      </c>
      <c r="B4063">
        <v>228314308.77949688</v>
      </c>
    </row>
    <row r="4064" spans="1:2" x14ac:dyDescent="0.25">
      <c r="A4064">
        <f ca="1">30335.952437246*((RANDBETWEEN(1587,2416)))</f>
        <v>53360940.33711572</v>
      </c>
      <c r="B4064">
        <v>206623526.96600989</v>
      </c>
    </row>
    <row r="4065" spans="1:2" x14ac:dyDescent="0.25">
      <c r="A4065">
        <f ca="1">38708.3406849708*((RANDBETWEEN(1587,2416)))</f>
        <v>66307387.593354926</v>
      </c>
      <c r="B4065">
        <v>204373378.75293884</v>
      </c>
    </row>
    <row r="4066" spans="1:2" x14ac:dyDescent="0.25">
      <c r="A4066">
        <f ca="1">41321.392136439*((RANDBETWEEN(1587,2416)))</f>
        <v>68634832.338625118</v>
      </c>
      <c r="B4066">
        <v>204073895.47033513</v>
      </c>
    </row>
    <row r="4067" spans="1:2" x14ac:dyDescent="0.25">
      <c r="A4067">
        <f ca="1">37766.4915505316*((RANDBETWEEN(1587,2416)))</f>
        <v>77912272.068746716</v>
      </c>
      <c r="B4067">
        <v>243497480.3586379</v>
      </c>
    </row>
    <row r="4068" spans="1:2" x14ac:dyDescent="0.25">
      <c r="A4068">
        <f ca="1">35904.0229783459*((RANDBETWEEN(1587,2416)))</f>
        <v>71520813.772864968</v>
      </c>
      <c r="B4068">
        <v>254084328.44270551</v>
      </c>
    </row>
    <row r="4069" spans="1:2" x14ac:dyDescent="0.25">
      <c r="A4069">
        <f ca="1">33136.1127252986*((RANDBETWEEN(1587,2416)))</f>
        <v>54310088.756764367</v>
      </c>
      <c r="B4069">
        <v>236846767.80374879</v>
      </c>
    </row>
    <row r="4070" spans="1:2" x14ac:dyDescent="0.25">
      <c r="A4070">
        <f ca="1">39522.1495377895*((RANDBETWEEN(1587,2416)))</f>
        <v>63235439.260463208</v>
      </c>
      <c r="B4070">
        <v>232825148.56739503</v>
      </c>
    </row>
    <row r="4071" spans="1:2" x14ac:dyDescent="0.25">
      <c r="A4071">
        <f ca="1">30784.6046296949*((RANDBETWEEN(1587,2416)))</f>
        <v>56551318.70474951</v>
      </c>
      <c r="B4071">
        <v>254943767.36071569</v>
      </c>
    </row>
    <row r="4072" spans="1:2" x14ac:dyDescent="0.25">
      <c r="A4072">
        <f ca="1">32451.8883510921*((RANDBETWEEN(1587,2416)))</f>
        <v>72465066.687988684</v>
      </c>
      <c r="B4072">
        <v>210659045.05215436</v>
      </c>
    </row>
    <row r="4073" spans="1:2" x14ac:dyDescent="0.25">
      <c r="A4073">
        <f ca="1">38397.6057822563*((RANDBETWEEN(1587,2416)))</f>
        <v>64354387.291061535</v>
      </c>
      <c r="B4073">
        <v>226832847.52827063</v>
      </c>
    </row>
    <row r="4074" spans="1:2" x14ac:dyDescent="0.25">
      <c r="A4074">
        <f ca="1">36888.0598108878*((RANDBETWEEN(1587,2416)))</f>
        <v>67173156.915626645</v>
      </c>
      <c r="B4074">
        <v>225360250.7640357</v>
      </c>
    </row>
    <row r="4075" spans="1:2" x14ac:dyDescent="0.25">
      <c r="A4075">
        <f ca="1">36089.4048646489*((RANDBETWEEN(1587,2416)))</f>
        <v>80443283.443302318</v>
      </c>
      <c r="B4075">
        <v>233203017.83435711</v>
      </c>
    </row>
    <row r="4076" spans="1:2" x14ac:dyDescent="0.25">
      <c r="A4076">
        <f ca="1">35176.994815204*((RANDBETWEEN(1587,2416)))</f>
        <v>64409077.50663846</v>
      </c>
      <c r="B4076">
        <v>228991074.2301949</v>
      </c>
    </row>
    <row r="4077" spans="1:2" x14ac:dyDescent="0.25">
      <c r="A4077">
        <f ca="1">29958.8883069131*((RANDBETWEEN(1587,2416)))</f>
        <v>61505597.694092602</v>
      </c>
      <c r="B4077">
        <v>236329685.19092354</v>
      </c>
    </row>
    <row r="4078" spans="1:2" x14ac:dyDescent="0.25">
      <c r="A4078">
        <f ca="1">39469.9398023363*((RANDBETWEEN(1587,2416)))</f>
        <v>76887442.734951183</v>
      </c>
      <c r="B4078">
        <v>252835645.58322921</v>
      </c>
    </row>
    <row r="4079" spans="1:2" x14ac:dyDescent="0.25">
      <c r="A4079">
        <f ca="1">32627.6104118555*((RANDBETWEEN(1587,2416)))</f>
        <v>78436775.43010062</v>
      </c>
      <c r="B4079">
        <v>257464445.28373623</v>
      </c>
    </row>
    <row r="4080" spans="1:2" x14ac:dyDescent="0.25">
      <c r="A4080">
        <f ca="1">36459.2005500239*((RANDBETWEEN(1587,2416)))</f>
        <v>59173282.492688797</v>
      </c>
      <c r="B4080">
        <v>221490868.76925048</v>
      </c>
    </row>
    <row r="4081" spans="1:2" x14ac:dyDescent="0.25">
      <c r="A4081">
        <f ca="1">34224.5205956252*((RANDBETWEEN(1587,2416)))</f>
        <v>61124993.783786654</v>
      </c>
      <c r="B4081">
        <v>263480885.92461023</v>
      </c>
    </row>
    <row r="4082" spans="1:2" x14ac:dyDescent="0.25">
      <c r="A4082">
        <f ca="1">31427.1253194085*((RANDBETWEEN(1587,2416)))</f>
        <v>56474544.198977098</v>
      </c>
      <c r="B4082">
        <v>231039327.24540764</v>
      </c>
    </row>
    <row r="4083" spans="1:2" x14ac:dyDescent="0.25">
      <c r="A4083">
        <f ca="1">31740.6117173665*((RANDBETWEEN(1587,2416)))</f>
        <v>58529688.006823801</v>
      </c>
      <c r="B4083">
        <v>253096536.82426381</v>
      </c>
    </row>
    <row r="4084" spans="1:2" x14ac:dyDescent="0.25">
      <c r="A4084">
        <f ca="1">31364.072144849*((RANDBETWEEN(1587,2416)))</f>
        <v>53601199.295546949</v>
      </c>
      <c r="B4084">
        <v>266654727.58106834</v>
      </c>
    </row>
    <row r="4085" spans="1:2" x14ac:dyDescent="0.25">
      <c r="A4085">
        <f ca="1">29845.2468991135*((RANDBETWEEN(1587,2416)))</f>
        <v>60973839.414888918</v>
      </c>
      <c r="B4085">
        <v>253850867.63978678</v>
      </c>
    </row>
    <row r="4086" spans="1:2" x14ac:dyDescent="0.25">
      <c r="A4086">
        <f ca="1">42416.0875662809*((RANDBETWEEN(1587,2416)))</f>
        <v>69350303.170869261</v>
      </c>
      <c r="B4086">
        <v>244589078.29084945</v>
      </c>
    </row>
    <row r="4087" spans="1:2" x14ac:dyDescent="0.25">
      <c r="A4087">
        <f ca="1">41495.4768704818*((RANDBETWEEN(1587,2416)))</f>
        <v>89007797.887183547</v>
      </c>
      <c r="B4087">
        <v>227442925.07543087</v>
      </c>
    </row>
    <row r="4088" spans="1:2" x14ac:dyDescent="0.25">
      <c r="A4088">
        <f ca="1">30425.4871035926*((RANDBETWEEN(1587,2416)))</f>
        <v>70374151.670609683</v>
      </c>
      <c r="B4088">
        <v>208007272.42926541</v>
      </c>
    </row>
    <row r="4089" spans="1:2" x14ac:dyDescent="0.25">
      <c r="A4089">
        <f ca="1">33077.113047415*((RANDBETWEEN(1587,2416)))</f>
        <v>78955068.84417972</v>
      </c>
      <c r="B4089">
        <v>243558608.10146192</v>
      </c>
    </row>
    <row r="4090" spans="1:2" x14ac:dyDescent="0.25">
      <c r="A4090">
        <f ca="1">32386.062954512*((RANDBETWEEN(1587,2416)))</f>
        <v>68366978.896974787</v>
      </c>
      <c r="B4090">
        <v>225133863.54897875</v>
      </c>
    </row>
    <row r="4091" spans="1:2" x14ac:dyDescent="0.25">
      <c r="A4091">
        <f ca="1">32358.1133894619*((RANDBETWEEN(1587,2416)))</f>
        <v>55202941.442421988</v>
      </c>
      <c r="B4091">
        <v>249128776.98421311</v>
      </c>
    </row>
    <row r="4092" spans="1:2" x14ac:dyDescent="0.25">
      <c r="A4092">
        <f ca="1">37280.7524756865*((RANDBETWEEN(1587,2416)))</f>
        <v>83024235.763353884</v>
      </c>
      <c r="B4092">
        <v>240252262.52722979</v>
      </c>
    </row>
    <row r="4093" spans="1:2" x14ac:dyDescent="0.25">
      <c r="A4093">
        <f ca="1">35424.4522606927*((RANDBETWEEN(1587,2416)))</f>
        <v>67625279.365662426</v>
      </c>
      <c r="B4093">
        <v>227540303.02852243</v>
      </c>
    </row>
    <row r="4094" spans="1:2" x14ac:dyDescent="0.25">
      <c r="A4094">
        <f ca="1">41672.5577736607*((RANDBETWEEN(1587,2416)))</f>
        <v>93304856.855226323</v>
      </c>
      <c r="B4094">
        <v>229708263.62461954</v>
      </c>
    </row>
    <row r="4095" spans="1:2" x14ac:dyDescent="0.25">
      <c r="A4095">
        <f ca="1">33378.8228580433*((RANDBETWEEN(1587,2416)))</f>
        <v>78707264.299266115</v>
      </c>
      <c r="B4095">
        <v>255848328.52580529</v>
      </c>
    </row>
    <row r="4096" spans="1:2" x14ac:dyDescent="0.25">
      <c r="A4096">
        <f ca="1">39762.3838967442*((RANDBETWEEN(1587,2416)))</f>
        <v>89664175.687158123</v>
      </c>
      <c r="B4096">
        <v>235929511.69679192</v>
      </c>
    </row>
    <row r="4097" spans="1:2" x14ac:dyDescent="0.25">
      <c r="A4097">
        <f ca="1">29352.1327346496*((RANDBETWEEN(1587,2416)))</f>
        <v>53215416.647919744</v>
      </c>
      <c r="B4097">
        <v>217174259.25365353</v>
      </c>
    </row>
    <row r="4098" spans="1:2" x14ac:dyDescent="0.25">
      <c r="A4098">
        <f ca="1">33945.9000755638*((RANDBETWEEN(1587,2416)))</f>
        <v>55026304.022488929</v>
      </c>
      <c r="B4098">
        <v>221903013.07698256</v>
      </c>
    </row>
    <row r="4099" spans="1:2" x14ac:dyDescent="0.25">
      <c r="A4099">
        <f ca="1">30691.9730223296*((RANDBETWEEN(1587,2416)))</f>
        <v>52728809.652362205</v>
      </c>
      <c r="B4099">
        <v>205875292.79693681</v>
      </c>
    </row>
    <row r="4100" spans="1:2" x14ac:dyDescent="0.25">
      <c r="A4100">
        <f ca="1">30350.8318589324*((RANDBETWEEN(1587,2416)))</f>
        <v>55299215.646974824</v>
      </c>
      <c r="B4100">
        <v>235824062.82575372</v>
      </c>
    </row>
    <row r="4101" spans="1:2" x14ac:dyDescent="0.25">
      <c r="A4101">
        <f ca="1">30772.1402052992*((RANDBETWEEN(1587,2416)))</f>
        <v>57082320.080829971</v>
      </c>
      <c r="B4101">
        <v>257542132.12132055</v>
      </c>
    </row>
    <row r="4102" spans="1:2" x14ac:dyDescent="0.25">
      <c r="A4102">
        <f ca="1">40785.415503026*((RANDBETWEEN(1587,2416)))</f>
        <v>98292851.362292603</v>
      </c>
      <c r="B4102">
        <v>267337410.48410547</v>
      </c>
    </row>
    <row r="4103" spans="1:2" x14ac:dyDescent="0.25">
      <c r="A4103">
        <f ca="1">29047.4901206343*((RANDBETWEEN(1587,2416)))</f>
        <v>53970236.644138597</v>
      </c>
      <c r="B4103">
        <v>205364746.69833395</v>
      </c>
    </row>
    <row r="4104" spans="1:2" x14ac:dyDescent="0.25">
      <c r="A4104">
        <f ca="1">32118.8040796716*((RANDBETWEEN(1587,2416)))</f>
        <v>64333964.571582183</v>
      </c>
      <c r="B4104">
        <v>215214600.61100686</v>
      </c>
    </row>
    <row r="4105" spans="1:2" x14ac:dyDescent="0.25">
      <c r="A4105">
        <f ca="1">36040.6032479872*((RANDBETWEEN(1587,2416)))</f>
        <v>77235012.760436505</v>
      </c>
      <c r="B4105">
        <v>248065949.10409144</v>
      </c>
    </row>
    <row r="4106" spans="1:2" x14ac:dyDescent="0.25">
      <c r="A4106">
        <f ca="1">40594.770604685*((RANDBETWEEN(1587,2416)))</f>
        <v>90079795.971795976</v>
      </c>
      <c r="B4106">
        <v>228134635.4479785</v>
      </c>
    </row>
    <row r="4107" spans="1:2" x14ac:dyDescent="0.25">
      <c r="A4107">
        <f ca="1">31959.001625067*((RANDBETWEEN(1587,2416)))</f>
        <v>59763333.038875349</v>
      </c>
      <c r="B4107">
        <v>216902566.80682963</v>
      </c>
    </row>
    <row r="4108" spans="1:2" x14ac:dyDescent="0.25">
      <c r="A4108">
        <f ca="1">28660.5117495666*((RANDBETWEEN(1587,2416)))</f>
        <v>54942201.023919083</v>
      </c>
      <c r="B4108">
        <v>239788375.0145494</v>
      </c>
    </row>
    <row r="4109" spans="1:2" x14ac:dyDescent="0.25">
      <c r="A4109">
        <f ca="1">31875.8869291954*((RANDBETWEEN(1587,2416)))</f>
        <v>74748954.848963186</v>
      </c>
      <c r="B4109">
        <v>207521866.40912914</v>
      </c>
    </row>
    <row r="4110" spans="1:2" x14ac:dyDescent="0.25">
      <c r="A4110">
        <f ca="1">32337.3827700939*((RANDBETWEEN(1587,2416)))</f>
        <v>55005888.091929689</v>
      </c>
      <c r="B4110">
        <v>212802582.33586994</v>
      </c>
    </row>
    <row r="4111" spans="1:2" x14ac:dyDescent="0.25">
      <c r="A4111">
        <f ca="1">36856.8290162376*((RANDBETWEEN(1587,2416)))</f>
        <v>61329763.483019426</v>
      </c>
      <c r="B4111">
        <v>211968576.94577378</v>
      </c>
    </row>
    <row r="4112" spans="1:2" x14ac:dyDescent="0.25">
      <c r="A4112">
        <f ca="1">28476.1213323574*((RANDBETWEEN(1587,2416)))</f>
        <v>58717762.187320903</v>
      </c>
      <c r="B4112">
        <v>214476429.9614771</v>
      </c>
    </row>
    <row r="4113" spans="1:2" x14ac:dyDescent="0.25">
      <c r="A4113">
        <f ca="1">38174.368567055*((RANDBETWEEN(1587,2416)))</f>
        <v>71538766.694660977</v>
      </c>
      <c r="B4113">
        <v>225785614.66704988</v>
      </c>
    </row>
    <row r="4114" spans="1:2" x14ac:dyDescent="0.25">
      <c r="A4114">
        <f ca="1">41055.4888687243*((RANDBETWEEN(1587,2416)))</f>
        <v>83137364.95916678</v>
      </c>
      <c r="B4114">
        <v>256240531.53094089</v>
      </c>
    </row>
    <row r="4115" spans="1:2" x14ac:dyDescent="0.25">
      <c r="A4115">
        <f ca="1">33770.4611893654*((RANDBETWEEN(1587,2416)))</f>
        <v>54134049.286552705</v>
      </c>
      <c r="B4115">
        <v>224912172.41174835</v>
      </c>
    </row>
    <row r="4116" spans="1:2" x14ac:dyDescent="0.25">
      <c r="A4116">
        <f ca="1">41775.0442569149*((RANDBETWEEN(1587,2416)))</f>
        <v>75863480.370557383</v>
      </c>
      <c r="B4116">
        <v>259109252.19860572</v>
      </c>
    </row>
    <row r="4117" spans="1:2" x14ac:dyDescent="0.25">
      <c r="A4117">
        <f ca="1">39005.0631557488*((RANDBETWEEN(1587,2416)))</f>
        <v>79141273.143014267</v>
      </c>
      <c r="B4117">
        <v>205368394.11827037</v>
      </c>
    </row>
    <row r="4118" spans="1:2" x14ac:dyDescent="0.25">
      <c r="A4118">
        <f ca="1">32134.4366100773*((RANDBETWEEN(1587,2416)))</f>
        <v>69860265.19030802</v>
      </c>
      <c r="B4118">
        <v>207911319.25032315</v>
      </c>
    </row>
    <row r="4119" spans="1:2" x14ac:dyDescent="0.25">
      <c r="A4119">
        <f ca="1">41657.611352198*((RANDBETWEEN(1587,2416)))</f>
        <v>71359488.246315122</v>
      </c>
      <c r="B4119">
        <v>210780767.62060475</v>
      </c>
    </row>
    <row r="4120" spans="1:2" x14ac:dyDescent="0.25">
      <c r="A4120">
        <f ca="1">31798.1796626725*((RANDBETWEEN(1587,2416)))</f>
        <v>66172011.878021389</v>
      </c>
      <c r="B4120">
        <v>232196887.05915719</v>
      </c>
    </row>
    <row r="4121" spans="1:2" x14ac:dyDescent="0.25">
      <c r="A4121">
        <f ca="1">40274.599782824*((RANDBETWEEN(1587,2416)))</f>
        <v>77609153.781501904</v>
      </c>
      <c r="B4121">
        <v>259491273.58023989</v>
      </c>
    </row>
    <row r="4122" spans="1:2" x14ac:dyDescent="0.25">
      <c r="A4122">
        <f ca="1">40037.8638570333*((RANDBETWEEN(1587,2416)))</f>
        <v>72948987.947514713</v>
      </c>
      <c r="B4122">
        <v>207144775.8663913</v>
      </c>
    </row>
    <row r="4123" spans="1:2" x14ac:dyDescent="0.25">
      <c r="A4123">
        <f ca="1">33932.8182417796*((RANDBETWEEN(1587,2416)))</f>
        <v>56396343.917837694</v>
      </c>
      <c r="B4123">
        <v>237603534.91664881</v>
      </c>
    </row>
    <row r="4124" spans="1:2" x14ac:dyDescent="0.25">
      <c r="A4124">
        <f ca="1">31047.7159547124*((RANDBETWEEN(1587,2416)))</f>
        <v>74421375.143445686</v>
      </c>
      <c r="B4124">
        <v>206973802.82243574</v>
      </c>
    </row>
    <row r="4125" spans="1:2" x14ac:dyDescent="0.25">
      <c r="A4125">
        <f ca="1">35735.2345735705*((RANDBETWEEN(1587,2416)))</f>
        <v>77831340.901236445</v>
      </c>
      <c r="B4125">
        <v>207117472.30784458</v>
      </c>
    </row>
    <row r="4126" spans="1:2" x14ac:dyDescent="0.25">
      <c r="A4126">
        <f ca="1">32429.2588747797*((RANDBETWEEN(1587,2416)))</f>
        <v>76792485.015478358</v>
      </c>
      <c r="B4126">
        <v>222083758.60038599</v>
      </c>
    </row>
    <row r="4127" spans="1:2" x14ac:dyDescent="0.25">
      <c r="A4127">
        <f ca="1">37074.1695918647*((RANDBETWEEN(1587,2416)))</f>
        <v>64286610.072293371</v>
      </c>
      <c r="B4127">
        <v>236808136.7509411</v>
      </c>
    </row>
    <row r="4128" spans="1:2" x14ac:dyDescent="0.25">
      <c r="A4128">
        <f ca="1">30896.3385967756*((RANDBETWEEN(1587,2416)))</f>
        <v>59691726.168970436</v>
      </c>
      <c r="B4128">
        <v>240231979.99882665</v>
      </c>
    </row>
    <row r="4129" spans="1:2" x14ac:dyDescent="0.25">
      <c r="A4129">
        <f ca="1">30981.5506359097*((RANDBETWEEN(1587,2416)))</f>
        <v>68097448.297729477</v>
      </c>
      <c r="B4129">
        <v>234370932.58481371</v>
      </c>
    </row>
    <row r="4130" spans="1:2" x14ac:dyDescent="0.25">
      <c r="A4130">
        <f ca="1">30620.6480205823*((RANDBETWEEN(1587,2416)))</f>
        <v>66354944.260601848</v>
      </c>
      <c r="B4130">
        <v>224458211.18350253</v>
      </c>
    </row>
    <row r="4131" spans="1:2" x14ac:dyDescent="0.25">
      <c r="A4131">
        <f ca="1">35881.4417015186*((RANDBETWEEN(1587,2416)))</f>
        <v>69502352.575841546</v>
      </c>
      <c r="B4131">
        <v>211547788.52823913</v>
      </c>
    </row>
    <row r="4132" spans="1:2" x14ac:dyDescent="0.25">
      <c r="A4132">
        <f ca="1">39821.6627525392*((RANDBETWEEN(1587,2416)))</f>
        <v>69090584.875655442</v>
      </c>
      <c r="B4132">
        <v>210425589.32999873</v>
      </c>
    </row>
    <row r="4133" spans="1:2" x14ac:dyDescent="0.25">
      <c r="A4133">
        <f ca="1">39337.5758309754*((RANDBETWEEN(1587,2416)))</f>
        <v>92364628.05113031</v>
      </c>
      <c r="B4133">
        <v>204843486.19966203</v>
      </c>
    </row>
    <row r="4134" spans="1:2" x14ac:dyDescent="0.25">
      <c r="A4134">
        <f ca="1">31678.325472494*((RANDBETWEEN(1587,2416)))</f>
        <v>72986861.888626218</v>
      </c>
      <c r="B4134">
        <v>250727366.04647478</v>
      </c>
    </row>
    <row r="4135" spans="1:2" x14ac:dyDescent="0.25">
      <c r="A4135">
        <f ca="1">39092.3790249712*((RANDBETWEEN(1587,2416)))</f>
        <v>66535229.100500964</v>
      </c>
      <c r="B4135">
        <v>257172635.72456729</v>
      </c>
    </row>
    <row r="4136" spans="1:2" x14ac:dyDescent="0.25">
      <c r="A4136">
        <f ca="1">38604.1408273551*((RANDBETWEEN(1587,2416)))</f>
        <v>67518642.307043999</v>
      </c>
      <c r="B4136">
        <v>210232534.48764798</v>
      </c>
    </row>
    <row r="4137" spans="1:2" x14ac:dyDescent="0.25">
      <c r="A4137">
        <f ca="1">30788.8161105728*((RANDBETWEEN(1587,2416)))</f>
        <v>67427507.2821545</v>
      </c>
      <c r="B4137">
        <v>212648994.6143705</v>
      </c>
    </row>
    <row r="4138" spans="1:2" x14ac:dyDescent="0.25">
      <c r="A4138">
        <f ca="1">31109.5439050676*((RANDBETWEEN(1587,2416)))</f>
        <v>61752444.6515591</v>
      </c>
      <c r="B4138">
        <v>214855656.53843191</v>
      </c>
    </row>
    <row r="4139" spans="1:2" x14ac:dyDescent="0.25">
      <c r="A4139">
        <f ca="1">33995.8017285741*((RANDBETWEEN(1587,2416)))</f>
        <v>63504157.628976502</v>
      </c>
      <c r="B4139">
        <v>206923099.8473213</v>
      </c>
    </row>
    <row r="4140" spans="1:2" x14ac:dyDescent="0.25">
      <c r="A4140">
        <f ca="1">41512.5877195745*((RANDBETWEEN(1587,2416)))</f>
        <v>97056430.088365197</v>
      </c>
      <c r="B4140">
        <v>264377900.06177479</v>
      </c>
    </row>
    <row r="4141" spans="1:2" x14ac:dyDescent="0.25">
      <c r="A4141">
        <f ca="1">37366.1785261295*((RANDBETWEEN(1587,2416)))</f>
        <v>73798202.5891058</v>
      </c>
      <c r="B4141">
        <v>260555440.97234148</v>
      </c>
    </row>
    <row r="4142" spans="1:2" x14ac:dyDescent="0.25">
      <c r="A4142">
        <f ca="1">31955.8184867323*((RANDBETWEEN(1587,2416)))</f>
        <v>75383775.810201541</v>
      </c>
      <c r="B4142">
        <v>226568357.6917274</v>
      </c>
    </row>
    <row r="4143" spans="1:2" x14ac:dyDescent="0.25">
      <c r="A4143">
        <f ca="1">38201.281330008*((RANDBETWEEN(1587,2416)))</f>
        <v>89123589.342908755</v>
      </c>
      <c r="B4143">
        <v>230222275.74956417</v>
      </c>
    </row>
    <row r="4144" spans="1:2" x14ac:dyDescent="0.25">
      <c r="A4144">
        <f ca="1">34898.325481197*((RANDBETWEEN(1587,2416)))</f>
        <v>83023116.319767758</v>
      </c>
      <c r="B4144">
        <v>209665417.2985912</v>
      </c>
    </row>
    <row r="4145" spans="1:2" x14ac:dyDescent="0.25">
      <c r="A4145">
        <f ca="1">33435.8425838858*((RANDBETWEEN(1587,2416)))</f>
        <v>68409733.926630259</v>
      </c>
      <c r="B4145">
        <v>212128506.46486631</v>
      </c>
    </row>
    <row r="4146" spans="1:2" x14ac:dyDescent="0.25">
      <c r="A4146">
        <f ca="1">30591.4414537338*((RANDBETWEEN(1587,2416)))</f>
        <v>55125777.499628231</v>
      </c>
      <c r="B4146">
        <v>258207864.8638607</v>
      </c>
    </row>
    <row r="4147" spans="1:2" x14ac:dyDescent="0.25">
      <c r="A4147">
        <f ca="1">35262.3667642092*((RANDBETWEEN(1587,2416)))</f>
        <v>60016548.232684016</v>
      </c>
      <c r="B4147">
        <v>250463824.38657242</v>
      </c>
    </row>
    <row r="4148" spans="1:2" x14ac:dyDescent="0.25">
      <c r="A4148">
        <f ca="1">32058.1252590983*((RANDBETWEEN(1587,2416)))</f>
        <v>69085259.933356851</v>
      </c>
      <c r="B4148">
        <v>207672765.34755689</v>
      </c>
    </row>
    <row r="4149" spans="1:2" x14ac:dyDescent="0.25">
      <c r="A4149">
        <f ca="1">32343.2044368977*((RANDBETWEEN(1587,2416)))</f>
        <v>52428334.392211154</v>
      </c>
      <c r="B4149">
        <v>262589043.04784569</v>
      </c>
    </row>
    <row r="4150" spans="1:2" x14ac:dyDescent="0.25">
      <c r="A4150">
        <f ca="1">42300.7667323782*((RANDBETWEEN(1587,2416)))</f>
        <v>76606688.552336976</v>
      </c>
      <c r="B4150">
        <v>254594386.6910404</v>
      </c>
    </row>
    <row r="4151" spans="1:2" x14ac:dyDescent="0.25">
      <c r="A4151">
        <f ca="1">38278.4455023576*((RANDBETWEEN(1587,2416)))</f>
        <v>65456141.809031464</v>
      </c>
      <c r="B4151">
        <v>215256963.91981754</v>
      </c>
    </row>
    <row r="4152" spans="1:2" x14ac:dyDescent="0.25">
      <c r="A4152">
        <f ca="1">27941.914178642*((RANDBETWEEN(1587,2416)))</f>
        <v>53564649.480456755</v>
      </c>
      <c r="B4152">
        <v>219114905.06283051</v>
      </c>
    </row>
    <row r="4153" spans="1:2" x14ac:dyDescent="0.25">
      <c r="A4153">
        <f ca="1">31824.8057037378*((RANDBETWEEN(1587,2416)))</f>
        <v>67755011.343257844</v>
      </c>
      <c r="B4153">
        <v>207942230.57078627</v>
      </c>
    </row>
    <row r="4154" spans="1:2" x14ac:dyDescent="0.25">
      <c r="A4154">
        <f ca="1">40706.9240372252*((RANDBETWEEN(1587,2416)))</f>
        <v>96190461.499963224</v>
      </c>
      <c r="B4154">
        <v>252417972.78954655</v>
      </c>
    </row>
    <row r="4155" spans="1:2" x14ac:dyDescent="0.25">
      <c r="A4155">
        <f ca="1">31696.6221981965*((RANDBETWEEN(1587,2416)))</f>
        <v>73758039.855203331</v>
      </c>
      <c r="B4155">
        <v>234362297.04779175</v>
      </c>
    </row>
    <row r="4156" spans="1:2" x14ac:dyDescent="0.25">
      <c r="A4156">
        <f ca="1">31132.8993988734*((RANDBETWEEN(1587,2416)))</f>
        <v>74220832.166914254</v>
      </c>
      <c r="B4156">
        <v>249799537.54814991</v>
      </c>
    </row>
    <row r="4157" spans="1:2" x14ac:dyDescent="0.25">
      <c r="A4157">
        <f ca="1">41146.7886432804*((RANDBETWEEN(1587,2416)))</f>
        <v>95872017.538843319</v>
      </c>
      <c r="B4157">
        <v>252438805.20216364</v>
      </c>
    </row>
    <row r="4158" spans="1:2" x14ac:dyDescent="0.25">
      <c r="A4158">
        <f ca="1">32000.4796781083*((RANDBETWEEN(1587,2416)))</f>
        <v>60032899.876131162</v>
      </c>
      <c r="B4158">
        <v>215141386.08603552</v>
      </c>
    </row>
    <row r="4159" spans="1:2" x14ac:dyDescent="0.25">
      <c r="A4159">
        <f ca="1">34111.911267427*((RANDBETWEEN(1587,2416)))</f>
        <v>61571999.837705709</v>
      </c>
      <c r="B4159">
        <v>253713237.33957189</v>
      </c>
    </row>
    <row r="4160" spans="1:2" x14ac:dyDescent="0.25">
      <c r="A4160">
        <f ca="1">36746.2001785936*((RANDBETWEEN(1587,2416)))</f>
        <v>81319340.995227635</v>
      </c>
      <c r="B4160">
        <v>213881364.18305475</v>
      </c>
    </row>
    <row r="4161" spans="1:2" x14ac:dyDescent="0.25">
      <c r="A4161">
        <f ca="1">36369.8390557296*((RANDBETWEEN(1587,2416)))</f>
        <v>65029272.231644593</v>
      </c>
      <c r="B4161">
        <v>253454205.38805595</v>
      </c>
    </row>
    <row r="4162" spans="1:2" x14ac:dyDescent="0.25">
      <c r="A4162">
        <f ca="1">30932.6504218211*((RANDBETWEEN(1587,2416)))</f>
        <v>54070272.93734324</v>
      </c>
      <c r="B4162">
        <v>244907874.44043243</v>
      </c>
    </row>
    <row r="4163" spans="1:2" x14ac:dyDescent="0.25">
      <c r="A4163">
        <f ca="1">33183.606211176*((RANDBETWEEN(1587,2416)))</f>
        <v>71311569.747817233</v>
      </c>
      <c r="B4163">
        <v>257355533.86521894</v>
      </c>
    </row>
    <row r="4164" spans="1:2" x14ac:dyDescent="0.25">
      <c r="A4164">
        <f ca="1">40796.4701840579*((RANDBETWEEN(1587,2416)))</f>
        <v>82776038.003453508</v>
      </c>
      <c r="B4164">
        <v>238148650.38204554</v>
      </c>
    </row>
    <row r="4165" spans="1:2" x14ac:dyDescent="0.25">
      <c r="A4165">
        <f ca="1">31263.5796018975*((RANDBETWEEN(1587,2416)))</f>
        <v>59901018.517235629</v>
      </c>
      <c r="B4165">
        <v>264563713.97194713</v>
      </c>
    </row>
    <row r="4166" spans="1:2" x14ac:dyDescent="0.25">
      <c r="A4166">
        <f ca="1">30857.6504700667*((RANDBETWEEN(1587,2416)))</f>
        <v>59832984.261459291</v>
      </c>
      <c r="B4166">
        <v>213404378.20355198</v>
      </c>
    </row>
    <row r="4167" spans="1:2" x14ac:dyDescent="0.25">
      <c r="A4167">
        <f ca="1">39672.0225975462*((RANDBETWEEN(1587,2416)))</f>
        <v>74702418.551179528</v>
      </c>
      <c r="B4167">
        <v>229114596.98650861</v>
      </c>
    </row>
    <row r="4168" spans="1:2" x14ac:dyDescent="0.25">
      <c r="A4168">
        <f ca="1">31916.3365528629*((RANDBETWEEN(1587,2416)))</f>
        <v>54959931.544029862</v>
      </c>
      <c r="B4168">
        <v>254761222.45172828</v>
      </c>
    </row>
    <row r="4169" spans="1:2" x14ac:dyDescent="0.25">
      <c r="A4169">
        <f ca="1">31479.5083387963*((RANDBETWEEN(1587,2416)))</f>
        <v>50713487.933800764</v>
      </c>
      <c r="B4169">
        <v>208273634.99419495</v>
      </c>
    </row>
    <row r="4170" spans="1:2" x14ac:dyDescent="0.25">
      <c r="A4170">
        <f ca="1">32266.7545354645*((RANDBETWEEN(1587,2416)))</f>
        <v>60919632.562956892</v>
      </c>
      <c r="B4170">
        <v>224366020.00345185</v>
      </c>
    </row>
    <row r="4171" spans="1:2" x14ac:dyDescent="0.25">
      <c r="A4171">
        <f ca="1">31252.5620198986*((RANDBETWEEN(1587,2416)))</f>
        <v>51691737.580912217</v>
      </c>
      <c r="B4171">
        <v>267172543.03671858</v>
      </c>
    </row>
    <row r="4172" spans="1:2" x14ac:dyDescent="0.25">
      <c r="A4172">
        <f ca="1">38133.3026653949*((RANDBETWEEN(1587,2416)))</f>
        <v>76037805.514797553</v>
      </c>
      <c r="B4172">
        <v>239314609.94349238</v>
      </c>
    </row>
    <row r="4173" spans="1:2" x14ac:dyDescent="0.25">
      <c r="A4173">
        <f ca="1">32191.3614752668*((RANDBETWEEN(1587,2416)))</f>
        <v>74040131.393113583</v>
      </c>
      <c r="B4173">
        <v>258400324.09597841</v>
      </c>
    </row>
    <row r="4174" spans="1:2" x14ac:dyDescent="0.25">
      <c r="A4174">
        <f ca="1">31438.8100456381*((RANDBETWEEN(1587,2416)))</f>
        <v>54640651.859318934</v>
      </c>
      <c r="B4174">
        <v>212703936.41507664</v>
      </c>
    </row>
    <row r="4175" spans="1:2" x14ac:dyDescent="0.25">
      <c r="A4175">
        <f ca="1">34042.3264345084*((RANDBETWEEN(1587,2416)))</f>
        <v>72510155.305502877</v>
      </c>
      <c r="B4175">
        <v>225883738.40289429</v>
      </c>
    </row>
    <row r="4176" spans="1:2" x14ac:dyDescent="0.25">
      <c r="A4176">
        <f ca="1">35810.5701005782*((RANDBETWEEN(1587,2416)))</f>
        <v>71155602.789848953</v>
      </c>
      <c r="B4176">
        <v>230938132.7368077</v>
      </c>
    </row>
    <row r="4177" spans="1:2" x14ac:dyDescent="0.25">
      <c r="A4177">
        <f ca="1">39184.1383987732*((RANDBETWEEN(1587,2416)))</f>
        <v>69512661.519423589</v>
      </c>
      <c r="B4177">
        <v>242941354.12727615</v>
      </c>
    </row>
    <row r="4178" spans="1:2" x14ac:dyDescent="0.25">
      <c r="A4178">
        <f ca="1">40592.5505458056*((RANDBETWEEN(1587,2416)))</f>
        <v>96447900.096834168</v>
      </c>
      <c r="B4178">
        <v>223155217.04613352</v>
      </c>
    </row>
    <row r="4179" spans="1:2" x14ac:dyDescent="0.25">
      <c r="A4179">
        <f ca="1">32470.9212956772*((RANDBETWEEN(1587,2416)))</f>
        <v>72734863.70231688</v>
      </c>
      <c r="B4179">
        <v>233779732.65153909</v>
      </c>
    </row>
    <row r="4180" spans="1:2" x14ac:dyDescent="0.25">
      <c r="A4180">
        <f ca="1">30685.8335576389*((RANDBETWEEN(1587,2416)))</f>
        <v>70516045.515454277</v>
      </c>
      <c r="B4180">
        <v>258544547.82577923</v>
      </c>
    </row>
    <row r="4181" spans="1:2" x14ac:dyDescent="0.25">
      <c r="A4181">
        <f ca="1">32250.1558701031*((RANDBETWEEN(1587,2416)))</f>
        <v>69047583.71789068</v>
      </c>
      <c r="B4181">
        <v>263066008.21717513</v>
      </c>
    </row>
    <row r="4182" spans="1:2" x14ac:dyDescent="0.25">
      <c r="A4182">
        <f ca="1">31190.5327145012*((RANDBETWEEN(1587,2416)))</f>
        <v>73141799.215505287</v>
      </c>
      <c r="B4182">
        <v>224336706.37565026</v>
      </c>
    </row>
    <row r="4183" spans="1:2" x14ac:dyDescent="0.25">
      <c r="A4183">
        <f ca="1">32156.8848869956*((RANDBETWEEN(1587,2416)))</f>
        <v>59683178.350263834</v>
      </c>
      <c r="B4183">
        <v>231138598.86318809</v>
      </c>
    </row>
    <row r="4184" spans="1:2" x14ac:dyDescent="0.25">
      <c r="A4184">
        <f ca="1">33396.6611114963*((RANDBETWEEN(1587,2416)))</f>
        <v>65657835.745201714</v>
      </c>
      <c r="B4184">
        <v>204536841.3322587</v>
      </c>
    </row>
    <row r="4185" spans="1:2" x14ac:dyDescent="0.25">
      <c r="A4185">
        <f ca="1">31738.5751022854*((RANDBETWEEN(1587,2416)))</f>
        <v>65381464.710708022</v>
      </c>
      <c r="B4185">
        <v>253777998.87412086</v>
      </c>
    </row>
    <row r="4186" spans="1:2" x14ac:dyDescent="0.25">
      <c r="A4186">
        <f ca="1">37225.3964069424*((RANDBETWEEN(1587,2416)))</f>
        <v>69872069.055830941</v>
      </c>
      <c r="B4186">
        <v>231115454.0148488</v>
      </c>
    </row>
    <row r="4187" spans="1:2" x14ac:dyDescent="0.25">
      <c r="A4187">
        <f ca="1">32724.1682333914*((RANDBETWEEN(1587,2416)))</f>
        <v>78341658.750738978</v>
      </c>
      <c r="B4187">
        <v>217959757.98512334</v>
      </c>
    </row>
    <row r="4188" spans="1:2" x14ac:dyDescent="0.25">
      <c r="A4188">
        <f ca="1">31521.6902398576*((RANDBETWEEN(1587,2416)))</f>
        <v>57211867.785341568</v>
      </c>
      <c r="B4188">
        <v>264024140.1487067</v>
      </c>
    </row>
    <row r="4189" spans="1:2" x14ac:dyDescent="0.25">
      <c r="A4189">
        <f ca="1">32031.6430611533*((RANDBETWEEN(1587,2416)))</f>
        <v>53204559.124575607</v>
      </c>
      <c r="B4189">
        <v>212413325.86101788</v>
      </c>
    </row>
    <row r="4190" spans="1:2" x14ac:dyDescent="0.25">
      <c r="A4190">
        <f ca="1">36015.5619598796*((RANDBETWEEN(1587,2416)))</f>
        <v>62018797.694912665</v>
      </c>
      <c r="B4190">
        <v>264955693.81541109</v>
      </c>
    </row>
    <row r="4191" spans="1:2" x14ac:dyDescent="0.25">
      <c r="A4191">
        <f ca="1">30307.2079633668*((RANDBETWEEN(1587,2416)))</f>
        <v>58492911.369297974</v>
      </c>
      <c r="B4191">
        <v>229435044.22235435</v>
      </c>
    </row>
    <row r="4192" spans="1:2" x14ac:dyDescent="0.25">
      <c r="A4192">
        <f ca="1">39049.9459406509*((RANDBETWEEN(1587,2416)))</f>
        <v>75249245.82763429</v>
      </c>
      <c r="B4192">
        <v>226590641.82978517</v>
      </c>
    </row>
    <row r="4193" spans="1:2" x14ac:dyDescent="0.25">
      <c r="A4193">
        <f ca="1">31863.6617487141*((RANDBETWEEN(1587,2416)))</f>
        <v>52543178.223629549</v>
      </c>
      <c r="B4193">
        <v>225952965.61588231</v>
      </c>
    </row>
    <row r="4194" spans="1:2" x14ac:dyDescent="0.25">
      <c r="A4194">
        <f ca="1">33483.5479920552*((RANDBETWEEN(1587,2416)))</f>
        <v>71922661.086934611</v>
      </c>
      <c r="B4194">
        <v>213177577.72368109</v>
      </c>
    </row>
    <row r="4195" spans="1:2" x14ac:dyDescent="0.25">
      <c r="A4195">
        <f ca="1">34160.7303041409*((RANDBETWEEN(1587,2416)))</f>
        <v>59200545.617076233</v>
      </c>
      <c r="B4195">
        <v>215524070.47462013</v>
      </c>
    </row>
    <row r="4196" spans="1:2" x14ac:dyDescent="0.25">
      <c r="A4196">
        <f ca="1">35106.8045577638*((RANDBETWEEN(1587,2416)))</f>
        <v>67369957.946348697</v>
      </c>
      <c r="B4196">
        <v>258163868.01737303</v>
      </c>
    </row>
    <row r="4197" spans="1:2" x14ac:dyDescent="0.25">
      <c r="A4197">
        <f ca="1">40729.6856564861*((RANDBETWEEN(1587,2416)))</f>
        <v>91275225.556185439</v>
      </c>
      <c r="B4197">
        <v>241325038.21313313</v>
      </c>
    </row>
    <row r="4198" spans="1:2" x14ac:dyDescent="0.25">
      <c r="A4198">
        <f ca="1">32701.3506650836*((RANDBETWEEN(1587,2416)))</f>
        <v>52224057.012138464</v>
      </c>
      <c r="B4198">
        <v>228259732.33696273</v>
      </c>
    </row>
    <row r="4199" spans="1:2" x14ac:dyDescent="0.25">
      <c r="A4199">
        <f ca="1">27268.5874425697*((RANDBETWEEN(1587,2416)))</f>
        <v>60590801.297389776</v>
      </c>
      <c r="B4199">
        <v>231624086.66541418</v>
      </c>
    </row>
    <row r="4200" spans="1:2" x14ac:dyDescent="0.25">
      <c r="A4200">
        <f ca="1">37511.1374764678*((RANDBETWEEN(1587,2416)))</f>
        <v>89614107.431281656</v>
      </c>
      <c r="B4200">
        <v>243227579.79771578</v>
      </c>
    </row>
    <row r="4201" spans="1:2" x14ac:dyDescent="0.25">
      <c r="A4201">
        <f ca="1">39313.9276687559*((RANDBETWEEN(1587,2416)))</f>
        <v>83031015.236412421</v>
      </c>
      <c r="B4201">
        <v>250585249.99012405</v>
      </c>
    </row>
    <row r="4202" spans="1:2" x14ac:dyDescent="0.25">
      <c r="A4202">
        <f ca="1">30624.5731039925*((RANDBETWEEN(1587,2416)))</f>
        <v>64740347.541840129</v>
      </c>
      <c r="B4202">
        <v>227159307.26862547</v>
      </c>
    </row>
    <row r="4203" spans="1:2" x14ac:dyDescent="0.25">
      <c r="A4203">
        <f ca="1">30068.3481357492*((RANDBETWEEN(1587,2416)))</f>
        <v>55025077.08842098</v>
      </c>
      <c r="B4203">
        <v>233764645.21457809</v>
      </c>
    </row>
    <row r="4204" spans="1:2" x14ac:dyDescent="0.25">
      <c r="A4204">
        <f ca="1">32930.0130957509*((RANDBETWEEN(1587,2416)))</f>
        <v>65333145.981969759</v>
      </c>
      <c r="B4204">
        <v>265209350.74511951</v>
      </c>
    </row>
    <row r="4205" spans="1:2" x14ac:dyDescent="0.25">
      <c r="A4205">
        <f ca="1">30176.9806097673*((RANDBETWEEN(1587,2416)))</f>
        <v>58995997.092095159</v>
      </c>
      <c r="B4205">
        <v>223616392.12219062</v>
      </c>
    </row>
    <row r="4206" spans="1:2" x14ac:dyDescent="0.25">
      <c r="A4206">
        <f ca="1">35468.6737932972*((RANDBETWEEN(1587,2416)))</f>
        <v>80833107.574924454</v>
      </c>
      <c r="B4206">
        <v>211023449.58817202</v>
      </c>
    </row>
    <row r="4207" spans="1:2" x14ac:dyDescent="0.25">
      <c r="A4207">
        <f ca="1">33326.8731285726*((RANDBETWEEN(1587,2416)))</f>
        <v>59088546.056959234</v>
      </c>
      <c r="B4207">
        <v>247608894.8386887</v>
      </c>
    </row>
    <row r="4208" spans="1:2" x14ac:dyDescent="0.25">
      <c r="A4208">
        <f ca="1">34432.5585647571*((RANDBETWEEN(1587,2416)))</f>
        <v>70035824.120715886</v>
      </c>
      <c r="B4208">
        <v>254630251.30743539</v>
      </c>
    </row>
    <row r="4209" spans="1:2" x14ac:dyDescent="0.25">
      <c r="A4209">
        <f ca="1">33329.8960908937*((RANDBETWEEN(1587,2416)))</f>
        <v>66093183.94824221</v>
      </c>
      <c r="B4209">
        <v>212156344.55702335</v>
      </c>
    </row>
    <row r="4210" spans="1:2" x14ac:dyDescent="0.25">
      <c r="A4210">
        <f ca="1">34076.9542187126*((RANDBETWEEN(1587,2416)))</f>
        <v>73095066.799138635</v>
      </c>
      <c r="B4210">
        <v>220787263.75435326</v>
      </c>
    </row>
    <row r="4211" spans="1:2" x14ac:dyDescent="0.25">
      <c r="A4211">
        <f ca="1">36614.738131772*((RANDBETWEEN(1587,2416)))</f>
        <v>72607025.715303838</v>
      </c>
      <c r="B4211">
        <v>212294499.84606344</v>
      </c>
    </row>
    <row r="4212" spans="1:2" x14ac:dyDescent="0.25">
      <c r="A4212">
        <f ca="1">39763.5222212325*((RANDBETWEEN(1587,2416)))</f>
        <v>71335758.864891157</v>
      </c>
      <c r="B4212">
        <v>211053077.87842545</v>
      </c>
    </row>
    <row r="4213" spans="1:2" x14ac:dyDescent="0.25">
      <c r="A4213">
        <f ca="1">36613.6884867324*((RANDBETWEEN(1587,2416)))</f>
        <v>62829089.443232834</v>
      </c>
      <c r="B4213">
        <v>265050011.37624907</v>
      </c>
    </row>
    <row r="4214" spans="1:2" x14ac:dyDescent="0.25">
      <c r="A4214">
        <f ca="1">33193.3602686126*((RANDBETWEEN(1587,2416)))</f>
        <v>78369523.594194248</v>
      </c>
      <c r="B4214">
        <v>267650962.50956157</v>
      </c>
    </row>
    <row r="4215" spans="1:2" x14ac:dyDescent="0.25">
      <c r="A4215">
        <f ca="1">33533.5879219634*((RANDBETWEEN(1587,2416)))</f>
        <v>62607208.650305748</v>
      </c>
      <c r="B4215">
        <v>240736313.86988181</v>
      </c>
    </row>
    <row r="4216" spans="1:2" x14ac:dyDescent="0.25">
      <c r="A4216">
        <f ca="1">30039.9373490772*((RANDBETWEEN(1587,2416)))</f>
        <v>56264802.6548215</v>
      </c>
      <c r="B4216">
        <v>205387567.05665639</v>
      </c>
    </row>
    <row r="4217" spans="1:2" x14ac:dyDescent="0.25">
      <c r="A4217">
        <f ca="1">37291.1426295469*((RANDBETWEEN(1587,2416)))</f>
        <v>85695045.762698859</v>
      </c>
      <c r="B4217">
        <v>244521707.15857479</v>
      </c>
    </row>
    <row r="4218" spans="1:2" x14ac:dyDescent="0.25">
      <c r="A4218">
        <f ca="1">32590.4680325888*((RANDBETWEEN(1587,2416)))</f>
        <v>77141637.83313778</v>
      </c>
      <c r="B4218">
        <v>222037274.77008411</v>
      </c>
    </row>
    <row r="4219" spans="1:2" x14ac:dyDescent="0.25">
      <c r="A4219">
        <f ca="1">37209.3646513086*((RANDBETWEEN(1587,2416)))</f>
        <v>68390812.229105204</v>
      </c>
      <c r="B4219">
        <v>228323620.22122574</v>
      </c>
    </row>
    <row r="4220" spans="1:2" x14ac:dyDescent="0.25">
      <c r="A4220">
        <f ca="1">40228.8322655921*((RANDBETWEEN(1587,2416)))</f>
        <v>93451577.352970496</v>
      </c>
      <c r="B4220">
        <v>207442651.4073295</v>
      </c>
    </row>
    <row r="4221" spans="1:2" x14ac:dyDescent="0.25">
      <c r="A4221">
        <f ca="1">37295.8049983873*((RANDBETWEEN(1587,2416)))</f>
        <v>76866654.10167627</v>
      </c>
      <c r="B4221">
        <v>241966739.81813613</v>
      </c>
    </row>
    <row r="4222" spans="1:2" x14ac:dyDescent="0.25">
      <c r="A4222">
        <f ca="1">29126.4267448599*((RANDBETWEEN(1587,2416)))</f>
        <v>54204280.172184326</v>
      </c>
      <c r="B4222">
        <v>237694829.01789266</v>
      </c>
    </row>
    <row r="4223" spans="1:2" x14ac:dyDescent="0.25">
      <c r="A4223">
        <f ca="1">29786.7314430924*((RANDBETWEEN(1587,2416)))</f>
        <v>51977846.368196189</v>
      </c>
      <c r="B4223">
        <v>264381721.86119619</v>
      </c>
    </row>
    <row r="4224" spans="1:2" x14ac:dyDescent="0.25">
      <c r="A4224">
        <f ca="1">32572.652735614*((RANDBETWEEN(1587,2416)))</f>
        <v>54852347.206773974</v>
      </c>
      <c r="B4224">
        <v>256390301.65699902</v>
      </c>
    </row>
    <row r="4225" spans="1:2" x14ac:dyDescent="0.25">
      <c r="A4225">
        <f ca="1">40490.467457066*((RANDBETWEEN(1587,2416)))</f>
        <v>71425184.594264507</v>
      </c>
      <c r="B4225">
        <v>208686143.15213558</v>
      </c>
    </row>
    <row r="4226" spans="1:2" x14ac:dyDescent="0.25">
      <c r="A4226">
        <f ca="1">30321.393344274*((RANDBETWEEN(1587,2416)))</f>
        <v>68647634.531436354</v>
      </c>
      <c r="B4226">
        <v>256269059.30678913</v>
      </c>
    </row>
    <row r="4227" spans="1:2" x14ac:dyDescent="0.25">
      <c r="A4227">
        <f ca="1">35844.3392927873*((RANDBETWEEN(1587,2416)))</f>
        <v>76420131.372222602</v>
      </c>
      <c r="B4227">
        <v>260903390.04185653</v>
      </c>
    </row>
    <row r="4228" spans="1:2" x14ac:dyDescent="0.25">
      <c r="A4228">
        <f ca="1">32859.3261414252*((RANDBETWEEN(1587,2416)))</f>
        <v>62367001.016425118</v>
      </c>
      <c r="B4228">
        <v>247413979.50475803</v>
      </c>
    </row>
    <row r="4229" spans="1:2" x14ac:dyDescent="0.25">
      <c r="A4229">
        <f ca="1">38483.4482543598*((RANDBETWEEN(1587,2416)))</f>
        <v>83432115.815451965</v>
      </c>
      <c r="B4229">
        <v>233086924.13174507</v>
      </c>
    </row>
    <row r="4230" spans="1:2" x14ac:dyDescent="0.25">
      <c r="A4230">
        <f ca="1">37824.296633284*((RANDBETWEEN(1587,2416)))</f>
        <v>64528250.056382582</v>
      </c>
      <c r="B4230">
        <v>240491809.70502388</v>
      </c>
    </row>
    <row r="4231" spans="1:2" x14ac:dyDescent="0.25">
      <c r="A4231">
        <f ca="1">37157.1952442798*((RANDBETWEEN(1587,2416)))</f>
        <v>59340040.805114768</v>
      </c>
      <c r="B4231">
        <v>248834782.5439803</v>
      </c>
    </row>
    <row r="4232" spans="1:2" x14ac:dyDescent="0.25">
      <c r="A4232">
        <f ca="1">32767.3499987082*((RANDBETWEEN(1587,2416)))</f>
        <v>69237410.547270522</v>
      </c>
      <c r="B4232">
        <v>249438382.73219749</v>
      </c>
    </row>
    <row r="4233" spans="1:2" x14ac:dyDescent="0.25">
      <c r="A4233">
        <f ca="1">32900.4472509109*((RANDBETWEEN(1587,2416)))</f>
        <v>57740284.925348684</v>
      </c>
      <c r="B4233">
        <v>261948879.14294744</v>
      </c>
    </row>
    <row r="4234" spans="1:2" x14ac:dyDescent="0.25">
      <c r="A4234">
        <f ca="1">34016.0170708021*((RANDBETWEEN(1587,2416)))</f>
        <v>81774505.038208157</v>
      </c>
      <c r="B4234">
        <v>257442586.32820451</v>
      </c>
    </row>
    <row r="4235" spans="1:2" x14ac:dyDescent="0.25">
      <c r="A4235">
        <f ca="1">35159.9565940545*((RANDBETWEEN(1587,2416)))</f>
        <v>74750067.718959868</v>
      </c>
      <c r="B4235">
        <v>237867899.8315334</v>
      </c>
    </row>
    <row r="4236" spans="1:2" x14ac:dyDescent="0.25">
      <c r="A4236">
        <f ca="1">32884.0398735002*((RANDBETWEEN(1587,2416)))</f>
        <v>66820369.022952363</v>
      </c>
      <c r="B4236">
        <v>209699879.76618439</v>
      </c>
    </row>
    <row r="4237" spans="1:2" x14ac:dyDescent="0.25">
      <c r="A4237">
        <f ca="1">32935.5024551315*((RANDBETWEEN(1587,2416)))</f>
        <v>68044748.072301701</v>
      </c>
      <c r="B4237">
        <v>250044894.8577196</v>
      </c>
    </row>
    <row r="4238" spans="1:2" x14ac:dyDescent="0.25">
      <c r="A4238">
        <f ca="1">33815.7872073387*((RANDBETWEEN(1587,2416)))</f>
        <v>56776706.721121602</v>
      </c>
      <c r="B4238">
        <v>213678225.93898249</v>
      </c>
    </row>
    <row r="4239" spans="1:2" x14ac:dyDescent="0.25">
      <c r="A4239">
        <f ca="1">37063.6551739087*((RANDBETWEEN(1587,2416)))</f>
        <v>88619199.520815641</v>
      </c>
      <c r="B4239">
        <v>220343895.98854488</v>
      </c>
    </row>
    <row r="4240" spans="1:2" x14ac:dyDescent="0.25">
      <c r="A4240">
        <f ca="1">30874.5224374197*((RANDBETWEEN(1587,2416)))</f>
        <v>65268740.432705246</v>
      </c>
      <c r="B4240">
        <v>240283128.96810785</v>
      </c>
    </row>
    <row r="4241" spans="1:2" x14ac:dyDescent="0.25">
      <c r="A4241">
        <f ca="1">36210.9722232922*((RANDBETWEEN(1587,2416)))</f>
        <v>69162956.946488082</v>
      </c>
      <c r="B4241">
        <v>257100852.70758677</v>
      </c>
    </row>
    <row r="4242" spans="1:2" x14ac:dyDescent="0.25">
      <c r="A4242">
        <f ca="1">29715.1107172168*((RANDBETWEEN(1587,2416)))</f>
        <v>59608512.098736972</v>
      </c>
      <c r="B4242">
        <v>208831128.22977173</v>
      </c>
    </row>
    <row r="4243" spans="1:2" x14ac:dyDescent="0.25">
      <c r="A4243">
        <f ca="1">30656.3160759355*((RANDBETWEEN(1587,2416)))</f>
        <v>63765137.437945835</v>
      </c>
      <c r="B4243">
        <v>235499613.98852563</v>
      </c>
    </row>
    <row r="4244" spans="1:2" x14ac:dyDescent="0.25">
      <c r="A4244">
        <f ca="1">30652.2651772205*((RANDBETWEEN(1587,2416)))</f>
        <v>65810413.335492469</v>
      </c>
      <c r="B4244">
        <v>247131768.59773153</v>
      </c>
    </row>
    <row r="4245" spans="1:2" x14ac:dyDescent="0.25">
      <c r="A4245">
        <f ca="1">28594.4808965017*((RANDBETWEEN(1587,2416)))</f>
        <v>49725802.279016502</v>
      </c>
      <c r="B4245">
        <v>249088690.26701123</v>
      </c>
    </row>
    <row r="4246" spans="1:2" x14ac:dyDescent="0.25">
      <c r="A4246">
        <f ca="1">34239.1821254285*((RANDBETWEEN(1587,2416)))</f>
        <v>72313152.648905024</v>
      </c>
      <c r="B4246">
        <v>210067702.04110718</v>
      </c>
    </row>
    <row r="4247" spans="1:2" x14ac:dyDescent="0.25">
      <c r="A4247">
        <f ca="1">34327.4876973245*((RANDBETWEEN(1587,2416)))</f>
        <v>71847431.750500128</v>
      </c>
      <c r="B4247">
        <v>250378592.29034492</v>
      </c>
    </row>
    <row r="4248" spans="1:2" x14ac:dyDescent="0.25">
      <c r="A4248">
        <f ca="1">37747.4381617066*((RANDBETWEEN(1587,2416)))</f>
        <v>86819107.771925181</v>
      </c>
      <c r="B4248">
        <v>213594831.58761957</v>
      </c>
    </row>
    <row r="4249" spans="1:2" x14ac:dyDescent="0.25">
      <c r="A4249">
        <f ca="1">33265.054323002*((RANDBETWEEN(1587,2416)))</f>
        <v>66031132.83115904</v>
      </c>
      <c r="B4249">
        <v>228570842.71544677</v>
      </c>
    </row>
    <row r="4250" spans="1:2" x14ac:dyDescent="0.25">
      <c r="A4250">
        <f ca="1">30437.4449060997*((RANDBETWEEN(1587,2416)))</f>
        <v>57222396.423467502</v>
      </c>
      <c r="B4250">
        <v>224117932.8280111</v>
      </c>
    </row>
    <row r="4251" spans="1:2" x14ac:dyDescent="0.25">
      <c r="A4251">
        <f ca="1">39270.933507956*((RANDBETWEEN(1587,2416)))</f>
        <v>89066477.196044236</v>
      </c>
      <c r="B4251">
        <v>255650033.74711937</v>
      </c>
    </row>
    <row r="4252" spans="1:2" x14ac:dyDescent="0.25">
      <c r="A4252">
        <f ca="1">32680.3867034528*((RANDBETWEEN(1587,2416)))</f>
        <v>54837688.888393782</v>
      </c>
      <c r="B4252">
        <v>247888543.08058447</v>
      </c>
    </row>
    <row r="4253" spans="1:2" x14ac:dyDescent="0.25">
      <c r="A4253">
        <f ca="1">41529.0044894719*((RANDBETWEEN(1587,2416)))</f>
        <v>88415250.558085606</v>
      </c>
      <c r="B4253">
        <v>215319456.41282061</v>
      </c>
    </row>
    <row r="4254" spans="1:2" x14ac:dyDescent="0.25">
      <c r="A4254">
        <f ca="1">32787.6964439965*((RANDBETWEEN(1587,2416)))</f>
        <v>69575491.854160503</v>
      </c>
      <c r="B4254">
        <v>255642940.90241319</v>
      </c>
    </row>
    <row r="4255" spans="1:2" x14ac:dyDescent="0.25">
      <c r="A4255">
        <f ca="1">39820.0410324683*((RANDBETWEEN(1587,2416)))</f>
        <v>86728049.368716061</v>
      </c>
      <c r="B4255">
        <v>213508718.60784683</v>
      </c>
    </row>
    <row r="4256" spans="1:2" x14ac:dyDescent="0.25">
      <c r="A4256">
        <f ca="1">30992.3932487369*((RANDBETWEEN(1587,2416)))</f>
        <v>72491207.808795631</v>
      </c>
      <c r="B4256">
        <v>230642882.18223453</v>
      </c>
    </row>
    <row r="4257" spans="1:2" x14ac:dyDescent="0.25">
      <c r="A4257">
        <f ca="1">30442.8763399664*((RANDBETWEEN(1587,2416)))</f>
        <v>55862678.083838373</v>
      </c>
      <c r="B4257">
        <v>216099838.85940623</v>
      </c>
    </row>
    <row r="4258" spans="1:2" x14ac:dyDescent="0.25">
      <c r="A4258">
        <f ca="1">35886.539360836*((RANDBETWEEN(1587,2416)))</f>
        <v>60612364.980452083</v>
      </c>
      <c r="B4258">
        <v>230748694.47399879</v>
      </c>
    </row>
    <row r="4259" spans="1:2" x14ac:dyDescent="0.25">
      <c r="A4259">
        <f ca="1">32554.724842834*((RANDBETWEEN(1587,2416)))</f>
        <v>57752081.871187568</v>
      </c>
      <c r="B4259">
        <v>209025568.61365825</v>
      </c>
    </row>
    <row r="4260" spans="1:2" x14ac:dyDescent="0.25">
      <c r="A4260">
        <f ca="1">30690.9565138341*((RANDBETWEEN(1587,2416)))</f>
        <v>54844739.290221497</v>
      </c>
      <c r="B4260">
        <v>225272199.7263357</v>
      </c>
    </row>
    <row r="4261" spans="1:2" x14ac:dyDescent="0.25">
      <c r="A4261">
        <f ca="1">40818.4944816063*((RANDBETWEEN(1587,2416)))</f>
        <v>68126067.289800987</v>
      </c>
      <c r="B4261">
        <v>242381587.26731187</v>
      </c>
    </row>
    <row r="4262" spans="1:2" x14ac:dyDescent="0.25">
      <c r="A4262">
        <f ca="1">35526.3856282983*((RANDBETWEEN(1587,2416)))</f>
        <v>70093558.844632611</v>
      </c>
      <c r="B4262">
        <v>231611145.33671561</v>
      </c>
    </row>
    <row r="4263" spans="1:2" x14ac:dyDescent="0.25">
      <c r="A4263">
        <f ca="1">37638.6719722154*((RANDBETWEEN(1587,2416)))</f>
        <v>62216724.77007208</v>
      </c>
      <c r="B4263">
        <v>243300311.29597741</v>
      </c>
    </row>
    <row r="4264" spans="1:2" x14ac:dyDescent="0.25">
      <c r="A4264">
        <f ca="1">31884.388769905*((RANDBETWEEN(1587,2416)))</f>
        <v>58954234.835554361</v>
      </c>
      <c r="B4264">
        <v>223633730.80798382</v>
      </c>
    </row>
    <row r="4265" spans="1:2" x14ac:dyDescent="0.25">
      <c r="A4265">
        <f ca="1">38256.2386059688*((RANDBETWEEN(1587,2416)))</f>
        <v>63696637.2789381</v>
      </c>
      <c r="B4265">
        <v>209988390.35264927</v>
      </c>
    </row>
    <row r="4266" spans="1:2" x14ac:dyDescent="0.25">
      <c r="A4266">
        <f ca="1">37224.1562620682*((RANDBETWEEN(1587,2416)))</f>
        <v>79771366.869612098</v>
      </c>
      <c r="B4266">
        <v>265244612.24909699</v>
      </c>
    </row>
    <row r="4267" spans="1:2" x14ac:dyDescent="0.25">
      <c r="A4267">
        <f ca="1">29677.3255178834*((RANDBETWEEN(1587,2416)))</f>
        <v>49501778.963829495</v>
      </c>
      <c r="B4267">
        <v>229948266.68896657</v>
      </c>
    </row>
    <row r="4268" spans="1:2" x14ac:dyDescent="0.25">
      <c r="A4268">
        <f ca="1">31390.715983939*((RANDBETWEEN(1587,2416)))</f>
        <v>62122226.932215273</v>
      </c>
      <c r="B4268">
        <v>214737169.3392227</v>
      </c>
    </row>
    <row r="4269" spans="1:2" x14ac:dyDescent="0.25">
      <c r="A4269">
        <f ca="1">29780.1103085893*((RANDBETWEEN(1587,2416)))</f>
        <v>55539905.725519083</v>
      </c>
      <c r="B4269">
        <v>259392539.85267997</v>
      </c>
    </row>
    <row r="4270" spans="1:2" x14ac:dyDescent="0.25">
      <c r="A4270">
        <f ca="1">34345.6232845948*((RANDBETWEEN(1587,2416)))</f>
        <v>66561817.925544716</v>
      </c>
      <c r="B4270">
        <v>261580648.35761753</v>
      </c>
    </row>
    <row r="4271" spans="1:2" x14ac:dyDescent="0.25">
      <c r="A4271">
        <f ca="1">33502.8910471639*((RANDBETWEEN(1587,2416)))</f>
        <v>59467631.608715892</v>
      </c>
      <c r="B4271">
        <v>241826454.27728403</v>
      </c>
    </row>
    <row r="4272" spans="1:2" x14ac:dyDescent="0.25">
      <c r="A4272">
        <f ca="1">31872.3292441944*((RANDBETWEEN(1587,2416)))</f>
        <v>58453851.8338525</v>
      </c>
      <c r="B4272">
        <v>227645181.61515099</v>
      </c>
    </row>
    <row r="4273" spans="1:2" x14ac:dyDescent="0.25">
      <c r="A4273">
        <f ca="1">40036.5482768341*((RANDBETWEEN(1587,2416)))</f>
        <v>64178586.887765065</v>
      </c>
      <c r="B4273">
        <v>229681425.39193362</v>
      </c>
    </row>
    <row r="4274" spans="1:2" x14ac:dyDescent="0.25">
      <c r="A4274">
        <f ca="1">38696.5381491629*((RANDBETWEEN(1587,2416)))</f>
        <v>90588595.807190418</v>
      </c>
      <c r="B4274">
        <v>239569492.94388521</v>
      </c>
    </row>
    <row r="4275" spans="1:2" x14ac:dyDescent="0.25">
      <c r="A4275">
        <f ca="1">35272.3382974805*((RANDBETWEEN(1587,2416)))</f>
        <v>71391212.71410048</v>
      </c>
      <c r="B4275">
        <v>248209947.96877822</v>
      </c>
    </row>
    <row r="4276" spans="1:2" x14ac:dyDescent="0.25">
      <c r="A4276">
        <f ca="1">31817.1770001885*((RANDBETWEEN(1587,2416)))</f>
        <v>74865817.481443614</v>
      </c>
      <c r="B4276">
        <v>265332903.25385243</v>
      </c>
    </row>
    <row r="4277" spans="1:2" x14ac:dyDescent="0.25">
      <c r="A4277">
        <f ca="1">33656.4317561798*((RANDBETWEEN(1587,2416)))</f>
        <v>81179313.395905748</v>
      </c>
      <c r="B4277">
        <v>222592488.97900185</v>
      </c>
    </row>
    <row r="4278" spans="1:2" x14ac:dyDescent="0.25">
      <c r="A4278">
        <f ca="1">41446.7984656002*((RANDBETWEEN(1587,2416)))</f>
        <v>88240233.933262825</v>
      </c>
      <c r="B4278">
        <v>204063682.09193152</v>
      </c>
    </row>
    <row r="4279" spans="1:2" x14ac:dyDescent="0.25">
      <c r="A4279">
        <f ca="1">32898.438818423*((RANDBETWEEN(1587,2416)))</f>
        <v>65040213.54402224</v>
      </c>
      <c r="B4279">
        <v>230678517.17650846</v>
      </c>
    </row>
    <row r="4280" spans="1:2" x14ac:dyDescent="0.25">
      <c r="A4280">
        <f ca="1">30967.6747681718*((RANDBETWEEN(1587,2416)))</f>
        <v>54100527.819996133</v>
      </c>
      <c r="B4280">
        <v>222218228.72568414</v>
      </c>
    </row>
    <row r="4281" spans="1:2" x14ac:dyDescent="0.25">
      <c r="A4281">
        <f ca="1">34783.2067065412*((RANDBETWEEN(1587,2416)))</f>
        <v>70157727.927093506</v>
      </c>
      <c r="B4281">
        <v>217120971.4498176</v>
      </c>
    </row>
    <row r="4282" spans="1:2" x14ac:dyDescent="0.25">
      <c r="A4282">
        <f ca="1">28011.8662968162*((RANDBETWEEN(1587,2416)))</f>
        <v>54427056.214713894</v>
      </c>
      <c r="B4282">
        <v>243102237.11911386</v>
      </c>
    </row>
    <row r="4283" spans="1:2" x14ac:dyDescent="0.25">
      <c r="A4283">
        <f ca="1">34009.3304509028*((RANDBETWEEN(1587,2416)))</f>
        <v>79105702.628799856</v>
      </c>
      <c r="B4283">
        <v>213815230.38859677</v>
      </c>
    </row>
    <row r="4284" spans="1:2" x14ac:dyDescent="0.25">
      <c r="A4284">
        <f ca="1">31882.9530359524*((RANDBETWEEN(1587,2416)))</f>
        <v>70206262.585167155</v>
      </c>
      <c r="B4284">
        <v>222389372.14273891</v>
      </c>
    </row>
    <row r="4285" spans="1:2" x14ac:dyDescent="0.25">
      <c r="A4285">
        <f ca="1">32696.3997100968*((RANDBETWEEN(1587,2416)))</f>
        <v>54210630.719340578</v>
      </c>
      <c r="B4285">
        <v>253157207.05823731</v>
      </c>
    </row>
    <row r="4286" spans="1:2" x14ac:dyDescent="0.25">
      <c r="A4286">
        <f ca="1">41843.3343106991*((RANDBETWEEN(1587,2416)))</f>
        <v>78790998.507046372</v>
      </c>
      <c r="B4286">
        <v>205845308.34788525</v>
      </c>
    </row>
    <row r="4287" spans="1:2" x14ac:dyDescent="0.25">
      <c r="A4287">
        <f ca="1">29586.1228845019*((RANDBETWEEN(1587,2416)))</f>
        <v>63136786.235527158</v>
      </c>
      <c r="B4287">
        <v>217469649.76464933</v>
      </c>
    </row>
    <row r="4288" spans="1:2" x14ac:dyDescent="0.25">
      <c r="A4288">
        <f ca="1">37524.4028191603*((RANDBETWEEN(1587,2416)))</f>
        <v>71709133.787415266</v>
      </c>
      <c r="B4288">
        <v>225513213.63913527</v>
      </c>
    </row>
    <row r="4289" spans="1:2" x14ac:dyDescent="0.25">
      <c r="A4289">
        <f ca="1">31663.3768483088*((RANDBETWEEN(1587,2416)))</f>
        <v>74978876.376795337</v>
      </c>
      <c r="B4289">
        <v>207226924.29304063</v>
      </c>
    </row>
    <row r="4290" spans="1:2" x14ac:dyDescent="0.25">
      <c r="A4290">
        <f ca="1">33451.4757393164*((RANDBETWEEN(1587,2416)))</f>
        <v>69846681.343692645</v>
      </c>
      <c r="B4290">
        <v>243792606.57177803</v>
      </c>
    </row>
    <row r="4291" spans="1:2" x14ac:dyDescent="0.25">
      <c r="A4291">
        <f ca="1">31489.751776756*((RANDBETWEEN(1587,2416)))</f>
        <v>75323486.250000432</v>
      </c>
      <c r="B4291">
        <v>237061036.56531692</v>
      </c>
    </row>
    <row r="4292" spans="1:2" x14ac:dyDescent="0.25">
      <c r="A4292">
        <f ca="1">32498.7553083194*((RANDBETWEEN(1587,2416)))</f>
        <v>53200462.439718872</v>
      </c>
      <c r="B4292">
        <v>236178601.83593169</v>
      </c>
    </row>
    <row r="4293" spans="1:2" x14ac:dyDescent="0.25">
      <c r="A4293">
        <f ca="1">28946.8415719189*((RANDBETWEEN(1587,2416)))</f>
        <v>49007002.781258635</v>
      </c>
      <c r="B4293">
        <v>240711612.46486166</v>
      </c>
    </row>
    <row r="4294" spans="1:2" x14ac:dyDescent="0.25">
      <c r="A4294">
        <f ca="1">39320.2124014568*((RANDBETWEEN(1587,2416)))</f>
        <v>85796703.45997867</v>
      </c>
      <c r="B4294">
        <v>224670777.84836245</v>
      </c>
    </row>
    <row r="4295" spans="1:2" x14ac:dyDescent="0.25">
      <c r="A4295">
        <f ca="1">40156.9124003703*((RANDBETWEEN(1587,2416)))</f>
        <v>82401984.245559797</v>
      </c>
      <c r="B4295">
        <v>259065134.38341177</v>
      </c>
    </row>
    <row r="4296" spans="1:2" x14ac:dyDescent="0.25">
      <c r="A4296">
        <f ca="1">28979.8143735456*((RANDBETWEEN(1587,2416)))</f>
        <v>50917533.854319602</v>
      </c>
      <c r="B4296">
        <v>253643800.73410624</v>
      </c>
    </row>
    <row r="4297" spans="1:2" x14ac:dyDescent="0.25">
      <c r="A4297">
        <f ca="1">30246.2575004656*((RANDBETWEEN(1587,2416)))</f>
        <v>51479130.265792422</v>
      </c>
      <c r="B4297">
        <v>234362629.09626541</v>
      </c>
    </row>
    <row r="4298" spans="1:2" x14ac:dyDescent="0.25">
      <c r="A4298">
        <f ca="1">34167.2859933641*((RANDBETWEEN(1587,2416)))</f>
        <v>61535282.074048743</v>
      </c>
      <c r="B4298">
        <v>227972400.58339632</v>
      </c>
    </row>
    <row r="4299" spans="1:2" x14ac:dyDescent="0.25">
      <c r="A4299">
        <f ca="1">35718.3018770606*((RANDBETWEEN(1587,2416)))</f>
        <v>64935872.812496118</v>
      </c>
      <c r="B4299">
        <v>257453217.64876842</v>
      </c>
    </row>
    <row r="4300" spans="1:2" x14ac:dyDescent="0.25">
      <c r="A4300">
        <f ca="1">39133.3960954237*((RANDBETWEEN(1587,2416)))</f>
        <v>66370239.777838618</v>
      </c>
      <c r="B4300">
        <v>222206697.7361033</v>
      </c>
    </row>
    <row r="4301" spans="1:2" x14ac:dyDescent="0.25">
      <c r="A4301">
        <f ca="1">30573.7050944101*((RANDBETWEEN(1587,2416)))</f>
        <v>63746175.121845022</v>
      </c>
      <c r="B4301">
        <v>230082830.86656171</v>
      </c>
    </row>
    <row r="4302" spans="1:2" x14ac:dyDescent="0.25">
      <c r="A4302">
        <f ca="1">37032.9339805802*((RANDBETWEEN(1587,2416)))</f>
        <v>85990472.70290722</v>
      </c>
      <c r="B4302">
        <v>257779121.52851301</v>
      </c>
    </row>
    <row r="4303" spans="1:2" x14ac:dyDescent="0.25">
      <c r="A4303">
        <f ca="1">34949.4859667608*((RANDBETWEEN(1587,2416)))</f>
        <v>83319574.544757769</v>
      </c>
      <c r="B4303">
        <v>249582912.04705006</v>
      </c>
    </row>
    <row r="4304" spans="1:2" x14ac:dyDescent="0.25">
      <c r="A4304">
        <f ca="1">29922.6264259512*((RANDBETWEEN(1587,2416)))</f>
        <v>49162875.217837781</v>
      </c>
      <c r="B4304">
        <v>253719147.48695087</v>
      </c>
    </row>
    <row r="4305" spans="1:2" x14ac:dyDescent="0.25">
      <c r="A4305">
        <f ca="1">34758.1890344887*((RANDBETWEEN(1587,2416)))</f>
        <v>77510761.546909779</v>
      </c>
      <c r="B4305">
        <v>227148441.16692433</v>
      </c>
    </row>
    <row r="4306" spans="1:2" x14ac:dyDescent="0.25">
      <c r="A4306">
        <f ca="1">31598.8650522992*((RANDBETWEEN(1587,2416)))</f>
        <v>57731126.450550698</v>
      </c>
      <c r="B4306">
        <v>242479454.66292644</v>
      </c>
    </row>
    <row r="4307" spans="1:2" x14ac:dyDescent="0.25">
      <c r="A4307">
        <f ca="1">31171.1758004687*((RANDBETWEEN(1587,2416)))</f>
        <v>69262352.628641531</v>
      </c>
      <c r="B4307">
        <v>257484559.65933555</v>
      </c>
    </row>
    <row r="4308" spans="1:2" x14ac:dyDescent="0.25">
      <c r="A4308">
        <f ca="1">31284.9866049012*((RANDBETWEEN(1587,2416)))</f>
        <v>73113013.695654154</v>
      </c>
      <c r="B4308">
        <v>232952132.87864819</v>
      </c>
    </row>
    <row r="4309" spans="1:2" x14ac:dyDescent="0.25">
      <c r="A4309">
        <f ca="1">38490.8385046589*((RANDBETWEEN(1587,2416)))</f>
        <v>79483581.51212059</v>
      </c>
      <c r="B4309">
        <v>242833377.59730107</v>
      </c>
    </row>
    <row r="4310" spans="1:2" x14ac:dyDescent="0.25">
      <c r="A4310">
        <f ca="1">31094.52487696*((RANDBETWEEN(1587,2416)))</f>
        <v>61131835.908103272</v>
      </c>
      <c r="B4310">
        <v>243266536.15669006</v>
      </c>
    </row>
    <row r="4311" spans="1:2" x14ac:dyDescent="0.25">
      <c r="A4311">
        <f ca="1">35385.4173171579*((RANDBETWEEN(1587,2416)))</f>
        <v>80926449.404340103</v>
      </c>
      <c r="B4311">
        <v>230058078.88109148</v>
      </c>
    </row>
    <row r="4312" spans="1:2" x14ac:dyDescent="0.25">
      <c r="A4312">
        <f ca="1">28834.8092359248*((RANDBETWEEN(1587,2416)))</f>
        <v>47058408.673029348</v>
      </c>
      <c r="B4312">
        <v>263095472.97986269</v>
      </c>
    </row>
    <row r="4313" spans="1:2" x14ac:dyDescent="0.25">
      <c r="A4313">
        <f ca="1">30265.6288454134*((RANDBETWEEN(1587,2416)))</f>
        <v>68006868.015643895</v>
      </c>
      <c r="B4313">
        <v>237693177.01257265</v>
      </c>
    </row>
    <row r="4314" spans="1:2" x14ac:dyDescent="0.25">
      <c r="A4314">
        <f ca="1">33132.7757178554*((RANDBETWEEN(1587,2416)))</f>
        <v>74482479.813739032</v>
      </c>
      <c r="B4314">
        <v>257863604.32014516</v>
      </c>
    </row>
    <row r="4315" spans="1:2" x14ac:dyDescent="0.25">
      <c r="A4315">
        <f ca="1">38996.4169311336*((RANDBETWEEN(1587,2416)))</f>
        <v>73118281.745875508</v>
      </c>
      <c r="B4315">
        <v>245587396.30656523</v>
      </c>
    </row>
    <row r="4316" spans="1:2" x14ac:dyDescent="0.25">
      <c r="A4316">
        <f ca="1">32011.9049086799*((RANDBETWEEN(1587,2416)))</f>
        <v>53075738.338591211</v>
      </c>
      <c r="B4316">
        <v>225317443.51937756</v>
      </c>
    </row>
    <row r="4317" spans="1:2" x14ac:dyDescent="0.25">
      <c r="A4317">
        <f ca="1">36822.8923414114*((RANDBETWEEN(1587,2416)))</f>
        <v>83587965.61500378</v>
      </c>
      <c r="B4317">
        <v>244603470.24193642</v>
      </c>
    </row>
    <row r="4318" spans="1:2" x14ac:dyDescent="0.25">
      <c r="A4318">
        <f ca="1">34427.3312869972*((RANDBETWEEN(1587,2416)))</f>
        <v>55531285.365926526</v>
      </c>
      <c r="B4318">
        <v>251365471.5074712</v>
      </c>
    </row>
    <row r="4319" spans="1:2" x14ac:dyDescent="0.25">
      <c r="A4319">
        <f ca="1">35789.6740937709*((RANDBETWEEN(1587,2416)))</f>
        <v>73476200.91451171</v>
      </c>
      <c r="B4319">
        <v>225012439.75041598</v>
      </c>
    </row>
    <row r="4320" spans="1:2" x14ac:dyDescent="0.25">
      <c r="A4320">
        <f ca="1">34030.0307368517*((RANDBETWEEN(1587,2416)))</f>
        <v>80651172.846338481</v>
      </c>
      <c r="B4320">
        <v>231976278.53516489</v>
      </c>
    </row>
    <row r="4321" spans="1:2" x14ac:dyDescent="0.25">
      <c r="A4321">
        <f ca="1">31194.4686647249*((RANDBETWEEN(1587,2416)))</f>
        <v>50129511.144212946</v>
      </c>
      <c r="B4321">
        <v>217531968.79721504</v>
      </c>
    </row>
    <row r="4322" spans="1:2" x14ac:dyDescent="0.25">
      <c r="A4322">
        <f ca="1">33279.8088730742*((RANDBETWEEN(1587,2416)))</f>
        <v>58672303.043229803</v>
      </c>
      <c r="B4322">
        <v>229813509.73983106</v>
      </c>
    </row>
    <row r="4323" spans="1:2" x14ac:dyDescent="0.25">
      <c r="A4323">
        <f ca="1">34563.0569524672*((RANDBETWEEN(1587,2416)))</f>
        <v>73688437.422659978</v>
      </c>
      <c r="B4323">
        <v>223777019.68391827</v>
      </c>
    </row>
    <row r="4324" spans="1:2" x14ac:dyDescent="0.25">
      <c r="A4324">
        <f ca="1">40799.659406899*((RANDBETWEEN(1587,2416)))</f>
        <v>92370428.89721939</v>
      </c>
      <c r="B4324">
        <v>259427204.27680105</v>
      </c>
    </row>
    <row r="4325" spans="1:2" x14ac:dyDescent="0.25">
      <c r="A4325">
        <f ca="1">39229.0126071382*((RANDBETWEEN(1587,2416)))</f>
        <v>63864832.52442091</v>
      </c>
      <c r="B4325">
        <v>238174605.68562546</v>
      </c>
    </row>
    <row r="4326" spans="1:2" x14ac:dyDescent="0.25">
      <c r="A4326">
        <f ca="1">36650.1672214284*((RANDBETWEEN(1587,2416)))</f>
        <v>80337166.549371064</v>
      </c>
      <c r="B4326">
        <v>256964691.66616449</v>
      </c>
    </row>
    <row r="4327" spans="1:2" x14ac:dyDescent="0.25">
      <c r="A4327">
        <f ca="1">31308.2171725688*((RANDBETWEEN(1587,2416)))</f>
        <v>73605618.572709188</v>
      </c>
      <c r="B4327">
        <v>251404625.22711438</v>
      </c>
    </row>
    <row r="4328" spans="1:2" x14ac:dyDescent="0.25">
      <c r="A4328">
        <f ca="1">33297.4724945287*((RANDBETWEEN(1587,2416)))</f>
        <v>70057882.128488377</v>
      </c>
      <c r="B4328">
        <v>235517202.57650313</v>
      </c>
    </row>
    <row r="4329" spans="1:2" x14ac:dyDescent="0.25">
      <c r="A4329">
        <f ca="1">34209.3780046677*((RANDBETWEEN(1587,2416)))</f>
        <v>57882267.583897747</v>
      </c>
      <c r="B4329">
        <v>229672844.64649054</v>
      </c>
    </row>
    <row r="4330" spans="1:2" x14ac:dyDescent="0.25">
      <c r="A4330">
        <f ca="1">35008.1877518551*((RANDBETWEEN(1587,2416)))</f>
        <v>67215720.483561844</v>
      </c>
      <c r="B4330">
        <v>246878441.74328452</v>
      </c>
    </row>
    <row r="4331" spans="1:2" x14ac:dyDescent="0.25">
      <c r="A4331">
        <f ca="1">31483.4182621628*((RANDBETWEEN(1587,2416)))</f>
        <v>53584777.88220109</v>
      </c>
      <c r="B4331">
        <v>214945494.41055244</v>
      </c>
    </row>
    <row r="4332" spans="1:2" x14ac:dyDescent="0.25">
      <c r="A4332">
        <f ca="1">30281.7190895847*((RANDBETWEEN(1587,2416)))</f>
        <v>70011334.535119846</v>
      </c>
      <c r="B4332">
        <v>234628743.15175796</v>
      </c>
    </row>
    <row r="4333" spans="1:2" x14ac:dyDescent="0.25">
      <c r="A4333">
        <f ca="1">26809.0346246154*((RANDBETWEEN(1587,2416)))</f>
        <v>60213091.766886294</v>
      </c>
      <c r="B4333">
        <v>211512979.43731701</v>
      </c>
    </row>
    <row r="4334" spans="1:2" x14ac:dyDescent="0.25">
      <c r="A4334">
        <f ca="1">30496.0109086762*((RANDBETWEEN(1587,2416)))</f>
        <v>55472243.842881925</v>
      </c>
      <c r="B4334">
        <v>239286153.87699378</v>
      </c>
    </row>
    <row r="4335" spans="1:2" x14ac:dyDescent="0.25">
      <c r="A4335">
        <f ca="1">32870.5246611485*((RANDBETWEEN(1587,2416)))</f>
        <v>56044244.547258124</v>
      </c>
      <c r="B4335">
        <v>247153998.01008517</v>
      </c>
    </row>
    <row r="4336" spans="1:2" x14ac:dyDescent="0.25">
      <c r="A4336">
        <f ca="1">30526.2089298543*((RANDBETWEEN(1587,2416)))</f>
        <v>59800843.293584652</v>
      </c>
      <c r="B4336">
        <v>221880349.43612614</v>
      </c>
    </row>
    <row r="4337" spans="1:2" x14ac:dyDescent="0.25">
      <c r="A4337">
        <f ca="1">38693.8472503674*((RANDBETWEEN(1587,2416)))</f>
        <v>82727445.42128557</v>
      </c>
      <c r="B4337">
        <v>236859647.21398252</v>
      </c>
    </row>
    <row r="4338" spans="1:2" x14ac:dyDescent="0.25">
      <c r="A4338">
        <f ca="1">31342.8423493613*((RANDBETWEEN(1587,2416)))</f>
        <v>63594627.12685398</v>
      </c>
      <c r="B4338">
        <v>248705827.1066471</v>
      </c>
    </row>
    <row r="4339" spans="1:2" x14ac:dyDescent="0.25">
      <c r="A4339">
        <f ca="1">34257.0406235213*((RANDBETWEEN(1587,2416)))</f>
        <v>81840070.049592331</v>
      </c>
      <c r="B4339">
        <v>205436605.91289797</v>
      </c>
    </row>
    <row r="4340" spans="1:2" x14ac:dyDescent="0.25">
      <c r="A4340">
        <f ca="1">39957.2907218017*((RANDBETWEEN(1587,2416)))</f>
        <v>94658821.719948202</v>
      </c>
      <c r="B4340">
        <v>260379604.93151343</v>
      </c>
    </row>
    <row r="4341" spans="1:2" x14ac:dyDescent="0.25">
      <c r="A4341">
        <f ca="1">31201.9148522909*((RANDBETWEEN(1587,2416)))</f>
        <v>53417678.227121934</v>
      </c>
      <c r="B4341">
        <v>215494815.96366477</v>
      </c>
    </row>
    <row r="4342" spans="1:2" x14ac:dyDescent="0.25">
      <c r="A4342">
        <f ca="1">33782.6350058698*((RANDBETWEEN(1587,2416)))</f>
        <v>64187006.511152565</v>
      </c>
      <c r="B4342">
        <v>257934228.13949406</v>
      </c>
    </row>
    <row r="4343" spans="1:2" x14ac:dyDescent="0.25">
      <c r="A4343">
        <f ca="1">39616.7265267201*((RANDBETWEEN(1587,2416)))</f>
        <v>76975299.641417205</v>
      </c>
      <c r="B4343">
        <v>212210294.09764299</v>
      </c>
    </row>
    <row r="4344" spans="1:2" x14ac:dyDescent="0.25">
      <c r="A4344">
        <f ca="1">32848.9578800307*((RANDBETWEEN(1587,2416)))</f>
        <v>53149613.849889755</v>
      </c>
      <c r="B4344">
        <v>256078252.78845426</v>
      </c>
    </row>
    <row r="4345" spans="1:2" x14ac:dyDescent="0.25">
      <c r="A4345">
        <f ca="1">29941.8797880621*((RANDBETWEEN(1587,2416)))</f>
        <v>60512539.051673524</v>
      </c>
      <c r="B4345">
        <v>240481183.44169345</v>
      </c>
    </row>
    <row r="4346" spans="1:2" x14ac:dyDescent="0.25">
      <c r="A4346">
        <f ca="1">32832.1211852804*((RANDBETWEEN(1587,2416)))</f>
        <v>64515118.129075907</v>
      </c>
      <c r="B4346">
        <v>210685636.9643569</v>
      </c>
    </row>
    <row r="4347" spans="1:2" x14ac:dyDescent="0.25">
      <c r="A4347">
        <f ca="1">32125.8397397107*((RANDBETWEEN(1587,2416)))</f>
        <v>58404776.646794058</v>
      </c>
      <c r="B4347">
        <v>212676058.41852903</v>
      </c>
    </row>
    <row r="4348" spans="1:2" x14ac:dyDescent="0.25">
      <c r="A4348">
        <f ca="1">30152.6404525936*((RANDBETWEEN(1587,2416)))</f>
        <v>71552215.794004664</v>
      </c>
      <c r="B4348">
        <v>210646431.09365192</v>
      </c>
    </row>
    <row r="4349" spans="1:2" x14ac:dyDescent="0.25">
      <c r="A4349">
        <f ca="1">34396.2713434686*((RANDBETWEEN(1587,2416)))</f>
        <v>78285913.5777345</v>
      </c>
      <c r="B4349">
        <v>262426353.74711868</v>
      </c>
    </row>
    <row r="4350" spans="1:2" x14ac:dyDescent="0.25">
      <c r="A4350">
        <f ca="1">33160.7283188416*((RANDBETWEEN(1587,2416)))</f>
        <v>79884194.520089567</v>
      </c>
      <c r="B4350">
        <v>260265728.39818951</v>
      </c>
    </row>
    <row r="4351" spans="1:2" x14ac:dyDescent="0.25">
      <c r="A4351">
        <f ca="1">31396.3943501426*((RANDBETWEEN(1587,2416)))</f>
        <v>66120806.501400314</v>
      </c>
      <c r="B4351">
        <v>214579409.67125443</v>
      </c>
    </row>
    <row r="4352" spans="1:2" x14ac:dyDescent="0.25">
      <c r="A4352">
        <f ca="1">31605.8068051154*((RANDBETWEEN(1587,2416)))</f>
        <v>68426571.733074754</v>
      </c>
      <c r="B4352">
        <v>234945185.98775381</v>
      </c>
    </row>
    <row r="4353" spans="1:2" x14ac:dyDescent="0.25">
      <c r="A4353">
        <f ca="1">36022.1051216069*((RANDBETWEEN(1587,2416)))</f>
        <v>65488187.111081362</v>
      </c>
      <c r="B4353">
        <v>249617417.82051596</v>
      </c>
    </row>
    <row r="4354" spans="1:2" x14ac:dyDescent="0.25">
      <c r="A4354">
        <f ca="1">37832.1967198983*((RANDBETWEEN(1587,2416)))</f>
        <v>88300347.14424254</v>
      </c>
      <c r="B4354">
        <v>241524275.06746182</v>
      </c>
    </row>
    <row r="4355" spans="1:2" x14ac:dyDescent="0.25">
      <c r="A4355">
        <f ca="1">38615.4879062889*((RANDBETWEEN(1587,2416)))</f>
        <v>79779598.014392778</v>
      </c>
      <c r="B4355">
        <v>242338164.9549084</v>
      </c>
    </row>
    <row r="4356" spans="1:2" x14ac:dyDescent="0.25">
      <c r="A4356">
        <f ca="1">31661.5741283656*((RANDBETWEEN(1587,2416)))</f>
        <v>75924454.75982064</v>
      </c>
      <c r="B4356">
        <v>258747686.41136372</v>
      </c>
    </row>
    <row r="4357" spans="1:2" x14ac:dyDescent="0.25">
      <c r="A4357">
        <f ca="1">31412.2766428468*((RANDBETWEEN(1587,2416)))</f>
        <v>63044439.222193681</v>
      </c>
      <c r="B4357">
        <v>221082587.02086872</v>
      </c>
    </row>
    <row r="4358" spans="1:2" x14ac:dyDescent="0.25">
      <c r="A4358">
        <f ca="1">37123.5062013119*((RANDBETWEEN(1587,2416)))</f>
        <v>86460645.942855358</v>
      </c>
      <c r="B4358">
        <v>245966521.81340963</v>
      </c>
    </row>
    <row r="4359" spans="1:2" x14ac:dyDescent="0.25">
      <c r="A4359">
        <f ca="1">31630.6329647948*((RANDBETWEEN(1587,2416)))</f>
        <v>50767165.908495724</v>
      </c>
      <c r="B4359">
        <v>210326908.1937013</v>
      </c>
    </row>
    <row r="4360" spans="1:2" x14ac:dyDescent="0.25">
      <c r="A4360">
        <f ca="1">38341.9298228096*((RANDBETWEEN(1587,2416)))</f>
        <v>68938789.821411654</v>
      </c>
      <c r="B4360">
        <v>220533432.46214905</v>
      </c>
    </row>
    <row r="4361" spans="1:2" x14ac:dyDescent="0.25">
      <c r="A4361">
        <f ca="1">33325.4623898867*((RANDBETWEEN(1587,2416)))</f>
        <v>66817552.091722801</v>
      </c>
      <c r="B4361">
        <v>242465461.01066992</v>
      </c>
    </row>
    <row r="4362" spans="1:2" x14ac:dyDescent="0.25">
      <c r="A4362">
        <f ca="1">34954.9920616867*((RANDBETWEEN(1587,2416)))</f>
        <v>59842946.409607619</v>
      </c>
      <c r="B4362">
        <v>232600896.52533582</v>
      </c>
    </row>
    <row r="4363" spans="1:2" x14ac:dyDescent="0.25">
      <c r="A4363">
        <f ca="1">32170.8107948941*((RANDBETWEEN(1587,2416)))</f>
        <v>59129950.241015278</v>
      </c>
      <c r="B4363">
        <v>230609458.24926347</v>
      </c>
    </row>
    <row r="4364" spans="1:2" x14ac:dyDescent="0.25">
      <c r="A4364">
        <f ca="1">30986.2675110888*((RANDBETWEEN(1587,2416)))</f>
        <v>50414657.240541488</v>
      </c>
      <c r="B4364">
        <v>229008608.59942272</v>
      </c>
    </row>
    <row r="4365" spans="1:2" x14ac:dyDescent="0.25">
      <c r="A4365">
        <f ca="1">35582.6604706165*((RANDBETWEEN(1587,2416)))</f>
        <v>57643909.962398723</v>
      </c>
      <c r="B4365">
        <v>246190877.46104339</v>
      </c>
    </row>
    <row r="4366" spans="1:2" x14ac:dyDescent="0.25">
      <c r="A4366">
        <f ca="1">38593.0657597575*((RANDBETWEEN(1587,2416)))</f>
        <v>69313146.104524389</v>
      </c>
      <c r="B4366">
        <v>239393397.98326373</v>
      </c>
    </row>
    <row r="4367" spans="1:2" x14ac:dyDescent="0.25">
      <c r="A4367">
        <f ca="1">35023.394534367*((RANDBETWEEN(1587,2416)))</f>
        <v>72113169.346261576</v>
      </c>
      <c r="B4367">
        <v>264925274.5204604</v>
      </c>
    </row>
    <row r="4368" spans="1:2" x14ac:dyDescent="0.25">
      <c r="A4368">
        <f ca="1">33870.5504347546*((RANDBETWEEN(1587,2416)))</f>
        <v>54531586.199954838</v>
      </c>
      <c r="B4368">
        <v>227940499.07887453</v>
      </c>
    </row>
    <row r="4369" spans="1:2" x14ac:dyDescent="0.25">
      <c r="A4369">
        <f ca="1">28358.9718803898*((RANDBETWEEN(1587,2416)))</f>
        <v>49004303.409313627</v>
      </c>
      <c r="B4369">
        <v>260645868.2508797</v>
      </c>
    </row>
    <row r="4370" spans="1:2" x14ac:dyDescent="0.25">
      <c r="A4370">
        <f ca="1">35767.3075373283*((RANDBETWEEN(1587,2416)))</f>
        <v>65811845.86868412</v>
      </c>
      <c r="B4370">
        <v>226248177.71819246</v>
      </c>
    </row>
    <row r="4371" spans="1:2" x14ac:dyDescent="0.25">
      <c r="A4371">
        <f ca="1">35977.3436361923*((RANDBETWEEN(1587,2416)))</f>
        <v>76056104.44691062</v>
      </c>
      <c r="B4371">
        <v>258205830.52895808</v>
      </c>
    </row>
    <row r="4372" spans="1:2" x14ac:dyDescent="0.25">
      <c r="A4372">
        <f ca="1">32051.9095112667*((RANDBETWEEN(1587,2416)))</f>
        <v>56283153.101784363</v>
      </c>
      <c r="B4372">
        <v>211585469.60608006</v>
      </c>
    </row>
    <row r="4373" spans="1:2" x14ac:dyDescent="0.25">
      <c r="A4373">
        <f ca="1">35995.2955170242*((RANDBETWEEN(1587,2416)))</f>
        <v>65691414.318569228</v>
      </c>
      <c r="B4373">
        <v>205552641.31727597</v>
      </c>
    </row>
    <row r="4374" spans="1:2" x14ac:dyDescent="0.25">
      <c r="A4374">
        <f ca="1">36814.5933775359*((RANDBETWEEN(1587,2416)))</f>
        <v>82427874.572302848</v>
      </c>
      <c r="B4374">
        <v>215229368.87949401</v>
      </c>
    </row>
    <row r="4375" spans="1:2" x14ac:dyDescent="0.25">
      <c r="A4375">
        <f ca="1">31154.6789231218*((RANDBETWEEN(1587,2416)))</f>
        <v>70721121.155486479</v>
      </c>
      <c r="B4375">
        <v>205421098.35993332</v>
      </c>
    </row>
    <row r="4376" spans="1:2" x14ac:dyDescent="0.25">
      <c r="A4376">
        <f ca="1">33415.0141773042*((RANDBETWEEN(1587,2416)))</f>
        <v>58810424.952055335</v>
      </c>
      <c r="B4376">
        <v>205092163.70166022</v>
      </c>
    </row>
    <row r="4377" spans="1:2" x14ac:dyDescent="0.25">
      <c r="A4377">
        <f ca="1">40383.2681825071*((RANDBETWEEN(1587,2416)))</f>
        <v>79070439.101348832</v>
      </c>
      <c r="B4377">
        <v>208276417.16873977</v>
      </c>
    </row>
    <row r="4378" spans="1:2" x14ac:dyDescent="0.25">
      <c r="A4378">
        <f ca="1">29082.6581465256*((RANDBETWEEN(1587,2416)))</f>
        <v>56274943.513527013</v>
      </c>
      <c r="B4378">
        <v>263528488.74860618</v>
      </c>
    </row>
    <row r="4379" spans="1:2" x14ac:dyDescent="0.25">
      <c r="A4379">
        <f ca="1">35377.3776196179*((RANDBETWEEN(1587,2416)))</f>
        <v>75247682.196927235</v>
      </c>
      <c r="B4379">
        <v>227638673.32635289</v>
      </c>
    </row>
    <row r="4380" spans="1:2" x14ac:dyDescent="0.25">
      <c r="A4380">
        <f ca="1">40745.1834401234*((RANDBETWEEN(1587,2416)))</f>
        <v>74074743.494144291</v>
      </c>
      <c r="B4380">
        <v>263173087.29116201</v>
      </c>
    </row>
    <row r="4381" spans="1:2" x14ac:dyDescent="0.25">
      <c r="A4381">
        <f ca="1">31192.263773141*((RANDBETWEEN(1587,2416)))</f>
        <v>65628522.978688568</v>
      </c>
      <c r="B4381">
        <v>239367885.36675572</v>
      </c>
    </row>
    <row r="4382" spans="1:2" x14ac:dyDescent="0.25">
      <c r="A4382">
        <f ca="1">31405.2110541353*((RANDBETWEEN(1587,2416)))</f>
        <v>70033620.650721714</v>
      </c>
      <c r="B4382">
        <v>214896639.64350048</v>
      </c>
    </row>
    <row r="4383" spans="1:2" x14ac:dyDescent="0.25">
      <c r="A4383">
        <f ca="1">40898.0462015142*((RANDBETWEEN(1587,2416)))</f>
        <v>72225949.591873989</v>
      </c>
      <c r="B4383">
        <v>211564426.05600089</v>
      </c>
    </row>
    <row r="4384" spans="1:2" x14ac:dyDescent="0.25">
      <c r="A4384">
        <f ca="1">40222.7487170526*((RANDBETWEEN(1587,2416)))</f>
        <v>88369378.931364477</v>
      </c>
      <c r="B4384">
        <v>255649381.51580381</v>
      </c>
    </row>
    <row r="4385" spans="1:2" x14ac:dyDescent="0.25">
      <c r="A4385">
        <f ca="1">38547.279364458*((RANDBETWEEN(1587,2416)))</f>
        <v>91626883.049316674</v>
      </c>
      <c r="B4385">
        <v>239118087.99915922</v>
      </c>
    </row>
    <row r="4386" spans="1:2" x14ac:dyDescent="0.25">
      <c r="A4386">
        <f ca="1">37211.2775771409*((RANDBETWEEN(1587,2416)))</f>
        <v>82274134.723058492</v>
      </c>
      <c r="B4386">
        <v>234241350.90902615</v>
      </c>
    </row>
    <row r="4387" spans="1:2" x14ac:dyDescent="0.25">
      <c r="A4387">
        <f ca="1">35530.3890686446*((RANDBETWEEN(1587,2416)))</f>
        <v>59619992.857185647</v>
      </c>
      <c r="B4387">
        <v>245450222.5183467</v>
      </c>
    </row>
    <row r="4388" spans="1:2" x14ac:dyDescent="0.25">
      <c r="A4388">
        <f ca="1">34768.3245128719*((RANDBETWEEN(1587,2416)))</f>
        <v>78228730.153961852</v>
      </c>
      <c r="B4388">
        <v>213760484.30600637</v>
      </c>
    </row>
    <row r="4389" spans="1:2" x14ac:dyDescent="0.25">
      <c r="A4389">
        <f ca="1">26970.9463568133*((RANDBETWEEN(1587,2416)))</f>
        <v>54993759.621542364</v>
      </c>
      <c r="B4389">
        <v>215934829.07643622</v>
      </c>
    </row>
    <row r="4390" spans="1:2" x14ac:dyDescent="0.25">
      <c r="A4390">
        <f ca="1">31881.6041472517*((RANDBETWEEN(1587,2416)))</f>
        <v>57004308.215286009</v>
      </c>
      <c r="B4390">
        <v>248631798.69595522</v>
      </c>
    </row>
    <row r="4391" spans="1:2" x14ac:dyDescent="0.25">
      <c r="A4391">
        <f ca="1">40669.8916944127*((RANDBETWEEN(1587,2416)))</f>
        <v>81095764.038659126</v>
      </c>
      <c r="B4391">
        <v>237509880.47855502</v>
      </c>
    </row>
    <row r="4392" spans="1:2" x14ac:dyDescent="0.25">
      <c r="A4392">
        <f ca="1">30868.8652004209*((RANDBETWEEN(1587,2416)))</f>
        <v>50933627.580694512</v>
      </c>
      <c r="B4392">
        <v>239576970.46118501</v>
      </c>
    </row>
    <row r="4393" spans="1:2" x14ac:dyDescent="0.25">
      <c r="A4393">
        <f ca="1">30698.4965294351*((RANDBETWEEN(1587,2416)))</f>
        <v>54735419.311982736</v>
      </c>
      <c r="B4393">
        <v>221881929.4448069</v>
      </c>
    </row>
    <row r="4394" spans="1:2" x14ac:dyDescent="0.25">
      <c r="A4394">
        <f ca="1">35362.9515543102*((RANDBETWEEN(1587,2416)))</f>
        <v>74014657.603171214</v>
      </c>
      <c r="B4394">
        <v>204268828.27869049</v>
      </c>
    </row>
    <row r="4395" spans="1:2" x14ac:dyDescent="0.25">
      <c r="A4395">
        <f ca="1">32462.9267533785*((RANDBETWEEN(1587,2416)))</f>
        <v>71807993.978473216</v>
      </c>
      <c r="B4395">
        <v>243906331.09401333</v>
      </c>
    </row>
    <row r="4396" spans="1:2" x14ac:dyDescent="0.25">
      <c r="A4396">
        <f ca="1">35878.357634971*((RANDBETWEEN(1587,2416)))</f>
        <v>57728277.434668288</v>
      </c>
      <c r="B4396">
        <v>212641284.94870913</v>
      </c>
    </row>
    <row r="4397" spans="1:2" x14ac:dyDescent="0.25">
      <c r="A4397">
        <f ca="1">34299.3151083222*((RANDBETWEEN(1587,2416)))</f>
        <v>80980682.970748723</v>
      </c>
      <c r="B4397">
        <v>265651717.46649641</v>
      </c>
    </row>
    <row r="4398" spans="1:2" x14ac:dyDescent="0.25">
      <c r="A4398">
        <f ca="1">39759.0483457814*((RANDBETWEEN(1587,2416)))</f>
        <v>70095202.233612522</v>
      </c>
      <c r="B4398">
        <v>248814888.22676164</v>
      </c>
    </row>
    <row r="4399" spans="1:2" x14ac:dyDescent="0.25">
      <c r="A4399">
        <f ca="1">32135.0487738984*((RANDBETWEEN(1587,2416)))</f>
        <v>54950933.403366201</v>
      </c>
      <c r="B4399">
        <v>239492646.93496022</v>
      </c>
    </row>
    <row r="4400" spans="1:2" x14ac:dyDescent="0.25">
      <c r="A4400">
        <f ca="1">31825.130632879*((RANDBETWEEN(1587,2416)))</f>
        <v>54389148.251590155</v>
      </c>
      <c r="B4400">
        <v>211737394.87113219</v>
      </c>
    </row>
    <row r="4401" spans="1:2" x14ac:dyDescent="0.25">
      <c r="A4401">
        <f ca="1">31938.0808144897*((RANDBETWEEN(1587,2416)))</f>
        <v>68954316.47848326</v>
      </c>
      <c r="B4401">
        <v>220558949.81951559</v>
      </c>
    </row>
    <row r="4402" spans="1:2" x14ac:dyDescent="0.25">
      <c r="A4402">
        <f ca="1">34831.9205884833*((RANDBETWEEN(1587,2416)))</f>
        <v>57228845.526878133</v>
      </c>
      <c r="B4402">
        <v>240401697.32830751</v>
      </c>
    </row>
    <row r="4403" spans="1:2" x14ac:dyDescent="0.25">
      <c r="A4403">
        <f ca="1">31590.4217292989*((RANDBETWEEN(1587,2416)))</f>
        <v>65676486.775212452</v>
      </c>
      <c r="B4403">
        <v>265878209.05033898</v>
      </c>
    </row>
    <row r="4404" spans="1:2" x14ac:dyDescent="0.25">
      <c r="A4404">
        <f ca="1">40056.4310023169*((RANDBETWEEN(1587,2416)))</f>
        <v>68015819.841934085</v>
      </c>
      <c r="B4404">
        <v>212024380.5609346</v>
      </c>
    </row>
    <row r="4405" spans="1:2" x14ac:dyDescent="0.25">
      <c r="A4405">
        <f ca="1">34059.9177238567*((RANDBETWEEN(1587,2416)))</f>
        <v>75408657.84061864</v>
      </c>
      <c r="B4405">
        <v>229362366.63925594</v>
      </c>
    </row>
    <row r="4406" spans="1:2" x14ac:dyDescent="0.25">
      <c r="A4406">
        <f ca="1">30689.615250276*((RANDBETWEEN(1587,2416)))</f>
        <v>51128899.006959774</v>
      </c>
      <c r="B4406">
        <v>261634892.94643581</v>
      </c>
    </row>
    <row r="4407" spans="1:2" x14ac:dyDescent="0.25">
      <c r="A4407">
        <f ca="1">32590.4252665057*((RANDBETWEEN(1587,2416)))</f>
        <v>73393637.700170755</v>
      </c>
      <c r="B4407">
        <v>234633861.29064277</v>
      </c>
    </row>
    <row r="4408" spans="1:2" x14ac:dyDescent="0.25">
      <c r="A4408">
        <f ca="1">35042.1187435208*((RANDBETWEEN(1587,2416)))</f>
        <v>56593021.770786032</v>
      </c>
      <c r="B4408">
        <v>231103782.93383887</v>
      </c>
    </row>
    <row r="4409" spans="1:2" x14ac:dyDescent="0.25">
      <c r="A4409">
        <f ca="1">30925.821160767*((RANDBETWEEN(1587,2416)))</f>
        <v>68686248.798063427</v>
      </c>
      <c r="B4409">
        <v>229391937.29211354</v>
      </c>
    </row>
    <row r="4410" spans="1:2" x14ac:dyDescent="0.25">
      <c r="A4410">
        <f ca="1">36729.5079490827*((RANDBETWEEN(1587,2416)))</f>
        <v>59685450.417259417</v>
      </c>
      <c r="B4410">
        <v>228202648.3036021</v>
      </c>
    </row>
    <row r="4411" spans="1:2" x14ac:dyDescent="0.25">
      <c r="A4411">
        <f ca="1">30844.547819611*((RANDBETWEEN(1587,2416)))</f>
        <v>59961800.961323701</v>
      </c>
      <c r="B4411">
        <v>264866280.09764829</v>
      </c>
    </row>
    <row r="4412" spans="1:2" x14ac:dyDescent="0.25">
      <c r="A4412">
        <f ca="1">32050.5224832443*((RANDBETWEEN(1587,2416)))</f>
        <v>61088295.853063554</v>
      </c>
      <c r="B4412">
        <v>232647637.60044664</v>
      </c>
    </row>
    <row r="4413" spans="1:2" x14ac:dyDescent="0.25">
      <c r="A4413">
        <f ca="1">37663.5501622631*((RANDBETWEEN(1587,2416)))</f>
        <v>87454763.476774931</v>
      </c>
      <c r="B4413">
        <v>207654436.63096017</v>
      </c>
    </row>
    <row r="4414" spans="1:2" x14ac:dyDescent="0.25">
      <c r="A4414">
        <f ca="1">31512.6107964786*((RANDBETWEEN(1587,2416)))</f>
        <v>73424383.155795217</v>
      </c>
      <c r="B4414">
        <v>232375015.07574505</v>
      </c>
    </row>
    <row r="4415" spans="1:2" x14ac:dyDescent="0.25">
      <c r="A4415">
        <f ca="1">38246.497252015*((RANDBETWEEN(1587,2416)))</f>
        <v>74427683.652421132</v>
      </c>
      <c r="B4415">
        <v>267521053.64911863</v>
      </c>
    </row>
    <row r="4416" spans="1:2" x14ac:dyDescent="0.25">
      <c r="A4416">
        <f ca="1">28755.3347855186*((RANDBETWEEN(1587,2416)))</f>
        <v>57251871.557967573</v>
      </c>
      <c r="B4416">
        <v>245613400.51052651</v>
      </c>
    </row>
    <row r="4417" spans="1:2" x14ac:dyDescent="0.25">
      <c r="A4417">
        <f ca="1">39197.4915845475*((RANDBETWEEN(1587,2416)))</f>
        <v>65538205.92936337</v>
      </c>
      <c r="B4417">
        <v>264586167.92515385</v>
      </c>
    </row>
    <row r="4418" spans="1:2" x14ac:dyDescent="0.25">
      <c r="A4418">
        <f ca="1">33101.9229427661*((RANDBETWEEN(1587,2416)))</f>
        <v>55909147.850331888</v>
      </c>
      <c r="B4418">
        <v>217866784.86858302</v>
      </c>
    </row>
    <row r="4419" spans="1:2" x14ac:dyDescent="0.25">
      <c r="A4419">
        <f ca="1">42751.1642162579*((RANDBETWEEN(1587,2416)))</f>
        <v>85374074.939867049</v>
      </c>
      <c r="B4419">
        <v>262819039.13894546</v>
      </c>
    </row>
    <row r="4420" spans="1:2" x14ac:dyDescent="0.25">
      <c r="A4420">
        <f ca="1">33485.6527576582*((RANDBETWEEN(1587,2416)))</f>
        <v>63488797.628519893</v>
      </c>
      <c r="B4420">
        <v>259003110.39552116</v>
      </c>
    </row>
    <row r="4421" spans="1:2" x14ac:dyDescent="0.25">
      <c r="A4421">
        <f ca="1">29148.5554349924*((RANDBETWEEN(1587,2416)))</f>
        <v>63427256.626543529</v>
      </c>
      <c r="B4421">
        <v>225565477.28203762</v>
      </c>
    </row>
    <row r="4422" spans="1:2" x14ac:dyDescent="0.25">
      <c r="A4422">
        <f ca="1">31705.7664608062*((RANDBETWEEN(1587,2416)))</f>
        <v>67596694.094438732</v>
      </c>
      <c r="B4422">
        <v>267886687.57822365</v>
      </c>
    </row>
    <row r="4423" spans="1:2" x14ac:dyDescent="0.25">
      <c r="A4423">
        <f ca="1">30712.8294657509*((RANDBETWEEN(1587,2416)))</f>
        <v>64496941.878076978</v>
      </c>
      <c r="B4423">
        <v>257715619.84618747</v>
      </c>
    </row>
    <row r="4424" spans="1:2" x14ac:dyDescent="0.25">
      <c r="A4424">
        <f ca="1">37474.0920439478*((RANDBETWEEN(1587,2416)))</f>
        <v>84316707.098882571</v>
      </c>
      <c r="B4424">
        <v>208614801.28443307</v>
      </c>
    </row>
    <row r="4425" spans="1:2" x14ac:dyDescent="0.25">
      <c r="A4425">
        <f ca="1">31292.9616213619*((RANDBETWEEN(1587,2416)))</f>
        <v>58674303.040053479</v>
      </c>
      <c r="B4425">
        <v>241970588.04936931</v>
      </c>
    </row>
    <row r="4426" spans="1:2" x14ac:dyDescent="0.25">
      <c r="A4426">
        <f ca="1">31280.585455685*((RANDBETWEEN(1587,2416)))</f>
        <v>72477116.500822082</v>
      </c>
      <c r="B4426">
        <v>224299179.14234465</v>
      </c>
    </row>
    <row r="4427" spans="1:2" x14ac:dyDescent="0.25">
      <c r="A4427">
        <f ca="1">31189.3319035295*((RANDBETWEEN(1587,2416)))</f>
        <v>56109608.094449595</v>
      </c>
      <c r="B4427">
        <v>203876724.55616438</v>
      </c>
    </row>
    <row r="4428" spans="1:2" x14ac:dyDescent="0.25">
      <c r="A4428">
        <f ca="1">37414.9324575906*((RANDBETWEEN(1587,2416)))</f>
        <v>68544156.26230596</v>
      </c>
      <c r="B4428">
        <v>250363576.09333605</v>
      </c>
    </row>
    <row r="4429" spans="1:2" x14ac:dyDescent="0.25">
      <c r="A4429">
        <f ca="1">40502.3748909825*((RANDBETWEEN(1587,2416)))</f>
        <v>86391565.64246577</v>
      </c>
      <c r="B4429">
        <v>230500902.99439204</v>
      </c>
    </row>
    <row r="4430" spans="1:2" x14ac:dyDescent="0.25">
      <c r="A4430">
        <f ca="1">32817.9559975761*((RANDBETWEEN(1587,2416)))</f>
        <v>62452570.263387404</v>
      </c>
      <c r="B4430">
        <v>264544677.01968473</v>
      </c>
    </row>
    <row r="4431" spans="1:2" x14ac:dyDescent="0.25">
      <c r="A4431">
        <f ca="1">34909.5889158837*((RANDBETWEEN(1587,2416)))</f>
        <v>83329188.742214411</v>
      </c>
      <c r="B4431">
        <v>259391577.66864598</v>
      </c>
    </row>
    <row r="4432" spans="1:2" x14ac:dyDescent="0.25">
      <c r="A4432">
        <f ca="1">31706.3991114063*((RANDBETWEEN(1587,2416)))</f>
        <v>74192973.920690745</v>
      </c>
      <c r="B4432">
        <v>235111108.06297344</v>
      </c>
    </row>
    <row r="4433" spans="1:2" x14ac:dyDescent="0.25">
      <c r="A4433">
        <f ca="1">38234.5132719424*((RANDBETWEEN(1587,2416)))</f>
        <v>61213455.748379797</v>
      </c>
      <c r="B4433">
        <v>251031643.57971144</v>
      </c>
    </row>
    <row r="4434" spans="1:2" x14ac:dyDescent="0.25">
      <c r="A4434">
        <f ca="1">32691.3885866731*((RANDBETWEEN(1587,2416)))</f>
        <v>59727166.947851822</v>
      </c>
      <c r="B4434">
        <v>211591607.91739261</v>
      </c>
    </row>
    <row r="4435" spans="1:2" x14ac:dyDescent="0.25">
      <c r="A4435">
        <f ca="1">31196.2313623365*((RANDBETWEEN(1587,2416)))</f>
        <v>60489492.611570507</v>
      </c>
      <c r="B4435">
        <v>209195161.55391169</v>
      </c>
    </row>
    <row r="4436" spans="1:2" x14ac:dyDescent="0.25">
      <c r="A4436">
        <f ca="1">39800.1648928171*((RANDBETWEEN(1587,2416)))</f>
        <v>69928889.716679633</v>
      </c>
      <c r="B4436">
        <v>225522893.67406669</v>
      </c>
    </row>
    <row r="4437" spans="1:2" x14ac:dyDescent="0.25">
      <c r="A4437">
        <f ca="1">33440.4740163046*((RANDBETWEEN(1587,2416)))</f>
        <v>73569042.835870147</v>
      </c>
      <c r="B4437">
        <v>264556190.49804497</v>
      </c>
    </row>
    <row r="4438" spans="1:2" x14ac:dyDescent="0.25">
      <c r="A4438">
        <f ca="1">30187.9882210843*((RANDBETWEEN(1587,2416)))</f>
        <v>70760644.3902217</v>
      </c>
      <c r="B4438">
        <v>212192356.03172547</v>
      </c>
    </row>
    <row r="4439" spans="1:2" x14ac:dyDescent="0.25">
      <c r="A4439">
        <f ca="1">32971.9748861213*((RANDBETWEEN(1587,2416)))</f>
        <v>63141331.906922378</v>
      </c>
      <c r="B4439">
        <v>211710111.87621719</v>
      </c>
    </row>
    <row r="4440" spans="1:2" x14ac:dyDescent="0.25">
      <c r="A4440">
        <f ca="1">42017.6920977132*((RANDBETWEEN(1587,2416)))</f>
        <v>66934183.511657096</v>
      </c>
      <c r="B4440">
        <v>232792225.01847917</v>
      </c>
    </row>
    <row r="4441" spans="1:2" x14ac:dyDescent="0.25">
      <c r="A4441">
        <f ca="1">33490.4573740844*((RANDBETWEEN(1587,2416)))</f>
        <v>78501632.084853724</v>
      </c>
      <c r="B4441">
        <v>249927520.90876955</v>
      </c>
    </row>
    <row r="4442" spans="1:2" x14ac:dyDescent="0.25">
      <c r="A4442">
        <f ca="1">40923.8295767364*((RANDBETWEEN(1587,2416)))</f>
        <v>78246362.150720015</v>
      </c>
      <c r="B4442">
        <v>248481873.5747751</v>
      </c>
    </row>
    <row r="4443" spans="1:2" x14ac:dyDescent="0.25">
      <c r="A4443">
        <f ca="1">42069.4088965331*((RANDBETWEEN(1587,2416)))</f>
        <v>90617506.763132304</v>
      </c>
      <c r="B4443">
        <v>262996943.84156245</v>
      </c>
    </row>
    <row r="4444" spans="1:2" x14ac:dyDescent="0.25">
      <c r="A4444">
        <f ca="1">31028.8426256367*((RANDBETWEEN(1587,2416)))</f>
        <v>51911253.712690249</v>
      </c>
      <c r="B4444">
        <v>204405822.25966278</v>
      </c>
    </row>
    <row r="4445" spans="1:2" x14ac:dyDescent="0.25">
      <c r="A4445">
        <f ca="1">37735.1285232178*((RANDBETWEEN(1587,2416)))</f>
        <v>73206149.335042477</v>
      </c>
      <c r="B4445">
        <v>236855395.4474391</v>
      </c>
    </row>
    <row r="4446" spans="1:2" x14ac:dyDescent="0.25">
      <c r="A4446">
        <f ca="1">36072.9870039364*((RANDBETWEEN(1587,2416)))</f>
        <v>85637271.147344992</v>
      </c>
      <c r="B4446">
        <v>228814647.25281134</v>
      </c>
    </row>
    <row r="4447" spans="1:2" x14ac:dyDescent="0.25">
      <c r="A4447">
        <f ca="1">42243.7168430981*((RANDBETWEEN(1587,2416)))</f>
        <v>84107240.234608397</v>
      </c>
      <c r="B4447">
        <v>206550097.28499246</v>
      </c>
    </row>
    <row r="4448" spans="1:2" x14ac:dyDescent="0.25">
      <c r="A4448">
        <f ca="1">30427.3064629663*((RANDBETWEEN(1587,2416)))</f>
        <v>63349652.055895768</v>
      </c>
      <c r="B4448">
        <v>253172691.76403052</v>
      </c>
    </row>
    <row r="4449" spans="1:2" x14ac:dyDescent="0.25">
      <c r="A4449">
        <f ca="1">32201.187283957*((RANDBETWEEN(1587,2416)))</f>
        <v>59024776.291493095</v>
      </c>
      <c r="B4449">
        <v>257300538.48829094</v>
      </c>
    </row>
    <row r="4450" spans="1:2" x14ac:dyDescent="0.25">
      <c r="A4450">
        <f ca="1">31049.5942218873*((RANDBETWEEN(1587,2416)))</f>
        <v>59894667.254020587</v>
      </c>
      <c r="B4450">
        <v>265412252.88651192</v>
      </c>
    </row>
    <row r="4451" spans="1:2" x14ac:dyDescent="0.25">
      <c r="A4451">
        <f ca="1">35513.3909534643*((RANDBETWEEN(1587,2416)))</f>
        <v>70849214.952161223</v>
      </c>
      <c r="B4451">
        <v>229125933.41917837</v>
      </c>
    </row>
    <row r="4452" spans="1:2" x14ac:dyDescent="0.25">
      <c r="A4452">
        <f ca="1">29972.2684244406*((RANDBETWEEN(1587,2416)))</f>
        <v>62282373.785987519</v>
      </c>
      <c r="B4452">
        <v>223520293.87846208</v>
      </c>
    </row>
    <row r="4453" spans="1:2" x14ac:dyDescent="0.25">
      <c r="A4453">
        <f ca="1">39159.2098458799*((RANDBETWEEN(1587,2416)))</f>
        <v>72405379.005032003</v>
      </c>
      <c r="B4453">
        <v>229347328.24802491</v>
      </c>
    </row>
    <row r="4454" spans="1:2" x14ac:dyDescent="0.25">
      <c r="A4454">
        <f ca="1">31362.4731793268*((RANDBETWEEN(1587,2416)))</f>
        <v>72510037.9906037</v>
      </c>
      <c r="B4454">
        <v>249868987.90872413</v>
      </c>
    </row>
    <row r="4455" spans="1:2" x14ac:dyDescent="0.25">
      <c r="A4455">
        <f ca="1">33646.5459505431*((RANDBETWEEN(1587,2416)))</f>
        <v>57972998.672785781</v>
      </c>
      <c r="B4455">
        <v>245024790.83077377</v>
      </c>
    </row>
    <row r="4456" spans="1:2" x14ac:dyDescent="0.25">
      <c r="A4456">
        <f ca="1">30621.4305854851*((RANDBETWEEN(1587,2416)))</f>
        <v>53036317.77406013</v>
      </c>
      <c r="B4456">
        <v>223153599.0755704</v>
      </c>
    </row>
    <row r="4457" spans="1:2" x14ac:dyDescent="0.25">
      <c r="A4457">
        <f ca="1">40631.9091027235*((RANDBETWEEN(1587,2416)))</f>
        <v>72771749.202977836</v>
      </c>
      <c r="B4457">
        <v>229695011.5998359</v>
      </c>
    </row>
    <row r="4458" spans="1:2" x14ac:dyDescent="0.25">
      <c r="A4458">
        <f ca="1">30097.6567636381*((RANDBETWEEN(1587,2416)))</f>
        <v>67960508.972294882</v>
      </c>
      <c r="B4458">
        <v>213856703.64260569</v>
      </c>
    </row>
    <row r="4459" spans="1:2" x14ac:dyDescent="0.25">
      <c r="A4459">
        <f ca="1">38864.3353700907*((RANDBETWEEN(1587,2416)))</f>
        <v>89504564.357318982</v>
      </c>
      <c r="B4459">
        <v>252102307.03414041</v>
      </c>
    </row>
    <row r="4460" spans="1:2" x14ac:dyDescent="0.25">
      <c r="A4460">
        <f ca="1">29984.6236282643*((RANDBETWEEN(1587,2416)))</f>
        <v>68065095.636159956</v>
      </c>
      <c r="B4460">
        <v>210073103.82014012</v>
      </c>
    </row>
    <row r="4461" spans="1:2" x14ac:dyDescent="0.25">
      <c r="A4461">
        <f ca="1">30904.3429745606*((RANDBETWEEN(1587,2416)))</f>
        <v>53742652.432760835</v>
      </c>
      <c r="B4461">
        <v>263076861.35593981</v>
      </c>
    </row>
    <row r="4462" spans="1:2" x14ac:dyDescent="0.25">
      <c r="A4462">
        <f ca="1">33417.026204536*((RANDBETWEEN(1587,2416)))</f>
        <v>77293581.611091718</v>
      </c>
      <c r="B4462">
        <v>260802598.7975387</v>
      </c>
    </row>
    <row r="4463" spans="1:2" x14ac:dyDescent="0.25">
      <c r="A4463">
        <f ca="1">29589.3729430184*((RANDBETWEEN(1587,2416)))</f>
        <v>55835146.743475795</v>
      </c>
      <c r="B4463">
        <v>261504100.51689953</v>
      </c>
    </row>
    <row r="4464" spans="1:2" x14ac:dyDescent="0.25">
      <c r="A4464">
        <f ca="1">30515.1052852037*((RANDBETWEEN(1587,2416)))</f>
        <v>54011736.354810633</v>
      </c>
      <c r="B4464">
        <v>249695633.30621836</v>
      </c>
    </row>
    <row r="4465" spans="1:2" x14ac:dyDescent="0.25">
      <c r="A4465">
        <f ca="1">35712.8103001289*((RANDBETWEEN(1587,2416)))</f>
        <v>73961230.131566882</v>
      </c>
      <c r="B4465">
        <v>227628440.78593218</v>
      </c>
    </row>
    <row r="4466" spans="1:2" x14ac:dyDescent="0.25">
      <c r="A4466">
        <f ca="1">29669.9601280776*((RANDBETWEEN(1587,2416)))</f>
        <v>55660845.200273506</v>
      </c>
      <c r="B4466">
        <v>262038255.94750705</v>
      </c>
    </row>
    <row r="4467" spans="1:2" x14ac:dyDescent="0.25">
      <c r="A4467">
        <f ca="1">29952.0869142552*((RANDBETWEEN(1587,2416)))</f>
        <v>61881011.564851165</v>
      </c>
      <c r="B4467">
        <v>242161279.84553516</v>
      </c>
    </row>
    <row r="4468" spans="1:2" x14ac:dyDescent="0.25">
      <c r="A4468">
        <f ca="1">28111.5416676365*((RANDBETWEEN(1587,2416)))</f>
        <v>59568356.793721728</v>
      </c>
      <c r="B4468">
        <v>245020266.95293286</v>
      </c>
    </row>
    <row r="4469" spans="1:2" x14ac:dyDescent="0.25">
      <c r="A4469">
        <f ca="1">34984.5737234072*((RANDBETWEEN(1587,2416)))</f>
        <v>66995458.680324733</v>
      </c>
      <c r="B4469">
        <v>236139290.9957369</v>
      </c>
    </row>
    <row r="4470" spans="1:2" x14ac:dyDescent="0.25">
      <c r="A4470">
        <f ca="1">41124.4244450831*((RANDBETWEEN(1587,2416)))</f>
        <v>83934950.292414606</v>
      </c>
      <c r="B4470">
        <v>226581148.77662054</v>
      </c>
    </row>
    <row r="4471" spans="1:2" x14ac:dyDescent="0.25">
      <c r="A4471">
        <f ca="1">28704.6083131622*((RANDBETWEEN(1587,2416)))</f>
        <v>49257107.8653863</v>
      </c>
      <c r="B4471">
        <v>259166588.99224561</v>
      </c>
    </row>
    <row r="4472" spans="1:2" x14ac:dyDescent="0.25">
      <c r="A4472">
        <f ca="1">36834.189242865*((RANDBETWEEN(1587,2416)))</f>
        <v>59118873.734798349</v>
      </c>
      <c r="B4472">
        <v>225943897.77196831</v>
      </c>
    </row>
    <row r="4473" spans="1:2" x14ac:dyDescent="0.25">
      <c r="A4473">
        <f ca="1">29660.0050421963*((RANDBETWEEN(1587,2416)))</f>
        <v>69641691.839076906</v>
      </c>
      <c r="B4473">
        <v>253428024.83608058</v>
      </c>
    </row>
    <row r="4474" spans="1:2" x14ac:dyDescent="0.25">
      <c r="A4474">
        <f ca="1">32927.526360662*((RANDBETWEEN(1587,2416)))</f>
        <v>55449954.391354859</v>
      </c>
      <c r="B4474">
        <v>254069087.35298491</v>
      </c>
    </row>
    <row r="4475" spans="1:2" x14ac:dyDescent="0.25">
      <c r="A4475">
        <f ca="1">34312.8217495242*((RANDBETWEEN(1587,2416)))</f>
        <v>78782238.736907467</v>
      </c>
      <c r="B4475">
        <v>214507283.16193777</v>
      </c>
    </row>
    <row r="4476" spans="1:2" x14ac:dyDescent="0.25">
      <c r="A4476">
        <f ca="1">32048.668313982*((RANDBETWEEN(1587,2416)))</f>
        <v>71821065.691633731</v>
      </c>
      <c r="B4476">
        <v>209690311.53960717</v>
      </c>
    </row>
    <row r="4477" spans="1:2" x14ac:dyDescent="0.25">
      <c r="A4477">
        <f ca="1">40138.2601828019*((RANDBETWEEN(1587,2416)))</f>
        <v>67552691.887655675</v>
      </c>
      <c r="B4477">
        <v>239677691.9894034</v>
      </c>
    </row>
    <row r="4478" spans="1:2" x14ac:dyDescent="0.25">
      <c r="A4478">
        <f ca="1">41364.8604670142*((RANDBETWEEN(1587,2416)))</f>
        <v>91705895.655370429</v>
      </c>
      <c r="B4478">
        <v>229430004.30129313</v>
      </c>
    </row>
    <row r="4479" spans="1:2" x14ac:dyDescent="0.25">
      <c r="A4479">
        <f ca="1">41670.2880657919*((RANDBETWEEN(1587,2416)))</f>
        <v>82173808.065741584</v>
      </c>
      <c r="B4479">
        <v>209082687.60275817</v>
      </c>
    </row>
    <row r="4480" spans="1:2" x14ac:dyDescent="0.25">
      <c r="A4480">
        <f ca="1">33925.9190531586*((RANDBETWEEN(1587,2416)))</f>
        <v>66732282.777562909</v>
      </c>
      <c r="B4480">
        <v>241465144.93448144</v>
      </c>
    </row>
    <row r="4481" spans="1:2" x14ac:dyDescent="0.25">
      <c r="A4481">
        <f ca="1">32452.5344130715*((RANDBETWEEN(1587,2416)))</f>
        <v>73861968.324150696</v>
      </c>
      <c r="B4481">
        <v>221284234.45298737</v>
      </c>
    </row>
    <row r="4482" spans="1:2" x14ac:dyDescent="0.25">
      <c r="A4482">
        <f ca="1">30843.6478624669*((RANDBETWEEN(1587,2416)))</f>
        <v>49935865.889333934</v>
      </c>
      <c r="B4482">
        <v>252620394.03263032</v>
      </c>
    </row>
    <row r="4483" spans="1:2" x14ac:dyDescent="0.25">
      <c r="A4483">
        <f ca="1">34553.5138759659*((RANDBETWEEN(1587,2416)))</f>
        <v>54870980.035033867</v>
      </c>
      <c r="B4483">
        <v>236278943.77204603</v>
      </c>
    </row>
    <row r="4484" spans="1:2" x14ac:dyDescent="0.25">
      <c r="A4484">
        <f ca="1">31720.4930013414*((RANDBETWEEN(1587,2416)))</f>
        <v>62077004.803625211</v>
      </c>
      <c r="B4484">
        <v>249747928.54370508</v>
      </c>
    </row>
    <row r="4485" spans="1:2" x14ac:dyDescent="0.25">
      <c r="A4485">
        <f ca="1">30796.6205609478*((RANDBETWEEN(1587,2416)))</f>
        <v>71725329.286447406</v>
      </c>
      <c r="B4485">
        <v>241744625.31011742</v>
      </c>
    </row>
    <row r="4486" spans="1:2" x14ac:dyDescent="0.25">
      <c r="A4486">
        <f ca="1">34766.8047132631*((RANDBETWEEN(1587,2416)))</f>
        <v>61154809.490629748</v>
      </c>
      <c r="B4486">
        <v>207893223.37796777</v>
      </c>
    </row>
    <row r="4487" spans="1:2" x14ac:dyDescent="0.25">
      <c r="A4487">
        <f ca="1">29300.7183793581*((RANDBETWEEN(1587,2416)))</f>
        <v>47642968.084836312</v>
      </c>
      <c r="B4487">
        <v>259512904.26545975</v>
      </c>
    </row>
    <row r="4488" spans="1:2" x14ac:dyDescent="0.25">
      <c r="A4488">
        <f ca="1">30865.5806205991*((RANDBETWEEN(1587,2416)))</f>
        <v>49817047.121646889</v>
      </c>
      <c r="B4488">
        <v>205219247.76185057</v>
      </c>
    </row>
    <row r="4489" spans="1:2" x14ac:dyDescent="0.25">
      <c r="A4489">
        <f ca="1">40604.2404074047*((RANDBETWEEN(1587,2416)))</f>
        <v>68255728.124847233</v>
      </c>
      <c r="B4489">
        <v>255153591.09706295</v>
      </c>
    </row>
    <row r="4490" spans="1:2" x14ac:dyDescent="0.25">
      <c r="A4490">
        <f ca="1">37767.213944047*((RANDBETWEEN(1587,2416)))</f>
        <v>72626352.41440241</v>
      </c>
      <c r="B4490">
        <v>263161692.23661682</v>
      </c>
    </row>
    <row r="4491" spans="1:2" x14ac:dyDescent="0.25">
      <c r="A4491">
        <f ca="1">39640.1194865516*((RANDBETWEEN(1587,2416)))</f>
        <v>63662031.895401858</v>
      </c>
      <c r="B4491">
        <v>256000505.6791577</v>
      </c>
    </row>
    <row r="4492" spans="1:2" x14ac:dyDescent="0.25">
      <c r="A4492">
        <f ca="1">33080.5185961419*((RANDBETWEEN(1587,2416)))</f>
        <v>65697909.931937836</v>
      </c>
      <c r="B4492">
        <v>232835339.97064066</v>
      </c>
    </row>
    <row r="4493" spans="1:2" x14ac:dyDescent="0.25">
      <c r="A4493">
        <f ca="1">37951.7120299477*((RANDBETWEEN(1587,2416)))</f>
        <v>91273867.432024121</v>
      </c>
      <c r="B4493">
        <v>229233736.60227001</v>
      </c>
    </row>
    <row r="4494" spans="1:2" x14ac:dyDescent="0.25">
      <c r="A4494">
        <f ca="1">31071.1310950066*((RANDBETWEEN(1587,2416)))</f>
        <v>66678647.329884171</v>
      </c>
      <c r="B4494">
        <v>254916363.89670339</v>
      </c>
    </row>
    <row r="4495" spans="1:2" x14ac:dyDescent="0.25">
      <c r="A4495">
        <f ca="1">31995.6210176611*((RANDBETWEEN(1587,2416)))</f>
        <v>69366506.366289213</v>
      </c>
      <c r="B4495">
        <v>214026470.67915016</v>
      </c>
    </row>
    <row r="4496" spans="1:2" x14ac:dyDescent="0.25">
      <c r="A4496">
        <f ca="1">39495.4563326961*((RANDBETWEEN(1587,2416)))</f>
        <v>64456584.734960094</v>
      </c>
      <c r="B4496">
        <v>256901008.58503416</v>
      </c>
    </row>
    <row r="4497" spans="1:2" x14ac:dyDescent="0.25">
      <c r="A4497">
        <f ca="1">31144.0212837427*((RANDBETWEEN(1587,2416)))</f>
        <v>51979371.522566624</v>
      </c>
      <c r="B4497">
        <v>205942494.36043704</v>
      </c>
    </row>
    <row r="4498" spans="1:2" x14ac:dyDescent="0.25">
      <c r="A4498">
        <f ca="1">41433.7253025124*((RANDBETWEEN(1587,2416)))</f>
        <v>99358073.275424734</v>
      </c>
      <c r="B4498">
        <v>250595982.18035704</v>
      </c>
    </row>
    <row r="4499" spans="1:2" x14ac:dyDescent="0.25">
      <c r="A4499">
        <f ca="1">31621.8379946585*((RANDBETWEEN(1587,2416)))</f>
        <v>68777497.638382211</v>
      </c>
      <c r="B4499">
        <v>219790484.14323413</v>
      </c>
    </row>
    <row r="4500" spans="1:2" x14ac:dyDescent="0.25">
      <c r="A4500">
        <f ca="1">35127.1663667751*((RANDBETWEEN(1587,2416)))</f>
        <v>77139257.341438204</v>
      </c>
      <c r="B4500">
        <v>247348947.72248596</v>
      </c>
    </row>
    <row r="4501" spans="1:2" x14ac:dyDescent="0.25">
      <c r="A4501">
        <f ca="1">31186.7871925835*((RANDBETWEEN(1587,2416)))</f>
        <v>70544512.629623771</v>
      </c>
      <c r="B4501">
        <v>258114801.10440913</v>
      </c>
    </row>
    <row r="4502" spans="1:2" x14ac:dyDescent="0.25">
      <c r="A4502">
        <f ca="1">33260.6709945539*((RANDBETWEEN(1587,2416)))</f>
        <v>78728008.24410899</v>
      </c>
      <c r="B4502">
        <v>240234473.47551018</v>
      </c>
    </row>
    <row r="4503" spans="1:2" x14ac:dyDescent="0.25">
      <c r="A4503">
        <f ca="1">36894.8025565784*((RANDBETWEEN(1587,2416)))</f>
        <v>80984091.611689612</v>
      </c>
      <c r="B4503">
        <v>212518575.96405888</v>
      </c>
    </row>
    <row r="4504" spans="1:2" x14ac:dyDescent="0.25">
      <c r="A4504">
        <f ca="1">34754.3191995977*((RANDBETWEEN(1587,2416)))</f>
        <v>83896926.547828749</v>
      </c>
      <c r="B4504">
        <v>225663697.94785592</v>
      </c>
    </row>
    <row r="4505" spans="1:2" x14ac:dyDescent="0.25">
      <c r="A4505">
        <f ca="1">31663.6803567891*((RANDBETWEEN(1587,2416)))</f>
        <v>70388361.43314223</v>
      </c>
      <c r="B4505">
        <v>253334522.83727112</v>
      </c>
    </row>
    <row r="4506" spans="1:2" x14ac:dyDescent="0.25">
      <c r="A4506">
        <f ca="1">40201.5933964221*((RANDBETWEEN(1587,2416)))</f>
        <v>65850209.983339347</v>
      </c>
      <c r="B4506">
        <v>242070356.9390364</v>
      </c>
    </row>
    <row r="4507" spans="1:2" x14ac:dyDescent="0.25">
      <c r="A4507">
        <f ca="1">36908.5197903717*((RANDBETWEEN(1587,2416)))</f>
        <v>88174453.77919811</v>
      </c>
      <c r="B4507">
        <v>255719116.01032573</v>
      </c>
    </row>
    <row r="4508" spans="1:2" x14ac:dyDescent="0.25">
      <c r="A4508">
        <f ca="1">30555.8223358928*((RANDBETWEEN(1587,2416)))</f>
        <v>69820054.037515029</v>
      </c>
      <c r="B4508">
        <v>248836133.87710837</v>
      </c>
    </row>
    <row r="4509" spans="1:2" x14ac:dyDescent="0.25">
      <c r="A4509">
        <f ca="1">32955.8901074573*((RANDBETWEEN(1587,2416)))</f>
        <v>78270239.005211025</v>
      </c>
      <c r="B4509">
        <v>223391348.37284905</v>
      </c>
    </row>
    <row r="4510" spans="1:2" x14ac:dyDescent="0.25">
      <c r="A4510">
        <f ca="1">37034.5117540231*((RANDBETWEEN(1587,2416)))</f>
        <v>86586688.480906054</v>
      </c>
      <c r="B4510">
        <v>214174778.3927547</v>
      </c>
    </row>
    <row r="4511" spans="1:2" x14ac:dyDescent="0.25">
      <c r="A4511">
        <f ca="1">33866.4454259455*((RANDBETWEEN(1587,2416)))</f>
        <v>75962437.090395823</v>
      </c>
      <c r="B4511">
        <v>216651339.37822601</v>
      </c>
    </row>
    <row r="4512" spans="1:2" x14ac:dyDescent="0.25">
      <c r="A4512">
        <f ca="1">37617.7970713035*((RANDBETWEEN(1587,2416)))</f>
        <v>76890777.213744268</v>
      </c>
      <c r="B4512">
        <v>215424527.04452479</v>
      </c>
    </row>
    <row r="4513" spans="1:2" x14ac:dyDescent="0.25">
      <c r="A4513">
        <f ca="1">33598.991773633*((RANDBETWEEN(1587,2416)))</f>
        <v>53825584.821360044</v>
      </c>
      <c r="B4513">
        <v>259814751.23043928</v>
      </c>
    </row>
    <row r="4514" spans="1:2" x14ac:dyDescent="0.25">
      <c r="A4514">
        <f ca="1">29417.6093696169*((RANDBETWEEN(1587,2416)))</f>
        <v>63777377.1133295</v>
      </c>
      <c r="B4514">
        <v>218732450.88831916</v>
      </c>
    </row>
    <row r="4515" spans="1:2" x14ac:dyDescent="0.25">
      <c r="A4515">
        <f ca="1">31284.6740958077*((RANDBETWEEN(1587,2416)))</f>
        <v>71954750.420357615</v>
      </c>
      <c r="B4515">
        <v>221912605.58819041</v>
      </c>
    </row>
    <row r="4516" spans="1:2" x14ac:dyDescent="0.25">
      <c r="A4516">
        <f ca="1">39749.3615440117*((RANDBETWEEN(1587,2416)))</f>
        <v>90588794.958802611</v>
      </c>
      <c r="B4516">
        <v>238908088.42759085</v>
      </c>
    </row>
    <row r="4517" spans="1:2" x14ac:dyDescent="0.25">
      <c r="A4517">
        <f ca="1">34943.9487843525*((RANDBETWEEN(1587,2416)))</f>
        <v>84389636.31421122</v>
      </c>
      <c r="B4517">
        <v>217433299.92211261</v>
      </c>
    </row>
    <row r="4518" spans="1:2" x14ac:dyDescent="0.25">
      <c r="A4518">
        <f ca="1">33288.9229210932*((RANDBETWEEN(1587,2416)))</f>
        <v>71071850.436533913</v>
      </c>
      <c r="B4518">
        <v>258308175.84870353</v>
      </c>
    </row>
    <row r="4519" spans="1:2" x14ac:dyDescent="0.25">
      <c r="A4519">
        <f ca="1">30946.0274661429*((RANDBETWEEN(1587,2416)))</f>
        <v>67617070.013522178</v>
      </c>
      <c r="B4519">
        <v>228413591.81400841</v>
      </c>
    </row>
    <row r="4520" spans="1:2" x14ac:dyDescent="0.25">
      <c r="A4520">
        <f ca="1">29263.0126751502*((RANDBETWEEN(1587,2416)))</f>
        <v>65110203.202209085</v>
      </c>
      <c r="B4520">
        <v>225651993.82093731</v>
      </c>
    </row>
    <row r="4521" spans="1:2" x14ac:dyDescent="0.25">
      <c r="A4521">
        <f ca="1">33783.5558339986*((RANDBETWEEN(1587,2416)))</f>
        <v>72668428.598931029</v>
      </c>
      <c r="B4521">
        <v>223377874.21800801</v>
      </c>
    </row>
    <row r="4522" spans="1:2" x14ac:dyDescent="0.25">
      <c r="A4522">
        <f ca="1">31802.5539551903*((RANDBETWEEN(1587,2416)))</f>
        <v>72891453.665296063</v>
      </c>
      <c r="B4522">
        <v>225388644.48484284</v>
      </c>
    </row>
    <row r="4523" spans="1:2" x14ac:dyDescent="0.25">
      <c r="A4523">
        <f ca="1">40148.1791098005*((RANDBETWEEN(1587,2416)))</f>
        <v>81300062.697345942</v>
      </c>
      <c r="B4523">
        <v>206138764.97245562</v>
      </c>
    </row>
    <row r="4524" spans="1:2" x14ac:dyDescent="0.25">
      <c r="A4524">
        <f ca="1">30982.4807201792*((RANDBETWEEN(1587,2416)))</f>
        <v>53258884.357988097</v>
      </c>
      <c r="B4524">
        <v>241304404.41632792</v>
      </c>
    </row>
    <row r="4525" spans="1:2" x14ac:dyDescent="0.25">
      <c r="A4525">
        <f ca="1">32244.0162505369*((RANDBETWEEN(1587,2416)))</f>
        <v>61295874.89227058</v>
      </c>
      <c r="B4525">
        <v>204839475.63575077</v>
      </c>
    </row>
    <row r="4526" spans="1:2" x14ac:dyDescent="0.25">
      <c r="A4526">
        <f ca="1">38570.8363268747*((RANDBETWEEN(1587,2416)))</f>
        <v>81037327.122763664</v>
      </c>
      <c r="B4526">
        <v>255233360.49601853</v>
      </c>
    </row>
    <row r="4527" spans="1:2" x14ac:dyDescent="0.25">
      <c r="A4527">
        <f ca="1">32501.1178123735*((RANDBETWEEN(1587,2416)))</f>
        <v>58859524.358208343</v>
      </c>
      <c r="B4527">
        <v>255598470.4126302</v>
      </c>
    </row>
    <row r="4528" spans="1:2" x14ac:dyDescent="0.25">
      <c r="A4528">
        <f ca="1">33287.5171632396*((RANDBETWEEN(1587,2416)))</f>
        <v>69903786.042803124</v>
      </c>
      <c r="B4528">
        <v>218717956.22989485</v>
      </c>
    </row>
    <row r="4529" spans="1:2" x14ac:dyDescent="0.25">
      <c r="A4529">
        <f ca="1">33875.1154266977*((RANDBETWEEN(1587,2416)))</f>
        <v>67885731.31510213</v>
      </c>
      <c r="B4529">
        <v>226903346.03912973</v>
      </c>
    </row>
    <row r="4530" spans="1:2" x14ac:dyDescent="0.25">
      <c r="A4530">
        <f ca="1">35860.8271590265*((RANDBETWEEN(1587,2416)))</f>
        <v>62218535.120910965</v>
      </c>
      <c r="B4530">
        <v>209363774.7888031</v>
      </c>
    </row>
    <row r="4531" spans="1:2" x14ac:dyDescent="0.25">
      <c r="A4531">
        <f ca="1">39741.1153564071*((RANDBETWEEN(1587,2416)))</f>
        <v>95259453.509307742</v>
      </c>
      <c r="B4531">
        <v>255599105.51387617</v>
      </c>
    </row>
    <row r="4532" spans="1:2" x14ac:dyDescent="0.25">
      <c r="A4532">
        <f ca="1">31849.3495139855*((RANDBETWEEN(1587,2416)))</f>
        <v>52232933.202936232</v>
      </c>
      <c r="B4532">
        <v>261715110.99338436</v>
      </c>
    </row>
    <row r="4533" spans="1:2" x14ac:dyDescent="0.25">
      <c r="A4533">
        <f ca="1">35217.8209623228*((RANDBETWEEN(1587,2416)))</f>
        <v>58426364.976493582</v>
      </c>
      <c r="B4533">
        <v>227123283.30333093</v>
      </c>
    </row>
    <row r="4534" spans="1:2" x14ac:dyDescent="0.25">
      <c r="A4534">
        <f ca="1">37326.432426913*((RANDBETWEEN(1587,2416)))</f>
        <v>74615538.421399057</v>
      </c>
      <c r="B4534">
        <v>227790429.22317663</v>
      </c>
    </row>
    <row r="4535" spans="1:2" x14ac:dyDescent="0.25">
      <c r="A4535">
        <f ca="1">31908.6762330703*((RANDBETWEEN(1587,2416)))</f>
        <v>67231580.823079154</v>
      </c>
      <c r="B4535">
        <v>258866833.9391675</v>
      </c>
    </row>
    <row r="4536" spans="1:2" x14ac:dyDescent="0.25">
      <c r="A4536">
        <f ca="1">36721.4503078019*((RANDBETWEEN(1587,2416)))</f>
        <v>72635028.708832189</v>
      </c>
      <c r="B4536">
        <v>238836888.38585216</v>
      </c>
    </row>
    <row r="4537" spans="1:2" x14ac:dyDescent="0.25">
      <c r="A4537">
        <f ca="1">30549.8803763172*((RANDBETWEEN(1587,2416)))</f>
        <v>57617074.389734179</v>
      </c>
      <c r="B4537">
        <v>241091350.00878197</v>
      </c>
    </row>
    <row r="4538" spans="1:2" x14ac:dyDescent="0.25">
      <c r="A4538">
        <f ca="1">31279.5324273466*((RANDBETWEEN(1587,2416)))</f>
        <v>69878475.44269222</v>
      </c>
      <c r="B4538">
        <v>263164543.8639259</v>
      </c>
    </row>
    <row r="4539" spans="1:2" x14ac:dyDescent="0.25">
      <c r="A4539">
        <f ca="1">33836.4281721557*((RANDBETWEEN(1587,2416)))</f>
        <v>69973733.460018009</v>
      </c>
      <c r="B4539">
        <v>251983177.19362313</v>
      </c>
    </row>
    <row r="4540" spans="1:2" x14ac:dyDescent="0.25">
      <c r="A4540">
        <f ca="1">32853.6999863821*((RANDBETWEEN(1587,2416)))</f>
        <v>72278139.970040694</v>
      </c>
      <c r="B4540">
        <v>247663410.04530361</v>
      </c>
    </row>
    <row r="4541" spans="1:2" x14ac:dyDescent="0.25">
      <c r="A4541">
        <f ca="1">36590.3152740544*((RANDBETWEEN(1587,2416)))</f>
        <v>87158130.982797623</v>
      </c>
      <c r="B4541">
        <v>240913776.12493408</v>
      </c>
    </row>
    <row r="4542" spans="1:2" x14ac:dyDescent="0.25">
      <c r="A4542">
        <f ca="1">27989.045631459*((RANDBETWEEN(1587,2416)))</f>
        <v>57321565.453227952</v>
      </c>
      <c r="B4542">
        <v>231241471.20627001</v>
      </c>
    </row>
    <row r="4543" spans="1:2" x14ac:dyDescent="0.25">
      <c r="A4543">
        <f ca="1">30008.4965863808*((RANDBETWEEN(1587,2416)))</f>
        <v>53505149.413516887</v>
      </c>
      <c r="B4543">
        <v>207510857.06283987</v>
      </c>
    </row>
    <row r="4544" spans="1:2" x14ac:dyDescent="0.25">
      <c r="A4544">
        <f ca="1">31858.1243712101*((RANDBETWEEN(1587,2416)))</f>
        <v>54732257.669738896</v>
      </c>
      <c r="B4544">
        <v>215961584.83479977</v>
      </c>
    </row>
    <row r="4545" spans="1:2" x14ac:dyDescent="0.25">
      <c r="A4545">
        <f ca="1">36846.023348557*((RANDBETWEEN(1587,2416)))</f>
        <v>66801840.330933854</v>
      </c>
      <c r="B4545">
        <v>248048503.78270769</v>
      </c>
    </row>
    <row r="4546" spans="1:2" x14ac:dyDescent="0.25">
      <c r="A4546">
        <f ca="1">29928.8520108803*((RANDBETWEEN(1587,2416)))</f>
        <v>47556945.845288716</v>
      </c>
      <c r="B4546">
        <v>220858366.1359795</v>
      </c>
    </row>
    <row r="4547" spans="1:2" x14ac:dyDescent="0.25">
      <c r="A4547">
        <f ca="1">32111.7682844647*((RANDBETWEEN(1587,2416)))</f>
        <v>75623214.309914306</v>
      </c>
      <c r="B4547">
        <v>265957154.27642801</v>
      </c>
    </row>
    <row r="4548" spans="1:2" x14ac:dyDescent="0.25">
      <c r="A4548">
        <f ca="1">34729.528917372*((RANDBETWEEN(1587,2416)))</f>
        <v>60741946.076483667</v>
      </c>
      <c r="B4548">
        <v>214301109.55564597</v>
      </c>
    </row>
    <row r="4549" spans="1:2" x14ac:dyDescent="0.25">
      <c r="A4549">
        <f ca="1">38244.9767624636*((RANDBETWEEN(1587,2416)))</f>
        <v>91176024.601713121</v>
      </c>
      <c r="B4549">
        <v>265635016.05870545</v>
      </c>
    </row>
    <row r="4550" spans="1:2" x14ac:dyDescent="0.25">
      <c r="A4550">
        <f ca="1">31081.2128230416*((RANDBETWEEN(1587,2416)))</f>
        <v>68938130.04150635</v>
      </c>
      <c r="B4550">
        <v>221669915.76821756</v>
      </c>
    </row>
    <row r="4551" spans="1:2" x14ac:dyDescent="0.25">
      <c r="A4551">
        <f ca="1">30578.7897816778*((RANDBETWEEN(1587,2416)))</f>
        <v>61463367.461172469</v>
      </c>
      <c r="B4551">
        <v>215441886.35966718</v>
      </c>
    </row>
    <row r="4552" spans="1:2" x14ac:dyDescent="0.25">
      <c r="A4552">
        <f ca="1">41599.3720299266*((RANDBETWEEN(1587,2416)))</f>
        <v>83531539.036092699</v>
      </c>
      <c r="B4552">
        <v>263781765.33075255</v>
      </c>
    </row>
    <row r="4553" spans="1:2" x14ac:dyDescent="0.25">
      <c r="A4553">
        <f ca="1">34307.0721542188*((RANDBETWEEN(1587,2416)))</f>
        <v>62473178.392832413</v>
      </c>
      <c r="B4553">
        <v>222170058.35469535</v>
      </c>
    </row>
    <row r="4554" spans="1:2" x14ac:dyDescent="0.25">
      <c r="A4554">
        <f ca="1">32874.959357021*((RANDBETWEEN(1587,2416)))</f>
        <v>68610040.178102896</v>
      </c>
      <c r="B4554">
        <v>221313192.06798741</v>
      </c>
    </row>
    <row r="4555" spans="1:2" x14ac:dyDescent="0.25">
      <c r="A4555">
        <f ca="1">31097.8316579188*((RANDBETWEEN(1587,2416)))</f>
        <v>69379262.428816825</v>
      </c>
      <c r="B4555">
        <v>264006088.77922848</v>
      </c>
    </row>
    <row r="4556" spans="1:2" x14ac:dyDescent="0.25">
      <c r="A4556">
        <f ca="1">31461.9382187798*((RANDBETWEEN(1587,2416)))</f>
        <v>65566679.247937165</v>
      </c>
      <c r="B4556">
        <v>260683548.84217584</v>
      </c>
    </row>
    <row r="4557" spans="1:2" x14ac:dyDescent="0.25">
      <c r="A4557">
        <f ca="1">31012.5249671905*((RANDBETWEEN(1587,2416)))</f>
        <v>61838974.784577906</v>
      </c>
      <c r="B4557">
        <v>246067911.67304331</v>
      </c>
    </row>
    <row r="4558" spans="1:2" x14ac:dyDescent="0.25">
      <c r="A4558">
        <f ca="1">30346.832918925*((RANDBETWEEN(1587,2416)))</f>
        <v>56323721.897524863</v>
      </c>
      <c r="B4558">
        <v>216409255.54681927</v>
      </c>
    </row>
    <row r="4559" spans="1:2" x14ac:dyDescent="0.25">
      <c r="A4559">
        <f ca="1">34090.109547279*((RANDBETWEEN(1587,2416)))</f>
        <v>56760032.396219485</v>
      </c>
      <c r="B4559">
        <v>223254043.73357314</v>
      </c>
    </row>
    <row r="4560" spans="1:2" x14ac:dyDescent="0.25">
      <c r="A4560">
        <f ca="1">31165.1229056316*((RANDBETWEEN(1587,2416)))</f>
        <v>72240754.895253956</v>
      </c>
      <c r="B4560">
        <v>261516825.07029372</v>
      </c>
    </row>
    <row r="4561" spans="1:2" x14ac:dyDescent="0.25">
      <c r="A4561">
        <f ca="1">35664.0388908839*((RANDBETWEEN(1587,2416)))</f>
        <v>71720382.209567577</v>
      </c>
      <c r="B4561">
        <v>233672079.0061965</v>
      </c>
    </row>
    <row r="4562" spans="1:2" x14ac:dyDescent="0.25">
      <c r="A4562">
        <f ca="1">39599.1116111084*((RANDBETWEEN(1587,2416)))</f>
        <v>76109492.516550437</v>
      </c>
      <c r="B4562">
        <v>222259337.14399725</v>
      </c>
    </row>
    <row r="4563" spans="1:2" x14ac:dyDescent="0.25">
      <c r="A4563">
        <f ca="1">40663.0587287346*((RANDBETWEEN(1587,2416)))</f>
        <v>96452775.304558456</v>
      </c>
      <c r="B4563">
        <v>210170672.88645443</v>
      </c>
    </row>
    <row r="4564" spans="1:2" x14ac:dyDescent="0.25">
      <c r="A4564">
        <f ca="1">38057.2041740062*((RANDBETWEEN(1587,2416)))</f>
        <v>73678747.280875966</v>
      </c>
      <c r="B4564">
        <v>203975878.91247502</v>
      </c>
    </row>
    <row r="4565" spans="1:2" x14ac:dyDescent="0.25">
      <c r="A4565">
        <f ca="1">35497.3431270701*((RANDBETWEEN(1587,2416)))</f>
        <v>81501899.819752887</v>
      </c>
      <c r="B4565">
        <v>246874936.21789905</v>
      </c>
    </row>
    <row r="4566" spans="1:2" x14ac:dyDescent="0.25">
      <c r="A4566">
        <f ca="1">32866.3300534289*((RANDBETWEEN(1587,2416)))</f>
        <v>74836633.531657681</v>
      </c>
      <c r="B4566">
        <v>240453516.45061302</v>
      </c>
    </row>
    <row r="4567" spans="1:2" x14ac:dyDescent="0.25">
      <c r="A4567">
        <f ca="1">32687.7391798855*((RANDBETWEEN(1587,2416)))</f>
        <v>54327022.516969673</v>
      </c>
      <c r="B4567">
        <v>213792532.84550428</v>
      </c>
    </row>
    <row r="4568" spans="1:2" x14ac:dyDescent="0.25">
      <c r="A4568">
        <f ca="1">30994.4991961213*((RANDBETWEEN(1587,2416)))</f>
        <v>72341161.123747006</v>
      </c>
      <c r="B4568">
        <v>259489115.49775493</v>
      </c>
    </row>
    <row r="4569" spans="1:2" x14ac:dyDescent="0.25">
      <c r="A4569">
        <f ca="1">29363.9319260068*((RANDBETWEEN(1587,2416)))</f>
        <v>51504336.598215863</v>
      </c>
      <c r="B4569">
        <v>262246310.30972552</v>
      </c>
    </row>
    <row r="4570" spans="1:2" x14ac:dyDescent="0.25">
      <c r="A4570">
        <f ca="1">34923.6253868599*((RANDBETWEEN(1587,2416)))</f>
        <v>57693829.139092535</v>
      </c>
      <c r="B4570">
        <v>263181424.11114153</v>
      </c>
    </row>
    <row r="4571" spans="1:2" x14ac:dyDescent="0.25">
      <c r="A4571">
        <f ca="1">30861.8894045639*((RANDBETWEEN(1587,2416)))</f>
        <v>72587163.879534259</v>
      </c>
      <c r="B4571">
        <v>254783355.28859141</v>
      </c>
    </row>
    <row r="4572" spans="1:2" x14ac:dyDescent="0.25">
      <c r="A4572">
        <f ca="1">32009.0605764811*((RANDBETWEEN(1587,2416)))</f>
        <v>62737758.72990296</v>
      </c>
      <c r="B4572">
        <v>260545586.15756509</v>
      </c>
    </row>
    <row r="4573" spans="1:2" x14ac:dyDescent="0.25">
      <c r="A4573">
        <f ca="1">29905.4624287876*((RANDBETWEEN(1587,2416)))</f>
        <v>72161880.840664372</v>
      </c>
      <c r="B4573">
        <v>215058860.42274541</v>
      </c>
    </row>
    <row r="4574" spans="1:2" x14ac:dyDescent="0.25">
      <c r="A4574">
        <f ca="1">35145.0614505533*((RANDBETWEEN(1587,2416)))</f>
        <v>75386156.811436847</v>
      </c>
      <c r="B4574">
        <v>234142599.21838391</v>
      </c>
    </row>
    <row r="4575" spans="1:2" x14ac:dyDescent="0.25">
      <c r="A4575">
        <f ca="1">33669.1926129722*((RANDBETWEEN(1587,2416)))</f>
        <v>74644600.022959471</v>
      </c>
      <c r="B4575">
        <v>210520052.91281193</v>
      </c>
    </row>
    <row r="4576" spans="1:2" x14ac:dyDescent="0.25">
      <c r="A4576">
        <f ca="1">29587.9794229476*((RANDBETWEEN(1587,2416)))</f>
        <v>64176327.368373401</v>
      </c>
      <c r="B4576">
        <v>217831897.8643012</v>
      </c>
    </row>
    <row r="4577" spans="1:2" x14ac:dyDescent="0.25">
      <c r="A4577">
        <f ca="1">35497.6817384212*((RANDBETWEEN(1587,2416)))</f>
        <v>63221371.176128231</v>
      </c>
      <c r="B4577">
        <v>257613239.28941268</v>
      </c>
    </row>
    <row r="4578" spans="1:2" x14ac:dyDescent="0.25">
      <c r="A4578">
        <f ca="1">31268.5050595071*((RANDBETWEEN(1587,2416)))</f>
        <v>61755297.492526554</v>
      </c>
      <c r="B4578">
        <v>208108538.75593269</v>
      </c>
    </row>
    <row r="4579" spans="1:2" x14ac:dyDescent="0.25">
      <c r="A4579">
        <f ca="1">29042.7333253707*((RANDBETWEEN(1587,2416)))</f>
        <v>53554800.251983486</v>
      </c>
      <c r="B4579">
        <v>231429519.56444094</v>
      </c>
    </row>
    <row r="4580" spans="1:2" x14ac:dyDescent="0.25">
      <c r="A4580">
        <f ca="1">36342.4740059435*((RANDBETWEEN(1587,2416)))</f>
        <v>85513841.335985139</v>
      </c>
      <c r="B4580">
        <v>222320789.92439452</v>
      </c>
    </row>
    <row r="4581" spans="1:2" x14ac:dyDescent="0.25">
      <c r="A4581">
        <f ca="1">29897.6138486845*((RANDBETWEEN(1587,2416)))</f>
        <v>68973795.148915112</v>
      </c>
      <c r="B4581">
        <v>261223065.69931465</v>
      </c>
    </row>
    <row r="4582" spans="1:2" x14ac:dyDescent="0.25">
      <c r="A4582">
        <f ca="1">29245.1374338958*((RANDBETWEEN(1587,2416)))</f>
        <v>46850710.169101112</v>
      </c>
      <c r="B4582">
        <v>236105046.36082503</v>
      </c>
    </row>
    <row r="4583" spans="1:2" x14ac:dyDescent="0.25">
      <c r="A4583">
        <f ca="1">32420.7504815963*((RANDBETWEEN(1587,2416)))</f>
        <v>54628964.561489724</v>
      </c>
      <c r="B4583">
        <v>252055625.5509524</v>
      </c>
    </row>
    <row r="4584" spans="1:2" x14ac:dyDescent="0.25">
      <c r="A4584">
        <f ca="1">32775.7892972152*((RANDBETWEEN(1587,2416)))</f>
        <v>59750263.888823368</v>
      </c>
      <c r="B4584">
        <v>224711022.3041684</v>
      </c>
    </row>
    <row r="4585" spans="1:2" x14ac:dyDescent="0.25">
      <c r="A4585">
        <f ca="1">32026.8197695897*((RANDBETWEEN(1587,2416)))</f>
        <v>72156424.940885574</v>
      </c>
      <c r="B4585">
        <v>216251864.08995661</v>
      </c>
    </row>
    <row r="4586" spans="1:2" x14ac:dyDescent="0.25">
      <c r="A4586">
        <f ca="1">34922.8765861846*((RANDBETWEEN(1587,2416)))</f>
        <v>78401857.935984448</v>
      </c>
      <c r="B4586">
        <v>252393880.02217352</v>
      </c>
    </row>
    <row r="4587" spans="1:2" x14ac:dyDescent="0.25">
      <c r="A4587">
        <f ca="1">31461.4069743909*((RANDBETWEEN(1587,2416)))</f>
        <v>50275328.345076717</v>
      </c>
      <c r="B4587">
        <v>215839649.48589706</v>
      </c>
    </row>
    <row r="4588" spans="1:2" x14ac:dyDescent="0.25">
      <c r="A4588">
        <f ca="1">31246.8571086239*((RANDBETWEEN(1587,2416)))</f>
        <v>71117846.779227942</v>
      </c>
      <c r="B4588">
        <v>267406750.73949212</v>
      </c>
    </row>
    <row r="4589" spans="1:2" x14ac:dyDescent="0.25">
      <c r="A4589">
        <f ca="1">37528.5701541078*((RANDBETWEEN(1587,2416)))</f>
        <v>85865368.512598723</v>
      </c>
      <c r="B4589">
        <v>241764088.16232666</v>
      </c>
    </row>
    <row r="4590" spans="1:2" x14ac:dyDescent="0.25">
      <c r="A4590">
        <f ca="1">32446.6977362012*((RANDBETWEEN(1587,2416)))</f>
        <v>62167872.862561479</v>
      </c>
      <c r="B4590">
        <v>255830346.55042201</v>
      </c>
    </row>
    <row r="4591" spans="1:2" x14ac:dyDescent="0.25">
      <c r="A4591">
        <f ca="1">30929.1384043348*((RANDBETWEEN(1587,2416)))</f>
        <v>73178341.46465607</v>
      </c>
      <c r="B4591">
        <v>222551282.75512746</v>
      </c>
    </row>
    <row r="4592" spans="1:2" x14ac:dyDescent="0.25">
      <c r="A4592">
        <f ca="1">36060.1217229373*((RANDBETWEEN(1587,2416)))</f>
        <v>72516904.784826994</v>
      </c>
      <c r="B4592">
        <v>265541891.836593</v>
      </c>
    </row>
    <row r="4593" spans="1:2" x14ac:dyDescent="0.25">
      <c r="A4593">
        <f ca="1">37563.003043703*((RANDBETWEEN(1587,2416)))</f>
        <v>76590963.206110507</v>
      </c>
      <c r="B4593">
        <v>248452536.73820534</v>
      </c>
    </row>
    <row r="4594" spans="1:2" x14ac:dyDescent="0.25">
      <c r="A4594">
        <f ca="1">39167.2483116279*((RANDBETWEEN(1587,2416)))</f>
        <v>82721228.434158042</v>
      </c>
      <c r="B4594">
        <v>225963684.99531111</v>
      </c>
    </row>
    <row r="4595" spans="1:2" x14ac:dyDescent="0.25">
      <c r="A4595">
        <f ca="1">29450.5376643165*((RANDBETWEEN(1587,2416)))</f>
        <v>51803495.751532741</v>
      </c>
      <c r="B4595">
        <v>246539599.42353582</v>
      </c>
    </row>
    <row r="4596" spans="1:2" x14ac:dyDescent="0.25">
      <c r="A4596">
        <f ca="1">31828.0568602201*((RANDBETWEEN(1587,2416)))</f>
        <v>66043217.984956764</v>
      </c>
      <c r="B4596">
        <v>244802508.68366897</v>
      </c>
    </row>
    <row r="4597" spans="1:2" x14ac:dyDescent="0.25">
      <c r="A4597">
        <f ca="1">32811.2593904321*((RANDBETWEEN(1587,2416)))</f>
        <v>71955091.843217522</v>
      </c>
      <c r="B4597">
        <v>225088448.68593982</v>
      </c>
    </row>
    <row r="4598" spans="1:2" x14ac:dyDescent="0.25">
      <c r="A4598">
        <f ca="1">32256.858052399*((RANDBETWEEN(1587,2416)))</f>
        <v>66868466.742623061</v>
      </c>
      <c r="B4598">
        <v>207398147.67116562</v>
      </c>
    </row>
    <row r="4599" spans="1:2" x14ac:dyDescent="0.25">
      <c r="A4599">
        <f ca="1">30475.6676503769*((RANDBETWEEN(1587,2416)))</f>
        <v>54764774.767727226</v>
      </c>
      <c r="B4599">
        <v>211052619.43696395</v>
      </c>
    </row>
    <row r="4600" spans="1:2" x14ac:dyDescent="0.25">
      <c r="A4600">
        <f ca="1">35558.3811218229*((RANDBETWEEN(1587,2416)))</f>
        <v>61018182.005048074</v>
      </c>
      <c r="B4600">
        <v>263648961.93657017</v>
      </c>
    </row>
    <row r="4601" spans="1:2" x14ac:dyDescent="0.25">
      <c r="A4601">
        <f ca="1">34659.8666174018*((RANDBETWEEN(1587,2416)))</f>
        <v>63566195.376314819</v>
      </c>
      <c r="B4601">
        <v>231046420.23824131</v>
      </c>
    </row>
    <row r="4602" spans="1:2" x14ac:dyDescent="0.25">
      <c r="A4602">
        <f ca="1">32022.7804207388*((RANDBETWEEN(1587,2416)))</f>
        <v>66927611.079343997</v>
      </c>
      <c r="B4602">
        <v>248517130.88607836</v>
      </c>
    </row>
    <row r="4603" spans="1:2" x14ac:dyDescent="0.25">
      <c r="A4603">
        <f ca="1">33434.7547221607*((RANDBETWEEN(1587,2416)))</f>
        <v>72687156.765977323</v>
      </c>
      <c r="B4603">
        <v>215901903.50167951</v>
      </c>
    </row>
    <row r="4604" spans="1:2" x14ac:dyDescent="0.25">
      <c r="A4604">
        <f ca="1">39492.5904224268*((RANDBETWEEN(1587,2416)))</f>
        <v>68203703.659531116</v>
      </c>
      <c r="B4604">
        <v>239794776.11562315</v>
      </c>
    </row>
    <row r="4605" spans="1:2" x14ac:dyDescent="0.25">
      <c r="A4605">
        <f ca="1">30143.9260353854*((RANDBETWEEN(1587,2416)))</f>
        <v>59986412.810417026</v>
      </c>
      <c r="B4605">
        <v>217183692.07532236</v>
      </c>
    </row>
    <row r="4606" spans="1:2" x14ac:dyDescent="0.25">
      <c r="A4606">
        <f ca="1">36038.9571491152*((RANDBETWEEN(1587,2416)))</f>
        <v>57229863.952794932</v>
      </c>
      <c r="B4606">
        <v>266524361.14154565</v>
      </c>
    </row>
    <row r="4607" spans="1:2" x14ac:dyDescent="0.25">
      <c r="A4607">
        <f ca="1">37448.3608731591*((RANDBETWEEN(1587,2416)))</f>
        <v>73698374.198377118</v>
      </c>
      <c r="B4607">
        <v>227606390.21382737</v>
      </c>
    </row>
    <row r="4608" spans="1:2" x14ac:dyDescent="0.25">
      <c r="A4608">
        <f ca="1">31419.4582907178*((RANDBETWEEN(1587,2416)))</f>
        <v>61016588.000573978</v>
      </c>
      <c r="B4608">
        <v>250931367.20942947</v>
      </c>
    </row>
    <row r="4609" spans="1:2" x14ac:dyDescent="0.25">
      <c r="A4609">
        <f ca="1">37174.5991505249*((RANDBETWEEN(1587,2416)))</f>
        <v>80445832.561735928</v>
      </c>
      <c r="B4609">
        <v>225948834.39958411</v>
      </c>
    </row>
    <row r="4610" spans="1:2" x14ac:dyDescent="0.25">
      <c r="A4610">
        <f ca="1">28161.957388609*((RANDBETWEEN(1587,2416)))</f>
        <v>56126781.075497702</v>
      </c>
      <c r="B4610">
        <v>263824824.33750004</v>
      </c>
    </row>
    <row r="4611" spans="1:2" x14ac:dyDescent="0.25">
      <c r="A4611">
        <f ca="1">32880.7728597995*((RANDBETWEEN(1587,2416)))</f>
        <v>78453524.043481499</v>
      </c>
      <c r="B4611">
        <v>205868971.93043002</v>
      </c>
    </row>
    <row r="4612" spans="1:2" x14ac:dyDescent="0.25">
      <c r="A4612">
        <f ca="1">36119.4307101947*((RANDBETWEEN(1587,2416)))</f>
        <v>57357655.967789263</v>
      </c>
      <c r="B4612">
        <v>209747766.49669921</v>
      </c>
    </row>
    <row r="4613" spans="1:2" x14ac:dyDescent="0.25">
      <c r="A4613">
        <f ca="1">33367.1358558369*((RANDBETWEEN(1587,2416)))</f>
        <v>54288330.037446558</v>
      </c>
      <c r="B4613">
        <v>210069138.70281708</v>
      </c>
    </row>
    <row r="4614" spans="1:2" x14ac:dyDescent="0.25">
      <c r="A4614">
        <f ca="1">43441.0225428296*((RANDBETWEEN(1587,2416)))</f>
        <v>86838604.063116446</v>
      </c>
      <c r="B4614">
        <v>219635473.26403537</v>
      </c>
    </row>
    <row r="4615" spans="1:2" x14ac:dyDescent="0.25">
      <c r="A4615">
        <f ca="1">30680.7717971553*((RANDBETWEEN(1587,2416)))</f>
        <v>73541809.997781321</v>
      </c>
      <c r="B4615">
        <v>247260037.66833031</v>
      </c>
    </row>
    <row r="4616" spans="1:2" x14ac:dyDescent="0.25">
      <c r="A4616">
        <f ca="1">37880.549640067*((RANDBETWEEN(1587,2416)))</f>
        <v>67541020.008239418</v>
      </c>
      <c r="B4616">
        <v>252098473.60838825</v>
      </c>
    </row>
    <row r="4617" spans="1:2" x14ac:dyDescent="0.25">
      <c r="A4617">
        <f ca="1">36594.5246319344*((RANDBETWEEN(1587,2416)))</f>
        <v>58661022.984990962</v>
      </c>
      <c r="B4617">
        <v>206021166.17377651</v>
      </c>
    </row>
    <row r="4618" spans="1:2" x14ac:dyDescent="0.25">
      <c r="A4618">
        <f ca="1">36125.9456700747*((RANDBETWEEN(1587,2416)))</f>
        <v>59246550.898922443</v>
      </c>
      <c r="B4618">
        <v>221416188.9539125</v>
      </c>
    </row>
    <row r="4619" spans="1:2" x14ac:dyDescent="0.25">
      <c r="A4619">
        <f ca="1">37981.8120807367*((RANDBETWEEN(1587,2416)))</f>
        <v>71329843.087623581</v>
      </c>
      <c r="B4619">
        <v>253522287.69359672</v>
      </c>
    </row>
    <row r="4620" spans="1:2" x14ac:dyDescent="0.25">
      <c r="A4620">
        <f ca="1">30945.8681948615*((RANDBETWEEN(1587,2416)))</f>
        <v>66100374.464224234</v>
      </c>
      <c r="B4620">
        <v>236288931.92842397</v>
      </c>
    </row>
    <row r="4621" spans="1:2" x14ac:dyDescent="0.25">
      <c r="A4621">
        <f ca="1">38805.4162932545*((RANDBETWEEN(1587,2416)))</f>
        <v>82189871.709112987</v>
      </c>
      <c r="B4621">
        <v>209579021.39352152</v>
      </c>
    </row>
    <row r="4622" spans="1:2" x14ac:dyDescent="0.25">
      <c r="A4622">
        <f ca="1">37933.5936200392*((RANDBETWEEN(1587,2416)))</f>
        <v>88916343.445371911</v>
      </c>
      <c r="B4622">
        <v>221728934.89373422</v>
      </c>
    </row>
    <row r="4623" spans="1:2" x14ac:dyDescent="0.25">
      <c r="A4623">
        <f ca="1">38444.3172399509*((RANDBETWEEN(1587,2416)))</f>
        <v>88729484.189806685</v>
      </c>
      <c r="B4623">
        <v>265201770.04625916</v>
      </c>
    </row>
    <row r="4624" spans="1:2" x14ac:dyDescent="0.25">
      <c r="A4624">
        <f ca="1">40821.3939107898*((RANDBETWEEN(1587,2416)))</f>
        <v>89521316.846362174</v>
      </c>
      <c r="B4624">
        <v>254765702.30439958</v>
      </c>
    </row>
    <row r="4625" spans="1:2" x14ac:dyDescent="0.25">
      <c r="A4625">
        <f ca="1">34358.0375583918*((RANDBETWEEN(1587,2416)))</f>
        <v>77649164.881965563</v>
      </c>
      <c r="B4625">
        <v>248401336.35467529</v>
      </c>
    </row>
    <row r="4626" spans="1:2" x14ac:dyDescent="0.25">
      <c r="A4626">
        <f ca="1">33272.8467200568*((RANDBETWEEN(1587,2416)))</f>
        <v>59059302.928100735</v>
      </c>
      <c r="B4626">
        <v>255980388.24289906</v>
      </c>
    </row>
    <row r="4627" spans="1:2" x14ac:dyDescent="0.25">
      <c r="A4627">
        <f ca="1">32077.9614786986*((RANDBETWEEN(1587,2416)))</f>
        <v>67780732.604490191</v>
      </c>
      <c r="B4627">
        <v>248628554.77362192</v>
      </c>
    </row>
    <row r="4628" spans="1:2" x14ac:dyDescent="0.25">
      <c r="A4628">
        <f ca="1">30724.0800773441*((RANDBETWEEN(1587,2416)))</f>
        <v>63168708.639019407</v>
      </c>
      <c r="B4628">
        <v>259880865.02361158</v>
      </c>
    </row>
    <row r="4629" spans="1:2" x14ac:dyDescent="0.25">
      <c r="A4629">
        <f ca="1">33733.4604344281*((RANDBETWEEN(1587,2416)))</f>
        <v>55660209.716806345</v>
      </c>
      <c r="B4629">
        <v>256553293.45558971</v>
      </c>
    </row>
    <row r="4630" spans="1:2" x14ac:dyDescent="0.25">
      <c r="A4630">
        <f ca="1">32706.4765480223*((RANDBETWEEN(1587,2416)))</f>
        <v>64497171.752699889</v>
      </c>
      <c r="B4630">
        <v>253775585.19326544</v>
      </c>
    </row>
    <row r="4631" spans="1:2" x14ac:dyDescent="0.25">
      <c r="A4631">
        <f ca="1">36617.9864118431*((RANDBETWEEN(1587,2416)))</f>
        <v>84221368.747239068</v>
      </c>
      <c r="B4631">
        <v>213862246.36047643</v>
      </c>
    </row>
    <row r="4632" spans="1:2" x14ac:dyDescent="0.25">
      <c r="A4632">
        <f ca="1">35621.6686961313*((RANDBETWEEN(1587,2416)))</f>
        <v>73060042.495765269</v>
      </c>
      <c r="B4632">
        <v>223647187.42288774</v>
      </c>
    </row>
    <row r="4633" spans="1:2" x14ac:dyDescent="0.25">
      <c r="A4633">
        <f ca="1">29451.8373052727*((RANDBETWEEN(1587,2416)))</f>
        <v>63557064.904778495</v>
      </c>
      <c r="B4633">
        <v>229720060.57745969</v>
      </c>
    </row>
    <row r="4634" spans="1:2" x14ac:dyDescent="0.25">
      <c r="A4634">
        <f ca="1">38711.4729811897*((RANDBETWEEN(1587,2416)))</f>
        <v>92675266.316968203</v>
      </c>
      <c r="B4634">
        <v>204428469.24285099</v>
      </c>
    </row>
    <row r="4635" spans="1:2" x14ac:dyDescent="0.25">
      <c r="A4635">
        <f ca="1">30866.6770561344*((RANDBETWEEN(1587,2416)))</f>
        <v>72876224.529533342</v>
      </c>
      <c r="B4635">
        <v>230944338.52573252</v>
      </c>
    </row>
    <row r="4636" spans="1:2" x14ac:dyDescent="0.25">
      <c r="A4636">
        <f ca="1">32234.1162852024*((RANDBETWEEN(1587,2416)))</f>
        <v>55184807.080266491</v>
      </c>
      <c r="B4636">
        <v>257377831.42430693</v>
      </c>
    </row>
    <row r="4637" spans="1:2" x14ac:dyDescent="0.25">
      <c r="A4637">
        <f ca="1">36773.9700605392*((RANDBETWEEN(1587,2416)))</f>
        <v>78549200.049311832</v>
      </c>
      <c r="B4637">
        <v>209240096.85811004</v>
      </c>
    </row>
    <row r="4638" spans="1:2" x14ac:dyDescent="0.25">
      <c r="A4638">
        <f ca="1">41435.1064645904*((RANDBETWEEN(1587,2416)))</f>
        <v>90121356.560484037</v>
      </c>
      <c r="B4638">
        <v>220242202.30888423</v>
      </c>
    </row>
    <row r="4639" spans="1:2" x14ac:dyDescent="0.25">
      <c r="A4639">
        <f ca="1">42136.848946216*((RANDBETWEEN(1587,2416)))</f>
        <v>91479099.062235013</v>
      </c>
      <c r="B4639">
        <v>228613920.65941843</v>
      </c>
    </row>
    <row r="4640" spans="1:2" x14ac:dyDescent="0.25">
      <c r="A4640">
        <f ca="1">34897.134887193*((RANDBETWEEN(1587,2416)))</f>
        <v>82636415.41287297</v>
      </c>
      <c r="B4640">
        <v>255414555.97285843</v>
      </c>
    </row>
    <row r="4641" spans="1:2" x14ac:dyDescent="0.25">
      <c r="A4641">
        <f ca="1">26906.4015723034*((RANDBETWEEN(1587,2416)))</f>
        <v>64306299.757805116</v>
      </c>
      <c r="B4641">
        <v>253231306.18357581</v>
      </c>
    </row>
    <row r="4642" spans="1:2" x14ac:dyDescent="0.25">
      <c r="A4642">
        <f ca="1">27554.8167147772*((RANDBETWEEN(1587,2416)))</f>
        <v>45603221.662956215</v>
      </c>
      <c r="B4642">
        <v>234045953.07710898</v>
      </c>
    </row>
    <row r="4643" spans="1:2" x14ac:dyDescent="0.25">
      <c r="A4643">
        <f ca="1">34575.0310538052*((RANDBETWEEN(1587,2416)))</f>
        <v>68285686.331265345</v>
      </c>
      <c r="B4643">
        <v>259134874.53314477</v>
      </c>
    </row>
    <row r="4644" spans="1:2" x14ac:dyDescent="0.25">
      <c r="A4644">
        <f ca="1">28519.639246839*((RANDBETWEEN(1587,2416)))</f>
        <v>61944656.444134332</v>
      </c>
      <c r="B4644">
        <v>255362373.45222363</v>
      </c>
    </row>
    <row r="4645" spans="1:2" x14ac:dyDescent="0.25">
      <c r="A4645">
        <f ca="1">28431.655325965*((RANDBETWEEN(1587,2416)))</f>
        <v>66387915.186128393</v>
      </c>
      <c r="B4645">
        <v>229154132.08462933</v>
      </c>
    </row>
    <row r="4646" spans="1:2" x14ac:dyDescent="0.25">
      <c r="A4646">
        <f ca="1">40958.7519347045*((RANDBETWEEN(1587,2416)))</f>
        <v>88429945.427026987</v>
      </c>
      <c r="B4646">
        <v>205887621.69435155</v>
      </c>
    </row>
    <row r="4647" spans="1:2" x14ac:dyDescent="0.25">
      <c r="A4647">
        <f ca="1">31439.6603961257*((RANDBETWEEN(1587,2416)))</f>
        <v>61055820.489276014</v>
      </c>
      <c r="B4647">
        <v>231013755.35693824</v>
      </c>
    </row>
    <row r="4648" spans="1:2" x14ac:dyDescent="0.25">
      <c r="A4648">
        <f ca="1">29241.9869877971*((RANDBETWEEN(1587,2416)))</f>
        <v>70326978.705651969</v>
      </c>
      <c r="B4648">
        <v>226657451.92777205</v>
      </c>
    </row>
    <row r="4649" spans="1:2" x14ac:dyDescent="0.25">
      <c r="A4649">
        <f ca="1">32027.8811884786*((RANDBETWEEN(1587,2416)))</f>
        <v>59155496.555120014</v>
      </c>
      <c r="B4649">
        <v>260684612.44869542</v>
      </c>
    </row>
    <row r="4650" spans="1:2" x14ac:dyDescent="0.25">
      <c r="A4650">
        <f ca="1">33737.1152033211*((RANDBETWEEN(1587,2416)))</f>
        <v>63864359.079886794</v>
      </c>
      <c r="B4650">
        <v>261630166.85033533</v>
      </c>
    </row>
    <row r="4651" spans="1:2" x14ac:dyDescent="0.25">
      <c r="A4651">
        <f ca="1">32177.013867546*((RANDBETWEEN(1587,2416)))</f>
        <v>69631058.009369612</v>
      </c>
      <c r="B4651">
        <v>234454754.37398046</v>
      </c>
    </row>
    <row r="4652" spans="1:2" x14ac:dyDescent="0.25">
      <c r="A4652">
        <f ca="1">34134.5094246458*((RANDBETWEEN(1587,2416)))</f>
        <v>60998368.341842093</v>
      </c>
      <c r="B4652">
        <v>252868185.29841259</v>
      </c>
    </row>
    <row r="4653" spans="1:2" x14ac:dyDescent="0.25">
      <c r="A4653">
        <f ca="1">29259.8018198177*((RANDBETWEEN(1587,2416)))</f>
        <v>59836294.721527144</v>
      </c>
      <c r="B4653">
        <v>263940387.66911486</v>
      </c>
    </row>
    <row r="4654" spans="1:2" x14ac:dyDescent="0.25">
      <c r="A4654">
        <f ca="1">31241.1959678831*((RANDBETWEEN(1587,2416)))</f>
        <v>59920613.866399735</v>
      </c>
      <c r="B4654">
        <v>255561975.70543784</v>
      </c>
    </row>
    <row r="4655" spans="1:2" x14ac:dyDescent="0.25">
      <c r="A4655">
        <f ca="1">33748.532775691*((RANDBETWEEN(1587,2416)))</f>
        <v>55280096.686581783</v>
      </c>
      <c r="B4655">
        <v>256528483.61890537</v>
      </c>
    </row>
    <row r="4656" spans="1:2" x14ac:dyDescent="0.25">
      <c r="A4656">
        <f ca="1">33136.0974662484*((RANDBETWEEN(1587,2416)))</f>
        <v>62527815.918810785</v>
      </c>
      <c r="B4656">
        <v>264957990.52224353</v>
      </c>
    </row>
    <row r="4657" spans="1:2" x14ac:dyDescent="0.25">
      <c r="A4657">
        <f ca="1">39065.9834582583*((RANDBETWEEN(1587,2416)))</f>
        <v>92977040.630654797</v>
      </c>
      <c r="B4657">
        <v>214491884.65665427</v>
      </c>
    </row>
    <row r="4658" spans="1:2" x14ac:dyDescent="0.25">
      <c r="A4658">
        <f ca="1">38585.0558217998*((RANDBETWEEN(1587,2416)))</f>
        <v>81491637.895641267</v>
      </c>
      <c r="B4658">
        <v>241306890.88732454</v>
      </c>
    </row>
    <row r="4659" spans="1:2" x14ac:dyDescent="0.25">
      <c r="A4659">
        <f ca="1">30239.5060937873*((RANDBETWEEN(1587,2416)))</f>
        <v>56910750.46850761</v>
      </c>
      <c r="B4659">
        <v>263781120.26250994</v>
      </c>
    </row>
    <row r="4660" spans="1:2" x14ac:dyDescent="0.25">
      <c r="A4660">
        <f ca="1">34009.4740514087*((RANDBETWEEN(1587,2416)))</f>
        <v>58700352.212731421</v>
      </c>
      <c r="B4660">
        <v>254463898.66598725</v>
      </c>
    </row>
    <row r="4661" spans="1:2" x14ac:dyDescent="0.25">
      <c r="A4661">
        <f ca="1">39434.3651228164*((RANDBETWEEN(1587,2416)))</f>
        <v>73071878.572578803</v>
      </c>
      <c r="B4661">
        <v>258425030.60847831</v>
      </c>
    </row>
    <row r="4662" spans="1:2" x14ac:dyDescent="0.25">
      <c r="A4662">
        <f ca="1">29913.5072514007*((RANDBETWEEN(1587,2416)))</f>
        <v>65869542.967584394</v>
      </c>
      <c r="B4662">
        <v>254583331.10889283</v>
      </c>
    </row>
    <row r="4663" spans="1:2" x14ac:dyDescent="0.25">
      <c r="A4663">
        <f ca="1">38703.5457056974*((RANDBETWEEN(1587,2416)))</f>
        <v>84412433.18412596</v>
      </c>
      <c r="B4663">
        <v>267712517.82326812</v>
      </c>
    </row>
    <row r="4664" spans="1:2" x14ac:dyDescent="0.25">
      <c r="A4664">
        <f ca="1">35489.5291168327*((RANDBETWEEN(1587,2416)))</f>
        <v>61396885.372120596</v>
      </c>
      <c r="B4664">
        <v>251991985.36067611</v>
      </c>
    </row>
    <row r="4665" spans="1:2" x14ac:dyDescent="0.25">
      <c r="A4665">
        <f ca="1">31561.437833337*((RANDBETWEEN(1587,2416)))</f>
        <v>51855442.360172726</v>
      </c>
      <c r="B4665">
        <v>214727896.43252394</v>
      </c>
    </row>
    <row r="4666" spans="1:2" x14ac:dyDescent="0.25">
      <c r="A4666">
        <f ca="1">34575.1661506888*((RANDBETWEEN(1587,2416)))</f>
        <v>58881507.954623111</v>
      </c>
      <c r="B4666">
        <v>212544043.18918717</v>
      </c>
    </row>
    <row r="4667" spans="1:2" x14ac:dyDescent="0.25">
      <c r="A4667">
        <f ca="1">33508.652631949*((RANDBETWEEN(1587,2416)))</f>
        <v>57701899.83221624</v>
      </c>
      <c r="B4667">
        <v>212229911.44276458</v>
      </c>
    </row>
    <row r="4668" spans="1:2" x14ac:dyDescent="0.25">
      <c r="A4668">
        <f ca="1">39834.5707450334*((RANDBETWEEN(1587,2416)))</f>
        <v>81860042.881043538</v>
      </c>
      <c r="B4668">
        <v>248123604.87095723</v>
      </c>
    </row>
    <row r="4669" spans="1:2" x14ac:dyDescent="0.25">
      <c r="A4669">
        <f ca="1">34380.3635545947*((RANDBETWEEN(1587,2416)))</f>
        <v>68348162.746534169</v>
      </c>
      <c r="B4669">
        <v>263516788.01399034</v>
      </c>
    </row>
    <row r="4670" spans="1:2" x14ac:dyDescent="0.25">
      <c r="A4670">
        <f ca="1">32844.9695550714*((RANDBETWEEN(1587,2416)))</f>
        <v>66478218.379464589</v>
      </c>
      <c r="B4670">
        <v>219686534.70703459</v>
      </c>
    </row>
    <row r="4671" spans="1:2" x14ac:dyDescent="0.25">
      <c r="A4671">
        <f ca="1">34474.3032379171*((RANDBETWEEN(1587,2416)))</f>
        <v>66190662.216800816</v>
      </c>
      <c r="B4671">
        <v>245049124.47808811</v>
      </c>
    </row>
    <row r="4672" spans="1:2" x14ac:dyDescent="0.25">
      <c r="A4672">
        <f ca="1">38549.4045477602*((RANDBETWEEN(1587,2416)))</f>
        <v>71933188.886120617</v>
      </c>
      <c r="B4672">
        <v>224453412.7670902</v>
      </c>
    </row>
    <row r="4673" spans="1:2" x14ac:dyDescent="0.25">
      <c r="A4673">
        <f ca="1">32239.0860065524*((RANDBETWEEN(1587,2416)))</f>
        <v>64703845.615150616</v>
      </c>
      <c r="B4673">
        <v>214651894.36238277</v>
      </c>
    </row>
    <row r="4674" spans="1:2" x14ac:dyDescent="0.25">
      <c r="A4674">
        <f ca="1">30736.3630325544*((RANDBETWEEN(1587,2416)))</f>
        <v>60612107.900197275</v>
      </c>
      <c r="B4674">
        <v>206254763.09694725</v>
      </c>
    </row>
    <row r="4675" spans="1:2" x14ac:dyDescent="0.25">
      <c r="A4675">
        <f ca="1">36023.0696051049*((RANDBETWEEN(1587,2416)))</f>
        <v>64229133.105902106</v>
      </c>
      <c r="B4675">
        <v>226884907.25471228</v>
      </c>
    </row>
    <row r="4676" spans="1:2" x14ac:dyDescent="0.25">
      <c r="A4676">
        <f ca="1">31375.8966017409*((RANDBETWEEN(1587,2416)))</f>
        <v>53401776.016163073</v>
      </c>
      <c r="B4676">
        <v>204199791.96683791</v>
      </c>
    </row>
    <row r="4677" spans="1:2" x14ac:dyDescent="0.25">
      <c r="A4677">
        <f ca="1">33415.5363058257*((RANDBETWEEN(1587,2416)))</f>
        <v>68468433.890636891</v>
      </c>
      <c r="B4677">
        <v>240969804.44876668</v>
      </c>
    </row>
    <row r="4678" spans="1:2" x14ac:dyDescent="0.25">
      <c r="A4678">
        <f ca="1">33326.0432260095*((RANDBETWEEN(1587,2416)))</f>
        <v>75883400.425623596</v>
      </c>
      <c r="B4678">
        <v>257644906.20088217</v>
      </c>
    </row>
    <row r="4679" spans="1:2" x14ac:dyDescent="0.25">
      <c r="A4679">
        <f ca="1">29452.5274130804*((RANDBETWEEN(1587,2416)))</f>
        <v>58050931.531181388</v>
      </c>
      <c r="B4679">
        <v>234452368.56246746</v>
      </c>
    </row>
    <row r="4680" spans="1:2" x14ac:dyDescent="0.25">
      <c r="A4680">
        <f ca="1">30800.7622217379*((RANDBETWEEN(1587,2416)))</f>
        <v>65913631.154519148</v>
      </c>
      <c r="B4680">
        <v>225232400.28308141</v>
      </c>
    </row>
    <row r="4681" spans="1:2" x14ac:dyDescent="0.25">
      <c r="A4681">
        <f ca="1">31164.5213139*((RANDBETWEEN(1587,2416)))</f>
        <v>52574547.456549317</v>
      </c>
      <c r="B4681">
        <v>267695539.95118147</v>
      </c>
    </row>
    <row r="4682" spans="1:2" x14ac:dyDescent="0.25">
      <c r="A4682">
        <f ca="1">30724.1478944529*((RANDBETWEEN(1587,2416)))</f>
        <v>52169603.12478102</v>
      </c>
      <c r="B4682">
        <v>244282115.16273171</v>
      </c>
    </row>
    <row r="4683" spans="1:2" x14ac:dyDescent="0.25">
      <c r="A4683">
        <f ca="1">38120.7552625573*((RANDBETWEEN(1587,2416)))</f>
        <v>74335472.761986658</v>
      </c>
      <c r="B4683">
        <v>222632613.14421511</v>
      </c>
    </row>
    <row r="4684" spans="1:2" x14ac:dyDescent="0.25">
      <c r="A4684">
        <f ca="1">30313.4799716113*((RANDBETWEEN(1587,2416)))</f>
        <v>59596301.62418779</v>
      </c>
      <c r="B4684">
        <v>250548194.32058078</v>
      </c>
    </row>
    <row r="4685" spans="1:2" x14ac:dyDescent="0.25">
      <c r="A4685">
        <f ca="1">36769.0654622581*((RANDBETWEEN(1587,2416)))</f>
        <v>63684021.380630963</v>
      </c>
      <c r="B4685">
        <v>263482476.30481189</v>
      </c>
    </row>
    <row r="4686" spans="1:2" x14ac:dyDescent="0.25">
      <c r="A4686">
        <f ca="1">28424.4933695929*((RANDBETWEEN(1587,2416)))</f>
        <v>52528463.747007765</v>
      </c>
      <c r="B4686">
        <v>266869367.86730313</v>
      </c>
    </row>
    <row r="4687" spans="1:2" x14ac:dyDescent="0.25">
      <c r="A4687">
        <f ca="1">36345.8851921696*((RANDBETWEEN(1587,2416)))</f>
        <v>74254643.44760257</v>
      </c>
      <c r="B4687">
        <v>238190315.59519264</v>
      </c>
    </row>
    <row r="4688" spans="1:2" x14ac:dyDescent="0.25">
      <c r="A4688">
        <f ca="1">32458.4452513671*((RANDBETWEEN(1587,2416)))</f>
        <v>74070172.063619688</v>
      </c>
      <c r="B4688">
        <v>230370754.95766079</v>
      </c>
    </row>
    <row r="4689" spans="1:2" x14ac:dyDescent="0.25">
      <c r="A4689">
        <f ca="1">32061.7841992794*((RANDBETWEEN(1587,2416)))</f>
        <v>56140184.132938176</v>
      </c>
      <c r="B4689">
        <v>224112499.1685245</v>
      </c>
    </row>
    <row r="4690" spans="1:2" x14ac:dyDescent="0.25">
      <c r="A4690">
        <f ca="1">37817.118695585*((RANDBETWEEN(1587,2416)))</f>
        <v>77184739.257689059</v>
      </c>
      <c r="B4690">
        <v>264513778.61265796</v>
      </c>
    </row>
    <row r="4691" spans="1:2" x14ac:dyDescent="0.25">
      <c r="A4691">
        <f ca="1">30260.4505039037*((RANDBETWEEN(1587,2416)))</f>
        <v>53742560.094932906</v>
      </c>
      <c r="B4691">
        <v>225209838.28492302</v>
      </c>
    </row>
    <row r="4692" spans="1:2" x14ac:dyDescent="0.25">
      <c r="A4692">
        <f ca="1">36942.071724378*((RANDBETWEEN(1587,2416)))</f>
        <v>65646061.454219788</v>
      </c>
      <c r="B4692">
        <v>226446033.61297417</v>
      </c>
    </row>
    <row r="4693" spans="1:2" x14ac:dyDescent="0.25">
      <c r="A4693">
        <f ca="1">32666.8117922615*((RANDBETWEEN(1587,2416)))</f>
        <v>60335601.380307049</v>
      </c>
      <c r="B4693">
        <v>234746815.17795008</v>
      </c>
    </row>
    <row r="4694" spans="1:2" x14ac:dyDescent="0.25">
      <c r="A4694">
        <f ca="1">36374.7207988553*((RANDBETWEEN(1587,2416)))</f>
        <v>69766714.492204472</v>
      </c>
      <c r="B4694">
        <v>217502536.36221105</v>
      </c>
    </row>
    <row r="4695" spans="1:2" x14ac:dyDescent="0.25">
      <c r="A4695">
        <f ca="1">32079.2231346186*((RANDBETWEEN(1587,2416)))</f>
        <v>66275674.996122032</v>
      </c>
      <c r="B4695">
        <v>209323962.90788516</v>
      </c>
    </row>
    <row r="4696" spans="1:2" x14ac:dyDescent="0.25">
      <c r="A4696">
        <f ca="1">34138.41610408*((RANDBETWEEN(1587,2416)))</f>
        <v>77494204.556261703</v>
      </c>
      <c r="B4696">
        <v>227021384.0426265</v>
      </c>
    </row>
    <row r="4697" spans="1:2" x14ac:dyDescent="0.25">
      <c r="A4697">
        <f ca="1">32490.4209520993*((RANDBETWEEN(1587,2416)))</f>
        <v>51757240.57669425</v>
      </c>
      <c r="B4697">
        <v>239515439.56848186</v>
      </c>
    </row>
    <row r="4698" spans="1:2" x14ac:dyDescent="0.25">
      <c r="A4698">
        <f ca="1">32565.424991362*((RANDBETWEEN(1587,2416)))</f>
        <v>74998173.755106658</v>
      </c>
      <c r="B4698">
        <v>245948432.26464421</v>
      </c>
    </row>
    <row r="4699" spans="1:2" x14ac:dyDescent="0.25">
      <c r="A4699">
        <f ca="1">36120.2177307934*((RANDBETWEEN(1587,2416)))</f>
        <v>69964861.744546905</v>
      </c>
      <c r="B4699">
        <v>252608221.6983858</v>
      </c>
    </row>
    <row r="4700" spans="1:2" x14ac:dyDescent="0.25">
      <c r="A4700">
        <f ca="1">37007.3696938688*((RANDBETWEEN(1587,2416)))</f>
        <v>85227972.40497981</v>
      </c>
      <c r="B4700">
        <v>257229961.0199956</v>
      </c>
    </row>
    <row r="4701" spans="1:2" x14ac:dyDescent="0.25">
      <c r="A4701">
        <f ca="1">41321.4200060958*((RANDBETWEEN(1587,2416)))</f>
        <v>72105877.91063714</v>
      </c>
      <c r="B4701">
        <v>250443470.77650094</v>
      </c>
    </row>
    <row r="4702" spans="1:2" x14ac:dyDescent="0.25">
      <c r="A4702">
        <f ca="1">36360.4465894582*((RANDBETWEEN(1587,2416)))</f>
        <v>87192350.921520784</v>
      </c>
      <c r="B4702">
        <v>245133557.50863892</v>
      </c>
    </row>
    <row r="4703" spans="1:2" x14ac:dyDescent="0.25">
      <c r="A4703">
        <f ca="1">34920.7793597374*((RANDBETWEEN(1587,2416)))</f>
        <v>68374885.98636581</v>
      </c>
      <c r="B4703">
        <v>251089920.71235725</v>
      </c>
    </row>
    <row r="4704" spans="1:2" x14ac:dyDescent="0.25">
      <c r="A4704">
        <f ca="1">31555.7495759645*((RANDBETWEEN(1587,2416)))</f>
        <v>60965708.180763409</v>
      </c>
      <c r="B4704">
        <v>240562445.34193218</v>
      </c>
    </row>
    <row r="4705" spans="1:2" x14ac:dyDescent="0.25">
      <c r="A4705">
        <f ca="1">37434.9282340177*((RANDBETWEEN(1587,2416)))</f>
        <v>69067442.591762573</v>
      </c>
      <c r="B4705">
        <v>219317081.11911553</v>
      </c>
    </row>
    <row r="4706" spans="1:2" x14ac:dyDescent="0.25">
      <c r="A4706">
        <f ca="1">32536.5368541219*((RANDBETWEEN(1587,2416)))</f>
        <v>76558471.21774891</v>
      </c>
      <c r="B4706">
        <v>265624148.98125845</v>
      </c>
    </row>
    <row r="4707" spans="1:2" x14ac:dyDescent="0.25">
      <c r="A4707">
        <f ca="1">38478.2945410093*((RANDBETWEEN(1587,2416)))</f>
        <v>92463341.782045424</v>
      </c>
      <c r="B4707">
        <v>254044963.35781384</v>
      </c>
    </row>
    <row r="4708" spans="1:2" x14ac:dyDescent="0.25">
      <c r="A4708">
        <f ca="1">34777.3501153682*((RANDBETWEEN(1587,2416)))</f>
        <v>66911621.621968418</v>
      </c>
      <c r="B4708">
        <v>256722696.8950029</v>
      </c>
    </row>
    <row r="4709" spans="1:2" x14ac:dyDescent="0.25">
      <c r="A4709">
        <f ca="1">31089.2415452105*((RANDBETWEEN(1587,2416)))</f>
        <v>52416461.245224908</v>
      </c>
      <c r="B4709">
        <v>217638819.38930422</v>
      </c>
    </row>
    <row r="4710" spans="1:2" x14ac:dyDescent="0.25">
      <c r="A4710">
        <f ca="1">36327.6732880629*((RANDBETWEEN(1587,2416)))</f>
        <v>70620996.871994242</v>
      </c>
      <c r="B4710">
        <v>227325432.52898648</v>
      </c>
    </row>
    <row r="4711" spans="1:2" x14ac:dyDescent="0.25">
      <c r="A4711">
        <f ca="1">36808.7143264825*((RANDBETWEEN(1587,2416)))</f>
        <v>70967201.221458331</v>
      </c>
      <c r="B4711">
        <v>226113596.44297144</v>
      </c>
    </row>
    <row r="4712" spans="1:2" x14ac:dyDescent="0.25">
      <c r="A4712">
        <f ca="1">35646.352256536*((RANDBETWEEN(1587,2416)))</f>
        <v>78814084.839201078</v>
      </c>
      <c r="B4712">
        <v>236656906.10595387</v>
      </c>
    </row>
    <row r="4713" spans="1:2" x14ac:dyDescent="0.25">
      <c r="A4713">
        <f ca="1">33994.1797956944*((RANDBETWEEN(1587,2416)))</f>
        <v>55784449.04473456</v>
      </c>
      <c r="B4713">
        <v>222875674.00441396</v>
      </c>
    </row>
    <row r="4714" spans="1:2" x14ac:dyDescent="0.25">
      <c r="A4714">
        <f ca="1">40359.9101403724*((RANDBETWEEN(1587,2416)))</f>
        <v>66714931.462035514</v>
      </c>
      <c r="B4714">
        <v>247066147.4620007</v>
      </c>
    </row>
    <row r="4715" spans="1:2" x14ac:dyDescent="0.25">
      <c r="A4715">
        <f ca="1">31743.1906950857*((RANDBETWEEN(1587,2416)))</f>
        <v>67898684.89678821</v>
      </c>
      <c r="B4715">
        <v>210515170.10692793</v>
      </c>
    </row>
    <row r="4716" spans="1:2" x14ac:dyDescent="0.25">
      <c r="A4716">
        <f ca="1">38769.490319716*((RANDBETWEEN(1587,2416)))</f>
        <v>61759798.079307534</v>
      </c>
      <c r="B4716">
        <v>214786750.37814531</v>
      </c>
    </row>
    <row r="4717" spans="1:2" x14ac:dyDescent="0.25">
      <c r="A4717">
        <f ca="1">30737.0294766863*((RANDBETWEEN(1587,2416)))</f>
        <v>49947672.899615243</v>
      </c>
      <c r="B4717">
        <v>261942798.00216565</v>
      </c>
    </row>
    <row r="4718" spans="1:2" x14ac:dyDescent="0.25">
      <c r="A4718">
        <f ca="1">35105.1032693659*((RANDBETWEEN(1587,2416)))</f>
        <v>65611438.010444865</v>
      </c>
      <c r="B4718">
        <v>209201250.94663784</v>
      </c>
    </row>
    <row r="4719" spans="1:2" x14ac:dyDescent="0.25">
      <c r="A4719">
        <f ca="1">31026.041661935*((RANDBETWEEN(1587,2416)))</f>
        <v>56901760.407988749</v>
      </c>
      <c r="B4719">
        <v>215304343.5707469</v>
      </c>
    </row>
    <row r="4720" spans="1:2" x14ac:dyDescent="0.25">
      <c r="A4720">
        <f ca="1">31831.5838079887*((RANDBETWEEN(1587,2416)))</f>
        <v>57360514.021995686</v>
      </c>
      <c r="B4720">
        <v>237143016.97507271</v>
      </c>
    </row>
    <row r="4721" spans="1:2" x14ac:dyDescent="0.25">
      <c r="A4721">
        <f ca="1">31430.2358995907*((RANDBETWEEN(1587,2416)))</f>
        <v>59623157.501523502</v>
      </c>
      <c r="B4721">
        <v>208060419.90637338</v>
      </c>
    </row>
    <row r="4722" spans="1:2" x14ac:dyDescent="0.25">
      <c r="A4722">
        <f ca="1">34072.8325724926*((RANDBETWEEN(1587,2416)))</f>
        <v>71791458.23024185</v>
      </c>
      <c r="B4722">
        <v>248267948.9744516</v>
      </c>
    </row>
    <row r="4723" spans="1:2" x14ac:dyDescent="0.25">
      <c r="A4723">
        <f ca="1">32405.1877951686*((RANDBETWEEN(1587,2416)))</f>
        <v>60630106.364760406</v>
      </c>
      <c r="B4723">
        <v>225450815.68501613</v>
      </c>
    </row>
    <row r="4724" spans="1:2" x14ac:dyDescent="0.25">
      <c r="A4724">
        <f ca="1">31128.5487775812*((RANDBETWEEN(1587,2416)))</f>
        <v>61105341.250391811</v>
      </c>
      <c r="B4724">
        <v>228820304.84460196</v>
      </c>
    </row>
    <row r="4725" spans="1:2" x14ac:dyDescent="0.25">
      <c r="A4725">
        <f ca="1">32781.6852341438*((RANDBETWEEN(1587,2416)))</f>
        <v>52549041.430332489</v>
      </c>
      <c r="B4725">
        <v>212491075.86735496</v>
      </c>
    </row>
    <row r="4726" spans="1:2" x14ac:dyDescent="0.25">
      <c r="A4726">
        <f ca="1">39459.2858666421*((RANDBETWEEN(1587,2416)))</f>
        <v>67238623.116758049</v>
      </c>
      <c r="B4726">
        <v>214715007.10237876</v>
      </c>
    </row>
    <row r="4727" spans="1:2" x14ac:dyDescent="0.25">
      <c r="A4727">
        <f ca="1">29534.3844518115*((RANDBETWEEN(1587,2416)))</f>
        <v>56706018.147478141</v>
      </c>
      <c r="B4727">
        <v>204470489.06939083</v>
      </c>
    </row>
    <row r="4728" spans="1:2" x14ac:dyDescent="0.25">
      <c r="A4728">
        <f ca="1">32582.6193109854*((RANDBETWEEN(1587,2416)))</f>
        <v>71877258.200033888</v>
      </c>
      <c r="B4728">
        <v>223401754.21760044</v>
      </c>
    </row>
    <row r="4729" spans="1:2" x14ac:dyDescent="0.25">
      <c r="A4729">
        <f ca="1">38674.1834355943*((RANDBETWEEN(1587,2416)))</f>
        <v>62922896.449711867</v>
      </c>
      <c r="B4729">
        <v>238333114.61570331</v>
      </c>
    </row>
    <row r="4730" spans="1:2" x14ac:dyDescent="0.25">
      <c r="A4730">
        <f ca="1">33143.6974989399*((RANDBETWEEN(1587,2416)))</f>
        <v>66386826.090376578</v>
      </c>
      <c r="B4730">
        <v>220114196.75774789</v>
      </c>
    </row>
    <row r="4731" spans="1:2" x14ac:dyDescent="0.25">
      <c r="A4731">
        <f ca="1">41211.3008040077*((RANDBETWEEN(1587,2416)))</f>
        <v>72202199.008621529</v>
      </c>
      <c r="B4731">
        <v>205889533.50236809</v>
      </c>
    </row>
    <row r="4732" spans="1:2" x14ac:dyDescent="0.25">
      <c r="A4732">
        <f ca="1">32182.3925698177*((RANDBETWEEN(1587,2416)))</f>
        <v>65780810.412707344</v>
      </c>
      <c r="B4732">
        <v>242200405.13574731</v>
      </c>
    </row>
    <row r="4733" spans="1:2" x14ac:dyDescent="0.25">
      <c r="A4733">
        <f ca="1">29981.2574958892*((RANDBETWEEN(1587,2416)))</f>
        <v>50818231.455532253</v>
      </c>
      <c r="B4733">
        <v>241166217.13779896</v>
      </c>
    </row>
    <row r="4734" spans="1:2" x14ac:dyDescent="0.25">
      <c r="A4734">
        <f ca="1">29310.7599996743*((RANDBETWEEN(1587,2416)))</f>
        <v>56188726.919375584</v>
      </c>
      <c r="B4734">
        <v>206558848.41072345</v>
      </c>
    </row>
    <row r="4735" spans="1:2" x14ac:dyDescent="0.25">
      <c r="A4735">
        <f ca="1">30184.1023811656*((RANDBETWEEN(1587,2416)))</f>
        <v>53757886.340855941</v>
      </c>
      <c r="B4735">
        <v>222655632.4156543</v>
      </c>
    </row>
    <row r="4736" spans="1:2" x14ac:dyDescent="0.25">
      <c r="A4736">
        <f ca="1">30450.9399183876*((RANDBETWEEN(1587,2416)))</f>
        <v>73478118.023069233</v>
      </c>
      <c r="B4736">
        <v>233801752.39093116</v>
      </c>
    </row>
    <row r="4737" spans="1:2" x14ac:dyDescent="0.25">
      <c r="A4737">
        <f ca="1">40943.8681497795*((RANDBETWEEN(1587,2416)))</f>
        <v>70423453.21762073</v>
      </c>
      <c r="B4737">
        <v>256455318.12809774</v>
      </c>
    </row>
    <row r="4738" spans="1:2" x14ac:dyDescent="0.25">
      <c r="A4738">
        <f ca="1">28960.3088492765*((RANDBETWEEN(1587,2416)))</f>
        <v>59252791.905619718</v>
      </c>
      <c r="B4738">
        <v>235185148.94187456</v>
      </c>
    </row>
    <row r="4739" spans="1:2" x14ac:dyDescent="0.25">
      <c r="A4739">
        <f ca="1">29140.7318931072*((RANDBETWEEN(1587,2416)))</f>
        <v>52832146.922203436</v>
      </c>
      <c r="B4739">
        <v>209775725.74513495</v>
      </c>
    </row>
    <row r="4740" spans="1:2" x14ac:dyDescent="0.25">
      <c r="A4740">
        <f ca="1">31988.5489461796*((RANDBETWEEN(1587,2416)))</f>
        <v>66376239.06332276</v>
      </c>
      <c r="B4740">
        <v>266368594.53043666</v>
      </c>
    </row>
    <row r="4741" spans="1:2" x14ac:dyDescent="0.25">
      <c r="A4741">
        <f ca="1">39947.176432432*((RANDBETWEEN(1587,2416)))</f>
        <v>71145921.226161391</v>
      </c>
      <c r="B4741">
        <v>231584339.86351764</v>
      </c>
    </row>
    <row r="4742" spans="1:2" x14ac:dyDescent="0.25">
      <c r="A4742">
        <f ca="1">35164.8212127928*((RANDBETWEEN(1587,2416)))</f>
        <v>59534042.31325829</v>
      </c>
      <c r="B4742">
        <v>264230280.09485492</v>
      </c>
    </row>
    <row r="4743" spans="1:2" x14ac:dyDescent="0.25">
      <c r="A4743">
        <f ca="1">34362.3254617759*((RANDBETWEEN(1587,2416)))</f>
        <v>55048445.389765054</v>
      </c>
      <c r="B4743">
        <v>242954412.13074753</v>
      </c>
    </row>
    <row r="4744" spans="1:2" x14ac:dyDescent="0.25">
      <c r="A4744">
        <f ca="1">33237.7913218831*((RANDBETWEEN(1587,2416)))</f>
        <v>71029160.054864272</v>
      </c>
      <c r="B4744">
        <v>234441629.5642516</v>
      </c>
    </row>
    <row r="4745" spans="1:2" x14ac:dyDescent="0.25">
      <c r="A4745">
        <f ca="1">31830.146882022*((RANDBETWEEN(1587,2416)))</f>
        <v>75723919.432330281</v>
      </c>
      <c r="B4745">
        <v>251288700.75495493</v>
      </c>
    </row>
    <row r="4746" spans="1:2" x14ac:dyDescent="0.25">
      <c r="A4746">
        <f ca="1">32406.990717901*((RANDBETWEEN(1587,2416)))</f>
        <v>69448181.108461753</v>
      </c>
      <c r="B4746">
        <v>261190347.55721751</v>
      </c>
    </row>
    <row r="4747" spans="1:2" x14ac:dyDescent="0.25">
      <c r="A4747">
        <f ca="1">29747.3273853633*((RANDBETWEEN(1587,2416)))</f>
        <v>48636880.275068946</v>
      </c>
      <c r="B4747">
        <v>212643304.28072241</v>
      </c>
    </row>
    <row r="4748" spans="1:2" x14ac:dyDescent="0.25">
      <c r="A4748">
        <f ca="1">38953.1138076449*((RANDBETWEEN(1587,2416)))</f>
        <v>74322541.144986376</v>
      </c>
      <c r="B4748">
        <v>249548148.22662151</v>
      </c>
    </row>
    <row r="4749" spans="1:2" x14ac:dyDescent="0.25">
      <c r="A4749">
        <f ca="1">35237.0828265021*((RANDBETWEEN(1587,2416)))</f>
        <v>84005205.458381116</v>
      </c>
      <c r="B4749">
        <v>212106608.54289311</v>
      </c>
    </row>
    <row r="4750" spans="1:2" x14ac:dyDescent="0.25">
      <c r="A4750">
        <f ca="1">40082.8106903006*((RANDBETWEEN(1587,2416)))</f>
        <v>79043302.681272745</v>
      </c>
      <c r="B4750">
        <v>212895072.93383017</v>
      </c>
    </row>
    <row r="4751" spans="1:2" x14ac:dyDescent="0.25">
      <c r="A4751">
        <f ca="1">33163.1743524614*((RANDBETWEEN(1587,2416)))</f>
        <v>74849284.513505295</v>
      </c>
      <c r="B4751">
        <v>245544363.83930063</v>
      </c>
    </row>
    <row r="4752" spans="1:2" x14ac:dyDescent="0.25">
      <c r="A4752">
        <f ca="1">33296.644960925*((RANDBETWEEN(1587,2416)))</f>
        <v>62431209.301734395</v>
      </c>
      <c r="B4752">
        <v>257676512.26708668</v>
      </c>
    </row>
    <row r="4753" spans="1:2" x14ac:dyDescent="0.25">
      <c r="A4753">
        <f ca="1">30297.4613796573*((RANDBETWEEN(1587,2416)))</f>
        <v>56383575.627542302</v>
      </c>
      <c r="B4753">
        <v>258647974.31961238</v>
      </c>
    </row>
    <row r="4754" spans="1:2" x14ac:dyDescent="0.25">
      <c r="A4754">
        <f ca="1">35637.0255723795*((RANDBETWEEN(1587,2416)))</f>
        <v>84139017.376388028</v>
      </c>
      <c r="B4754">
        <v>241302513.95840338</v>
      </c>
    </row>
    <row r="4755" spans="1:2" x14ac:dyDescent="0.25">
      <c r="A4755">
        <f ca="1">35115.212274903*((RANDBETWEEN(1587,2416)))</f>
        <v>67983050.964212194</v>
      </c>
      <c r="B4755">
        <v>208959104.08875263</v>
      </c>
    </row>
    <row r="4756" spans="1:2" x14ac:dyDescent="0.25">
      <c r="A4756">
        <f ca="1">34419.5117176604*((RANDBETWEEN(1587,2416)))</f>
        <v>55553091.91230388</v>
      </c>
      <c r="B4756">
        <v>257478928.37132585</v>
      </c>
    </row>
    <row r="4757" spans="1:2" x14ac:dyDescent="0.25">
      <c r="A4757">
        <f ca="1">32635.7893312425*((RANDBETWEEN(1587,2416)))</f>
        <v>60278302.894804969</v>
      </c>
      <c r="B4757">
        <v>243066562.4591161</v>
      </c>
    </row>
    <row r="4758" spans="1:2" x14ac:dyDescent="0.25">
      <c r="A4758">
        <f ca="1">31819.1302975624*((RANDBETWEEN(1587,2416)))</f>
        <v>52087916.297109574</v>
      </c>
      <c r="B4758">
        <v>245757247.25847486</v>
      </c>
    </row>
    <row r="4759" spans="1:2" x14ac:dyDescent="0.25">
      <c r="A4759">
        <f ca="1">35749.4224415526*((RANDBETWEEN(1587,2416)))</f>
        <v>71677591.995312989</v>
      </c>
      <c r="B4759">
        <v>206576557.11653298</v>
      </c>
    </row>
    <row r="4760" spans="1:2" x14ac:dyDescent="0.25">
      <c r="A4760">
        <f ca="1">32968.8922376112*((RANDBETWEEN(1587,2416)))</f>
        <v>64421215.432292201</v>
      </c>
      <c r="B4760">
        <v>233748418.74390319</v>
      </c>
    </row>
    <row r="4761" spans="1:2" x14ac:dyDescent="0.25">
      <c r="A4761">
        <f ca="1">28451.5764917642*((RANDBETWEEN(1587,2416)))</f>
        <v>63646176.612076573</v>
      </c>
      <c r="B4761">
        <v>248399841.89754111</v>
      </c>
    </row>
    <row r="4762" spans="1:2" x14ac:dyDescent="0.25">
      <c r="A4762">
        <f ca="1">32282.3704962151*((RANDBETWEEN(1587,2416)))</f>
        <v>60238903.345937461</v>
      </c>
      <c r="B4762">
        <v>243728991.16585007</v>
      </c>
    </row>
    <row r="4763" spans="1:2" x14ac:dyDescent="0.25">
      <c r="A4763">
        <f ca="1">31123.7138764098*((RANDBETWEEN(1587,2416)))</f>
        <v>64612830.007426739</v>
      </c>
      <c r="B4763">
        <v>229649101.15087724</v>
      </c>
    </row>
    <row r="4764" spans="1:2" x14ac:dyDescent="0.25">
      <c r="A4764">
        <f ca="1">30973.1732338417*((RANDBETWEEN(1587,2416)))</f>
        <v>61698561.081812657</v>
      </c>
      <c r="B4764">
        <v>205030449.25038368</v>
      </c>
    </row>
    <row r="4765" spans="1:2" x14ac:dyDescent="0.25">
      <c r="A4765">
        <f ca="1">30697.2152376673*((RANDBETWEEN(1587,2416)))</f>
        <v>63788813.263872743</v>
      </c>
      <c r="B4765">
        <v>216020815.82494497</v>
      </c>
    </row>
    <row r="4766" spans="1:2" x14ac:dyDescent="0.25">
      <c r="A4766">
        <f ca="1">32961.0028032625*((RANDBETWEEN(1587,2416)))</f>
        <v>79370094.750256047</v>
      </c>
      <c r="B4766">
        <v>214710340.68389815</v>
      </c>
    </row>
    <row r="4767" spans="1:2" x14ac:dyDescent="0.25">
      <c r="A4767">
        <f ca="1">32683.7595875158*((RANDBETWEEN(1587,2416)))</f>
        <v>58928818.536291063</v>
      </c>
      <c r="B4767">
        <v>213966800.08387956</v>
      </c>
    </row>
    <row r="4768" spans="1:2" x14ac:dyDescent="0.25">
      <c r="A4768">
        <f ca="1">30674.0787302657*((RANDBETWEEN(1587,2416)))</f>
        <v>59262320.106873423</v>
      </c>
      <c r="B4768">
        <v>257543976.95956275</v>
      </c>
    </row>
    <row r="4769" spans="1:2" x14ac:dyDescent="0.25">
      <c r="A4769">
        <f ca="1">28754.3780734266*((RANDBETWEEN(1587,2416)))</f>
        <v>67630297.228699282</v>
      </c>
      <c r="B4769">
        <v>253224761.87488124</v>
      </c>
    </row>
    <row r="4770" spans="1:2" x14ac:dyDescent="0.25">
      <c r="A4770">
        <f ca="1">31344.4906541402*((RANDBETWEEN(1587,2416)))</f>
        <v>63974105.425100207</v>
      </c>
      <c r="B4770">
        <v>215678665.39436358</v>
      </c>
    </row>
    <row r="4771" spans="1:2" x14ac:dyDescent="0.25">
      <c r="A4771">
        <f ca="1">33503.4546459722*((RANDBETWEEN(1587,2416)))</f>
        <v>55314203.620500058</v>
      </c>
      <c r="B4771">
        <v>236235541.0827961</v>
      </c>
    </row>
    <row r="4772" spans="1:2" x14ac:dyDescent="0.25">
      <c r="A4772">
        <f ca="1">29722.9381626926*((RANDBETWEEN(1587,2416)))</f>
        <v>54987435.600981325</v>
      </c>
      <c r="B4772">
        <v>227557886.06839082</v>
      </c>
    </row>
    <row r="4773" spans="1:2" x14ac:dyDescent="0.25">
      <c r="A4773">
        <f ca="1">33029.6309003479*((RANDBETWEEN(1587,2416)))</f>
        <v>54697068.770976059</v>
      </c>
      <c r="B4773">
        <v>265222824.18897575</v>
      </c>
    </row>
    <row r="4774" spans="1:2" x14ac:dyDescent="0.25">
      <c r="A4774">
        <f ca="1">32662.2544161501*((RANDBETWEEN(1587,2416)))</f>
        <v>61143740.267033018</v>
      </c>
      <c r="B4774">
        <v>233881801.94945011</v>
      </c>
    </row>
    <row r="4775" spans="1:2" x14ac:dyDescent="0.25">
      <c r="A4775">
        <f ca="1">34361.9952094321*((RANDBETWEEN(1587,2416)))</f>
        <v>64737998.97457014</v>
      </c>
      <c r="B4775">
        <v>233512502.3026568</v>
      </c>
    </row>
    <row r="4776" spans="1:2" x14ac:dyDescent="0.25">
      <c r="A4776">
        <f ca="1">29264.4051054148*((RANDBETWEEN(1587,2416)))</f>
        <v>69444433.315149218</v>
      </c>
      <c r="B4776">
        <v>253792944.27814481</v>
      </c>
    </row>
    <row r="4777" spans="1:2" x14ac:dyDescent="0.25">
      <c r="A4777">
        <f ca="1">40316.5901732156*((RANDBETWEEN(1587,2416)))</f>
        <v>93373222.841167331</v>
      </c>
      <c r="B4777">
        <v>252282422.1107648</v>
      </c>
    </row>
    <row r="4778" spans="1:2" x14ac:dyDescent="0.25">
      <c r="A4778">
        <f ca="1">34169.961996623*((RANDBETWEEN(1587,2416)))</f>
        <v>59694923.608100437</v>
      </c>
      <c r="B4778">
        <v>213461293.05396882</v>
      </c>
    </row>
    <row r="4779" spans="1:2" x14ac:dyDescent="0.25">
      <c r="A4779">
        <f ca="1">31359.3791166482*((RANDBETWEEN(1587,2416)))</f>
        <v>60554961.074247606</v>
      </c>
      <c r="B4779">
        <v>229261096.23400736</v>
      </c>
    </row>
    <row r="4780" spans="1:2" x14ac:dyDescent="0.25">
      <c r="A4780">
        <f ca="1">36048.884043912*((RANDBETWEEN(1587,2416)))</f>
        <v>80028522.577484697</v>
      </c>
      <c r="B4780">
        <v>224078366.57158157</v>
      </c>
    </row>
    <row r="4781" spans="1:2" x14ac:dyDescent="0.25">
      <c r="A4781">
        <f ca="1">37348.1577315839*((RANDBETWEEN(1587,2416)))</f>
        <v>85564629.363058791</v>
      </c>
      <c r="B4781">
        <v>226661423.97431886</v>
      </c>
    </row>
    <row r="4782" spans="1:2" x14ac:dyDescent="0.25">
      <c r="A4782">
        <f ca="1">37821.3553848855*((RANDBETWEEN(1587,2416)))</f>
        <v>75491425.34823148</v>
      </c>
      <c r="B4782">
        <v>244465989.65092587</v>
      </c>
    </row>
    <row r="4783" spans="1:2" x14ac:dyDescent="0.25">
      <c r="A4783">
        <f ca="1">38771.9044655691*((RANDBETWEEN(1587,2416)))</f>
        <v>78202931.307052776</v>
      </c>
      <c r="B4783">
        <v>267728426.34270564</v>
      </c>
    </row>
    <row r="4784" spans="1:2" x14ac:dyDescent="0.25">
      <c r="A4784">
        <f ca="1">32986.5061514737*((RANDBETWEEN(1587,2416)))</f>
        <v>66698715.438279912</v>
      </c>
      <c r="B4784">
        <v>249071412.19466013</v>
      </c>
    </row>
    <row r="4785" spans="1:2" x14ac:dyDescent="0.25">
      <c r="A4785">
        <f ca="1">34833.7265158333*((RANDBETWEEN(1587,2416)))</f>
        <v>60993855.12922404</v>
      </c>
      <c r="B4785">
        <v>264852834.64814836</v>
      </c>
    </row>
    <row r="4786" spans="1:2" x14ac:dyDescent="0.25">
      <c r="A4786">
        <f ca="1">37972.7796936156*((RANDBETWEEN(1587,2416)))</f>
        <v>65237235.513631612</v>
      </c>
      <c r="B4786">
        <v>262090539.25011837</v>
      </c>
    </row>
    <row r="4787" spans="1:2" x14ac:dyDescent="0.25">
      <c r="A4787">
        <f ca="1">41709.7348300161*((RANDBETWEEN(1587,2416)))</f>
        <v>94472549.389986455</v>
      </c>
      <c r="B4787">
        <v>223243968.30133632</v>
      </c>
    </row>
    <row r="4788" spans="1:2" x14ac:dyDescent="0.25">
      <c r="A4788">
        <f ca="1">35080.270540486*((RANDBETWEEN(1587,2416)))</f>
        <v>67389199.708273664</v>
      </c>
      <c r="B4788">
        <v>231125350.42887095</v>
      </c>
    </row>
    <row r="4789" spans="1:2" x14ac:dyDescent="0.25">
      <c r="A4789">
        <f ca="1">30243.7096849592*((RANDBETWEEN(1587,2416)))</f>
        <v>53228929.045528114</v>
      </c>
      <c r="B4789">
        <v>246217046.81233433</v>
      </c>
    </row>
    <row r="4790" spans="1:2" x14ac:dyDescent="0.25">
      <c r="A4790">
        <f ca="1">33203.0593268937*((RANDBETWEEN(1587,2416)))</f>
        <v>70456891.891668364</v>
      </c>
      <c r="B4790">
        <v>258318206.08411637</v>
      </c>
    </row>
    <row r="4791" spans="1:2" x14ac:dyDescent="0.25">
      <c r="A4791">
        <f ca="1">33280.1390908807*((RANDBETWEEN(1587,2416)))</f>
        <v>54479587.691771731</v>
      </c>
      <c r="B4791">
        <v>211054236.19336402</v>
      </c>
    </row>
    <row r="4792" spans="1:2" x14ac:dyDescent="0.25">
      <c r="A4792">
        <f ca="1">31597.1087691058*((RANDBETWEEN(1587,2416)))</f>
        <v>66448719.7414295</v>
      </c>
      <c r="B4792">
        <v>224973055.49735138</v>
      </c>
    </row>
    <row r="4793" spans="1:2" x14ac:dyDescent="0.25">
      <c r="A4793">
        <f ca="1">30167.1089692864*((RANDBETWEEN(1587,2416)))</f>
        <v>68087164.943679437</v>
      </c>
      <c r="B4793">
        <v>231174736.05404454</v>
      </c>
    </row>
    <row r="4794" spans="1:2" x14ac:dyDescent="0.25">
      <c r="A4794">
        <f ca="1">39777.6408731488*((RANDBETWEEN(1587,2416)))</f>
        <v>88147252.174897715</v>
      </c>
      <c r="B4794">
        <v>244668215.67821625</v>
      </c>
    </row>
    <row r="4795" spans="1:2" x14ac:dyDescent="0.25">
      <c r="A4795">
        <f ca="1">34521.6935486765*((RANDBETWEEN(1587,2416)))</f>
        <v>76672681.371610522</v>
      </c>
      <c r="B4795">
        <v>243773507.06978923</v>
      </c>
    </row>
    <row r="4796" spans="1:2" x14ac:dyDescent="0.25">
      <c r="A4796">
        <f ca="1">30896.8642952788*((RANDBETWEEN(1587,2416)))</f>
        <v>67540545.349479422</v>
      </c>
      <c r="B4796">
        <v>264742740.17486143</v>
      </c>
    </row>
    <row r="4797" spans="1:2" x14ac:dyDescent="0.25">
      <c r="A4797">
        <f ca="1">31885.3781210113*((RANDBETWEEN(1587,2416)))</f>
        <v>65683878.929283343</v>
      </c>
      <c r="B4797">
        <v>224830786.38178912</v>
      </c>
    </row>
    <row r="4798" spans="1:2" x14ac:dyDescent="0.25">
      <c r="A4798">
        <f ca="1">38535.3464794887*((RANDBETWEEN(1587,2416)))</f>
        <v>87359630.469000861</v>
      </c>
      <c r="B4798">
        <v>212955427.5432924</v>
      </c>
    </row>
    <row r="4799" spans="1:2" x14ac:dyDescent="0.25">
      <c r="A4799">
        <f ca="1">32120.8171145793*((RANDBETWEEN(1587,2416)))</f>
        <v>58716853.685450949</v>
      </c>
      <c r="B4799">
        <v>239531507.6176331</v>
      </c>
    </row>
    <row r="4800" spans="1:2" x14ac:dyDescent="0.25">
      <c r="A4800">
        <f ca="1">32739.5226421958*((RANDBETWEEN(1587,2416)))</f>
        <v>75791994.916683197</v>
      </c>
      <c r="B4800">
        <v>266611411.88883027</v>
      </c>
    </row>
    <row r="4801" spans="1:2" x14ac:dyDescent="0.25">
      <c r="A4801">
        <f ca="1">41110.8781297835*((RANDBETWEEN(1587,2416)))</f>
        <v>97021672.38628909</v>
      </c>
      <c r="B4801">
        <v>243342738.56433597</v>
      </c>
    </row>
    <row r="4802" spans="1:2" x14ac:dyDescent="0.25">
      <c r="A4802">
        <f ca="1">35026.7621187516*((RANDBETWEEN(1587,2416)))</f>
        <v>80456472.586772338</v>
      </c>
      <c r="B4802">
        <v>217683126.42965791</v>
      </c>
    </row>
    <row r="4803" spans="1:2" x14ac:dyDescent="0.25">
      <c r="A4803">
        <f ca="1">43046.6177445978*((RANDBETWEEN(1587,2416)))</f>
        <v>73222296.783560932</v>
      </c>
      <c r="B4803">
        <v>250333625.29002631</v>
      </c>
    </row>
    <row r="4804" spans="1:2" x14ac:dyDescent="0.25">
      <c r="A4804">
        <f ca="1">39653.2770510108*((RANDBETWEEN(1587,2416)))</f>
        <v>88704380.76311107</v>
      </c>
      <c r="B4804">
        <v>228222161.91380584</v>
      </c>
    </row>
    <row r="4805" spans="1:2" x14ac:dyDescent="0.25">
      <c r="A4805">
        <f ca="1">40641.7297396692*((RANDBETWEEN(1587,2416)))</f>
        <v>90021431.373367295</v>
      </c>
      <c r="B4805">
        <v>239150899.15871823</v>
      </c>
    </row>
    <row r="4806" spans="1:2" x14ac:dyDescent="0.25">
      <c r="A4806">
        <f ca="1">33829.9895879287*((RANDBETWEEN(1587,2416)))</f>
        <v>70941488.165886536</v>
      </c>
      <c r="B4806">
        <v>227948197.11559892</v>
      </c>
    </row>
    <row r="4807" spans="1:2" x14ac:dyDescent="0.25">
      <c r="A4807">
        <f ca="1">32969.762832026*((RANDBETWEEN(1587,2416)))</f>
        <v>76094212.616315946</v>
      </c>
      <c r="B4807">
        <v>248540684.26622903</v>
      </c>
    </row>
    <row r="4808" spans="1:2" x14ac:dyDescent="0.25">
      <c r="A4808">
        <f ca="1">37247.0556100718*((RANDBETWEEN(1587,2416)))</f>
        <v>62128088.757599719</v>
      </c>
      <c r="B4808">
        <v>226274028.725667</v>
      </c>
    </row>
    <row r="4809" spans="1:2" x14ac:dyDescent="0.25">
      <c r="A4809">
        <f ca="1">31504.5433860462*((RANDBETWEEN(1587,2416)))</f>
        <v>59008009.762064479</v>
      </c>
      <c r="B4809">
        <v>258922757.23796979</v>
      </c>
    </row>
    <row r="4810" spans="1:2" x14ac:dyDescent="0.25">
      <c r="A4810">
        <f ca="1">33825.1825852259*((RANDBETWEEN(1587,2416)))</f>
        <v>67481239.257525712</v>
      </c>
      <c r="B4810">
        <v>251466826.54014802</v>
      </c>
    </row>
    <row r="4811" spans="1:2" x14ac:dyDescent="0.25">
      <c r="A4811">
        <f ca="1">37325.0485425133*((RANDBETWEEN(1587,2416)))</f>
        <v>79688978.638265938</v>
      </c>
      <c r="B4811">
        <v>266175075.24976802</v>
      </c>
    </row>
    <row r="4812" spans="1:2" x14ac:dyDescent="0.25">
      <c r="A4812">
        <f ca="1">35117.8743941882*((RANDBETWEEN(1587,2416)))</f>
        <v>77364677.290396675</v>
      </c>
      <c r="B4812">
        <v>214431853.18410754</v>
      </c>
    </row>
    <row r="4813" spans="1:2" x14ac:dyDescent="0.25">
      <c r="A4813">
        <f ca="1">30753.9904051168*((RANDBETWEEN(1587,2416)))</f>
        <v>71441519.711086228</v>
      </c>
      <c r="B4813">
        <v>229291117.92884403</v>
      </c>
    </row>
    <row r="4814" spans="1:2" x14ac:dyDescent="0.25">
      <c r="A4814">
        <f ca="1">39176.5942636577*((RANDBETWEEN(1587,2416)))</f>
        <v>87794747.744856954</v>
      </c>
      <c r="B4814">
        <v>229850939.07872295</v>
      </c>
    </row>
    <row r="4815" spans="1:2" x14ac:dyDescent="0.25">
      <c r="A4815">
        <f ca="1">30786.5528238405*((RANDBETWEEN(1587,2416)))</f>
        <v>59510406.608483702</v>
      </c>
      <c r="B4815">
        <v>262318172.86680639</v>
      </c>
    </row>
    <row r="4816" spans="1:2" x14ac:dyDescent="0.25">
      <c r="A4816">
        <f ca="1">29261.1683316561*((RANDBETWEEN(1587,2416)))</f>
        <v>52991975.84862911</v>
      </c>
      <c r="B4816">
        <v>257439746.79352054</v>
      </c>
    </row>
    <row r="4817" spans="1:2" x14ac:dyDescent="0.25">
      <c r="A4817">
        <f ca="1">34134.5225560162*((RANDBETWEEN(1587,2416)))</f>
        <v>66220973.758671455</v>
      </c>
      <c r="B4817">
        <v>216973682.07573324</v>
      </c>
    </row>
    <row r="4818" spans="1:2" x14ac:dyDescent="0.25">
      <c r="A4818">
        <f ca="1">38573.0131807242*((RANDBETWEEN(1587,2416)))</f>
        <v>79653272.218195438</v>
      </c>
      <c r="B4818">
        <v>262561693.05184042</v>
      </c>
    </row>
    <row r="4819" spans="1:2" x14ac:dyDescent="0.25">
      <c r="A4819">
        <f ca="1">38573.0617887119*((RANDBETWEEN(1587,2416)))</f>
        <v>66075654.844063476</v>
      </c>
      <c r="B4819">
        <v>212113792.11059111</v>
      </c>
    </row>
    <row r="4820" spans="1:2" x14ac:dyDescent="0.25">
      <c r="A4820">
        <f ca="1">37535.9507604378*((RANDBETWEEN(1587,2416)))</f>
        <v>79501143.71060729</v>
      </c>
      <c r="B4820">
        <v>236157927.43638551</v>
      </c>
    </row>
    <row r="4821" spans="1:2" x14ac:dyDescent="0.25">
      <c r="A4821">
        <f ca="1">31829.2610418561*((RANDBETWEEN(1587,2416)))</f>
        <v>59170596.276810423</v>
      </c>
      <c r="B4821">
        <v>235298240.59077325</v>
      </c>
    </row>
    <row r="4822" spans="1:2" x14ac:dyDescent="0.25">
      <c r="A4822">
        <f ca="1">38082.526825421*((RANDBETWEEN(1587,2416)))</f>
        <v>75669980.802111581</v>
      </c>
      <c r="B4822">
        <v>215487427.13370234</v>
      </c>
    </row>
    <row r="4823" spans="1:2" x14ac:dyDescent="0.25">
      <c r="A4823">
        <f ca="1">33020.5083700079*((RANDBETWEEN(1587,2416)))</f>
        <v>71588462.146177039</v>
      </c>
      <c r="B4823">
        <v>234169975.55436999</v>
      </c>
    </row>
    <row r="4824" spans="1:2" x14ac:dyDescent="0.25">
      <c r="A4824">
        <f ca="1">33823.1270927564*((RANDBETWEEN(1587,2416)))</f>
        <v>64061002.713680685</v>
      </c>
      <c r="B4824">
        <v>239738549.20659387</v>
      </c>
    </row>
    <row r="4825" spans="1:2" x14ac:dyDescent="0.25">
      <c r="A4825">
        <f ca="1">30656.3947582423*((RANDBETWEEN(1587,2416)))</f>
        <v>62784296.464880154</v>
      </c>
      <c r="B4825">
        <v>204302926.41902071</v>
      </c>
    </row>
    <row r="4826" spans="1:2" x14ac:dyDescent="0.25">
      <c r="A4826">
        <f ca="1">34392.74765102*((RANDBETWEEN(1587,2416)))</f>
        <v>62526015.22955437</v>
      </c>
      <c r="B4826">
        <v>243323427.94825321</v>
      </c>
    </row>
    <row r="4827" spans="1:2" x14ac:dyDescent="0.25">
      <c r="A4827">
        <f ca="1">33445.9653261273*((RANDBETWEEN(1587,2416)))</f>
        <v>57159154.742351614</v>
      </c>
      <c r="B4827">
        <v>252489783.06740046</v>
      </c>
    </row>
    <row r="4828" spans="1:2" x14ac:dyDescent="0.25">
      <c r="A4828">
        <f ca="1">30135.3760143911*((RANDBETWEEN(1587,2416)))</f>
        <v>58763983.22806266</v>
      </c>
      <c r="B4828">
        <v>219558249.4092418</v>
      </c>
    </row>
    <row r="4829" spans="1:2" x14ac:dyDescent="0.25">
      <c r="A4829">
        <f ca="1">30623.7178898479*((RANDBETWEEN(1587,2416)))</f>
        <v>69056483.841607049</v>
      </c>
      <c r="B4829">
        <v>243595237.17904833</v>
      </c>
    </row>
    <row r="4830" spans="1:2" x14ac:dyDescent="0.25">
      <c r="A4830">
        <f ca="1">33573.8958111*((RANDBETWEEN(1587,2416)))</f>
        <v>62548167.896079265</v>
      </c>
      <c r="B4830">
        <v>225499324.85823315</v>
      </c>
    </row>
    <row r="4831" spans="1:2" x14ac:dyDescent="0.25">
      <c r="A4831">
        <f ca="1">30305.4632998003*((RANDBETWEEN(1587,2416)))</f>
        <v>56398467.200928286</v>
      </c>
      <c r="B4831">
        <v>242793208.12718439</v>
      </c>
    </row>
    <row r="4832" spans="1:2" x14ac:dyDescent="0.25">
      <c r="A4832">
        <f ca="1">32640.6078212393*((RANDBETWEEN(1587,2416)))</f>
        <v>55554314.511749208</v>
      </c>
      <c r="B4832">
        <v>234308192.81387353</v>
      </c>
    </row>
    <row r="4833" spans="1:2" x14ac:dyDescent="0.25">
      <c r="A4833">
        <f ca="1">30185.4151238693*((RANDBETWEEN(1587,2416)))</f>
        <v>58680447.000801928</v>
      </c>
      <c r="B4833">
        <v>239810908.03338313</v>
      </c>
    </row>
    <row r="4834" spans="1:2" x14ac:dyDescent="0.25">
      <c r="A4834">
        <f ca="1">41836.3037153854*((RANDBETWEEN(1587,2416)))</f>
        <v>95428608.774794012</v>
      </c>
      <c r="B4834">
        <v>243547965.80328715</v>
      </c>
    </row>
    <row r="4835" spans="1:2" x14ac:dyDescent="0.25">
      <c r="A4835">
        <f ca="1">31876.8403361631*((RANDBETWEEN(1587,2416)))</f>
        <v>54541273.815175049</v>
      </c>
      <c r="B4835">
        <v>209915084.37407458</v>
      </c>
    </row>
    <row r="4836" spans="1:2" x14ac:dyDescent="0.25">
      <c r="A4836">
        <f ca="1">33958.0382423537*((RANDBETWEEN(1587,2416)))</f>
        <v>79597641.640077159</v>
      </c>
      <c r="B4836">
        <v>264345277.59247914</v>
      </c>
    </row>
    <row r="4837" spans="1:2" x14ac:dyDescent="0.25">
      <c r="A4837">
        <f ca="1">35578.0407678648*((RANDBETWEEN(1587,2416)))</f>
        <v>72152266.677229866</v>
      </c>
      <c r="B4837">
        <v>238306176.66042829</v>
      </c>
    </row>
    <row r="4838" spans="1:2" x14ac:dyDescent="0.25">
      <c r="A4838">
        <f ca="1">38587.4536740204*((RANDBETWEEN(1587,2416)))</f>
        <v>84930985.536518887</v>
      </c>
      <c r="B4838">
        <v>252763923.0806134</v>
      </c>
    </row>
    <row r="4839" spans="1:2" x14ac:dyDescent="0.25">
      <c r="A4839">
        <f ca="1">31540.5213660793*((RANDBETWEEN(1587,2416)))</f>
        <v>70493065.253187314</v>
      </c>
      <c r="B4839">
        <v>235440450.04058045</v>
      </c>
    </row>
    <row r="4840" spans="1:2" x14ac:dyDescent="0.25">
      <c r="A4840">
        <f ca="1">36220.9688804532*((RANDBETWEEN(1587,2416)))</f>
        <v>71753739.352177873</v>
      </c>
      <c r="B4840">
        <v>260130179.33925611</v>
      </c>
    </row>
    <row r="4841" spans="1:2" x14ac:dyDescent="0.25">
      <c r="A4841">
        <f ca="1">34899.2366298596*((RANDBETWEEN(1587,2416)))</f>
        <v>71159543.488283724</v>
      </c>
      <c r="B4841">
        <v>211676761.66217524</v>
      </c>
    </row>
    <row r="4842" spans="1:2" x14ac:dyDescent="0.25">
      <c r="A4842">
        <f ca="1">29061.8679602798*((RANDBETWEEN(1587,2416)))</f>
        <v>46615236.208288833</v>
      </c>
      <c r="B4842">
        <v>251900072.5426569</v>
      </c>
    </row>
    <row r="4843" spans="1:2" x14ac:dyDescent="0.25">
      <c r="A4843">
        <f ca="1">30482.2361707183*((RANDBETWEEN(1587,2416)))</f>
        <v>70017696.484140009</v>
      </c>
      <c r="B4843">
        <v>234538327.74292573</v>
      </c>
    </row>
    <row r="4844" spans="1:2" x14ac:dyDescent="0.25">
      <c r="A4844">
        <f ca="1">31171.2527211535*((RANDBETWEEN(1587,2416)))</f>
        <v>70415859.897085756</v>
      </c>
      <c r="B4844">
        <v>226465125.63876554</v>
      </c>
    </row>
    <row r="4845" spans="1:2" x14ac:dyDescent="0.25">
      <c r="A4845">
        <f ca="1">29208.2017123338*((RANDBETWEEN(1587,2416)))</f>
        <v>54794586.412338242</v>
      </c>
      <c r="B4845">
        <v>256605236.87882844</v>
      </c>
    </row>
    <row r="4846" spans="1:2" x14ac:dyDescent="0.25">
      <c r="A4846">
        <f ca="1">36401.6608047037*((RANDBETWEEN(1587,2416)))</f>
        <v>71201648.534000441</v>
      </c>
      <c r="B4846">
        <v>245286024.52647007</v>
      </c>
    </row>
    <row r="4847" spans="1:2" x14ac:dyDescent="0.25">
      <c r="A4847">
        <f ca="1">32672.9188883442*((RANDBETWEEN(1587,2416)))</f>
        <v>53224184.869112626</v>
      </c>
      <c r="B4847">
        <v>205389715.76760125</v>
      </c>
    </row>
    <row r="4848" spans="1:2" x14ac:dyDescent="0.25">
      <c r="A4848">
        <f ca="1">31354.3516053036*((RANDBETWEEN(1587,2416)))</f>
        <v>72177717.395408794</v>
      </c>
      <c r="B4848">
        <v>230799243.2240358</v>
      </c>
    </row>
    <row r="4849" spans="1:2" x14ac:dyDescent="0.25">
      <c r="A4849">
        <f ca="1">34997.8153214691*((RANDBETWEEN(1587,2416)))</f>
        <v>67860763.908328533</v>
      </c>
      <c r="B4849">
        <v>229472621.98918527</v>
      </c>
    </row>
    <row r="4850" spans="1:2" x14ac:dyDescent="0.25">
      <c r="A4850">
        <f ca="1">31725.7514672429*((RANDBETWEEN(1587,2416)))</f>
        <v>55012453.044199243</v>
      </c>
      <c r="B4850">
        <v>226673343.29628921</v>
      </c>
    </row>
    <row r="4851" spans="1:2" x14ac:dyDescent="0.25">
      <c r="A4851">
        <f ca="1">33321.5342474432*((RANDBETWEEN(1587,2416)))</f>
        <v>74640236.714272842</v>
      </c>
      <c r="B4851">
        <v>254215367.31157354</v>
      </c>
    </row>
    <row r="4852" spans="1:2" x14ac:dyDescent="0.25">
      <c r="A4852">
        <f ca="1">35993.2880936543*((RANDBETWEEN(1587,2416)))</f>
        <v>57877207.254596159</v>
      </c>
      <c r="B4852">
        <v>257865081.45020157</v>
      </c>
    </row>
    <row r="4853" spans="1:2" x14ac:dyDescent="0.25">
      <c r="A4853">
        <f ca="1">33406.4145539072*((RANDBETWEEN(1587,2416)))</f>
        <v>57893316.421921127</v>
      </c>
      <c r="B4853">
        <v>217788532.49414504</v>
      </c>
    </row>
    <row r="4854" spans="1:2" x14ac:dyDescent="0.25">
      <c r="A4854">
        <f ca="1">36758.6387196965*((RANDBETWEEN(1587,2416)))</f>
        <v>85610869.57817325</v>
      </c>
      <c r="B4854">
        <v>247208142.59559041</v>
      </c>
    </row>
    <row r="4855" spans="1:2" x14ac:dyDescent="0.25">
      <c r="A4855">
        <f ca="1">31455.927144797*((RANDBETWEEN(1587,2416)))</f>
        <v>73418133.955956131</v>
      </c>
      <c r="B4855">
        <v>223821329.02038521</v>
      </c>
    </row>
    <row r="4856" spans="1:2" x14ac:dyDescent="0.25">
      <c r="A4856">
        <f ca="1">33372.6624584647*((RANDBETWEEN(1587,2416)))</f>
        <v>59970674.437861115</v>
      </c>
      <c r="B4856">
        <v>243695465.48412386</v>
      </c>
    </row>
    <row r="4857" spans="1:2" x14ac:dyDescent="0.25">
      <c r="A4857">
        <f ca="1">33808.8485123076*((RANDBETWEEN(1587,2416)))</f>
        <v>74142804.787490636</v>
      </c>
      <c r="B4857">
        <v>254880337.38771501</v>
      </c>
    </row>
    <row r="4858" spans="1:2" x14ac:dyDescent="0.25">
      <c r="A4858">
        <f ca="1">34776.6080639895*((RANDBETWEEN(1587,2416)))</f>
        <v>69066343.615083158</v>
      </c>
      <c r="B4858">
        <v>225237463.42727152</v>
      </c>
    </row>
    <row r="4859" spans="1:2" x14ac:dyDescent="0.25">
      <c r="A4859">
        <f ca="1">32908.7552335992*((RANDBETWEEN(1587,2416)))</f>
        <v>57787774.190200232</v>
      </c>
      <c r="B4859">
        <v>254923048.90666336</v>
      </c>
    </row>
    <row r="4860" spans="1:2" x14ac:dyDescent="0.25">
      <c r="A4860">
        <f ca="1">36366.502936951*((RANDBETWEEN(1587,2416)))</f>
        <v>74696797.032497376</v>
      </c>
      <c r="B4860">
        <v>242958794.85711515</v>
      </c>
    </row>
    <row r="4861" spans="1:2" x14ac:dyDescent="0.25">
      <c r="A4861">
        <f ca="1">34007.2521223661*((RANDBETWEEN(1587,2416)))</f>
        <v>58254422.885613099</v>
      </c>
      <c r="B4861">
        <v>251331951.97290224</v>
      </c>
    </row>
    <row r="4862" spans="1:2" x14ac:dyDescent="0.25">
      <c r="A4862">
        <f ca="1">33561.2279668553*((RANDBETWEEN(1587,2416)))</f>
        <v>70142966.450727493</v>
      </c>
      <c r="B4862">
        <v>247032769.10643089</v>
      </c>
    </row>
    <row r="4863" spans="1:2" x14ac:dyDescent="0.25">
      <c r="A4863">
        <f ca="1">33226.8046532927*((RANDBETWEEN(1587,2416)))</f>
        <v>78282351.763157621</v>
      </c>
      <c r="B4863">
        <v>221800835.48577967</v>
      </c>
    </row>
    <row r="4864" spans="1:2" x14ac:dyDescent="0.25">
      <c r="A4864">
        <f ca="1">31124.1254188442*((RANDBETWEEN(1587,2416)))</f>
        <v>50483331.429365218</v>
      </c>
      <c r="B4864">
        <v>219677716.89314896</v>
      </c>
    </row>
    <row r="4865" spans="1:2" x14ac:dyDescent="0.25">
      <c r="A4865">
        <f ca="1">29679.1720588067*((RANDBETWEEN(1587,2416)))</f>
        <v>66332949.551433012</v>
      </c>
      <c r="B4865">
        <v>212688337.13072383</v>
      </c>
    </row>
    <row r="4866" spans="1:2" x14ac:dyDescent="0.25">
      <c r="A4866">
        <f ca="1">32653.9230523385*((RANDBETWEEN(1587,2416)))</f>
        <v>52507508.268160254</v>
      </c>
      <c r="B4866">
        <v>218278819.54404509</v>
      </c>
    </row>
    <row r="4867" spans="1:2" x14ac:dyDescent="0.25">
      <c r="A4867">
        <f ca="1">30814.202799931*((RANDBETWEEN(1587,2416)))</f>
        <v>50781806.214286312</v>
      </c>
      <c r="B4867">
        <v>248939237.13439041</v>
      </c>
    </row>
    <row r="4868" spans="1:2" x14ac:dyDescent="0.25">
      <c r="A4868">
        <f ca="1">31516.4945757367*((RANDBETWEEN(1587,2416)))</f>
        <v>73433432.361466438</v>
      </c>
      <c r="B4868">
        <v>231534826.06397378</v>
      </c>
    </row>
    <row r="4869" spans="1:2" x14ac:dyDescent="0.25">
      <c r="A4869">
        <f ca="1">35816.826326095*((RANDBETWEEN(1587,2416)))</f>
        <v>60494619.664774515</v>
      </c>
      <c r="B4869">
        <v>256096797.54915023</v>
      </c>
    </row>
    <row r="4870" spans="1:2" x14ac:dyDescent="0.25">
      <c r="A4870">
        <f ca="1">30084.0340430581*((RANDBETWEEN(1587,2416)))</f>
        <v>48314958.673151299</v>
      </c>
      <c r="B4870">
        <v>250294365.32037902</v>
      </c>
    </row>
    <row r="4871" spans="1:2" x14ac:dyDescent="0.25">
      <c r="A4871">
        <f ca="1">30592.4218488285*((RANDBETWEEN(1587,2416)))</f>
        <v>57697307.606890492</v>
      </c>
      <c r="B4871">
        <v>253317629.20781255</v>
      </c>
    </row>
    <row r="4872" spans="1:2" x14ac:dyDescent="0.25">
      <c r="A4872">
        <f ca="1">32007.0220283081*((RANDBETWEEN(1587,2416)))</f>
        <v>73936220.885391816</v>
      </c>
      <c r="B4872">
        <v>242344581.34174803</v>
      </c>
    </row>
    <row r="4873" spans="1:2" x14ac:dyDescent="0.25">
      <c r="A4873">
        <f ca="1">32865.9199880815*((RANDBETWEEN(1587,2416)))</f>
        <v>59487315.178427473</v>
      </c>
      <c r="B4873">
        <v>253997845.10620776</v>
      </c>
    </row>
    <row r="4874" spans="1:2" x14ac:dyDescent="0.25">
      <c r="A4874">
        <f ca="1">36410.7122163135*((RANDBETWEEN(1587,2416)))</f>
        <v>64774657.032821789</v>
      </c>
      <c r="B4874">
        <v>215542010.40461847</v>
      </c>
    </row>
    <row r="4875" spans="1:2" x14ac:dyDescent="0.25">
      <c r="A4875">
        <f ca="1">34486.5407804527*((RANDBETWEEN(1587,2416)))</f>
        <v>78560339.897871226</v>
      </c>
      <c r="B4875">
        <v>209432272.87748808</v>
      </c>
    </row>
    <row r="4876" spans="1:2" x14ac:dyDescent="0.25">
      <c r="A4876">
        <f ca="1">34481.4477779744*((RANDBETWEEN(1587,2416)))</f>
        <v>57273684.759215429</v>
      </c>
      <c r="B4876">
        <v>256721069.59921464</v>
      </c>
    </row>
    <row r="4877" spans="1:2" x14ac:dyDescent="0.25">
      <c r="A4877">
        <f ca="1">30584.1186204063*((RANDBETWEEN(1587,2416)))</f>
        <v>61565830.782877974</v>
      </c>
      <c r="B4877">
        <v>216633367.18927592</v>
      </c>
    </row>
    <row r="4878" spans="1:2" x14ac:dyDescent="0.25">
      <c r="A4878">
        <f ca="1">36025.6069045754*((RANDBETWEEN(1587,2416)))</f>
        <v>79940821.721252725</v>
      </c>
      <c r="B4878">
        <v>231297124.58522701</v>
      </c>
    </row>
    <row r="4879" spans="1:2" x14ac:dyDescent="0.25">
      <c r="A4879">
        <f ca="1">32112.9523831991*((RANDBETWEEN(1587,2416)))</f>
        <v>51573401.527417697</v>
      </c>
      <c r="B4879">
        <v>253193152.46334004</v>
      </c>
    </row>
    <row r="4880" spans="1:2" x14ac:dyDescent="0.25">
      <c r="A4880">
        <f ca="1">35597.2269205156*((RANDBETWEEN(1587,2416)))</f>
        <v>61832383.160935551</v>
      </c>
      <c r="B4880">
        <v>213886205.13423073</v>
      </c>
    </row>
    <row r="4881" spans="1:2" x14ac:dyDescent="0.25">
      <c r="A4881">
        <f ca="1">36610.1884311434*((RANDBETWEEN(1587,2416)))</f>
        <v>77686819.85088633</v>
      </c>
      <c r="B4881">
        <v>223777469.43277299</v>
      </c>
    </row>
    <row r="4882" spans="1:2" x14ac:dyDescent="0.25">
      <c r="A4882">
        <f ca="1">36325.5460975545*((RANDBETWEEN(1587,2416)))</f>
        <v>86055218.705106631</v>
      </c>
      <c r="B4882">
        <v>227186140.01833826</v>
      </c>
    </row>
    <row r="4883" spans="1:2" x14ac:dyDescent="0.25">
      <c r="A4883">
        <f ca="1">37223.0701506996*((RANDBETWEEN(1587,2416)))</f>
        <v>70091041.09376736</v>
      </c>
      <c r="B4883">
        <v>267475313.46578133</v>
      </c>
    </row>
    <row r="4884" spans="1:2" x14ac:dyDescent="0.25">
      <c r="A4884">
        <f ca="1">31107.5310936044*((RANDBETWEEN(1587,2416)))</f>
        <v>59788674.761907645</v>
      </c>
      <c r="B4884">
        <v>219166331.67487001</v>
      </c>
    </row>
    <row r="4885" spans="1:2" x14ac:dyDescent="0.25">
      <c r="A4885">
        <f ca="1">33616.5498879751*((RANDBETWEEN(1587,2416)))</f>
        <v>55803472.814038731</v>
      </c>
      <c r="B4885">
        <v>229773221.19095004</v>
      </c>
    </row>
    <row r="4886" spans="1:2" x14ac:dyDescent="0.25">
      <c r="A4886">
        <f ca="1">31010.4560757422*((RANDBETWEEN(1587,2416)))</f>
        <v>53958193.571791492</v>
      </c>
      <c r="B4886">
        <v>203792153.35126033</v>
      </c>
    </row>
    <row r="4887" spans="1:2" x14ac:dyDescent="0.25">
      <c r="A4887">
        <f ca="1">33450.8932929335*((RANDBETWEEN(1587,2416)))</f>
        <v>78643050.131686717</v>
      </c>
      <c r="B4887">
        <v>224757549.85676175</v>
      </c>
    </row>
    <row r="4888" spans="1:2" x14ac:dyDescent="0.25">
      <c r="A4888">
        <f ca="1">39996.5635735465*((RANDBETWEEN(1587,2416)))</f>
        <v>65514371.133469112</v>
      </c>
      <c r="B4888">
        <v>233502722.80927622</v>
      </c>
    </row>
    <row r="4889" spans="1:2" x14ac:dyDescent="0.25">
      <c r="A4889">
        <f ca="1">36708.662168802*((RANDBETWEEN(1587,2416)))</f>
        <v>78483119.716898739</v>
      </c>
      <c r="B4889">
        <v>252244725.22480786</v>
      </c>
    </row>
    <row r="4890" spans="1:2" x14ac:dyDescent="0.25">
      <c r="A4890">
        <f ca="1">33494.0613481933*((RANDBETWEEN(1587,2416)))</f>
        <v>59652923.261132196</v>
      </c>
      <c r="B4890">
        <v>263040625.84737408</v>
      </c>
    </row>
    <row r="4891" spans="1:2" x14ac:dyDescent="0.25">
      <c r="A4891">
        <f ca="1">29149.5930723263*((RANDBETWEEN(1587,2416)))</f>
        <v>58415784.516941987</v>
      </c>
      <c r="B4891">
        <v>226687309.58531028</v>
      </c>
    </row>
    <row r="4892" spans="1:2" x14ac:dyDescent="0.25">
      <c r="A4892">
        <f ca="1">38708.987627817*((RANDBETWEEN(1587,2416)))</f>
        <v>84037212.139990747</v>
      </c>
      <c r="B4892">
        <v>240986620.49663222</v>
      </c>
    </row>
    <row r="4893" spans="1:2" x14ac:dyDescent="0.25">
      <c r="A4893">
        <f ca="1">31009.0263210588*((RANDBETWEEN(1587,2416)))</f>
        <v>65336018.458470985</v>
      </c>
      <c r="B4893">
        <v>219654798.74034137</v>
      </c>
    </row>
    <row r="4894" spans="1:2" x14ac:dyDescent="0.25">
      <c r="A4894">
        <f ca="1">31267.4187193483*((RANDBETWEEN(1587,2416)))</f>
        <v>74791665.576681182</v>
      </c>
      <c r="B4894">
        <v>248796790.45971146</v>
      </c>
    </row>
    <row r="4895" spans="1:2" x14ac:dyDescent="0.25">
      <c r="A4895">
        <f ca="1">29445.0018318906*((RANDBETWEEN(1587,2416)))</f>
        <v>48554808.020787619</v>
      </c>
      <c r="B4895">
        <v>252624176.55235475</v>
      </c>
    </row>
    <row r="4896" spans="1:2" x14ac:dyDescent="0.25">
      <c r="A4896">
        <f ca="1">39422.8889862178*((RANDBETWEEN(1587,2416)))</f>
        <v>76007329.965427861</v>
      </c>
      <c r="B4896">
        <v>267674231.42876548</v>
      </c>
    </row>
    <row r="4897" spans="1:2" x14ac:dyDescent="0.25">
      <c r="A4897">
        <f ca="1">36426.4730868192*((RANDBETWEEN(1587,2416)))</f>
        <v>70303093.05756098</v>
      </c>
      <c r="B4897">
        <v>243706621.69198787</v>
      </c>
    </row>
    <row r="4898" spans="1:2" x14ac:dyDescent="0.25">
      <c r="A4898">
        <f ca="1">31825.8604995347*((RANDBETWEEN(1587,2416)))</f>
        <v>67661779.422010869</v>
      </c>
      <c r="B4898">
        <v>247770079.66026488</v>
      </c>
    </row>
    <row r="4899" spans="1:2" x14ac:dyDescent="0.25">
      <c r="A4899">
        <f ca="1">31677.7585321526*((RANDBETWEEN(1587,2416)))</f>
        <v>54327355.88264171</v>
      </c>
      <c r="B4899">
        <v>260235086.56871659</v>
      </c>
    </row>
    <row r="4900" spans="1:2" x14ac:dyDescent="0.25">
      <c r="A4900">
        <f ca="1">30846.514556794*((RANDBETWEEN(1587,2416)))</f>
        <v>63204508.326870903</v>
      </c>
      <c r="B4900">
        <v>227821717.61151123</v>
      </c>
    </row>
    <row r="4901" spans="1:2" x14ac:dyDescent="0.25">
      <c r="A4901">
        <f ca="1">31578.5389806185*((RANDBETWEEN(1587,2416)))</f>
        <v>50809869.219815157</v>
      </c>
      <c r="B4901">
        <v>209929239.8137973</v>
      </c>
    </row>
    <row r="4902" spans="1:2" x14ac:dyDescent="0.25">
      <c r="A4902">
        <f ca="1">30607.3273827412*((RANDBETWEEN(1587,2416)))</f>
        <v>61092225.455951527</v>
      </c>
      <c r="B4902">
        <v>235714324.1673649</v>
      </c>
    </row>
    <row r="4903" spans="1:2" x14ac:dyDescent="0.25">
      <c r="A4903">
        <f ca="1">32631.9182914297*((RANDBETWEEN(1587,2416)))</f>
        <v>73454448.074008271</v>
      </c>
      <c r="B4903">
        <v>248772894.31472385</v>
      </c>
    </row>
    <row r="4904" spans="1:2" x14ac:dyDescent="0.25">
      <c r="A4904">
        <f ca="1">31818.6294242726*((RANDBETWEEN(1587,2416)))</f>
        <v>50527983.52574493</v>
      </c>
      <c r="B4904">
        <v>235436640.13145286</v>
      </c>
    </row>
    <row r="4905" spans="1:2" x14ac:dyDescent="0.25">
      <c r="A4905">
        <f ca="1">28638.5706167726*((RANDBETWEEN(1587,2416)))</f>
        <v>51119848.550939009</v>
      </c>
      <c r="B4905">
        <v>214203547.90448815</v>
      </c>
    </row>
    <row r="4906" spans="1:2" x14ac:dyDescent="0.25">
      <c r="A4906">
        <f ca="1">31542.2496643028*((RANDBETWEEN(1587,2416)))</f>
        <v>64630069.562156476</v>
      </c>
      <c r="B4906">
        <v>252017619.02573821</v>
      </c>
    </row>
    <row r="4907" spans="1:2" x14ac:dyDescent="0.25">
      <c r="A4907">
        <f ca="1">38442.0115915997*((RANDBETWEEN(1587,2416)))</f>
        <v>79844058.075752556</v>
      </c>
      <c r="B4907">
        <v>264119139.25195915</v>
      </c>
    </row>
    <row r="4908" spans="1:2" x14ac:dyDescent="0.25">
      <c r="A4908">
        <f ca="1">30174.1944510144*((RANDBETWEEN(1587,2416)))</f>
        <v>61072569.568853058</v>
      </c>
      <c r="B4908">
        <v>220232779.61970925</v>
      </c>
    </row>
    <row r="4909" spans="1:2" x14ac:dyDescent="0.25">
      <c r="A4909">
        <f ca="1">31468.1580928824*((RANDBETWEEN(1587,2416)))</f>
        <v>75775324.687660784</v>
      </c>
      <c r="B4909">
        <v>204151659.84717095</v>
      </c>
    </row>
    <row r="4910" spans="1:2" x14ac:dyDescent="0.25">
      <c r="A4910">
        <f ca="1">30886.9957701973*((RANDBETWEEN(1587,2416)))</f>
        <v>69835497.436416239</v>
      </c>
      <c r="B4910">
        <v>211978704.93205661</v>
      </c>
    </row>
    <row r="4911" spans="1:2" x14ac:dyDescent="0.25">
      <c r="A4911">
        <f ca="1">28457.3231574244*((RANDBETWEEN(1587,2416)))</f>
        <v>56886188.991691411</v>
      </c>
      <c r="B4911">
        <v>228362494.81778282</v>
      </c>
    </row>
    <row r="4912" spans="1:2" x14ac:dyDescent="0.25">
      <c r="A4912">
        <f ca="1">37675.0114187093*((RANDBETWEEN(1587,2416)))</f>
        <v>71092746.547104493</v>
      </c>
      <c r="B4912">
        <v>263105749.16466781</v>
      </c>
    </row>
    <row r="4913" spans="1:2" x14ac:dyDescent="0.25">
      <c r="A4913">
        <f ca="1">28659.5371836905*((RANDBETWEEN(1587,2416)))</f>
        <v>56975159.921176672</v>
      </c>
      <c r="B4913">
        <v>212312861.48635671</v>
      </c>
    </row>
    <row r="4914" spans="1:2" x14ac:dyDescent="0.25">
      <c r="A4914">
        <f ca="1">28583.3568324255*((RANDBETWEEN(1587,2416)))</f>
        <v>58138547.797153421</v>
      </c>
      <c r="B4914">
        <v>209990020.49563813</v>
      </c>
    </row>
    <row r="4915" spans="1:2" x14ac:dyDescent="0.25">
      <c r="A4915">
        <f ca="1">38759.5900361968*((RANDBETWEEN(1587,2416)))</f>
        <v>88061788.562239036</v>
      </c>
      <c r="B4915">
        <v>227149389.78545564</v>
      </c>
    </row>
    <row r="4916" spans="1:2" x14ac:dyDescent="0.25">
      <c r="A4916">
        <f ca="1">31017.5865615504*((RANDBETWEEN(1587,2416)))</f>
        <v>74814418.78645952</v>
      </c>
      <c r="B4916">
        <v>253743084.22023946</v>
      </c>
    </row>
    <row r="4917" spans="1:2" x14ac:dyDescent="0.25">
      <c r="A4917">
        <f ca="1">40444.305269138*((RANDBETWEEN(1587,2416)))</f>
        <v>73042415.316063255</v>
      </c>
      <c r="B4917">
        <v>263968485.22910681</v>
      </c>
    </row>
    <row r="4918" spans="1:2" x14ac:dyDescent="0.25">
      <c r="A4918">
        <f ca="1">36104.0395980631*((RANDBETWEEN(1587,2416)))</f>
        <v>71052749.928988248</v>
      </c>
      <c r="B4918">
        <v>225834037.49031109</v>
      </c>
    </row>
    <row r="4919" spans="1:2" x14ac:dyDescent="0.25">
      <c r="A4919">
        <f ca="1">37516.7034267505*((RANDBETWEEN(1587,2416)))</f>
        <v>77021792.135118753</v>
      </c>
      <c r="B4919">
        <v>240320030.46950534</v>
      </c>
    </row>
    <row r="4920" spans="1:2" x14ac:dyDescent="0.25">
      <c r="A4920">
        <f ca="1">28700.7808951567*((RANDBETWEEN(1587,2416)))</f>
        <v>67446835.103618219</v>
      </c>
      <c r="B4920">
        <v>258886696.03464252</v>
      </c>
    </row>
    <row r="4921" spans="1:2" x14ac:dyDescent="0.25">
      <c r="A4921">
        <f ca="1">36403.9960776591*((RANDBETWEEN(1587,2416)))</f>
        <v>85330966.806032881</v>
      </c>
      <c r="B4921">
        <v>262215912.02571613</v>
      </c>
    </row>
    <row r="4922" spans="1:2" x14ac:dyDescent="0.25">
      <c r="A4922">
        <f ca="1">31746.1002916082*((RANDBETWEEN(1587,2416)))</f>
        <v>59650922.447931804</v>
      </c>
      <c r="B4922">
        <v>225088535.99778441</v>
      </c>
    </row>
    <row r="4923" spans="1:2" x14ac:dyDescent="0.25">
      <c r="A4923">
        <f ca="1">31692.3157801411*((RANDBETWEEN(1587,2416)))</f>
        <v>65254478.191310473</v>
      </c>
      <c r="B4923">
        <v>266274552.91589203</v>
      </c>
    </row>
    <row r="4924" spans="1:2" x14ac:dyDescent="0.25">
      <c r="A4924">
        <f ca="1">29879.2399265868*((RANDBETWEEN(1587,2416)))</f>
        <v>55635144.74330464</v>
      </c>
      <c r="B4924">
        <v>227959294.4457939</v>
      </c>
    </row>
    <row r="4925" spans="1:2" x14ac:dyDescent="0.25">
      <c r="A4925">
        <f ca="1">32832.4570440256*((RANDBETWEEN(1587,2416)))</f>
        <v>70359955.445346788</v>
      </c>
      <c r="B4925">
        <v>259631322.86254403</v>
      </c>
    </row>
    <row r="4926" spans="1:2" x14ac:dyDescent="0.25">
      <c r="A4926">
        <f ca="1">32540.2203077759*((RANDBETWEEN(1587,2416)))</f>
        <v>52487375.356442541</v>
      </c>
      <c r="B4926">
        <v>245993699.66825396</v>
      </c>
    </row>
    <row r="4927" spans="1:2" x14ac:dyDescent="0.25">
      <c r="A4927">
        <f ca="1">38760.2410646767*((RANDBETWEEN(1587,2416)))</f>
        <v>66280012.220597297</v>
      </c>
      <c r="B4927">
        <v>241453152.00094822</v>
      </c>
    </row>
    <row r="4928" spans="1:2" x14ac:dyDescent="0.25">
      <c r="A4928">
        <f ca="1">34837.7432315314*((RANDBETWEEN(1587,2416)))</f>
        <v>79325541.338196948</v>
      </c>
      <c r="B4928">
        <v>211545868.95677683</v>
      </c>
    </row>
    <row r="4929" spans="1:2" x14ac:dyDescent="0.25">
      <c r="A4929">
        <f ca="1">31245.8416898266*((RANDBETWEEN(1587,2416)))</f>
        <v>66709872.007779837</v>
      </c>
      <c r="B4929">
        <v>225011259.67135954</v>
      </c>
    </row>
    <row r="4930" spans="1:2" x14ac:dyDescent="0.25">
      <c r="A4930">
        <f ca="1">33233.3289833712*((RANDBETWEEN(1587,2416)))</f>
        <v>79627056.244157419</v>
      </c>
      <c r="B4930">
        <v>212419777.09374207</v>
      </c>
    </row>
    <row r="4931" spans="1:2" x14ac:dyDescent="0.25">
      <c r="A4931">
        <f ca="1">40252.5283796514*((RANDBETWEEN(1587,2416)))</f>
        <v>85536622.806759194</v>
      </c>
      <c r="B4931">
        <v>211917513.12218049</v>
      </c>
    </row>
    <row r="4932" spans="1:2" x14ac:dyDescent="0.25">
      <c r="A4932">
        <f ca="1">31813.6798904475*((RANDBETWEEN(1587,2416)))</f>
        <v>71771661.832849637</v>
      </c>
      <c r="B4932">
        <v>243926813.31956261</v>
      </c>
    </row>
    <row r="4933" spans="1:2" x14ac:dyDescent="0.25">
      <c r="A4933">
        <f ca="1">30503.9770533302*((RANDBETWEEN(1587,2416)))</f>
        <v>51551721.220128</v>
      </c>
      <c r="B4933">
        <v>219446822.41640437</v>
      </c>
    </row>
    <row r="4934" spans="1:2" x14ac:dyDescent="0.25">
      <c r="A4934">
        <f ca="1">32328.048375236*((RANDBETWEEN(1587,2416)))</f>
        <v>75938585.633429259</v>
      </c>
      <c r="B4934">
        <v>223363054.03858674</v>
      </c>
    </row>
    <row r="4935" spans="1:2" x14ac:dyDescent="0.25">
      <c r="A4935">
        <f ca="1">28820.724360493*((RANDBETWEEN(1587,2416)))</f>
        <v>54615272.66313418</v>
      </c>
      <c r="B4935">
        <v>234724995.49402243</v>
      </c>
    </row>
    <row r="4936" spans="1:2" x14ac:dyDescent="0.25">
      <c r="A4936">
        <f ca="1">32507.7926036624*((RANDBETWEEN(1587,2416)))</f>
        <v>64462952.733062468</v>
      </c>
      <c r="B4936">
        <v>225814488.43848544</v>
      </c>
    </row>
    <row r="4937" spans="1:2" x14ac:dyDescent="0.25">
      <c r="A4937">
        <f ca="1">30101.7455419578*((RANDBETWEEN(1587,2416)))</f>
        <v>67819232.706030905</v>
      </c>
      <c r="B4937">
        <v>218377629.30021486</v>
      </c>
    </row>
    <row r="4938" spans="1:2" x14ac:dyDescent="0.25">
      <c r="A4938">
        <f ca="1">33321.3120008858*((RANDBETWEEN(1587,2416)))</f>
        <v>63477099.361687437</v>
      </c>
      <c r="B4938">
        <v>252119942.06686482</v>
      </c>
    </row>
    <row r="4939" spans="1:2" x14ac:dyDescent="0.25">
      <c r="A4939">
        <f ca="1">30126.7821281865*((RANDBETWEEN(1587,2416)))</f>
        <v>63989285.240268201</v>
      </c>
      <c r="B4939">
        <v>222696102.05560499</v>
      </c>
    </row>
    <row r="4940" spans="1:2" x14ac:dyDescent="0.25">
      <c r="A4940">
        <f ca="1">42814.0591229221*((RANDBETWEEN(1587,2416)))</f>
        <v>84943093.299877524</v>
      </c>
      <c r="B4940">
        <v>255144658.60223359</v>
      </c>
    </row>
    <row r="4941" spans="1:2" x14ac:dyDescent="0.25">
      <c r="A4941">
        <f ca="1">41230.7028959783*((RANDBETWEEN(1587,2416)))</f>
        <v>68525428.213115916</v>
      </c>
      <c r="B4941">
        <v>229508139.47815791</v>
      </c>
    </row>
    <row r="4942" spans="1:2" x14ac:dyDescent="0.25">
      <c r="A4942">
        <f ca="1">29116.1660620558*((RANDBETWEEN(1587,2416)))</f>
        <v>49235436.810936421</v>
      </c>
      <c r="B4942">
        <v>221723932.42619774</v>
      </c>
    </row>
    <row r="4943" spans="1:2" x14ac:dyDescent="0.25">
      <c r="A4943">
        <f ca="1">29319.7263594687*((RANDBETWEEN(1587,2416)))</f>
        <v>66438499.930556156</v>
      </c>
      <c r="B4943">
        <v>240384123.04119521</v>
      </c>
    </row>
    <row r="4944" spans="1:2" x14ac:dyDescent="0.25">
      <c r="A4944">
        <f ca="1">28563.5293686529*((RANDBETWEEN(1587,2416)))</f>
        <v>54127888.15359731</v>
      </c>
      <c r="B4944">
        <v>226178326.89804658</v>
      </c>
    </row>
    <row r="4945" spans="1:2" x14ac:dyDescent="0.25">
      <c r="A4945">
        <f ca="1">37515.2300260231*((RANDBETWEEN(1587,2416)))</f>
        <v>77919132.764050081</v>
      </c>
      <c r="B4945">
        <v>225566083.40725669</v>
      </c>
    </row>
    <row r="4946" spans="1:2" x14ac:dyDescent="0.25">
      <c r="A4946">
        <f ca="1">32519.7212304275*((RANDBETWEEN(1587,2416)))</f>
        <v>70665354.233718976</v>
      </c>
      <c r="B4946">
        <v>232506985.85826474</v>
      </c>
    </row>
    <row r="4947" spans="1:2" x14ac:dyDescent="0.25">
      <c r="A4947">
        <f ca="1">35408.9335314575*((RANDBETWEEN(1587,2416)))</f>
        <v>61009592.474701263</v>
      </c>
      <c r="B4947">
        <v>237375537.36915809</v>
      </c>
    </row>
    <row r="4948" spans="1:2" x14ac:dyDescent="0.25">
      <c r="A4948">
        <f ca="1">38731.0701597856*((RANDBETWEEN(1587,2416)))</f>
        <v>79011383.125962615</v>
      </c>
      <c r="B4948">
        <v>258711089.7544255</v>
      </c>
    </row>
    <row r="4949" spans="1:2" x14ac:dyDescent="0.25">
      <c r="A4949">
        <f ca="1">33072.600933949*((RANDBETWEEN(1587,2416)))</f>
        <v>72825867.256555602</v>
      </c>
      <c r="B4949">
        <v>252458226.54586563</v>
      </c>
    </row>
    <row r="4950" spans="1:2" x14ac:dyDescent="0.25">
      <c r="A4950">
        <f ca="1">38308.3999540033*((RANDBETWEEN(1587,2416)))</f>
        <v>87726235.894667611</v>
      </c>
      <c r="B4950">
        <v>237074505.01856759</v>
      </c>
    </row>
    <row r="4951" spans="1:2" x14ac:dyDescent="0.25">
      <c r="A4951">
        <f ca="1">30541.7905081194*((RANDBETWEEN(1587,2416)))</f>
        <v>70032325.635117859</v>
      </c>
      <c r="B4951">
        <v>229063638.96605119</v>
      </c>
    </row>
    <row r="4952" spans="1:2" x14ac:dyDescent="0.25">
      <c r="A4952">
        <f ca="1">34219.9325706109*((RANDBETWEEN(1587,2416)))</f>
        <v>71416999.274865046</v>
      </c>
      <c r="B4952">
        <v>254004951.37237251</v>
      </c>
    </row>
    <row r="4953" spans="1:2" x14ac:dyDescent="0.25">
      <c r="A4953">
        <f ca="1">37471.6728398862*((RANDBETWEEN(1587,2416)))</f>
        <v>89894543.142887026</v>
      </c>
      <c r="B4953">
        <v>233051502.15396118</v>
      </c>
    </row>
    <row r="4954" spans="1:2" x14ac:dyDescent="0.25">
      <c r="A4954">
        <f ca="1">31206.414628818*((RANDBETWEEN(1587,2416)))</f>
        <v>71400276.670735523</v>
      </c>
      <c r="B4954">
        <v>223309480.20722443</v>
      </c>
    </row>
    <row r="4955" spans="1:2" x14ac:dyDescent="0.25">
      <c r="A4955">
        <f ca="1">34672.0952579877*((RANDBETWEEN(1587,2416)))</f>
        <v>82138193.666172966</v>
      </c>
      <c r="B4955">
        <v>236312374.19010654</v>
      </c>
    </row>
    <row r="4956" spans="1:2" x14ac:dyDescent="0.25">
      <c r="A4956">
        <f ca="1">34123.6103348559*((RANDBETWEEN(1587,2416)))</f>
        <v>74082358.036972314</v>
      </c>
      <c r="B4956">
        <v>212810182.5836584</v>
      </c>
    </row>
    <row r="4957" spans="1:2" x14ac:dyDescent="0.25">
      <c r="A4957">
        <f ca="1">30290.9778708348*((RANDBETWEEN(1587,2416)))</f>
        <v>65519385.134615719</v>
      </c>
      <c r="B4957">
        <v>221168416.89326969</v>
      </c>
    </row>
    <row r="4958" spans="1:2" x14ac:dyDescent="0.25">
      <c r="A4958">
        <f ca="1">30805.162767298*((RANDBETWEEN(1587,2416)))</f>
        <v>71991665.3871755</v>
      </c>
      <c r="B4958">
        <v>264183876.99189776</v>
      </c>
    </row>
    <row r="4959" spans="1:2" x14ac:dyDescent="0.25">
      <c r="A4959">
        <f ca="1">36478.4170118213*((RANDBETWEEN(1587,2416)))</f>
        <v>82878963.450858057</v>
      </c>
      <c r="B4959">
        <v>219589027.12661746</v>
      </c>
    </row>
    <row r="4960" spans="1:2" x14ac:dyDescent="0.25">
      <c r="A4960">
        <f ca="1">36268.1274824093*((RANDBETWEEN(1587,2416)))</f>
        <v>78121546.597109661</v>
      </c>
      <c r="B4960">
        <v>225315089.75577396</v>
      </c>
    </row>
    <row r="4961" spans="1:2" x14ac:dyDescent="0.25">
      <c r="A4961">
        <f ca="1">32770.2102111442*((RANDBETWEEN(1587,2416)))</f>
        <v>77730938.620834008</v>
      </c>
      <c r="B4961">
        <v>248283059.6290127</v>
      </c>
    </row>
    <row r="4962" spans="1:2" x14ac:dyDescent="0.25">
      <c r="A4962">
        <f ca="1">28657.9226760114*((RANDBETWEEN(1587,2416)))</f>
        <v>55825633.372870296</v>
      </c>
      <c r="B4962">
        <v>217353364.97057745</v>
      </c>
    </row>
    <row r="4963" spans="1:2" x14ac:dyDescent="0.25">
      <c r="A4963">
        <f ca="1">32069.6888370631*((RANDBETWEEN(1587,2416)))</f>
        <v>65486304.605282821</v>
      </c>
      <c r="B4963">
        <v>243193058.20283443</v>
      </c>
    </row>
    <row r="4964" spans="1:2" x14ac:dyDescent="0.25">
      <c r="A4964">
        <f ca="1">32609.8852439404*((RANDBETWEEN(1587,2416)))</f>
        <v>73437461.569353759</v>
      </c>
      <c r="B4964">
        <v>221789788.90445751</v>
      </c>
    </row>
    <row r="4965" spans="1:2" x14ac:dyDescent="0.25">
      <c r="A4965">
        <f ca="1">40099.2947563387*((RANDBETWEEN(1587,2416)))</f>
        <v>78514419.132911205</v>
      </c>
      <c r="B4965">
        <v>260571247.56137371</v>
      </c>
    </row>
    <row r="4966" spans="1:2" x14ac:dyDescent="0.25">
      <c r="A4966">
        <f ca="1">29248.225457385*((RANDBETWEEN(1587,2416)))</f>
        <v>62503457.802431643</v>
      </c>
      <c r="B4966">
        <v>215267242.78080162</v>
      </c>
    </row>
    <row r="4967" spans="1:2" x14ac:dyDescent="0.25">
      <c r="A4967">
        <f ca="1">31240.0503193187*((RANDBETWEEN(1587,2416)))</f>
        <v>74976120.766364887</v>
      </c>
      <c r="B4967">
        <v>215753674.89339703</v>
      </c>
    </row>
    <row r="4968" spans="1:2" x14ac:dyDescent="0.25">
      <c r="A4968">
        <f ca="1">41531.6879283892*((RANDBETWEEN(1587,2416)))</f>
        <v>100132899.59534636</v>
      </c>
      <c r="B4968">
        <v>220043215.66388851</v>
      </c>
    </row>
    <row r="4969" spans="1:2" x14ac:dyDescent="0.25">
      <c r="A4969">
        <f ca="1">30299.2000572115*((RANDBETWEEN(1587,2416)))</f>
        <v>62204257.717455134</v>
      </c>
      <c r="B4969">
        <v>231183377.64623207</v>
      </c>
    </row>
    <row r="4970" spans="1:2" x14ac:dyDescent="0.25">
      <c r="A4970">
        <f ca="1">34679.1024122554*((RANDBETWEEN(1587,2416)))</f>
        <v>71126839.047535911</v>
      </c>
      <c r="B4970">
        <v>207602917.48241293</v>
      </c>
    </row>
    <row r="4971" spans="1:2" x14ac:dyDescent="0.25">
      <c r="A4971">
        <f ca="1">31168.8052794319*((RANDBETWEEN(1587,2416)))</f>
        <v>65049296.618174389</v>
      </c>
      <c r="B4971">
        <v>261073356.88362589</v>
      </c>
    </row>
    <row r="4972" spans="1:2" x14ac:dyDescent="0.25">
      <c r="A4972">
        <f ca="1">33512.2428613144*((RANDBETWEEN(1587,2416)))</f>
        <v>74028544.480643511</v>
      </c>
      <c r="B4972">
        <v>263856932.49341077</v>
      </c>
    </row>
    <row r="4973" spans="1:2" x14ac:dyDescent="0.25">
      <c r="A4973">
        <f ca="1">32885.0114937821*((RANDBETWEEN(1587,2416)))</f>
        <v>78759602.527608171</v>
      </c>
      <c r="B4973">
        <v>265976091.40325868</v>
      </c>
    </row>
    <row r="4974" spans="1:2" x14ac:dyDescent="0.25">
      <c r="A4974">
        <f ca="1">40184.7513777416*((RANDBETWEEN(1587,2416)))</f>
        <v>79646177.230683789</v>
      </c>
      <c r="B4974">
        <v>260796836.17423239</v>
      </c>
    </row>
    <row r="4975" spans="1:2" x14ac:dyDescent="0.25">
      <c r="A4975">
        <f ca="1">33310.3473369783*((RANDBETWEEN(1587,2416)))</f>
        <v>56394418.041504338</v>
      </c>
      <c r="B4975">
        <v>247456352.15684447</v>
      </c>
    </row>
    <row r="4976" spans="1:2" x14ac:dyDescent="0.25">
      <c r="A4976">
        <f ca="1">28865.7617999446*((RANDBETWEEN(1587,2416)))</f>
        <v>62927360.723879166</v>
      </c>
      <c r="B4976">
        <v>236074889.14811322</v>
      </c>
    </row>
    <row r="4977" spans="1:2" x14ac:dyDescent="0.25">
      <c r="A4977">
        <f ca="1">39709.9200308317*((RANDBETWEEN(1587,2416)))</f>
        <v>89585579.589556247</v>
      </c>
      <c r="B4977">
        <v>232945741.73774523</v>
      </c>
    </row>
    <row r="4978" spans="1:2" x14ac:dyDescent="0.25">
      <c r="A4978">
        <f ca="1">40080.0697328485*((RANDBETWEEN(1587,2416)))</f>
        <v>69859561.544354916</v>
      </c>
      <c r="B4978">
        <v>258401939.33482853</v>
      </c>
    </row>
    <row r="4979" spans="1:2" x14ac:dyDescent="0.25">
      <c r="A4979">
        <f ca="1">31114.1798091489*((RANDBETWEEN(1587,2416)))</f>
        <v>58992484.918146342</v>
      </c>
      <c r="B4979">
        <v>207584516.48047188</v>
      </c>
    </row>
    <row r="4980" spans="1:2" x14ac:dyDescent="0.25">
      <c r="A4980">
        <f ca="1">36103.6859025655*((RANDBETWEEN(1587,2416)))</f>
        <v>86035083.505813599</v>
      </c>
      <c r="B4980">
        <v>232527333.15767866</v>
      </c>
    </row>
    <row r="4981" spans="1:2" x14ac:dyDescent="0.25">
      <c r="A4981">
        <f ca="1">35412.9586482951*((RANDBETWEEN(1587,2416)))</f>
        <v>70648852.503348738</v>
      </c>
      <c r="B4981">
        <v>259150643.02616277</v>
      </c>
    </row>
    <row r="4982" spans="1:2" x14ac:dyDescent="0.25">
      <c r="A4982">
        <f ca="1">33911.7291998262*((RANDBETWEEN(1587,2416)))</f>
        <v>80642092.037186727</v>
      </c>
      <c r="B4982">
        <v>216184845.80130216</v>
      </c>
    </row>
    <row r="4983" spans="1:2" x14ac:dyDescent="0.25">
      <c r="A4983">
        <f ca="1">40952.0783749492*((RANDBETWEEN(1587,2416)))</f>
        <v>79160367.498776838</v>
      </c>
      <c r="B4983">
        <v>216177988.01658297</v>
      </c>
    </row>
    <row r="4984" spans="1:2" x14ac:dyDescent="0.25">
      <c r="A4984">
        <f ca="1">32464.3222028135*((RANDBETWEEN(1587,2416)))</f>
        <v>75804192.343569458</v>
      </c>
      <c r="B4984">
        <v>232347829.59000033</v>
      </c>
    </row>
    <row r="4985" spans="1:2" x14ac:dyDescent="0.25">
      <c r="A4985">
        <f ca="1">39344.2109832388*((RANDBETWEEN(1587,2416)))</f>
        <v>88209721.024421275</v>
      </c>
      <c r="B4985">
        <v>214941832.86251727</v>
      </c>
    </row>
    <row r="4986" spans="1:2" x14ac:dyDescent="0.25">
      <c r="A4986">
        <f ca="1">31597.8602794507*((RANDBETWEEN(1587,2416)))</f>
        <v>57255322.826364696</v>
      </c>
      <c r="B4986">
        <v>213797528.86095494</v>
      </c>
    </row>
    <row r="4987" spans="1:2" x14ac:dyDescent="0.25">
      <c r="A4987">
        <f ca="1">32472.2782131581*((RANDBETWEEN(1587,2416)))</f>
        <v>71179233.843242645</v>
      </c>
      <c r="B4987">
        <v>204196284.85276222</v>
      </c>
    </row>
    <row r="4988" spans="1:2" x14ac:dyDescent="0.25">
      <c r="A4988">
        <f ca="1">31183.2332581526*((RANDBETWEEN(1587,2416)))</f>
        <v>50859853.444046959</v>
      </c>
      <c r="B4988">
        <v>234594075.29469889</v>
      </c>
    </row>
    <row r="4989" spans="1:2" x14ac:dyDescent="0.25">
      <c r="A4989">
        <f ca="1">30400.5652611941*((RANDBETWEEN(1587,2416)))</f>
        <v>62503562.177015111</v>
      </c>
      <c r="B4989">
        <v>214685443.22826308</v>
      </c>
    </row>
    <row r="4990" spans="1:2" x14ac:dyDescent="0.25">
      <c r="A4990">
        <f ca="1">29917.5670724062*((RANDBETWEEN(1587,2416)))</f>
        <v>50321347.815787159</v>
      </c>
      <c r="B4990">
        <v>209397111.35678899</v>
      </c>
    </row>
    <row r="4991" spans="1:2" x14ac:dyDescent="0.25">
      <c r="A4991">
        <f ca="1">30425.0880782726*((RANDBETWEEN(1587,2416)))</f>
        <v>54400057.483951375</v>
      </c>
      <c r="B4991">
        <v>214410957.64893681</v>
      </c>
    </row>
    <row r="4992" spans="1:2" x14ac:dyDescent="0.25">
      <c r="A4992">
        <f ca="1">29842.9017368917*((RANDBETWEEN(1587,2416)))</f>
        <v>52254920.941297352</v>
      </c>
      <c r="B4992">
        <v>216585503.78684938</v>
      </c>
    </row>
    <row r="4993" spans="1:2" x14ac:dyDescent="0.25">
      <c r="A4993">
        <f ca="1">35283.4982836637*((RANDBETWEEN(1587,2416)))</f>
        <v>81857716.018099815</v>
      </c>
      <c r="B4993">
        <v>226368520.49125254</v>
      </c>
    </row>
    <row r="4994" spans="1:2" x14ac:dyDescent="0.25">
      <c r="A4994">
        <f ca="1">31672.3385586702*((RANDBETWEEN(1587,2416)))</f>
        <v>69679144.829074502</v>
      </c>
      <c r="B4994">
        <v>254386228.33320016</v>
      </c>
    </row>
    <row r="4995" spans="1:2" x14ac:dyDescent="0.25">
      <c r="A4995">
        <f ca="1">40033.9879892964*((RANDBETWEEN(1587,2416)))</f>
        <v>83791136.861597344</v>
      </c>
      <c r="B4995">
        <v>203752788.50404114</v>
      </c>
    </row>
    <row r="4996" spans="1:2" x14ac:dyDescent="0.25">
      <c r="A4996">
        <f ca="1">31726.5364022999*((RANDBETWEEN(1587,2416)))</f>
        <v>55426259.094817907</v>
      </c>
      <c r="B4996">
        <v>250205232.03238946</v>
      </c>
    </row>
    <row r="4997" spans="1:2" x14ac:dyDescent="0.25">
      <c r="A4997">
        <f ca="1">39708.6205041812*((RANDBETWEEN(1587,2416)))</f>
        <v>89701773.718945324</v>
      </c>
      <c r="B4997">
        <v>227500481.30396831</v>
      </c>
    </row>
    <row r="4998" spans="1:2" x14ac:dyDescent="0.25">
      <c r="A4998">
        <f ca="1">37766.1157041789*((RANDBETWEEN(1587,2416)))</f>
        <v>61181107.440769799</v>
      </c>
      <c r="B4998">
        <v>240680216.35821864</v>
      </c>
    </row>
    <row r="4999" spans="1:2" x14ac:dyDescent="0.25">
      <c r="A4999">
        <f ca="1">38624.2310651142*((RANDBETWEEN(1587,2416)))</f>
        <v>79913534.07372123</v>
      </c>
      <c r="B4999">
        <v>255533642.42470673</v>
      </c>
    </row>
    <row r="5000" spans="1:2" x14ac:dyDescent="0.25">
      <c r="A5000">
        <f ca="1">32023.5080043214*((RANDBETWEEN(1587,2416)))</f>
        <v>62766075.688470028</v>
      </c>
      <c r="B5000">
        <v>248474415.24057561</v>
      </c>
    </row>
    <row r="5001" spans="1:2" x14ac:dyDescent="0.25">
      <c r="A5001">
        <f ca="1">36317.0061624037*((RANDBETWEEN(1587,2416)))</f>
        <v>61412057.420624577</v>
      </c>
      <c r="B5001">
        <v>231393241.21084282</v>
      </c>
    </row>
    <row r="5002" spans="1:2" x14ac:dyDescent="0.25">
      <c r="A5002">
        <f ca="1">30090.2303615216*((RANDBETWEEN(1587,2416)))</f>
        <v>54072143.959654287</v>
      </c>
      <c r="B5002">
        <v>206409967.55584076</v>
      </c>
    </row>
    <row r="5003" spans="1:2" x14ac:dyDescent="0.25">
      <c r="A5003">
        <f ca="1">34635.5918444483*((RANDBETWEEN(1587,2416)))</f>
        <v>62655785.6466069</v>
      </c>
      <c r="B5003">
        <v>212163237.84260789</v>
      </c>
    </row>
    <row r="5004" spans="1:2" x14ac:dyDescent="0.25">
      <c r="A5004">
        <f ca="1">32403.7426094119*((RANDBETWEEN(1587,2416)))</f>
        <v>66719306.032779068</v>
      </c>
      <c r="B5004">
        <v>206362881.6743232</v>
      </c>
    </row>
    <row r="5005" spans="1:2" x14ac:dyDescent="0.25">
      <c r="A5005">
        <f ca="1">31168.1066427574*((RANDBETWEEN(1587,2416)))</f>
        <v>70190576.159489587</v>
      </c>
      <c r="B5005">
        <v>253480770.22322604</v>
      </c>
    </row>
    <row r="5006" spans="1:2" x14ac:dyDescent="0.25">
      <c r="A5006">
        <f ca="1">32823.2870695162*((RANDBETWEEN(1587,2416)))</f>
        <v>76576728.733181253</v>
      </c>
      <c r="B5006">
        <v>249367238.99427003</v>
      </c>
    </row>
    <row r="5007" spans="1:2" x14ac:dyDescent="0.25">
      <c r="A5007">
        <f ca="1">39368.7517741158*((RANDBETWEEN(1587,2416)))</f>
        <v>75666740.909850553</v>
      </c>
      <c r="B5007">
        <v>234647277.89624554</v>
      </c>
    </row>
    <row r="5008" spans="1:2" x14ac:dyDescent="0.25">
      <c r="A5008">
        <f ca="1">30584.4851855122*((RANDBETWEEN(1587,2416)))</f>
        <v>56030776.859858349</v>
      </c>
      <c r="B5008">
        <v>248854685.90957299</v>
      </c>
    </row>
    <row r="5009" spans="1:2" x14ac:dyDescent="0.25">
      <c r="A5009">
        <f ca="1">36046.2234044684*((RANDBETWEEN(1587,2416)))</f>
        <v>57998373.457789719</v>
      </c>
      <c r="B5009">
        <v>252496274.55356762</v>
      </c>
    </row>
    <row r="5010" spans="1:2" x14ac:dyDescent="0.25">
      <c r="A5010">
        <f ca="1">40247.3066077233*((RANDBETWEEN(1587,2416)))</f>
        <v>69748582.351184458</v>
      </c>
      <c r="B5010">
        <v>207171879.83824581</v>
      </c>
    </row>
    <row r="5011" spans="1:2" x14ac:dyDescent="0.25">
      <c r="A5011">
        <f ca="1">30883.7979695536*((RANDBETWEEN(1587,2416)))</f>
        <v>65010394.725910358</v>
      </c>
      <c r="B5011">
        <v>238244135.77304769</v>
      </c>
    </row>
    <row r="5012" spans="1:2" x14ac:dyDescent="0.25">
      <c r="A5012">
        <f ca="1">30624.1921203868*((RANDBETWEEN(1587,2416)))</f>
        <v>54449813.590047702</v>
      </c>
      <c r="B5012">
        <v>262208309.45268515</v>
      </c>
    </row>
    <row r="5013" spans="1:2" x14ac:dyDescent="0.25">
      <c r="A5013">
        <f ca="1">34610.7432570887*((RANDBETWEEN(1587,2416)))</f>
        <v>79293212.801990166</v>
      </c>
      <c r="B5013">
        <v>211666413.02172837</v>
      </c>
    </row>
    <row r="5014" spans="1:2" x14ac:dyDescent="0.25">
      <c r="A5014">
        <f ca="1">39319.403959196*((RANDBETWEEN(1587,2416)))</f>
        <v>89097769.371538088</v>
      </c>
      <c r="B5014">
        <v>252214079.28210771</v>
      </c>
    </row>
    <row r="5015" spans="1:2" x14ac:dyDescent="0.25">
      <c r="A5015">
        <f ca="1">31383.1019861949*((RANDBETWEEN(1587,2416)))</f>
        <v>57336927.328778148</v>
      </c>
      <c r="B5015">
        <v>219934451.92100236</v>
      </c>
    </row>
    <row r="5016" spans="1:2" x14ac:dyDescent="0.25">
      <c r="A5016">
        <f ca="1">36000.1877178169*((RANDBETWEEN(1587,2416)))</f>
        <v>60264314.239625469</v>
      </c>
      <c r="B5016">
        <v>215630209.31937176</v>
      </c>
    </row>
    <row r="5017" spans="1:2" x14ac:dyDescent="0.25">
      <c r="A5017">
        <f ca="1">36015.723295982*((RANDBETWEEN(1587,2416)))</f>
        <v>61478839.666241243</v>
      </c>
      <c r="B5017">
        <v>219948399.07787928</v>
      </c>
    </row>
    <row r="5018" spans="1:2" x14ac:dyDescent="0.25">
      <c r="A5018">
        <f ca="1">43023.8870483275*((RANDBETWEEN(1587,2416)))</f>
        <v>72323154.128238574</v>
      </c>
      <c r="B5018">
        <v>225218807.90931332</v>
      </c>
    </row>
    <row r="5019" spans="1:2" x14ac:dyDescent="0.25">
      <c r="A5019">
        <f ca="1">29742.7782188139*((RANDBETWEEN(1587,2416)))</f>
        <v>66237167.093298495</v>
      </c>
      <c r="B5019">
        <v>210852653.92677909</v>
      </c>
    </row>
    <row r="5020" spans="1:2" x14ac:dyDescent="0.25">
      <c r="A5020">
        <f ca="1">31255.0025111644*((RANDBETWEEN(1587,2416)))</f>
        <v>68479710.501961112</v>
      </c>
      <c r="B5020">
        <v>266726028.62452853</v>
      </c>
    </row>
    <row r="5021" spans="1:2" x14ac:dyDescent="0.25">
      <c r="A5021">
        <f ca="1">35811.7934234081*((RANDBETWEEN(1587,2416)))</f>
        <v>84909762.206900716</v>
      </c>
      <c r="B5021">
        <v>250740209.36316159</v>
      </c>
    </row>
    <row r="5022" spans="1:2" x14ac:dyDescent="0.25">
      <c r="A5022">
        <f ca="1">37460.8361706684*((RANDBETWEEN(1587,2416)))</f>
        <v>70800980.362563297</v>
      </c>
      <c r="B5022">
        <v>238160931.10765925</v>
      </c>
    </row>
    <row r="5023" spans="1:2" x14ac:dyDescent="0.25">
      <c r="A5023">
        <f ca="1">29432.0575771232*((RANDBETWEEN(1587,2416)))</f>
        <v>58981843.384554856</v>
      </c>
      <c r="B5023">
        <v>222242570.36439818</v>
      </c>
    </row>
    <row r="5024" spans="1:2" x14ac:dyDescent="0.25">
      <c r="A5024">
        <f ca="1">35337.7321642945*((RANDBETWEEN(1587,2416)))</f>
        <v>66187572.343723655</v>
      </c>
      <c r="B5024">
        <v>213749948.56532097</v>
      </c>
    </row>
    <row r="5025" spans="1:2" x14ac:dyDescent="0.25">
      <c r="A5025">
        <f ca="1">30339.6294914581*((RANDBETWEEN(1587,2416)))</f>
        <v>56644088.260552332</v>
      </c>
      <c r="B5025">
        <v>257725611.26732323</v>
      </c>
    </row>
    <row r="5026" spans="1:2" x14ac:dyDescent="0.25">
      <c r="A5026">
        <f ca="1">30393.0234583787*((RANDBETWEEN(1587,2416)))</f>
        <v>67138188.819558576</v>
      </c>
      <c r="B5026">
        <v>266639064.53944528</v>
      </c>
    </row>
    <row r="5027" spans="1:2" x14ac:dyDescent="0.25">
      <c r="A5027">
        <f ca="1">33247.3286091733*((RANDBETWEEN(1587,2416)))</f>
        <v>63302913.671865925</v>
      </c>
      <c r="B5027">
        <v>229483371.80594814</v>
      </c>
    </row>
    <row r="5028" spans="1:2" x14ac:dyDescent="0.25">
      <c r="A5028">
        <f ca="1">31694.5768393187*((RANDBETWEEN(1587,2416)))</f>
        <v>70742295.505359396</v>
      </c>
      <c r="B5028">
        <v>221440476.98092496</v>
      </c>
    </row>
    <row r="5029" spans="1:2" x14ac:dyDescent="0.25">
      <c r="A5029">
        <f ca="1">31813.1638534155*((RANDBETWEEN(1587,2416)))</f>
        <v>54527762.844754145</v>
      </c>
      <c r="B5029">
        <v>206733667.03930876</v>
      </c>
    </row>
    <row r="5030" spans="1:2" x14ac:dyDescent="0.25">
      <c r="A5030">
        <f ca="1">35828.8648711774*((RANDBETWEEN(1587,2416)))</f>
        <v>67895698.930881172</v>
      </c>
      <c r="B5030">
        <v>262292731.51697487</v>
      </c>
    </row>
    <row r="5031" spans="1:2" x14ac:dyDescent="0.25">
      <c r="A5031">
        <f ca="1">30694.112249568*((RANDBETWEEN(1587,2416)))</f>
        <v>70627152.286255985</v>
      </c>
      <c r="B5031">
        <v>209628509.87442055</v>
      </c>
    </row>
    <row r="5032" spans="1:2" x14ac:dyDescent="0.25">
      <c r="A5032">
        <f ca="1">32570.608508668*((RANDBETWEEN(1587,2416)))</f>
        <v>65076075.800318725</v>
      </c>
      <c r="B5032">
        <v>248585657.68904221</v>
      </c>
    </row>
    <row r="5033" spans="1:2" x14ac:dyDescent="0.25">
      <c r="A5033">
        <f ca="1">33227.3253965728*((RANDBETWEEN(1587,2416)))</f>
        <v>67119197.301077068</v>
      </c>
      <c r="B5033">
        <v>218834621.76075652</v>
      </c>
    </row>
    <row r="5034" spans="1:2" x14ac:dyDescent="0.25">
      <c r="A5034">
        <f ca="1">33740.9353007106*((RANDBETWEEN(1587,2416)))</f>
        <v>58000667.781921566</v>
      </c>
      <c r="B5034">
        <v>214172892.2054919</v>
      </c>
    </row>
    <row r="5035" spans="1:2" x14ac:dyDescent="0.25">
      <c r="A5035">
        <f ca="1">30634.2690635264*((RANDBETWEEN(1587,2416)))</f>
        <v>50699715.300136261</v>
      </c>
      <c r="B5035">
        <v>219062789.52905414</v>
      </c>
    </row>
    <row r="5036" spans="1:2" x14ac:dyDescent="0.25">
      <c r="A5036">
        <f ca="1">32472.8016633412*((RANDBETWEEN(1587,2416)))</f>
        <v>78291924.810315534</v>
      </c>
      <c r="B5036">
        <v>265491187.23487407</v>
      </c>
    </row>
    <row r="5037" spans="1:2" x14ac:dyDescent="0.25">
      <c r="A5037">
        <f ca="1">35925.8195802105*((RANDBETWEEN(1587,2416)))</f>
        <v>72426452.273704275</v>
      </c>
      <c r="B5037">
        <v>261075716.94784337</v>
      </c>
    </row>
    <row r="5038" spans="1:2" x14ac:dyDescent="0.25">
      <c r="A5038">
        <f ca="1">38029.9913406086*((RANDBETWEEN(1587,2416)))</f>
        <v>78836172.049081683</v>
      </c>
      <c r="B5038">
        <v>209008954.77930027</v>
      </c>
    </row>
    <row r="5039" spans="1:2" x14ac:dyDescent="0.25">
      <c r="A5039">
        <f ca="1">41907.999730242*((RANDBETWEEN(1587,2416)))</f>
        <v>87503903.43674536</v>
      </c>
      <c r="B5039">
        <v>258933840.62502754</v>
      </c>
    </row>
    <row r="5040" spans="1:2" x14ac:dyDescent="0.25">
      <c r="A5040">
        <f ca="1">37168.8872991251*((RANDBETWEEN(1587,2416)))</f>
        <v>73111201.317379102</v>
      </c>
      <c r="B5040">
        <v>226958628.65752476</v>
      </c>
    </row>
    <row r="5041" spans="1:2" x14ac:dyDescent="0.25">
      <c r="A5041">
        <f ca="1">34817.9316037671*((RANDBETWEEN(1587,2416)))</f>
        <v>73326563.957533479</v>
      </c>
      <c r="B5041">
        <v>219063553.77420798</v>
      </c>
    </row>
    <row r="5042" spans="1:2" x14ac:dyDescent="0.25">
      <c r="A5042">
        <f ca="1">31352.1509222865*((RANDBETWEEN(1587,2416)))</f>
        <v>75433275.119021297</v>
      </c>
      <c r="B5042">
        <v>240538037.18225321</v>
      </c>
    </row>
    <row r="5043" spans="1:2" x14ac:dyDescent="0.25">
      <c r="A5043">
        <f ca="1">33373.1223863473*((RANDBETWEEN(1587,2416)))</f>
        <v>60872575.232697487</v>
      </c>
      <c r="B5043">
        <v>243263623.49653852</v>
      </c>
    </row>
    <row r="5044" spans="1:2" x14ac:dyDescent="0.25">
      <c r="A5044">
        <f ca="1">36710.3668159648*((RANDBETWEEN(1587,2416)))</f>
        <v>68758517.04630214</v>
      </c>
      <c r="B5044">
        <v>213270937.70747876</v>
      </c>
    </row>
    <row r="5045" spans="1:2" x14ac:dyDescent="0.25">
      <c r="A5045">
        <f ca="1">36452.1137782128*((RANDBETWEEN(1587,2416)))</f>
        <v>62260210.333187513</v>
      </c>
      <c r="B5045">
        <v>210214771.07987291</v>
      </c>
    </row>
    <row r="5046" spans="1:2" x14ac:dyDescent="0.25">
      <c r="A5046">
        <f ca="1">34385.4321924472*((RANDBETWEEN(1587,2416)))</f>
        <v>76576357.492579967</v>
      </c>
      <c r="B5046">
        <v>226239577.54001993</v>
      </c>
    </row>
    <row r="5047" spans="1:2" x14ac:dyDescent="0.25">
      <c r="A5047">
        <f ca="1">32945.9993276076*((RANDBETWEEN(1587,2416)))</f>
        <v>71097466.548977256</v>
      </c>
      <c r="B5047">
        <v>205718377.0355272</v>
      </c>
    </row>
    <row r="5048" spans="1:2" x14ac:dyDescent="0.25">
      <c r="A5048">
        <f ca="1">27571.3590992881*((RANDBETWEEN(1587,2416)))</f>
        <v>55832002.176058494</v>
      </c>
      <c r="B5048">
        <v>263495061.09575522</v>
      </c>
    </row>
    <row r="5049" spans="1:2" x14ac:dyDescent="0.25">
      <c r="A5049">
        <f ca="1">32480.7761000978*((RANDBETWEEN(1587,2416)))</f>
        <v>78408593.505636036</v>
      </c>
      <c r="B5049">
        <v>229782814.38243669</v>
      </c>
    </row>
    <row r="5050" spans="1:2" x14ac:dyDescent="0.25">
      <c r="A5050">
        <f ca="1">32231.5395833073*((RANDBETWEEN(1587,2416)))</f>
        <v>72198648.666608348</v>
      </c>
      <c r="B5050">
        <v>219947327.56448531</v>
      </c>
    </row>
    <row r="5051" spans="1:2" x14ac:dyDescent="0.25">
      <c r="A5051">
        <f ca="1">27455.4173869758*((RANDBETWEEN(1587,2416)))</f>
        <v>59715532.816672266</v>
      </c>
      <c r="B5051">
        <v>208343083.16036701</v>
      </c>
    </row>
    <row r="5052" spans="1:2" x14ac:dyDescent="0.25">
      <c r="A5052">
        <f ca="1">34041.4144656709*((RANDBETWEEN(1587,2416)))</f>
        <v>81290897.74402222</v>
      </c>
      <c r="B5052">
        <v>231551749.51841694</v>
      </c>
    </row>
    <row r="5053" spans="1:2" x14ac:dyDescent="0.25">
      <c r="A5053">
        <f ca="1">31168.3529969692*((RANDBETWEEN(1587,2416)))</f>
        <v>70097625.890183792</v>
      </c>
      <c r="B5053">
        <v>255936675.6435419</v>
      </c>
    </row>
    <row r="5054" spans="1:2" x14ac:dyDescent="0.25">
      <c r="A5054">
        <f ca="1">31075.6272093779*((RANDBETWEEN(1587,2416)))</f>
        <v>69454026.812959611</v>
      </c>
      <c r="B5054">
        <v>242645959.02459314</v>
      </c>
    </row>
    <row r="5055" spans="1:2" x14ac:dyDescent="0.25">
      <c r="A5055">
        <f ca="1">32527.7942808557*((RANDBETWEEN(1587,2416)))</f>
        <v>64079754.733285643</v>
      </c>
      <c r="B5055">
        <v>244392891.71990535</v>
      </c>
    </row>
    <row r="5056" spans="1:2" x14ac:dyDescent="0.25">
      <c r="A5056">
        <f ca="1">31785.6457549583*((RANDBETWEEN(1587,2416)))</f>
        <v>57214162.358924992</v>
      </c>
      <c r="B5056">
        <v>206099002.02973801</v>
      </c>
    </row>
    <row r="5057" spans="1:2" x14ac:dyDescent="0.25">
      <c r="A5057">
        <f ca="1">37455.250752246*((RANDBETWEEN(1587,2416)))</f>
        <v>76708353.540599719</v>
      </c>
      <c r="B5057">
        <v>244272853.80866098</v>
      </c>
    </row>
    <row r="5058" spans="1:2" x14ac:dyDescent="0.25">
      <c r="A5058">
        <f ca="1">34047.9235241921*((RANDBETWEEN(1587,2416)))</f>
        <v>80285003.670045018</v>
      </c>
      <c r="B5058">
        <v>241183232.44832158</v>
      </c>
    </row>
    <row r="5059" spans="1:2" x14ac:dyDescent="0.25">
      <c r="A5059">
        <f ca="1">28863.6723090731*((RANDBETWEEN(1587,2416)))</f>
        <v>60411666.142890021</v>
      </c>
      <c r="B5059">
        <v>205654995.27875564</v>
      </c>
    </row>
    <row r="5060" spans="1:2" x14ac:dyDescent="0.25">
      <c r="A5060">
        <f ca="1">31920.5134021783*((RANDBETWEEN(1587,2416)))</f>
        <v>66745793.523954883</v>
      </c>
      <c r="B5060">
        <v>265355973.38840583</v>
      </c>
    </row>
    <row r="5061" spans="1:2" x14ac:dyDescent="0.25">
      <c r="A5061">
        <f ca="1">30446.5107813902*((RANDBETWEEN(1587,2416)))</f>
        <v>69874742.243290484</v>
      </c>
      <c r="B5061">
        <v>247060499.56137538</v>
      </c>
    </row>
    <row r="5062" spans="1:2" x14ac:dyDescent="0.25">
      <c r="A5062">
        <f ca="1">40467.9923521072*((RANDBETWEEN(1587,2416)))</f>
        <v>86965715.56467846</v>
      </c>
      <c r="B5062">
        <v>234381710.93816742</v>
      </c>
    </row>
    <row r="5063" spans="1:2" x14ac:dyDescent="0.25">
      <c r="A5063">
        <f ca="1">40669.6709041654*((RANDBETWEEN(1587,2416)))</f>
        <v>72270005.196701944</v>
      </c>
      <c r="B5063">
        <v>217239148.98110893</v>
      </c>
    </row>
    <row r="5064" spans="1:2" x14ac:dyDescent="0.25">
      <c r="A5064">
        <f ca="1">31471.0827859876*((RANDBETWEEN(1587,2416)))</f>
        <v>76034136.010945976</v>
      </c>
      <c r="B5064">
        <v>258990147.13732293</v>
      </c>
    </row>
    <row r="5065" spans="1:2" x14ac:dyDescent="0.25">
      <c r="A5065">
        <f ca="1">31328.8615629977*((RANDBETWEEN(1587,2416)))</f>
        <v>58992246.323124647</v>
      </c>
      <c r="B5065">
        <v>204998434.56489635</v>
      </c>
    </row>
    <row r="5066" spans="1:2" x14ac:dyDescent="0.25">
      <c r="A5066">
        <f ca="1">37743.1368974137*((RANDBETWEEN(1587,2416)))</f>
        <v>88620885.435127512</v>
      </c>
      <c r="B5066">
        <v>213026707.4454605</v>
      </c>
    </row>
    <row r="5067" spans="1:2" x14ac:dyDescent="0.25">
      <c r="A5067">
        <f ca="1">36194.8728238225*((RANDBETWEEN(1587,2416)))</f>
        <v>80931735.634067208</v>
      </c>
      <c r="B5067">
        <v>204584644.64154655</v>
      </c>
    </row>
    <row r="5068" spans="1:2" x14ac:dyDescent="0.25">
      <c r="A5068">
        <f ca="1">31643.0723791682*((RANDBETWEEN(1587,2416)))</f>
        <v>59172545.349044591</v>
      </c>
      <c r="B5068">
        <v>230037042.96350271</v>
      </c>
    </row>
    <row r="5069" spans="1:2" x14ac:dyDescent="0.25">
      <c r="A5069">
        <f ca="1">44928.6126152307*((RANDBETWEEN(1587,2416)))</f>
        <v>87431080.149238884</v>
      </c>
      <c r="B5069">
        <v>227382446.06624639</v>
      </c>
    </row>
    <row r="5070" spans="1:2" x14ac:dyDescent="0.25">
      <c r="A5070">
        <f ca="1">32932.3026186028*((RANDBETWEEN(1587,2416)))</f>
        <v>59936790.765857086</v>
      </c>
      <c r="B5070">
        <v>259229487.38201275</v>
      </c>
    </row>
    <row r="5071" spans="1:2" x14ac:dyDescent="0.25">
      <c r="A5071">
        <f ca="1">40483.1225834618*((RANDBETWEEN(1587,2416)))</f>
        <v>66918601.630462296</v>
      </c>
      <c r="B5071">
        <v>222801490.93852952</v>
      </c>
    </row>
    <row r="5072" spans="1:2" x14ac:dyDescent="0.25">
      <c r="A5072">
        <f ca="1">33184.3695329251*((RANDBETWEEN(1587,2416)))</f>
        <v>72574216.168507129</v>
      </c>
      <c r="B5072">
        <v>221256206.68406028</v>
      </c>
    </row>
    <row r="5073" spans="1:2" x14ac:dyDescent="0.25">
      <c r="A5073">
        <f ca="1">33998.7371194383*((RANDBETWEEN(1587,2416)))</f>
        <v>54771965.499415107</v>
      </c>
      <c r="B5073">
        <v>263454778.33927476</v>
      </c>
    </row>
    <row r="5074" spans="1:2" x14ac:dyDescent="0.25">
      <c r="A5074">
        <f ca="1">39523.693862643*((RANDBETWEEN(1587,2416)))</f>
        <v>80272622.235028118</v>
      </c>
      <c r="B5074">
        <v>209236581.60041445</v>
      </c>
    </row>
    <row r="5075" spans="1:2" x14ac:dyDescent="0.25">
      <c r="A5075">
        <f ca="1">32539.4935817133*((RANDBETWEEN(1587,2416)))</f>
        <v>71717043.854096025</v>
      </c>
      <c r="B5075">
        <v>233740831.34012002</v>
      </c>
    </row>
    <row r="5076" spans="1:2" x14ac:dyDescent="0.25">
      <c r="A5076">
        <f ca="1">31670.3492703665*((RANDBETWEEN(1587,2416)))</f>
        <v>64164127.621762522</v>
      </c>
      <c r="B5076">
        <v>236369988.66007066</v>
      </c>
    </row>
    <row r="5077" spans="1:2" x14ac:dyDescent="0.25">
      <c r="A5077">
        <f ca="1">30263.1068734173*((RANDBETWEEN(1587,2416)))</f>
        <v>61434106.953037202</v>
      </c>
      <c r="B5077">
        <v>211550662.70995492</v>
      </c>
    </row>
    <row r="5078" spans="1:2" x14ac:dyDescent="0.25">
      <c r="A5078">
        <f ca="1">28988.1861060189*((RANDBETWEEN(1587,2416)))</f>
        <v>50236526.521730699</v>
      </c>
      <c r="B5078">
        <v>210835498.86420968</v>
      </c>
    </row>
    <row r="5079" spans="1:2" x14ac:dyDescent="0.25">
      <c r="A5079">
        <f ca="1">41794.0800370498*((RANDBETWEEN(1587,2416)))</f>
        <v>85719658.155989066</v>
      </c>
      <c r="B5079">
        <v>207095957.01611212</v>
      </c>
    </row>
    <row r="5080" spans="1:2" x14ac:dyDescent="0.25">
      <c r="A5080">
        <f ca="1">34288.3815465669*((RANDBETWEEN(1587,2416)))</f>
        <v>58804574.352362342</v>
      </c>
      <c r="B5080">
        <v>252356850.54815573</v>
      </c>
    </row>
    <row r="5081" spans="1:2" x14ac:dyDescent="0.25">
      <c r="A5081">
        <f ca="1">39391.0101155205*((RANDBETWEEN(1587,2416)))</f>
        <v>71100773.258514479</v>
      </c>
      <c r="B5081">
        <v>231241968.21108934</v>
      </c>
    </row>
    <row r="5082" spans="1:2" x14ac:dyDescent="0.25">
      <c r="A5082">
        <f ca="1">30001.9649364176*((RANDBETWEEN(1587,2416)))</f>
        <v>70684629.390199855</v>
      </c>
      <c r="B5082">
        <v>210260652.7247197</v>
      </c>
    </row>
    <row r="5083" spans="1:2" x14ac:dyDescent="0.25">
      <c r="A5083">
        <f ca="1">33350.1720628645*((RANDBETWEEN(1587,2416)))</f>
        <v>80173813.639126301</v>
      </c>
      <c r="B5083">
        <v>207262353.084445</v>
      </c>
    </row>
    <row r="5084" spans="1:2" x14ac:dyDescent="0.25">
      <c r="A5084">
        <f ca="1">37084.787756463*((RANDBETWEEN(1587,2416)))</f>
        <v>64824208.998297341</v>
      </c>
      <c r="B5084">
        <v>257677573.30384758</v>
      </c>
    </row>
    <row r="5085" spans="1:2" x14ac:dyDescent="0.25">
      <c r="A5085">
        <f ca="1">38804.3197802341*((RANDBETWEEN(1587,2416)))</f>
        <v>82148744.974755526</v>
      </c>
      <c r="B5085">
        <v>247376584.40387678</v>
      </c>
    </row>
    <row r="5086" spans="1:2" x14ac:dyDescent="0.25">
      <c r="A5086">
        <f ca="1">40593.9435118313*((RANDBETWEEN(1587,2416)))</f>
        <v>66127533.980773233</v>
      </c>
      <c r="B5086">
        <v>235205558.68502864</v>
      </c>
    </row>
    <row r="5087" spans="1:2" x14ac:dyDescent="0.25">
      <c r="A5087">
        <f ca="1">39142.6492058087*((RANDBETWEEN(1587,2416)))</f>
        <v>87170679.781336114</v>
      </c>
      <c r="B5087">
        <v>241725793.19594142</v>
      </c>
    </row>
    <row r="5088" spans="1:2" x14ac:dyDescent="0.25">
      <c r="A5088">
        <f ca="1">31682.9335965579*((RANDBETWEEN(1587,2416)))</f>
        <v>71254917.658658773</v>
      </c>
      <c r="B5088">
        <v>242967415.58353326</v>
      </c>
    </row>
    <row r="5089" spans="1:2" x14ac:dyDescent="0.25">
      <c r="A5089">
        <f ca="1">32017.6337594779*((RANDBETWEEN(1587,2416)))</f>
        <v>71975640.691306412</v>
      </c>
      <c r="B5089">
        <v>234394925.94553053</v>
      </c>
    </row>
    <row r="5090" spans="1:2" x14ac:dyDescent="0.25">
      <c r="A5090">
        <f ca="1">31517.513049802*((RANDBETWEEN(1587,2416)))</f>
        <v>60135414.899022207</v>
      </c>
      <c r="B5090">
        <v>253747191.32105094</v>
      </c>
    </row>
    <row r="5091" spans="1:2" x14ac:dyDescent="0.25">
      <c r="A5091">
        <f ca="1">34005.6880674474*((RANDBETWEEN(1587,2416)))</f>
        <v>76240752.647217005</v>
      </c>
      <c r="B5091">
        <v>225950898.79971772</v>
      </c>
    </row>
    <row r="5092" spans="1:2" x14ac:dyDescent="0.25">
      <c r="A5092">
        <f ca="1">42092.324940457*((RANDBETWEEN(1587,2416)))</f>
        <v>91214068.145970374</v>
      </c>
      <c r="B5092">
        <v>249045793.96130422</v>
      </c>
    </row>
    <row r="5093" spans="1:2" x14ac:dyDescent="0.25">
      <c r="A5093">
        <f ca="1">31301.0606642612*((RANDBETWEEN(1587,2416)))</f>
        <v>73588793.621678025</v>
      </c>
      <c r="B5093">
        <v>230803763.12071469</v>
      </c>
    </row>
    <row r="5094" spans="1:2" x14ac:dyDescent="0.25">
      <c r="A5094">
        <f ca="1">37304.9058474169*((RANDBETWEEN(1587,2416)))</f>
        <v>82891500.792960435</v>
      </c>
      <c r="B5094">
        <v>209085624.29104203</v>
      </c>
    </row>
    <row r="5095" spans="1:2" x14ac:dyDescent="0.25">
      <c r="A5095">
        <f ca="1">29849.3717168157*((RANDBETWEEN(1587,2416)))</f>
        <v>58057027.9892065</v>
      </c>
      <c r="B5095">
        <v>224311315.73333159</v>
      </c>
    </row>
    <row r="5096" spans="1:2" x14ac:dyDescent="0.25">
      <c r="A5096">
        <f ca="1">36622.358098636*((RANDBETWEEN(1587,2416)))</f>
        <v>58925374.180705294</v>
      </c>
      <c r="B5096">
        <v>263749626.59597749</v>
      </c>
    </row>
    <row r="5097" spans="1:2" x14ac:dyDescent="0.25">
      <c r="A5097">
        <f ca="1">35917.08978415*((RANDBETWEEN(1587,2416)))</f>
        <v>62675321.673341684</v>
      </c>
      <c r="B5097">
        <v>210218408.79323626</v>
      </c>
    </row>
    <row r="5098" spans="1:2" x14ac:dyDescent="0.25">
      <c r="A5098">
        <f ca="1">32273.9836979103*((RANDBETWEEN(1587,2416)))</f>
        <v>58351362.52582179</v>
      </c>
      <c r="B5098">
        <v>231868732.04334021</v>
      </c>
    </row>
    <row r="5099" spans="1:2" x14ac:dyDescent="0.25">
      <c r="A5099">
        <f ca="1">38854.2114097811*((RANDBETWEEN(1587,2416)))</f>
        <v>87111141.980729267</v>
      </c>
      <c r="B5099">
        <v>224998618.67865944</v>
      </c>
    </row>
    <row r="5100" spans="1:2" x14ac:dyDescent="0.25">
      <c r="A5100">
        <f ca="1">31061.1622611351*((RANDBETWEEN(1587,2416)))</f>
        <v>73863443.856979206</v>
      </c>
      <c r="B5100">
        <v>248882971.09299326</v>
      </c>
    </row>
    <row r="5101" spans="1:2" x14ac:dyDescent="0.25">
      <c r="A5101">
        <f ca="1">31044.9457174108*((RANDBETWEEN(1587,2416)))</f>
        <v>54608059.51692567</v>
      </c>
      <c r="B5101">
        <v>242626869.82290792</v>
      </c>
    </row>
    <row r="5102" spans="1:2" x14ac:dyDescent="0.25">
      <c r="A5102">
        <f ca="1">41732.7763877097*((RANDBETWEEN(1587,2416)))</f>
        <v>85134863.83092773</v>
      </c>
      <c r="B5102">
        <v>206623450.37115833</v>
      </c>
    </row>
    <row r="5103" spans="1:2" x14ac:dyDescent="0.25">
      <c r="A5103">
        <f ca="1">38561.3220525196*((RANDBETWEEN(1587,2416)))</f>
        <v>72572408.102841884</v>
      </c>
      <c r="B5103">
        <v>244514027.36036128</v>
      </c>
    </row>
    <row r="5104" spans="1:2" x14ac:dyDescent="0.25">
      <c r="A5104">
        <f ca="1">31348.8572065946*((RANDBETWEEN(1587,2416)))</f>
        <v>58089432.403819732</v>
      </c>
      <c r="B5104">
        <v>210314908.09007248</v>
      </c>
    </row>
    <row r="5105" spans="1:2" x14ac:dyDescent="0.25">
      <c r="A5105">
        <f ca="1">31488.781098729*((RANDBETWEEN(1587,2416)))</f>
        <v>55357277.171565495</v>
      </c>
      <c r="B5105">
        <v>213598039.57903978</v>
      </c>
    </row>
    <row r="5106" spans="1:2" x14ac:dyDescent="0.25">
      <c r="A5106">
        <f ca="1">32656.7151871113*((RANDBETWEEN(1587,2416)))</f>
        <v>64268415.488235012</v>
      </c>
      <c r="B5106">
        <v>252616217.93493235</v>
      </c>
    </row>
    <row r="5107" spans="1:2" x14ac:dyDescent="0.25">
      <c r="A5107">
        <f ca="1">37283.3937868124*((RANDBETWEEN(1587,2416)))</f>
        <v>84446886.927130133</v>
      </c>
      <c r="B5107">
        <v>244987929.01138365</v>
      </c>
    </row>
    <row r="5108" spans="1:2" x14ac:dyDescent="0.25">
      <c r="A5108">
        <f ca="1">32543.3279330532*((RANDBETWEEN(1587,2416)))</f>
        <v>69577635.120867819</v>
      </c>
      <c r="B5108">
        <v>209977443.4401193</v>
      </c>
    </row>
    <row r="5109" spans="1:2" x14ac:dyDescent="0.25">
      <c r="A5109">
        <f ca="1">40133.4645039154*((RANDBETWEEN(1587,2416)))</f>
        <v>75089712.086825714</v>
      </c>
      <c r="B5109">
        <v>265848040.94454589</v>
      </c>
    </row>
    <row r="5110" spans="1:2" x14ac:dyDescent="0.25">
      <c r="A5110">
        <f ca="1">39280.8869496039*((RANDBETWEEN(1587,2416)))</f>
        <v>80368694.698889643</v>
      </c>
      <c r="B5110">
        <v>212367117.86563101</v>
      </c>
    </row>
    <row r="5111" spans="1:2" x14ac:dyDescent="0.25">
      <c r="A5111">
        <f ca="1">33153.5266108359*((RANDBETWEEN(1587,2416)))</f>
        <v>79402696.232951894</v>
      </c>
      <c r="B5111">
        <v>256034415.87236911</v>
      </c>
    </row>
    <row r="5112" spans="1:2" x14ac:dyDescent="0.25">
      <c r="A5112">
        <f ca="1">38445.8734753421*((RANDBETWEEN(1587,2416)))</f>
        <v>80813226.04516913</v>
      </c>
      <c r="B5112">
        <v>263432846.85237831</v>
      </c>
    </row>
    <row r="5113" spans="1:2" x14ac:dyDescent="0.25">
      <c r="A5113">
        <f ca="1">37487.121904889*((RANDBETWEEN(1587,2416)))</f>
        <v>81684438.63075304</v>
      </c>
      <c r="B5113">
        <v>232906620.31136665</v>
      </c>
    </row>
    <row r="5114" spans="1:2" x14ac:dyDescent="0.25">
      <c r="A5114">
        <f ca="1">30646.6653495504*((RANDBETWEEN(1587,2416)))</f>
        <v>58964184.132534958</v>
      </c>
      <c r="B5114">
        <v>214796991.66555634</v>
      </c>
    </row>
    <row r="5115" spans="1:2" x14ac:dyDescent="0.25">
      <c r="A5115">
        <f ca="1">32377.3669486655*((RANDBETWEEN(1587,2416)))</f>
        <v>68283866.894735515</v>
      </c>
      <c r="B5115">
        <v>242320773.14416143</v>
      </c>
    </row>
    <row r="5116" spans="1:2" x14ac:dyDescent="0.25">
      <c r="A5116">
        <f ca="1">33575.5873411048*((RANDBETWEEN(1587,2416)))</f>
        <v>76082280.914943531</v>
      </c>
      <c r="B5116">
        <v>226041579.39180872</v>
      </c>
    </row>
    <row r="5117" spans="1:2" x14ac:dyDescent="0.25">
      <c r="A5117">
        <f ca="1">30796.8628560493*((RANDBETWEEN(1587,2416)))</f>
        <v>67475926.517604098</v>
      </c>
      <c r="B5117">
        <v>226212572.27420497</v>
      </c>
    </row>
    <row r="5118" spans="1:2" x14ac:dyDescent="0.25">
      <c r="A5118">
        <f ca="1">32135.3508277832*((RANDBETWEEN(1587,2416)))</f>
        <v>67580642.790828064</v>
      </c>
      <c r="B5118">
        <v>216685267.31086567</v>
      </c>
    </row>
    <row r="5119" spans="1:2" x14ac:dyDescent="0.25">
      <c r="A5119">
        <f ca="1">31850.9526066489*((RANDBETWEEN(1587,2416)))</f>
        <v>62969333.30334492</v>
      </c>
      <c r="B5119">
        <v>230923334.88663977</v>
      </c>
    </row>
    <row r="5120" spans="1:2" x14ac:dyDescent="0.25">
      <c r="A5120">
        <f ca="1">32104.8877723193*((RANDBETWEEN(1587,2416)))</f>
        <v>53262008.814277843</v>
      </c>
      <c r="B5120">
        <v>224239153.93925998</v>
      </c>
    </row>
    <row r="5121" spans="1:2" x14ac:dyDescent="0.25">
      <c r="A5121">
        <f ca="1">31355.3479535169*((RANDBETWEEN(1587,2416)))</f>
        <v>67194510.664386824</v>
      </c>
      <c r="B5121">
        <v>234790653.15148687</v>
      </c>
    </row>
    <row r="5122" spans="1:2" x14ac:dyDescent="0.25">
      <c r="A5122">
        <f ca="1">30298.1556124633*((RANDBETWEEN(1587,2416)))</f>
        <v>58172458.775929615</v>
      </c>
      <c r="B5122">
        <v>213826386.24412337</v>
      </c>
    </row>
    <row r="5123" spans="1:2" x14ac:dyDescent="0.25">
      <c r="A5123">
        <f ca="1">36950.7182130455*((RANDBETWEEN(1587,2416)))</f>
        <v>71277935.432964802</v>
      </c>
      <c r="B5123">
        <v>238710785.98964146</v>
      </c>
    </row>
    <row r="5124" spans="1:2" x14ac:dyDescent="0.25">
      <c r="A5124">
        <f ca="1">40719.6943580626*((RANDBETWEEN(1587,2416)))</f>
        <v>75005677.007551268</v>
      </c>
      <c r="B5124">
        <v>248564798.51847324</v>
      </c>
    </row>
    <row r="5125" spans="1:2" x14ac:dyDescent="0.25">
      <c r="A5125">
        <f ca="1">31966.929787647*((RANDBETWEEN(1587,2416)))</f>
        <v>70678881.760487407</v>
      </c>
      <c r="B5125">
        <v>260656974.24355441</v>
      </c>
    </row>
    <row r="5126" spans="1:2" x14ac:dyDescent="0.25">
      <c r="A5126">
        <f ca="1">38363.5210368479*((RANDBETWEEN(1587,2416)))</f>
        <v>67634887.587962821</v>
      </c>
      <c r="B5126">
        <v>265007336.924072</v>
      </c>
    </row>
    <row r="5127" spans="1:2" x14ac:dyDescent="0.25">
      <c r="A5127">
        <f ca="1">31405.3285519294*((RANDBETWEEN(1587,2416)))</f>
        <v>54551055.694701359</v>
      </c>
      <c r="B5127">
        <v>224406565.37717301</v>
      </c>
    </row>
    <row r="5128" spans="1:2" x14ac:dyDescent="0.25">
      <c r="A5128">
        <f ca="1">32212.2641276066*((RANDBETWEEN(1587,2416)))</f>
        <v>57080132.034118928</v>
      </c>
      <c r="B5128">
        <v>203940641.78276929</v>
      </c>
    </row>
    <row r="5129" spans="1:2" x14ac:dyDescent="0.25">
      <c r="A5129">
        <f ca="1">30898.9433556696*((RANDBETWEEN(1587,2416)))</f>
        <v>70851277.114550471</v>
      </c>
      <c r="B5129">
        <v>215755787.46726602</v>
      </c>
    </row>
    <row r="5130" spans="1:2" x14ac:dyDescent="0.25">
      <c r="A5130">
        <f ca="1">41057.5613656905*((RANDBETWEEN(1587,2416)))</f>
        <v>73944668.019608587</v>
      </c>
      <c r="B5130">
        <v>209442577.65187132</v>
      </c>
    </row>
    <row r="5131" spans="1:2" x14ac:dyDescent="0.25">
      <c r="A5131">
        <f ca="1">31423.8151552243*((RANDBETWEEN(1587,2416)))</f>
        <v>75291461.111917406</v>
      </c>
      <c r="B5131">
        <v>253198452.34395832</v>
      </c>
    </row>
    <row r="5132" spans="1:2" x14ac:dyDescent="0.25">
      <c r="A5132">
        <f ca="1">32534.7634976463*((RANDBETWEEN(1587,2416)))</f>
        <v>73821378.376159415</v>
      </c>
      <c r="B5132">
        <v>227206774.4751679</v>
      </c>
    </row>
    <row r="5133" spans="1:2" x14ac:dyDescent="0.25">
      <c r="A5133">
        <f ca="1">34222.0600459334*((RANDBETWEEN(1587,2416)))</f>
        <v>75014755.62068595</v>
      </c>
      <c r="B5133">
        <v>263633061.88487977</v>
      </c>
    </row>
    <row r="5134" spans="1:2" x14ac:dyDescent="0.25">
      <c r="A5134">
        <f ca="1">28511.6927472923*((RANDBETWEEN(1587,2416)))</f>
        <v>51463605.408862568</v>
      </c>
      <c r="B5134">
        <v>212935773.74925363</v>
      </c>
    </row>
    <row r="5135" spans="1:2" x14ac:dyDescent="0.25">
      <c r="A5135">
        <f ca="1">37428.6715481644*((RANDBETWEEN(1587,2416)))</f>
        <v>72087621.401764646</v>
      </c>
      <c r="B5135">
        <v>217437647.36114556</v>
      </c>
    </row>
    <row r="5136" spans="1:2" x14ac:dyDescent="0.25">
      <c r="A5136">
        <f ca="1">41059.2661505751*((RANDBETWEEN(1587,2416)))</f>
        <v>73660323.474131748</v>
      </c>
      <c r="B5136">
        <v>222451834.27743071</v>
      </c>
    </row>
    <row r="5137" spans="1:2" x14ac:dyDescent="0.25">
      <c r="A5137">
        <f ca="1">31433.9400893444*((RANDBETWEEN(1587,2416)))</f>
        <v>59724486.169754289</v>
      </c>
      <c r="B5137">
        <v>245556418.74342009</v>
      </c>
    </row>
    <row r="5138" spans="1:2" x14ac:dyDescent="0.25">
      <c r="A5138">
        <f ca="1">40494.4024168815*((RANDBETWEEN(1587,2416)))</f>
        <v>91476855.059735328</v>
      </c>
      <c r="B5138">
        <v>265266251.26412281</v>
      </c>
    </row>
    <row r="5139" spans="1:2" x14ac:dyDescent="0.25">
      <c r="A5139">
        <f ca="1">36368.1258659801*((RANDBETWEEN(1587,2416)))</f>
        <v>79100673.758506671</v>
      </c>
      <c r="B5139">
        <v>247877166.25875187</v>
      </c>
    </row>
    <row r="5140" spans="1:2" x14ac:dyDescent="0.25">
      <c r="A5140">
        <f ca="1">32431.1757433735*((RANDBETWEEN(1587,2416)))</f>
        <v>58473409.865302354</v>
      </c>
      <c r="B5140">
        <v>227206072.88486356</v>
      </c>
    </row>
    <row r="5141" spans="1:2" x14ac:dyDescent="0.25">
      <c r="A5141">
        <f ca="1">29838.1442207654*((RANDBETWEEN(1587,2416)))</f>
        <v>49770024.560236655</v>
      </c>
      <c r="B5141">
        <v>232033402.31477189</v>
      </c>
    </row>
    <row r="5142" spans="1:2" x14ac:dyDescent="0.25">
      <c r="A5142">
        <f ca="1">30813.2382549159*((RANDBETWEEN(1587,2416)))</f>
        <v>70839634.748051763</v>
      </c>
      <c r="B5142">
        <v>210505239.07041234</v>
      </c>
    </row>
    <row r="5143" spans="1:2" x14ac:dyDescent="0.25">
      <c r="A5143">
        <f ca="1">29248.9267127616*((RANDBETWEEN(1587,2416)))</f>
        <v>55660707.534385242</v>
      </c>
      <c r="B5143">
        <v>226938397.25833464</v>
      </c>
    </row>
    <row r="5144" spans="1:2" x14ac:dyDescent="0.25">
      <c r="A5144">
        <f ca="1">37992.4229706088*((RANDBETWEEN(1587,2416)))</f>
        <v>64587119.050034888</v>
      </c>
      <c r="B5144">
        <v>267305770.12136596</v>
      </c>
    </row>
    <row r="5145" spans="1:2" x14ac:dyDescent="0.25">
      <c r="A5145">
        <f ca="1">31377.3584532362*((RANDBETWEEN(1587,2416)))</f>
        <v>57859848.987767711</v>
      </c>
      <c r="B5145">
        <v>259770880.50856405</v>
      </c>
    </row>
    <row r="5146" spans="1:2" x14ac:dyDescent="0.25">
      <c r="A5146">
        <f ca="1">30234.1673909128*((RANDBETWEEN(1587,2416)))</f>
        <v>50823635.384124376</v>
      </c>
      <c r="B5146">
        <v>225144631.34120238</v>
      </c>
    </row>
    <row r="5147" spans="1:2" x14ac:dyDescent="0.25">
      <c r="A5147">
        <f ca="1">36017.4349564952*((RANDBETWEEN(1587,2416)))</f>
        <v>70810277.124469489</v>
      </c>
      <c r="B5147">
        <v>254433237.73930842</v>
      </c>
    </row>
    <row r="5148" spans="1:2" x14ac:dyDescent="0.25">
      <c r="A5148">
        <f ca="1">38885.8989004233*((RANDBETWEEN(1587,2416)))</f>
        <v>77655140.104145423</v>
      </c>
      <c r="B5148">
        <v>229424893.67529911</v>
      </c>
    </row>
    <row r="5149" spans="1:2" x14ac:dyDescent="0.25">
      <c r="A5149">
        <f ca="1">37530.9749688597*((RANDBETWEEN(1587,2416)))</f>
        <v>72584905.589774653</v>
      </c>
      <c r="B5149">
        <v>242960673.91062161</v>
      </c>
    </row>
    <row r="5150" spans="1:2" x14ac:dyDescent="0.25">
      <c r="A5150">
        <f ca="1">31010.0070882066*((RANDBETWEEN(1587,2416)))</f>
        <v>57895683.233681701</v>
      </c>
      <c r="B5150">
        <v>225379943.04851586</v>
      </c>
    </row>
    <row r="5151" spans="1:2" x14ac:dyDescent="0.25">
      <c r="A5151">
        <f ca="1">41371.8713256702*((RANDBETWEEN(1587,2416)))</f>
        <v>99168375.567631453</v>
      </c>
      <c r="B5151">
        <v>248070614.56337136</v>
      </c>
    </row>
    <row r="5152" spans="1:2" x14ac:dyDescent="0.25">
      <c r="A5152">
        <f ca="1">33203.3167494002*((RANDBETWEEN(1587,2416)))</f>
        <v>59533546.931674644</v>
      </c>
      <c r="B5152">
        <v>249863455.11034507</v>
      </c>
    </row>
    <row r="5153" spans="1:2" x14ac:dyDescent="0.25">
      <c r="A5153">
        <f ca="1">30309.5503842485*((RANDBETWEEN(1587,2416)))</f>
        <v>62589221.54347311</v>
      </c>
      <c r="B5153">
        <v>236410294.04286727</v>
      </c>
    </row>
    <row r="5154" spans="1:2" x14ac:dyDescent="0.25">
      <c r="A5154">
        <f ca="1">31475.9034033509*((RANDBETWEEN(1587,2416)))</f>
        <v>75416264.554428756</v>
      </c>
      <c r="B5154">
        <v>219726596.91885859</v>
      </c>
    </row>
    <row r="5155" spans="1:2" x14ac:dyDescent="0.25">
      <c r="A5155">
        <f ca="1">33562.9869299974*((RANDBETWEEN(1587,2416)))</f>
        <v>71321347.226244405</v>
      </c>
      <c r="B5155">
        <v>231229307.23175359</v>
      </c>
    </row>
    <row r="5156" spans="1:2" x14ac:dyDescent="0.25">
      <c r="A5156">
        <f ca="1">40387.8876581839*((RANDBETWEEN(1587,2416)))</f>
        <v>69022900.007836238</v>
      </c>
      <c r="B5156">
        <v>231577519.39427716</v>
      </c>
    </row>
    <row r="5157" spans="1:2" x14ac:dyDescent="0.25">
      <c r="A5157">
        <f ca="1">32571.4988170726*((RANDBETWEEN(1587,2416)))</f>
        <v>74914447.279266924</v>
      </c>
      <c r="B5157">
        <v>204001727.93294513</v>
      </c>
    </row>
    <row r="5158" spans="1:2" x14ac:dyDescent="0.25">
      <c r="A5158">
        <f ca="1">29386.4336806138*((RANDBETWEEN(1587,2416)))</f>
        <v>63268991.714361459</v>
      </c>
      <c r="B5158">
        <v>230990117.42225075</v>
      </c>
    </row>
    <row r="5159" spans="1:2" x14ac:dyDescent="0.25">
      <c r="A5159">
        <f ca="1">33088.2933847665*((RANDBETWEEN(1587,2416)))</f>
        <v>74217042.062031329</v>
      </c>
      <c r="B5159">
        <v>254420335.18811738</v>
      </c>
    </row>
    <row r="5160" spans="1:2" x14ac:dyDescent="0.25">
      <c r="A5160">
        <f ca="1">31012.2712591045*((RANDBETWEEN(1587,2416)))</f>
        <v>74119328.309259742</v>
      </c>
      <c r="B5160">
        <v>211564757.01466966</v>
      </c>
    </row>
    <row r="5161" spans="1:2" x14ac:dyDescent="0.25">
      <c r="A5161">
        <f ca="1">38823.7107565877*((RANDBETWEEN(1587,2416)))</f>
        <v>75356822.578536719</v>
      </c>
      <c r="B5161">
        <v>216976526.08945864</v>
      </c>
    </row>
    <row r="5162" spans="1:2" x14ac:dyDescent="0.25">
      <c r="A5162">
        <f ca="1">31468.4006896499*((RANDBETWEEN(1587,2416)))</f>
        <v>52048734.740680933</v>
      </c>
      <c r="B5162">
        <v>203999627.09147695</v>
      </c>
    </row>
    <row r="5163" spans="1:2" x14ac:dyDescent="0.25">
      <c r="A5163">
        <f ca="1">36544.4443962881*((RANDBETWEEN(1587,2416)))</f>
        <v>77803122.119697407</v>
      </c>
      <c r="B5163">
        <v>262400505.70176008</v>
      </c>
    </row>
    <row r="5164" spans="1:2" x14ac:dyDescent="0.25">
      <c r="A5164">
        <f ca="1">32602.0305016292*((RANDBETWEEN(1587,2416)))</f>
        <v>63867377.752691567</v>
      </c>
      <c r="B5164">
        <v>213409913.02080461</v>
      </c>
    </row>
    <row r="5165" spans="1:2" x14ac:dyDescent="0.25">
      <c r="A5165">
        <f ca="1">36266.4805276143*((RANDBETWEEN(1587,2416)))</f>
        <v>59368228.62370453</v>
      </c>
      <c r="B5165">
        <v>249277855.17448243</v>
      </c>
    </row>
    <row r="5166" spans="1:2" x14ac:dyDescent="0.25">
      <c r="A5166">
        <f ca="1">34697.3487854505*((RANDBETWEEN(1587,2416)))</f>
        <v>59748834.608545803</v>
      </c>
      <c r="B5166">
        <v>246942662.17010126</v>
      </c>
    </row>
    <row r="5167" spans="1:2" x14ac:dyDescent="0.25">
      <c r="A5167">
        <f ca="1">36708.7098161587*((RANDBETWEEN(1587,2416)))</f>
        <v>67984530.579525858</v>
      </c>
      <c r="B5167">
        <v>247034903.69144273</v>
      </c>
    </row>
    <row r="5168" spans="1:2" x14ac:dyDescent="0.25">
      <c r="A5168">
        <f ca="1">34031.0674791695*((RANDBETWEEN(1587,2416)))</f>
        <v>55062267.181296334</v>
      </c>
      <c r="B5168">
        <v>219251501.07467818</v>
      </c>
    </row>
    <row r="5169" spans="1:2" x14ac:dyDescent="0.25">
      <c r="A5169">
        <f ca="1">32625.6442019393*((RANDBETWEEN(1587,2416)))</f>
        <v>53995441.154209562</v>
      </c>
      <c r="B5169">
        <v>239496583.78637376</v>
      </c>
    </row>
    <row r="5170" spans="1:2" x14ac:dyDescent="0.25">
      <c r="A5170">
        <f ca="1">29668.7122584111*((RANDBETWEEN(1587,2416)))</f>
        <v>69899486.080816627</v>
      </c>
      <c r="B5170">
        <v>259941652.40989664</v>
      </c>
    </row>
    <row r="5171" spans="1:2" x14ac:dyDescent="0.25">
      <c r="A5171">
        <f ca="1">35560.9830154695*((RANDBETWEEN(1587,2416)))</f>
        <v>65218842.850371093</v>
      </c>
      <c r="B5171">
        <v>265849930.34523544</v>
      </c>
    </row>
    <row r="5172" spans="1:2" x14ac:dyDescent="0.25">
      <c r="A5172">
        <f ca="1">33301.915634065*((RANDBETWEEN(1587,2416)))</f>
        <v>66470623.605593711</v>
      </c>
      <c r="B5172">
        <v>260445941.42962641</v>
      </c>
    </row>
    <row r="5173" spans="1:2" x14ac:dyDescent="0.25">
      <c r="A5173">
        <f ca="1">37911.5171613158*((RANDBETWEEN(1587,2416)))</f>
        <v>60885896.561073154</v>
      </c>
      <c r="B5173">
        <v>261646877.9988918</v>
      </c>
    </row>
    <row r="5174" spans="1:2" x14ac:dyDescent="0.25">
      <c r="A5174">
        <f ca="1">37878.7414189906*((RANDBETWEEN(1587,2416)))</f>
        <v>73446879.611422852</v>
      </c>
      <c r="B5174">
        <v>236364072.05787796</v>
      </c>
    </row>
    <row r="5175" spans="1:2" x14ac:dyDescent="0.25">
      <c r="A5175">
        <f ca="1">34022.8027732846*((RANDBETWEEN(1587,2416)))</f>
        <v>72400524.301549643</v>
      </c>
      <c r="B5175">
        <v>239242604.01259503</v>
      </c>
    </row>
    <row r="5176" spans="1:2" x14ac:dyDescent="0.25">
      <c r="A5176">
        <f ca="1">38007.91487733*((RANDBETWEEN(1587,2416)))</f>
        <v>76015829.754659936</v>
      </c>
      <c r="B5176">
        <v>260599149.642497</v>
      </c>
    </row>
    <row r="5177" spans="1:2" x14ac:dyDescent="0.25">
      <c r="A5177">
        <f ca="1">41180.4471628812*((RANDBETWEEN(1587,2416)))</f>
        <v>87014284.85516794</v>
      </c>
      <c r="B5177">
        <v>261946644.98787004</v>
      </c>
    </row>
    <row r="5178" spans="1:2" x14ac:dyDescent="0.25">
      <c r="A5178">
        <f ca="1">39985.8591338967*((RANDBETWEEN(1587,2416)))</f>
        <v>74053811.115976661</v>
      </c>
      <c r="B5178">
        <v>254146737.20121655</v>
      </c>
    </row>
    <row r="5179" spans="1:2" x14ac:dyDescent="0.25">
      <c r="A5179">
        <f ca="1">34638.4972279018*((RANDBETWEEN(1587,2416)))</f>
        <v>78456196.221197605</v>
      </c>
      <c r="B5179">
        <v>261198997.32109573</v>
      </c>
    </row>
    <row r="5180" spans="1:2" x14ac:dyDescent="0.25">
      <c r="A5180">
        <f ca="1">30739.3892435808*((RANDBETWEEN(1587,2416)))</f>
        <v>67749613.892852083</v>
      </c>
      <c r="B5180">
        <v>204203049.09861726</v>
      </c>
    </row>
    <row r="5181" spans="1:2" x14ac:dyDescent="0.25">
      <c r="A5181">
        <f ca="1">31483.4882667513*((RANDBETWEEN(1587,2416)))</f>
        <v>50216163.785468318</v>
      </c>
      <c r="B5181">
        <v>247589599.61815783</v>
      </c>
    </row>
    <row r="5182" spans="1:2" x14ac:dyDescent="0.25">
      <c r="A5182">
        <f ca="1">38992.0030641283*((RANDBETWEEN(1587,2416)))</f>
        <v>67183221.279493049</v>
      </c>
      <c r="B5182">
        <v>204820860.84917808</v>
      </c>
    </row>
    <row r="5183" spans="1:2" x14ac:dyDescent="0.25">
      <c r="A5183">
        <f ca="1">31863.4189997267*((RANDBETWEEN(1587,2416)))</f>
        <v>60221861.909483559</v>
      </c>
      <c r="B5183">
        <v>220608717.18746451</v>
      </c>
    </row>
    <row r="5184" spans="1:2" x14ac:dyDescent="0.25">
      <c r="A5184">
        <f ca="1">41232.4706395618*((RANDBETWEEN(1587,2416)))</f>
        <v>70548757.264290214</v>
      </c>
      <c r="B5184">
        <v>215219868.36840445</v>
      </c>
    </row>
    <row r="5185" spans="1:2" x14ac:dyDescent="0.25">
      <c r="A5185">
        <f ca="1">32824.8262086876*((RANDBETWEEN(1587,2416)))</f>
        <v>69785580.519669816</v>
      </c>
      <c r="B5185">
        <v>261597810.65223527</v>
      </c>
    </row>
    <row r="5186" spans="1:2" x14ac:dyDescent="0.25">
      <c r="A5186">
        <f ca="1">30016.7276940303*((RANDBETWEEN(1587,2416)))</f>
        <v>66667152.208441287</v>
      </c>
      <c r="B5186">
        <v>232588388.93958694</v>
      </c>
    </row>
    <row r="5187" spans="1:2" x14ac:dyDescent="0.25">
      <c r="A5187">
        <f ca="1">31399.0081357612*((RANDBETWEEN(1587,2416)))</f>
        <v>53660904.904015929</v>
      </c>
      <c r="B5187">
        <v>255656919.62126982</v>
      </c>
    </row>
    <row r="5188" spans="1:2" x14ac:dyDescent="0.25">
      <c r="A5188">
        <f ca="1">29924.1386814099*((RANDBETWEEN(1587,2416)))</f>
        <v>60177442.888315395</v>
      </c>
      <c r="B5188">
        <v>261564349.95468616</v>
      </c>
    </row>
    <row r="5189" spans="1:2" x14ac:dyDescent="0.25">
      <c r="A5189">
        <f ca="1">29841.8188072717*((RANDBETWEEN(1587,2416)))</f>
        <v>69591121.458557561</v>
      </c>
      <c r="B5189">
        <v>208794470.80001324</v>
      </c>
    </row>
    <row r="5190" spans="1:2" x14ac:dyDescent="0.25">
      <c r="A5190">
        <f ca="1">32271.679865912*((RANDBETWEEN(1587,2416)))</f>
        <v>67092822.441231042</v>
      </c>
      <c r="B5190">
        <v>227686864.28413796</v>
      </c>
    </row>
    <row r="5191" spans="1:2" x14ac:dyDescent="0.25">
      <c r="A5191">
        <f ca="1">38868.7141808785*((RANDBETWEEN(1587,2416)))</f>
        <v>64716409.111162618</v>
      </c>
      <c r="B5191">
        <v>236470005.83956093</v>
      </c>
    </row>
    <row r="5192" spans="1:2" x14ac:dyDescent="0.25">
      <c r="A5192">
        <f ca="1">30543.7011778423*((RANDBETWEEN(1587,2416)))</f>
        <v>62156431.896909058</v>
      </c>
      <c r="B5192">
        <v>254193750.9589155</v>
      </c>
    </row>
    <row r="5193" spans="1:2" x14ac:dyDescent="0.25">
      <c r="A5193">
        <f ca="1">30639.7320804802*((RANDBETWEEN(1587,2416)))</f>
        <v>49268689.185412176</v>
      </c>
      <c r="B5193">
        <v>223674992.44724241</v>
      </c>
    </row>
    <row r="5194" spans="1:2" x14ac:dyDescent="0.25">
      <c r="A5194">
        <f ca="1">30558.8380375645*((RANDBETWEEN(1587,2416)))</f>
        <v>49352523.430666648</v>
      </c>
      <c r="B5194">
        <v>214992293.0832791</v>
      </c>
    </row>
    <row r="5195" spans="1:2" x14ac:dyDescent="0.25">
      <c r="A5195">
        <f ca="1">42252.0274935748*((RANDBETWEEN(1587,2416)))</f>
        <v>92489688.183435217</v>
      </c>
      <c r="B5195">
        <v>218417189.57041588</v>
      </c>
    </row>
    <row r="5196" spans="1:2" x14ac:dyDescent="0.25">
      <c r="A5196">
        <f ca="1">40168.8412582084*((RANDBETWEEN(1587,2416)))</f>
        <v>91384113.862424135</v>
      </c>
      <c r="B5196">
        <v>228001798.94623324</v>
      </c>
    </row>
    <row r="5197" spans="1:2" x14ac:dyDescent="0.25">
      <c r="A5197">
        <f ca="1">36622.66809071*((RANDBETWEEN(1587,2416)))</f>
        <v>79764171.101566285</v>
      </c>
      <c r="B5197">
        <v>242365809.16090846</v>
      </c>
    </row>
    <row r="5198" spans="1:2" x14ac:dyDescent="0.25">
      <c r="A5198">
        <f ca="1">35888.1761297609*((RANDBETWEEN(1587,2416)))</f>
        <v>59251378.790235281</v>
      </c>
      <c r="B5198">
        <v>227996815.21697479</v>
      </c>
    </row>
    <row r="5199" spans="1:2" x14ac:dyDescent="0.25">
      <c r="A5199">
        <f ca="1">29707.6795635841*((RANDBETWEEN(1587,2416)))</f>
        <v>56504006.529936917</v>
      </c>
      <c r="B5199">
        <v>226061214.00956836</v>
      </c>
    </row>
    <row r="5200" spans="1:2" x14ac:dyDescent="0.25">
      <c r="A5200">
        <f ca="1">35774.9353351607*((RANDBETWEEN(1587,2416)))</f>
        <v>85001246.356341854</v>
      </c>
      <c r="B5200">
        <v>245107272.74743494</v>
      </c>
    </row>
    <row r="5201" spans="1:2" x14ac:dyDescent="0.25">
      <c r="A5201">
        <f ca="1">30394.4921776175*((RANDBETWEEN(1587,2416)))</f>
        <v>66168809.470673196</v>
      </c>
      <c r="B5201">
        <v>215165766.81086829</v>
      </c>
    </row>
    <row r="5202" spans="1:2" x14ac:dyDescent="0.25">
      <c r="A5202">
        <f ca="1">37539.4196859527*((RANDBETWEEN(1587,2416)))</f>
        <v>82211329.112236455</v>
      </c>
      <c r="B5202">
        <v>246506729.40473479</v>
      </c>
    </row>
    <row r="5203" spans="1:2" x14ac:dyDescent="0.25">
      <c r="A5203">
        <f ca="1">32024.019619746*((RANDBETWEEN(1587,2416)))</f>
        <v>73302980.909598619</v>
      </c>
      <c r="B5203">
        <v>207010505.03796643</v>
      </c>
    </row>
    <row r="5204" spans="1:2" x14ac:dyDescent="0.25">
      <c r="A5204">
        <f ca="1">32053.0602978952*((RANDBETWEEN(1587,2416)))</f>
        <v>75068267.21767056</v>
      </c>
      <c r="B5204">
        <v>250821582.03445667</v>
      </c>
    </row>
    <row r="5205" spans="1:2" x14ac:dyDescent="0.25">
      <c r="A5205">
        <f ca="1">29916.0935575704*((RANDBETWEEN(1587,2416)))</f>
        <v>68836931.27596949</v>
      </c>
      <c r="B5205">
        <v>257422248.34136635</v>
      </c>
    </row>
    <row r="5206" spans="1:2" x14ac:dyDescent="0.25">
      <c r="A5206">
        <f ca="1">37804.7238067704*((RANDBETWEEN(1587,2416)))</f>
        <v>77083831.842004851</v>
      </c>
      <c r="B5206">
        <v>252165278.96754599</v>
      </c>
    </row>
    <row r="5207" spans="1:2" x14ac:dyDescent="0.25">
      <c r="A5207">
        <f ca="1">40480.5805181534*((RANDBETWEEN(1587,2416)))</f>
        <v>74889073.958583742</v>
      </c>
      <c r="B5207">
        <v>243412544.70806107</v>
      </c>
    </row>
    <row r="5208" spans="1:2" x14ac:dyDescent="0.25">
      <c r="A5208">
        <f ca="1">36916.1343727971*((RANDBETWEEN(1587,2416)))</f>
        <v>78003791.929720208</v>
      </c>
      <c r="B5208">
        <v>239622371.29963747</v>
      </c>
    </row>
    <row r="5209" spans="1:2" x14ac:dyDescent="0.25">
      <c r="A5209">
        <f ca="1">36390.5591296278*((RANDBETWEEN(1587,2416)))</f>
        <v>85626985.632014245</v>
      </c>
      <c r="B5209">
        <v>258435156.10233659</v>
      </c>
    </row>
    <row r="5210" spans="1:2" x14ac:dyDescent="0.25">
      <c r="A5210">
        <f ca="1">30690.1804723012*((RANDBETWEEN(1587,2416)))</f>
        <v>58556864.341150597</v>
      </c>
      <c r="B5210">
        <v>233601189.50107452</v>
      </c>
    </row>
    <row r="5211" spans="1:2" x14ac:dyDescent="0.25">
      <c r="A5211">
        <f ca="1">35497.5334129567*((RANDBETWEEN(1587,2416)))</f>
        <v>65599441.747144021</v>
      </c>
      <c r="B5211">
        <v>250528710.95787573</v>
      </c>
    </row>
    <row r="5212" spans="1:2" x14ac:dyDescent="0.25">
      <c r="A5212">
        <f ca="1">31180.5898176316*((RANDBETWEEN(1587,2416)))</f>
        <v>72526051.915811002</v>
      </c>
      <c r="B5212">
        <v>258426355.79980126</v>
      </c>
    </row>
    <row r="5213" spans="1:2" x14ac:dyDescent="0.25">
      <c r="A5213">
        <f ca="1">32538.7631153315*((RANDBETWEEN(1587,2416)))</f>
        <v>68006014.911042854</v>
      </c>
      <c r="B5213">
        <v>204279992.19980058</v>
      </c>
    </row>
    <row r="5214" spans="1:2" x14ac:dyDescent="0.25">
      <c r="A5214">
        <f ca="1">31122.5126462876*((RANDBETWEEN(1587,2416)))</f>
        <v>52534801.346933499</v>
      </c>
      <c r="B5214">
        <v>206396260.76175538</v>
      </c>
    </row>
    <row r="5215" spans="1:2" x14ac:dyDescent="0.25">
      <c r="A5215">
        <f ca="1">40986.6513073596*((RANDBETWEEN(1587,2416)))</f>
        <v>91646152.32325612</v>
      </c>
      <c r="B5215">
        <v>241323501.09887496</v>
      </c>
    </row>
    <row r="5216" spans="1:2" x14ac:dyDescent="0.25">
      <c r="A5216">
        <f ca="1">39668.7075395936*((RANDBETWEEN(1587,2416)))</f>
        <v>82550580.389894307</v>
      </c>
      <c r="B5216">
        <v>266390571.43800879</v>
      </c>
    </row>
    <row r="5217" spans="1:2" x14ac:dyDescent="0.25">
      <c r="A5217">
        <f ca="1">30991.208734165*((RANDBETWEEN(1587,2416)))</f>
        <v>52994966.935422219</v>
      </c>
      <c r="B5217">
        <v>245575215.14277366</v>
      </c>
    </row>
    <row r="5218" spans="1:2" x14ac:dyDescent="0.25">
      <c r="A5218">
        <f ca="1">30789.296979061*((RANDBETWEEN(1587,2416)))</f>
        <v>73155369.622248933</v>
      </c>
      <c r="B5218">
        <v>206383550.81949019</v>
      </c>
    </row>
    <row r="5219" spans="1:2" x14ac:dyDescent="0.25">
      <c r="A5219">
        <f ca="1">36300.2774155109*((RANDBETWEEN(1587,2416)))</f>
        <v>61238567.999966867</v>
      </c>
      <c r="B5219">
        <v>240570253.19797352</v>
      </c>
    </row>
    <row r="5220" spans="1:2" x14ac:dyDescent="0.25">
      <c r="A5220">
        <f ca="1">34672.2172908785*((RANDBETWEEN(1587,2416)))</f>
        <v>69136401.278011814</v>
      </c>
      <c r="B5220">
        <v>237466989.98354945</v>
      </c>
    </row>
    <row r="5221" spans="1:2" x14ac:dyDescent="0.25">
      <c r="A5221">
        <f ca="1">37323.8817772509*((RANDBETWEEN(1587,2416)))</f>
        <v>77969589.032677129</v>
      </c>
      <c r="B5221">
        <v>244528845.91637456</v>
      </c>
    </row>
    <row r="5222" spans="1:2" x14ac:dyDescent="0.25">
      <c r="A5222">
        <f ca="1">31720.1694935608*((RANDBETWEEN(1587,2416)))</f>
        <v>53416765.427156329</v>
      </c>
      <c r="B5222">
        <v>218079692.76768935</v>
      </c>
    </row>
    <row r="5223" spans="1:2" x14ac:dyDescent="0.25">
      <c r="A5223">
        <f ca="1">39167.3362240624*((RANDBETWEEN(1587,2416)))</f>
        <v>64430268.088582724</v>
      </c>
      <c r="B5223">
        <v>236395028.72013906</v>
      </c>
    </row>
    <row r="5224" spans="1:2" x14ac:dyDescent="0.25">
      <c r="A5224">
        <f ca="1">40767.3858263518*((RANDBETWEEN(1587,2416)))</f>
        <v>79374100.203906968</v>
      </c>
      <c r="B5224">
        <v>216918824.91258189</v>
      </c>
    </row>
    <row r="5225" spans="1:2" x14ac:dyDescent="0.25">
      <c r="A5225">
        <f ca="1">30992.0938939966*((RANDBETWEEN(1587,2416)))</f>
        <v>61550298.473477259</v>
      </c>
      <c r="B5225">
        <v>222299202.84300983</v>
      </c>
    </row>
    <row r="5226" spans="1:2" x14ac:dyDescent="0.25">
      <c r="A5226">
        <f ca="1">32403.1051010883*((RANDBETWEEN(1587,2416)))</f>
        <v>52557836.473965161</v>
      </c>
      <c r="B5226">
        <v>214211546.01438138</v>
      </c>
    </row>
    <row r="5227" spans="1:2" x14ac:dyDescent="0.25">
      <c r="A5227">
        <f ca="1">32177.4475270512*((RANDBETWEEN(1587,2416)))</f>
        <v>67347397.674118251</v>
      </c>
      <c r="B5227">
        <v>208002224.60797954</v>
      </c>
    </row>
    <row r="5228" spans="1:2" x14ac:dyDescent="0.25">
      <c r="A5228">
        <f ca="1">31008.8378381949*((RANDBETWEEN(1587,2416)))</f>
        <v>65273603.64940019</v>
      </c>
      <c r="B5228">
        <v>218231630.32770014</v>
      </c>
    </row>
    <row r="5229" spans="1:2" x14ac:dyDescent="0.25">
      <c r="A5229">
        <f ca="1">31094.7468419628*((RANDBETWEEN(1587,2416)))</f>
        <v>55441933.619219653</v>
      </c>
      <c r="B5229">
        <v>259747748.25785115</v>
      </c>
    </row>
    <row r="5230" spans="1:2" x14ac:dyDescent="0.25">
      <c r="A5230">
        <f ca="1">37977.2707412281*((RANDBETWEEN(1587,2416)))</f>
        <v>69194587.290517583</v>
      </c>
      <c r="B5230">
        <v>244172112.40647745</v>
      </c>
    </row>
    <row r="5231" spans="1:2" x14ac:dyDescent="0.25">
      <c r="A5231">
        <f ca="1">35890.1253454029*((RANDBETWEEN(1587,2416)))</f>
        <v>79245396.762649655</v>
      </c>
      <c r="B5231">
        <v>211835468.56539595</v>
      </c>
    </row>
    <row r="5232" spans="1:2" x14ac:dyDescent="0.25">
      <c r="A5232">
        <f ca="1">35051.2620827286*((RANDBETWEEN(1587,2416)))</f>
        <v>82370465.89441213</v>
      </c>
      <c r="B5232">
        <v>259117681.63690498</v>
      </c>
    </row>
    <row r="5233" spans="1:2" x14ac:dyDescent="0.25">
      <c r="A5233">
        <f ca="1">38525.2620818435*((RANDBETWEEN(1587,2416)))</f>
        <v>62025671.951768003</v>
      </c>
      <c r="B5233">
        <v>212132253.3614215</v>
      </c>
    </row>
    <row r="5234" spans="1:2" x14ac:dyDescent="0.25">
      <c r="A5234">
        <f ca="1">36882.8703228792*((RANDBETWEEN(1587,2416)))</f>
        <v>67421886.950223237</v>
      </c>
      <c r="B5234">
        <v>263325604.90478188</v>
      </c>
    </row>
    <row r="5235" spans="1:2" x14ac:dyDescent="0.25">
      <c r="A5235">
        <f ca="1">33882.9690176799*((RANDBETWEEN(1587,2416)))</f>
        <v>58786951.245674625</v>
      </c>
      <c r="B5235">
        <v>221922300.74487224</v>
      </c>
    </row>
    <row r="5236" spans="1:2" x14ac:dyDescent="0.25">
      <c r="A5236">
        <f ca="1">37554.6856156436*((RANDBETWEEN(1587,2416)))</f>
        <v>69175730.904015556</v>
      </c>
      <c r="B5236">
        <v>255585957.8176778</v>
      </c>
    </row>
    <row r="5237" spans="1:2" x14ac:dyDescent="0.25">
      <c r="A5237">
        <f ca="1">34819.8559705847*((RANDBETWEEN(1587,2416)))</f>
        <v>65426509.36872872</v>
      </c>
      <c r="B5237">
        <v>216205661.79775974</v>
      </c>
    </row>
    <row r="5238" spans="1:2" x14ac:dyDescent="0.25">
      <c r="A5238">
        <f ca="1">33439.6847948462*((RANDBETWEEN(1587,2416)))</f>
        <v>66244015.578590266</v>
      </c>
      <c r="B5238">
        <v>205339708.07445657</v>
      </c>
    </row>
    <row r="5239" spans="1:2" x14ac:dyDescent="0.25">
      <c r="A5239">
        <f ca="1">31321.2466614704*((RANDBETWEEN(1587,2416)))</f>
        <v>73510965.914471015</v>
      </c>
      <c r="B5239">
        <v>253695672.48191094</v>
      </c>
    </row>
    <row r="5240" spans="1:2" x14ac:dyDescent="0.25">
      <c r="A5240">
        <f ca="1">36655.573737651*((RANDBETWEEN(1587,2416)))</f>
        <v>75473826.325823501</v>
      </c>
      <c r="B5240">
        <v>218538617.50366843</v>
      </c>
    </row>
    <row r="5241" spans="1:2" x14ac:dyDescent="0.25">
      <c r="A5241">
        <f ca="1">36126.7871307002*((RANDBETWEEN(1587,2416)))</f>
        <v>84789569.395753399</v>
      </c>
      <c r="B5241">
        <v>240809331.00968996</v>
      </c>
    </row>
    <row r="5242" spans="1:2" x14ac:dyDescent="0.25">
      <c r="A5242">
        <f ca="1">36149.112105322*((RANDBETWEEN(1587,2416)))</f>
        <v>59754482.310097322</v>
      </c>
      <c r="B5242">
        <v>233374954.38301179</v>
      </c>
    </row>
    <row r="5243" spans="1:2" x14ac:dyDescent="0.25">
      <c r="A5243">
        <f ca="1">33316.0205124184*((RANDBETWEEN(1587,2416)))</f>
        <v>62134378.2556604</v>
      </c>
      <c r="B5243">
        <v>241505810.84214172</v>
      </c>
    </row>
    <row r="5244" spans="1:2" x14ac:dyDescent="0.25">
      <c r="A5244">
        <f ca="1">40046.2692440397*((RANDBETWEEN(1587,2416)))</f>
        <v>83977026.604751214</v>
      </c>
      <c r="B5244">
        <v>220396052.85426036</v>
      </c>
    </row>
    <row r="5245" spans="1:2" x14ac:dyDescent="0.25">
      <c r="A5245">
        <f ca="1">31397.5685693755*((RANDBETWEEN(1587,2416)))</f>
        <v>75699537.820764348</v>
      </c>
      <c r="B5245">
        <v>245918594.78783682</v>
      </c>
    </row>
    <row r="5246" spans="1:2" x14ac:dyDescent="0.25">
      <c r="A5246">
        <f ca="1">34964.9423113222*((RANDBETWEEN(1587,2416)))</f>
        <v>61957877.775662966</v>
      </c>
      <c r="B5246">
        <v>219272555.94249475</v>
      </c>
    </row>
    <row r="5247" spans="1:2" x14ac:dyDescent="0.25">
      <c r="A5247">
        <f ca="1">34060.9764154499*((RANDBETWEEN(1587,2416)))</f>
        <v>78851160.401766509</v>
      </c>
      <c r="B5247">
        <v>222076284.16892827</v>
      </c>
    </row>
    <row r="5248" spans="1:2" x14ac:dyDescent="0.25">
      <c r="A5248">
        <f ca="1">33177.8160737108*((RANDBETWEEN(1587,2416)))</f>
        <v>77669267.428556964</v>
      </c>
      <c r="B5248">
        <v>254585763.02409557</v>
      </c>
    </row>
    <row r="5249" spans="1:2" x14ac:dyDescent="0.25">
      <c r="A5249">
        <f ca="1">32897.3983542884*((RANDBETWEEN(1587,2416)))</f>
        <v>69018741.747297093</v>
      </c>
      <c r="B5249">
        <v>233809663.403732</v>
      </c>
    </row>
    <row r="5250" spans="1:2" x14ac:dyDescent="0.25">
      <c r="A5250">
        <f ca="1">31005.2399548822*((RANDBETWEEN(1587,2416)))</f>
        <v>50383514.926683612</v>
      </c>
      <c r="B5250">
        <v>229443251.55057335</v>
      </c>
    </row>
    <row r="5251" spans="1:2" x14ac:dyDescent="0.25">
      <c r="A5251">
        <f ca="1">28847.1427630594*((RANDBETWEEN(1587,2416)))</f>
        <v>59886668.376111381</v>
      </c>
      <c r="B5251">
        <v>239638486.87024006</v>
      </c>
    </row>
    <row r="5252" spans="1:2" x14ac:dyDescent="0.25">
      <c r="A5252">
        <f ca="1">35112.5382288544*((RANDBETWEEN(1587,2416)))</f>
        <v>66678710.096594431</v>
      </c>
      <c r="B5252">
        <v>260228814.43064725</v>
      </c>
    </row>
    <row r="5253" spans="1:2" x14ac:dyDescent="0.25">
      <c r="A5253">
        <f ca="1">32630.3333158082*((RANDBETWEEN(1587,2416)))</f>
        <v>75767633.959306553</v>
      </c>
      <c r="B5253">
        <v>220486984.58920467</v>
      </c>
    </row>
    <row r="5254" spans="1:2" x14ac:dyDescent="0.25">
      <c r="A5254">
        <f ca="1">32751.6243052103*((RANDBETWEEN(1587,2416)))</f>
        <v>52435350.512641735</v>
      </c>
      <c r="B5254">
        <v>251673284.62936187</v>
      </c>
    </row>
    <row r="5255" spans="1:2" x14ac:dyDescent="0.25">
      <c r="A5255">
        <f ca="1">42025.0748052673*((RANDBETWEEN(1587,2416)))</f>
        <v>95438944.882762119</v>
      </c>
      <c r="B5255">
        <v>204691856.99972922</v>
      </c>
    </row>
    <row r="5256" spans="1:2" x14ac:dyDescent="0.25">
      <c r="A5256">
        <f ca="1">36787.497468426*((RANDBETWEEN(1587,2416)))</f>
        <v>77952707.135594606</v>
      </c>
      <c r="B5256">
        <v>264641904.28850639</v>
      </c>
    </row>
    <row r="5257" spans="1:2" x14ac:dyDescent="0.25">
      <c r="A5257">
        <f ca="1">33307.3936892622*((RANDBETWEEN(1587,2416)))</f>
        <v>70411830.259100214</v>
      </c>
      <c r="B5257">
        <v>229081254.04761159</v>
      </c>
    </row>
    <row r="5258" spans="1:2" x14ac:dyDescent="0.25">
      <c r="A5258">
        <f ca="1">34610.7030324873*((RANDBETWEEN(1587,2416)))</f>
        <v>81819701.968799889</v>
      </c>
      <c r="B5258">
        <v>265426949.74945658</v>
      </c>
    </row>
    <row r="5259" spans="1:2" x14ac:dyDescent="0.25">
      <c r="A5259">
        <f ca="1">30868.6199318606*((RANDBETWEEN(1587,2416)))</f>
        <v>50007164.289614141</v>
      </c>
      <c r="B5259">
        <v>207500243.18657699</v>
      </c>
    </row>
    <row r="5260" spans="1:2" x14ac:dyDescent="0.25">
      <c r="A5260">
        <f ca="1">30911.4354276968*((RANDBETWEEN(1587,2416)))</f>
        <v>63244796.885067627</v>
      </c>
      <c r="B5260">
        <v>253409843.79797542</v>
      </c>
    </row>
    <row r="5261" spans="1:2" x14ac:dyDescent="0.25">
      <c r="A5261">
        <f ca="1">33040.425756763*((RANDBETWEEN(1587,2416)))</f>
        <v>73845351.566365197</v>
      </c>
      <c r="B5261">
        <v>236073956.96398327</v>
      </c>
    </row>
    <row r="5262" spans="1:2" x14ac:dyDescent="0.25">
      <c r="A5262">
        <f ca="1">38624.3212385513*((RANDBETWEEN(1587,2416)))</f>
        <v>79797847.678846881</v>
      </c>
      <c r="B5262">
        <v>220647800.31348836</v>
      </c>
    </row>
    <row r="5263" spans="1:2" x14ac:dyDescent="0.25">
      <c r="A5263">
        <f ca="1">37039.7060241451*((RANDBETWEEN(1587,2416)))</f>
        <v>82746703.257940143</v>
      </c>
      <c r="B5263">
        <v>213027069.933119</v>
      </c>
    </row>
    <row r="5264" spans="1:2" x14ac:dyDescent="0.25">
      <c r="A5264">
        <f ca="1">31371.6989297166*((RANDBETWEEN(1587,2416)))</f>
        <v>74696015.151655331</v>
      </c>
      <c r="B5264">
        <v>258427367.98862058</v>
      </c>
    </row>
    <row r="5265" spans="1:2" x14ac:dyDescent="0.25">
      <c r="A5265">
        <f ca="1">29961.7560620812*((RANDBETWEEN(1587,2416)))</f>
        <v>64837240.118343711</v>
      </c>
      <c r="B5265">
        <v>222151065.54965001</v>
      </c>
    </row>
    <row r="5266" spans="1:2" x14ac:dyDescent="0.25">
      <c r="A5266">
        <f ca="1">33911.4060557468*((RANDBETWEEN(1587,2416)))</f>
        <v>67110672.5843229</v>
      </c>
      <c r="B5266">
        <v>211275674.36545217</v>
      </c>
    </row>
    <row r="5267" spans="1:2" x14ac:dyDescent="0.25">
      <c r="A5267">
        <f ca="1">35166.6901859402*((RANDBETWEEN(1587,2416)))</f>
        <v>82852722.078075156</v>
      </c>
      <c r="B5267">
        <v>249677663.52828628</v>
      </c>
    </row>
    <row r="5268" spans="1:2" x14ac:dyDescent="0.25">
      <c r="A5268">
        <f ca="1">31265.6332036114*((RANDBETWEEN(1587,2416)))</f>
        <v>62312406.974797495</v>
      </c>
      <c r="B5268">
        <v>218317363.21628129</v>
      </c>
    </row>
    <row r="5269" spans="1:2" x14ac:dyDescent="0.25">
      <c r="A5269">
        <f ca="1">33466.7792948191*((RANDBETWEEN(1587,2416)))</f>
        <v>59135799.013945296</v>
      </c>
      <c r="B5269">
        <v>213026687.08523962</v>
      </c>
    </row>
    <row r="5270" spans="1:2" x14ac:dyDescent="0.25">
      <c r="A5270">
        <f ca="1">31547.1284681814*((RANDBETWEEN(1587,2416)))</f>
        <v>54955097.791572057</v>
      </c>
      <c r="B5270">
        <v>214195166.77116492</v>
      </c>
    </row>
    <row r="5271" spans="1:2" x14ac:dyDescent="0.25">
      <c r="A5271">
        <f ca="1">28744.8543880727*((RANDBETWEEN(1587,2416)))</f>
        <v>48348845.080738328</v>
      </c>
      <c r="B5271">
        <v>233888078.01964468</v>
      </c>
    </row>
    <row r="5272" spans="1:2" x14ac:dyDescent="0.25">
      <c r="A5272">
        <f ca="1">37310.3207047493*((RANDBETWEEN(1587,2416)))</f>
        <v>59472651.203370437</v>
      </c>
      <c r="B5272">
        <v>220093685.40243557</v>
      </c>
    </row>
    <row r="5273" spans="1:2" x14ac:dyDescent="0.25">
      <c r="A5273">
        <f ca="1">33049.6165219515*((RANDBETWEEN(1587,2416)))</f>
        <v>65570439.179551736</v>
      </c>
      <c r="B5273">
        <v>219331276.09755874</v>
      </c>
    </row>
    <row r="5274" spans="1:2" x14ac:dyDescent="0.25">
      <c r="A5274">
        <f ca="1">33799.4924917839*((RANDBETWEEN(1587,2416)))</f>
        <v>64624629.644290768</v>
      </c>
      <c r="B5274">
        <v>238848543.12884462</v>
      </c>
    </row>
    <row r="5275" spans="1:2" x14ac:dyDescent="0.25">
      <c r="A5275">
        <f ca="1">34809.2715836024*((RANDBETWEEN(1587,2416)))</f>
        <v>64849672.960251339</v>
      </c>
      <c r="B5275">
        <v>254029642.7230823</v>
      </c>
    </row>
    <row r="5276" spans="1:2" x14ac:dyDescent="0.25">
      <c r="A5276">
        <f ca="1">38072.3491716824*((RANDBETWEEN(1587,2416)))</f>
        <v>63009737.879134431</v>
      </c>
      <c r="B5276">
        <v>264219661.95478809</v>
      </c>
    </row>
    <row r="5277" spans="1:2" x14ac:dyDescent="0.25">
      <c r="A5277">
        <f ca="1">33823.2960094316*((RANDBETWEEN(1587,2416)))</f>
        <v>79078866.070051178</v>
      </c>
      <c r="B5277">
        <v>231986612.48509705</v>
      </c>
    </row>
    <row r="5278" spans="1:2" x14ac:dyDescent="0.25">
      <c r="A5278">
        <f ca="1">29895.7293852626*((RANDBETWEEN(1587,2416)))</f>
        <v>63498529.214297667</v>
      </c>
      <c r="B5278">
        <v>263783292.86979005</v>
      </c>
    </row>
    <row r="5279" spans="1:2" x14ac:dyDescent="0.25">
      <c r="A5279">
        <f ca="1">32450.7735752389*((RANDBETWEEN(1587,2416)))</f>
        <v>67789665.998674169</v>
      </c>
      <c r="B5279">
        <v>237223024.07616627</v>
      </c>
    </row>
    <row r="5280" spans="1:2" x14ac:dyDescent="0.25">
      <c r="A5280">
        <f ca="1">34322.2347376038*((RANDBETWEEN(1587,2416)))</f>
        <v>61539766.884523526</v>
      </c>
      <c r="B5280">
        <v>227283294.3079983</v>
      </c>
    </row>
    <row r="5281" spans="1:2" x14ac:dyDescent="0.25">
      <c r="A5281">
        <f ca="1">36678.4926687577*((RANDBETWEEN(1587,2416)))</f>
        <v>86524564.205599487</v>
      </c>
      <c r="B5281">
        <v>244303884.92160928</v>
      </c>
    </row>
    <row r="5282" spans="1:2" x14ac:dyDescent="0.25">
      <c r="A5282">
        <f ca="1">39422.7450820279*((RANDBETWEEN(1587,2416)))</f>
        <v>94023247.020636484</v>
      </c>
      <c r="B5282">
        <v>258445409.85803097</v>
      </c>
    </row>
    <row r="5283" spans="1:2" x14ac:dyDescent="0.25">
      <c r="A5283">
        <f ca="1">38350.5531116092*((RANDBETWEEN(1587,2416)))</f>
        <v>77391416.179227278</v>
      </c>
      <c r="B5283">
        <v>216772683.5143925</v>
      </c>
    </row>
    <row r="5284" spans="1:2" x14ac:dyDescent="0.25">
      <c r="A5284">
        <f ca="1">40147.3678280694*((RANDBETWEEN(1587,2416)))</f>
        <v>64275935.892739065</v>
      </c>
      <c r="B5284">
        <v>259348526.63427949</v>
      </c>
    </row>
    <row r="5285" spans="1:2" x14ac:dyDescent="0.25">
      <c r="A5285">
        <f ca="1">31062.80978732*((RANDBETWEEN(1587,2416)))</f>
        <v>60789918.753785156</v>
      </c>
      <c r="B5285">
        <v>264646689.74414796</v>
      </c>
    </row>
    <row r="5286" spans="1:2" x14ac:dyDescent="0.25">
      <c r="A5286">
        <f ca="1">36407.5572854042*((RANDBETWEEN(1587,2416)))</f>
        <v>68810283.269413859</v>
      </c>
      <c r="B5286">
        <v>215973559.75330657</v>
      </c>
    </row>
    <row r="5287" spans="1:2" x14ac:dyDescent="0.25">
      <c r="A5287">
        <f ca="1">37402.4891893502*((RANDBETWEEN(1587,2416)))</f>
        <v>65267343.635416172</v>
      </c>
      <c r="B5287">
        <v>204721120.06722441</v>
      </c>
    </row>
    <row r="5288" spans="1:2" x14ac:dyDescent="0.25">
      <c r="A5288">
        <f ca="1">32985.4678032821*((RANDBETWEEN(1587,2416)))</f>
        <v>75767619.544138893</v>
      </c>
      <c r="B5288">
        <v>209229723.44229877</v>
      </c>
    </row>
    <row r="5289" spans="1:2" x14ac:dyDescent="0.25">
      <c r="A5289">
        <f ca="1">34917.1776404659*((RANDBETWEEN(1587,2416)))</f>
        <v>82718793.830263674</v>
      </c>
      <c r="B5289">
        <v>208750456.52572727</v>
      </c>
    </row>
    <row r="5290" spans="1:2" x14ac:dyDescent="0.25">
      <c r="A5290">
        <f ca="1">33180.9314984629*((RANDBETWEEN(1587,2416)))</f>
        <v>62114703.765122555</v>
      </c>
      <c r="B5290">
        <v>221686135.85579482</v>
      </c>
    </row>
    <row r="5291" spans="1:2" x14ac:dyDescent="0.25">
      <c r="A5291">
        <f ca="1">32402.1150391288*((RANDBETWEEN(1587,2416)))</f>
        <v>60818769.928444721</v>
      </c>
      <c r="B5291">
        <v>263870583.289042</v>
      </c>
    </row>
    <row r="5292" spans="1:2" x14ac:dyDescent="0.25">
      <c r="A5292">
        <f ca="1">31013.6461021069*((RANDBETWEEN(1587,2416)))</f>
        <v>56134699.444813557</v>
      </c>
      <c r="B5292">
        <v>246794819.64842987</v>
      </c>
    </row>
    <row r="5293" spans="1:2" x14ac:dyDescent="0.25">
      <c r="A5293">
        <f ca="1">29661.0537204794*((RANDBETWEEN(1587,2416)))</f>
        <v>71067884.71426855</v>
      </c>
      <c r="B5293">
        <v>214290854.29417801</v>
      </c>
    </row>
    <row r="5294" spans="1:2" x14ac:dyDescent="0.25">
      <c r="A5294">
        <f ca="1">36058.6354728169*((RANDBETWEEN(1587,2416)))</f>
        <v>77742418.079393268</v>
      </c>
      <c r="B5294">
        <v>214047269.54159808</v>
      </c>
    </row>
    <row r="5295" spans="1:2" x14ac:dyDescent="0.25">
      <c r="A5295">
        <f ca="1">40471.5243983673*((RANDBETWEEN(1587,2416)))</f>
        <v>68761119.952826187</v>
      </c>
      <c r="B5295">
        <v>233208107.49077746</v>
      </c>
    </row>
    <row r="5296" spans="1:2" x14ac:dyDescent="0.25">
      <c r="A5296">
        <f ca="1">32272.8585198278*((RANDBETWEEN(1587,2416)))</f>
        <v>57962053.901610792</v>
      </c>
      <c r="B5296">
        <v>221354055.08724257</v>
      </c>
    </row>
    <row r="5297" spans="1:2" x14ac:dyDescent="0.25">
      <c r="A5297">
        <f ca="1">34051.6038583387*((RANDBETWEEN(1587,2416)))</f>
        <v>58432552.220909208</v>
      </c>
      <c r="B5297">
        <v>240512658.78444913</v>
      </c>
    </row>
    <row r="5298" spans="1:2" x14ac:dyDescent="0.25">
      <c r="A5298">
        <f ca="1">40542.5402416253*((RANDBETWEEN(1587,2416)))</f>
        <v>83355462.736781716</v>
      </c>
      <c r="B5298">
        <v>238301647.32137966</v>
      </c>
    </row>
    <row r="5299" spans="1:2" x14ac:dyDescent="0.25">
      <c r="A5299">
        <f ca="1">30030.0134788079*((RANDBETWEEN(1587,2416)))</f>
        <v>53573544.046193354</v>
      </c>
      <c r="B5299">
        <v>245031757.39633754</v>
      </c>
    </row>
    <row r="5300" spans="1:2" x14ac:dyDescent="0.25">
      <c r="A5300">
        <f ca="1">37228.4108258373*((RANDBETWEEN(1587,2416)))</f>
        <v>77174495.641960755</v>
      </c>
      <c r="B5300">
        <v>261538655.94068438</v>
      </c>
    </row>
    <row r="5301" spans="1:2" x14ac:dyDescent="0.25">
      <c r="A5301">
        <f ca="1">36507.6598086513*((RANDBETWEEN(1587,2416)))</f>
        <v>79550190.723051131</v>
      </c>
      <c r="B5301">
        <v>248418133.74616969</v>
      </c>
    </row>
    <row r="5302" spans="1:2" x14ac:dyDescent="0.25">
      <c r="A5302">
        <f ca="1">29648.5602778342*((RANDBETWEEN(1587,2416)))</f>
        <v>70029899.37624447</v>
      </c>
      <c r="B5302">
        <v>221159626.05440626</v>
      </c>
    </row>
    <row r="5303" spans="1:2" x14ac:dyDescent="0.25">
      <c r="A5303">
        <f ca="1">30693.3702383652*((RANDBETWEEN(1587,2416)))</f>
        <v>63658049.874369375</v>
      </c>
      <c r="B5303">
        <v>234914775.18639809</v>
      </c>
    </row>
    <row r="5304" spans="1:2" x14ac:dyDescent="0.25">
      <c r="A5304">
        <f ca="1">32054.8881028965*((RANDBETWEEN(1587,2416)))</f>
        <v>63885391.989072792</v>
      </c>
      <c r="B5304">
        <v>239746400.28230289</v>
      </c>
    </row>
    <row r="5305" spans="1:2" x14ac:dyDescent="0.25">
      <c r="A5305">
        <f ca="1">35115.312237042*((RANDBETWEEN(1587,2416)))</f>
        <v>60328106.423238233</v>
      </c>
      <c r="B5305">
        <v>220564087.12592918</v>
      </c>
    </row>
    <row r="5306" spans="1:2" x14ac:dyDescent="0.25">
      <c r="A5306">
        <f ca="1">29967.4442920431*((RANDBETWEEN(1587,2416)))</f>
        <v>65089289.002317622</v>
      </c>
      <c r="B5306">
        <v>258308603.09363475</v>
      </c>
    </row>
    <row r="5307" spans="1:2" x14ac:dyDescent="0.25">
      <c r="A5307">
        <f ca="1">31286.4637874811*((RANDBETWEEN(1587,2416)))</f>
        <v>63042224.531774364</v>
      </c>
      <c r="B5307">
        <v>252016237.3294456</v>
      </c>
    </row>
    <row r="5308" spans="1:2" x14ac:dyDescent="0.25">
      <c r="A5308">
        <f ca="1">32065.6516634459*((RANDBETWEEN(1587,2416)))</f>
        <v>72436307.107724309</v>
      </c>
      <c r="B5308">
        <v>244393615.09396532</v>
      </c>
    </row>
    <row r="5309" spans="1:2" x14ac:dyDescent="0.25">
      <c r="A5309">
        <f ca="1">33435.0978717162*((RANDBETWEEN(1587,2416)))</f>
        <v>65031265.360488065</v>
      </c>
      <c r="B5309">
        <v>217358239.59774587</v>
      </c>
    </row>
    <row r="5310" spans="1:2" x14ac:dyDescent="0.25">
      <c r="A5310">
        <f ca="1">30793.3285177651*((RANDBETWEEN(1587,2416)))</f>
        <v>55797511.274190322</v>
      </c>
      <c r="B5310">
        <v>253008956.04369366</v>
      </c>
    </row>
    <row r="5311" spans="1:2" x14ac:dyDescent="0.25">
      <c r="A5311">
        <f ca="1">39634.0484091179*((RANDBETWEEN(1587,2416)))</f>
        <v>90920507.050516441</v>
      </c>
      <c r="B5311">
        <v>220232042.25092632</v>
      </c>
    </row>
    <row r="5312" spans="1:2" x14ac:dyDescent="0.25">
      <c r="A5312">
        <f ca="1">31354.4292037768*((RANDBETWEEN(1587,2416)))</f>
        <v>52957630.92517899</v>
      </c>
      <c r="B5312">
        <v>245262813.68408608</v>
      </c>
    </row>
    <row r="5313" spans="1:2" x14ac:dyDescent="0.25">
      <c r="A5313">
        <f ca="1">31576.4086483996*((RANDBETWEEN(1587,2416)))</f>
        <v>51595851.731484979</v>
      </c>
      <c r="B5313">
        <v>239713899.9334341</v>
      </c>
    </row>
    <row r="5314" spans="1:2" x14ac:dyDescent="0.25">
      <c r="A5314">
        <f ca="1">33070.2390314261*((RANDBETWEEN(1587,2416)))</f>
        <v>58600463.563687049</v>
      </c>
      <c r="B5314">
        <v>245376025.06026441</v>
      </c>
    </row>
    <row r="5315" spans="1:2" x14ac:dyDescent="0.25">
      <c r="A5315">
        <f ca="1">34467.0068158975*((RANDBETWEEN(1587,2416)))</f>
        <v>77654166.356216997</v>
      </c>
      <c r="B5315">
        <v>229751957.82654262</v>
      </c>
    </row>
    <row r="5316" spans="1:2" x14ac:dyDescent="0.25">
      <c r="A5316">
        <f ca="1">31630.1617393499*((RANDBETWEEN(1587,2416)))</f>
        <v>63956187.036965527</v>
      </c>
      <c r="B5316">
        <v>234436980.53675765</v>
      </c>
    </row>
    <row r="5317" spans="1:2" x14ac:dyDescent="0.25">
      <c r="A5317">
        <f ca="1">37058.2321817027*((RANDBETWEEN(1587,2416)))</f>
        <v>58996705.633270748</v>
      </c>
      <c r="B5317">
        <v>209485608.50694883</v>
      </c>
    </row>
    <row r="5318" spans="1:2" x14ac:dyDescent="0.25">
      <c r="A5318">
        <f ca="1">41479.4336105224*((RANDBETWEEN(1587,2416)))</f>
        <v>71386105.243709058</v>
      </c>
      <c r="B5318">
        <v>262376397.60713151</v>
      </c>
    </row>
    <row r="5319" spans="1:2" x14ac:dyDescent="0.25">
      <c r="A5319">
        <f ca="1">33257.0042536978*((RANDBETWEEN(1587,2416)))</f>
        <v>68376400.745602593</v>
      </c>
      <c r="B5319">
        <v>207452646.0902966</v>
      </c>
    </row>
    <row r="5320" spans="1:2" x14ac:dyDescent="0.25">
      <c r="A5320">
        <f ca="1">31431.2118624669*((RANDBETWEEN(1587,2416)))</f>
        <v>67859986.41106604</v>
      </c>
      <c r="B5320">
        <v>234859317.20870525</v>
      </c>
    </row>
    <row r="5321" spans="1:2" x14ac:dyDescent="0.25">
      <c r="A5321">
        <f ca="1">35139.9435480313*((RANDBETWEEN(1587,2416)))</f>
        <v>63533017.934840508</v>
      </c>
      <c r="B5321">
        <v>234546190.56041652</v>
      </c>
    </row>
    <row r="5322" spans="1:2" x14ac:dyDescent="0.25">
      <c r="A5322">
        <f ca="1">32715.0009157876*((RANDBETWEEN(1587,2416)))</f>
        <v>55190206.544933736</v>
      </c>
      <c r="B5322">
        <v>212652689.94744295</v>
      </c>
    </row>
    <row r="5323" spans="1:2" x14ac:dyDescent="0.25">
      <c r="A5323">
        <f ca="1">31316.3305457181*((RANDBETWEEN(1587,2416)))</f>
        <v>64104528.627085045</v>
      </c>
      <c r="B5323">
        <v>224410375.89548331</v>
      </c>
    </row>
    <row r="5324" spans="1:2" x14ac:dyDescent="0.25">
      <c r="A5324">
        <f ca="1">36540.8967640286*((RANDBETWEEN(1587,2416)))</f>
        <v>77430160.24297668</v>
      </c>
      <c r="B5324">
        <v>243620314.20450914</v>
      </c>
    </row>
    <row r="5325" spans="1:2" x14ac:dyDescent="0.25">
      <c r="A5325">
        <f ca="1">32201.2031031538*((RANDBETWEEN(1587,2416)))</f>
        <v>56384306.633622304</v>
      </c>
      <c r="B5325">
        <v>204878635.05426145</v>
      </c>
    </row>
    <row r="5326" spans="1:2" x14ac:dyDescent="0.25">
      <c r="A5326">
        <f ca="1">31083.2975701881*((RANDBETWEEN(1587,2416)))</f>
        <v>65803340.956088141</v>
      </c>
      <c r="B5326">
        <v>251135749.99187565</v>
      </c>
    </row>
    <row r="5327" spans="1:2" x14ac:dyDescent="0.25">
      <c r="A5327">
        <f ca="1">31695.1791579304*((RANDBETWEEN(1587,2416)))</f>
        <v>58192348.933960192</v>
      </c>
      <c r="B5327">
        <v>242580070.69203115</v>
      </c>
    </row>
    <row r="5328" spans="1:2" x14ac:dyDescent="0.25">
      <c r="A5328">
        <f ca="1">34778.1381435914*((RANDBETWEEN(1587,2416)))</f>
        <v>74981665.837582991</v>
      </c>
      <c r="B5328">
        <v>247230315.6636894</v>
      </c>
    </row>
    <row r="5329" spans="1:2" x14ac:dyDescent="0.25">
      <c r="A5329">
        <f ca="1">37333.2005102944*((RANDBETWEEN(1587,2416)))</f>
        <v>76197062.241510808</v>
      </c>
      <c r="B5329">
        <v>212809540.33064055</v>
      </c>
    </row>
    <row r="5330" spans="1:2" x14ac:dyDescent="0.25">
      <c r="A5330">
        <f ca="1">34904.3934799968*((RANDBETWEEN(1587,2416)))</f>
        <v>76824570.049472973</v>
      </c>
      <c r="B5330">
        <v>232287409.11796021</v>
      </c>
    </row>
    <row r="5331" spans="1:2" x14ac:dyDescent="0.25">
      <c r="A5331">
        <f ca="1">35850.8314077811*((RANDBETWEEN(1587,2416)))</f>
        <v>61053965.88745115</v>
      </c>
      <c r="B5331">
        <v>214931318.13994122</v>
      </c>
    </row>
    <row r="5332" spans="1:2" x14ac:dyDescent="0.25">
      <c r="A5332">
        <f ca="1">31077.4797705009*((RANDBETWEEN(1587,2416)))</f>
        <v>49723967.632801384</v>
      </c>
      <c r="B5332">
        <v>214111594.89733952</v>
      </c>
    </row>
    <row r="5333" spans="1:2" x14ac:dyDescent="0.25">
      <c r="A5333">
        <f ca="1">33013.235715117*((RANDBETWEEN(1587,2416)))</f>
        <v>61668724.315838628</v>
      </c>
      <c r="B5333">
        <v>266042702.63325968</v>
      </c>
    </row>
    <row r="5334" spans="1:2" x14ac:dyDescent="0.25">
      <c r="A5334">
        <f ca="1">31530.5992990754*((RANDBETWEEN(1587,2416)))</f>
        <v>68452931.078292623</v>
      </c>
      <c r="B5334">
        <v>221080422.99077895</v>
      </c>
    </row>
    <row r="5335" spans="1:2" x14ac:dyDescent="0.25">
      <c r="A5335">
        <f ca="1">31786.830807898*((RANDBETWEEN(1587,2416)))</f>
        <v>56326264.191595279</v>
      </c>
      <c r="B5335">
        <v>213441913.19984427</v>
      </c>
    </row>
    <row r="5336" spans="1:2" x14ac:dyDescent="0.25">
      <c r="A5336">
        <f ca="1">33219.4965148818*((RANDBETWEEN(1587,2416)))</f>
        <v>65276310.651742823</v>
      </c>
      <c r="B5336">
        <v>230351676.06079689</v>
      </c>
    </row>
    <row r="5337" spans="1:2" x14ac:dyDescent="0.25">
      <c r="A5337">
        <f ca="1">38613.6151485121*((RANDBETWEEN(1587,2416)))</f>
        <v>77729207.293954805</v>
      </c>
      <c r="B5337">
        <v>246190011.67418718</v>
      </c>
    </row>
    <row r="5338" spans="1:2" x14ac:dyDescent="0.25">
      <c r="A5338">
        <f ca="1">32567.1558090982*((RANDBETWEEN(1587,2416)))</f>
        <v>77640099.448890179</v>
      </c>
      <c r="B5338">
        <v>230374414.16317976</v>
      </c>
    </row>
    <row r="5339" spans="1:2" x14ac:dyDescent="0.25">
      <c r="A5339">
        <f ca="1">29848.0511435277*((RANDBETWEEN(1587,2416)))</f>
        <v>51756520.682876974</v>
      </c>
      <c r="B5339">
        <v>240726693.61514199</v>
      </c>
    </row>
    <row r="5340" spans="1:2" x14ac:dyDescent="0.25">
      <c r="A5340">
        <f ca="1">40373.2817063102*((RANDBETWEEN(1587,2416)))</f>
        <v>70532123.140923902</v>
      </c>
      <c r="B5340">
        <v>204257994.39105925</v>
      </c>
    </row>
    <row r="5341" spans="1:2" x14ac:dyDescent="0.25">
      <c r="A5341">
        <f ca="1">29282.0647011529*((RANDBETWEEN(1587,2416)))</f>
        <v>68695723.788904741</v>
      </c>
      <c r="B5341">
        <v>262432703.84047109</v>
      </c>
    </row>
    <row r="5342" spans="1:2" x14ac:dyDescent="0.25">
      <c r="A5342">
        <f ca="1">29966.2576818079*((RANDBETWEEN(1587,2416)))</f>
        <v>55737239.288162716</v>
      </c>
      <c r="B5342">
        <v>265851749.58701986</v>
      </c>
    </row>
    <row r="5343" spans="1:2" x14ac:dyDescent="0.25">
      <c r="A5343">
        <f ca="1">30646.2600138253*((RANDBETWEEN(1587,2416)))</f>
        <v>67513710.810457096</v>
      </c>
      <c r="B5343">
        <v>234503081.08191633</v>
      </c>
    </row>
    <row r="5344" spans="1:2" x14ac:dyDescent="0.25">
      <c r="A5344">
        <f ca="1">31889.2874763583*((RANDBETWEEN(1587,2416)))</f>
        <v>58453063.944164813</v>
      </c>
      <c r="B5344">
        <v>252847562.24742034</v>
      </c>
    </row>
    <row r="5345" spans="1:2" x14ac:dyDescent="0.25">
      <c r="A5345">
        <f ca="1">32129.415863231*((RANDBETWEEN(1587,2416)))</f>
        <v>71391562.048099384</v>
      </c>
      <c r="B5345">
        <v>218152361.63595468</v>
      </c>
    </row>
    <row r="5346" spans="1:2" x14ac:dyDescent="0.25">
      <c r="A5346">
        <f ca="1">32414.77911128*((RANDBETWEEN(1587,2416)))</f>
        <v>70469729.787922725</v>
      </c>
      <c r="B5346">
        <v>208933367.39093852</v>
      </c>
    </row>
    <row r="5347" spans="1:2" x14ac:dyDescent="0.25">
      <c r="A5347">
        <f ca="1">35950.3807716246*((RANDBETWEEN(1587,2416)))</f>
        <v>86029261.186497614</v>
      </c>
      <c r="B5347">
        <v>217086035.6166265</v>
      </c>
    </row>
    <row r="5348" spans="1:2" x14ac:dyDescent="0.25">
      <c r="A5348">
        <f ca="1">33852.0344858147*((RANDBETWEEN(1587,2416)))</f>
        <v>72748022.11001581</v>
      </c>
      <c r="B5348">
        <v>239482802.36178279</v>
      </c>
    </row>
    <row r="5349" spans="1:2" x14ac:dyDescent="0.25">
      <c r="A5349">
        <f ca="1">36668.5555115937*((RANDBETWEEN(1587,2416)))</f>
        <v>65050017.477567166</v>
      </c>
      <c r="B5349">
        <v>240675080.30582917</v>
      </c>
    </row>
    <row r="5350" spans="1:2" x14ac:dyDescent="0.25">
      <c r="A5350">
        <f ca="1">32095.3258505199*((RANDBETWEEN(1587,2416)))</f>
        <v>58573969.677198775</v>
      </c>
      <c r="B5350">
        <v>215585459.30090946</v>
      </c>
    </row>
    <row r="5351" spans="1:2" x14ac:dyDescent="0.25">
      <c r="A5351">
        <f ca="1">34553.100446786*((RANDBETWEEN(1587,2416)))</f>
        <v>62610218.009576268</v>
      </c>
      <c r="B5351">
        <v>215043147.38914919</v>
      </c>
    </row>
    <row r="5352" spans="1:2" x14ac:dyDescent="0.25">
      <c r="A5352">
        <f ca="1">30906.9294109757*((RANDBETWEEN(1587,2416)))</f>
        <v>64255506.245418578</v>
      </c>
      <c r="B5352">
        <v>244907387.273718</v>
      </c>
    </row>
    <row r="5353" spans="1:2" x14ac:dyDescent="0.25">
      <c r="A5353">
        <f ca="1">33285.5491740745*((RANDBETWEEN(1587,2416)))</f>
        <v>54155588.506219223</v>
      </c>
      <c r="B5353">
        <v>240993809.9003616</v>
      </c>
    </row>
    <row r="5354" spans="1:2" x14ac:dyDescent="0.25">
      <c r="A5354">
        <f ca="1">29926.4040405697*((RANDBETWEEN(1587,2416)))</f>
        <v>68202274.808458358</v>
      </c>
      <c r="B5354">
        <v>257100489.94066396</v>
      </c>
    </row>
    <row r="5355" spans="1:2" x14ac:dyDescent="0.25">
      <c r="A5355">
        <f ca="1">36098.9212211308*((RANDBETWEEN(1587,2416)))</f>
        <v>78948340.710613132</v>
      </c>
      <c r="B5355">
        <v>265669069.755748</v>
      </c>
    </row>
    <row r="5356" spans="1:2" x14ac:dyDescent="0.25">
      <c r="A5356">
        <f ca="1">30266.1275047606*((RANDBETWEEN(1587,2416)))</f>
        <v>70368746.448568493</v>
      </c>
      <c r="B5356">
        <v>238317101.00183955</v>
      </c>
    </row>
    <row r="5357" spans="1:2" x14ac:dyDescent="0.25">
      <c r="A5357">
        <f ca="1">37791.5027636856*((RANDBETWEEN(1587,2416)))</f>
        <v>65832797.814340323</v>
      </c>
      <c r="B5357">
        <v>247449563.77342871</v>
      </c>
    </row>
    <row r="5358" spans="1:2" x14ac:dyDescent="0.25">
      <c r="A5358">
        <f ca="1">32868.1339774182*((RANDBETWEEN(1587,2416)))</f>
        <v>54068080.392853007</v>
      </c>
      <c r="B5358">
        <v>253883675.80626512</v>
      </c>
    </row>
    <row r="5359" spans="1:2" x14ac:dyDescent="0.25">
      <c r="A5359">
        <f ca="1">37257.7083402941*((RANDBETWEEN(1587,2416)))</f>
        <v>73882035.638803139</v>
      </c>
      <c r="B5359">
        <v>241732706.65027806</v>
      </c>
    </row>
    <row r="5360" spans="1:2" x14ac:dyDescent="0.25">
      <c r="A5360">
        <f ca="1">36947.4298532617*((RANDBETWEEN(1587,2416)))</f>
        <v>60778522.108615451</v>
      </c>
      <c r="B5360">
        <v>224387458.52847791</v>
      </c>
    </row>
    <row r="5361" spans="1:2" x14ac:dyDescent="0.25">
      <c r="A5361">
        <f ca="1">38616.2315955699*((RANDBETWEEN(1587,2416)))</f>
        <v>66265453.417997874</v>
      </c>
      <c r="B5361">
        <v>253378728.87764731</v>
      </c>
    </row>
    <row r="5362" spans="1:2" x14ac:dyDescent="0.25">
      <c r="A5362">
        <f ca="1">35275.7541830879*((RANDBETWEEN(1587,2416)))</f>
        <v>84203225.235030845</v>
      </c>
      <c r="B5362">
        <v>204913529.69825125</v>
      </c>
    </row>
    <row r="5363" spans="1:2" x14ac:dyDescent="0.25">
      <c r="A5363">
        <f ca="1">31254.3126567195*((RANDBETWEEN(1587,2416)))</f>
        <v>64727681.512066156</v>
      </c>
      <c r="B5363">
        <v>265152646.73949045</v>
      </c>
    </row>
    <row r="5364" spans="1:2" x14ac:dyDescent="0.25">
      <c r="A5364">
        <f ca="1">29908.7934193519*((RANDBETWEEN(1587,2416)))</f>
        <v>71272654.718315586</v>
      </c>
      <c r="B5364">
        <v>228874285.34134132</v>
      </c>
    </row>
    <row r="5365" spans="1:2" x14ac:dyDescent="0.25">
      <c r="A5365">
        <f ca="1">32393.4319599417*((RANDBETWEEN(1587,2416)))</f>
        <v>74116172.324346706</v>
      </c>
      <c r="B5365">
        <v>251074460.07900131</v>
      </c>
    </row>
    <row r="5366" spans="1:2" x14ac:dyDescent="0.25">
      <c r="A5366">
        <f ca="1">29741.0728460343*((RANDBETWEEN(1587,2416)))</f>
        <v>48894323.758880317</v>
      </c>
      <c r="B5366">
        <v>241283846.48059952</v>
      </c>
    </row>
    <row r="5367" spans="1:2" x14ac:dyDescent="0.25">
      <c r="A5367">
        <f ca="1">30860.8920239944*((RANDBETWEEN(1587,2416)))</f>
        <v>56969206.676293582</v>
      </c>
      <c r="B5367">
        <v>256937412.6825406</v>
      </c>
    </row>
    <row r="5368" spans="1:2" x14ac:dyDescent="0.25">
      <c r="A5368">
        <f ca="1">31324.5240004548*((RANDBETWEEN(1587,2416)))</f>
        <v>52374604.128760472</v>
      </c>
      <c r="B5368">
        <v>220704614.14465132</v>
      </c>
    </row>
    <row r="5369" spans="1:2" x14ac:dyDescent="0.25">
      <c r="A5369">
        <f ca="1">28430.6593736757*((RANDBETWEEN(1587,2416)))</f>
        <v>67380662.715611443</v>
      </c>
      <c r="B5369">
        <v>234692997.56188414</v>
      </c>
    </row>
    <row r="5370" spans="1:2" x14ac:dyDescent="0.25">
      <c r="A5370">
        <f ca="1">37974.1585526716*((RANDBETWEEN(1587,2416)))</f>
        <v>83277329.706008822</v>
      </c>
      <c r="B5370">
        <v>241461785.68969461</v>
      </c>
    </row>
    <row r="5371" spans="1:2" x14ac:dyDescent="0.25">
      <c r="A5371">
        <f ca="1">39083.2502778923*((RANDBETWEEN(1587,2416)))</f>
        <v>63393031.950741336</v>
      </c>
      <c r="B5371">
        <v>228712298.30252162</v>
      </c>
    </row>
    <row r="5372" spans="1:2" x14ac:dyDescent="0.25">
      <c r="A5372">
        <f ca="1">32202.0682220263*((RANDBETWEEN(1587,2416)))</f>
        <v>54357091.158780478</v>
      </c>
      <c r="B5372">
        <v>210448474.51584747</v>
      </c>
    </row>
    <row r="5373" spans="1:2" x14ac:dyDescent="0.25">
      <c r="A5373">
        <f ca="1">34898.8837548764*((RANDBETWEEN(1587,2416)))</f>
        <v>72101093.837574661</v>
      </c>
      <c r="B5373">
        <v>223787801.93790099</v>
      </c>
    </row>
    <row r="5374" spans="1:2" x14ac:dyDescent="0.25">
      <c r="A5374">
        <f ca="1">31758.6497398196*((RANDBETWEEN(1587,2416)))</f>
        <v>51671323.126686506</v>
      </c>
      <c r="B5374">
        <v>261056405.02718154</v>
      </c>
    </row>
    <row r="5375" spans="1:2" x14ac:dyDescent="0.25">
      <c r="A5375">
        <f ca="1">42977.9631172912*((RANDBETWEEN(1587,2416)))</f>
        <v>77618201.389827952</v>
      </c>
      <c r="B5375">
        <v>264630041.63582122</v>
      </c>
    </row>
    <row r="5376" spans="1:2" x14ac:dyDescent="0.25">
      <c r="A5376">
        <f ca="1">33193.6818971397*((RANDBETWEEN(1587,2416)))</f>
        <v>78868188.18760398</v>
      </c>
      <c r="B5376">
        <v>216378231.62201023</v>
      </c>
    </row>
    <row r="5377" spans="1:2" x14ac:dyDescent="0.25">
      <c r="A5377">
        <f ca="1">40215.5555419295*((RANDBETWEEN(1587,2416)))</f>
        <v>88434006.63670294</v>
      </c>
      <c r="B5377">
        <v>237641208.41660434</v>
      </c>
    </row>
    <row r="5378" spans="1:2" x14ac:dyDescent="0.25">
      <c r="A5378">
        <f ca="1">37760.0461067812*((RANDBETWEEN(1587,2416)))</f>
        <v>80504418.299657553</v>
      </c>
      <c r="B5378">
        <v>234554402.66412139</v>
      </c>
    </row>
    <row r="5379" spans="1:2" x14ac:dyDescent="0.25">
      <c r="A5379">
        <f ca="1">30008.0025427635*((RANDBETWEEN(1587,2416)))</f>
        <v>55244732.681227647</v>
      </c>
      <c r="B5379">
        <v>232417671.28943107</v>
      </c>
    </row>
    <row r="5380" spans="1:2" x14ac:dyDescent="0.25">
      <c r="A5380">
        <f ca="1">40632.3223385941*((RANDBETWEEN(1587,2416)))</f>
        <v>95323428.206341714</v>
      </c>
      <c r="B5380">
        <v>266601570.32823583</v>
      </c>
    </row>
    <row r="5381" spans="1:2" x14ac:dyDescent="0.25">
      <c r="A5381">
        <f ca="1">34992.5223157936*((RANDBETWEEN(1587,2416)))</f>
        <v>60782011.262533568</v>
      </c>
      <c r="B5381">
        <v>225776257.65331361</v>
      </c>
    </row>
    <row r="5382" spans="1:2" x14ac:dyDescent="0.25">
      <c r="A5382">
        <f ca="1">38225.4928298975*((RANDBETWEEN(1587,2416)))</f>
        <v>77827103.401671231</v>
      </c>
      <c r="B5382">
        <v>258463889.07128584</v>
      </c>
    </row>
    <row r="5383" spans="1:2" x14ac:dyDescent="0.25">
      <c r="A5383">
        <f ca="1">31479.0845033871*((RANDBETWEEN(1587,2416)))</f>
        <v>54521774.359866381</v>
      </c>
      <c r="B5383">
        <v>231443888.2873503</v>
      </c>
    </row>
    <row r="5384" spans="1:2" x14ac:dyDescent="0.25">
      <c r="A5384">
        <f ca="1">30057.3022271517*((RANDBETWEEN(1587,2416)))</f>
        <v>66787325.548731141</v>
      </c>
      <c r="B5384">
        <v>267074289.49707514</v>
      </c>
    </row>
    <row r="5385" spans="1:2" x14ac:dyDescent="0.25">
      <c r="A5385">
        <f ca="1">39513.005618252*((RANDBETWEEN(1587,2416)))</f>
        <v>66579414.46675463</v>
      </c>
      <c r="B5385">
        <v>257844362.62671942</v>
      </c>
    </row>
    <row r="5386" spans="1:2" x14ac:dyDescent="0.25">
      <c r="A5386">
        <f ca="1">32381.3232203903*((RANDBETWEEN(1587,2416)))</f>
        <v>76484685.446561962</v>
      </c>
      <c r="B5386">
        <v>206671608.70663068</v>
      </c>
    </row>
    <row r="5387" spans="1:2" x14ac:dyDescent="0.25">
      <c r="A5387">
        <f ca="1">32753.6595089792*((RANDBETWEEN(1587,2416)))</f>
        <v>69208482.542472959</v>
      </c>
      <c r="B5387">
        <v>227182951.56165645</v>
      </c>
    </row>
    <row r="5388" spans="1:2" x14ac:dyDescent="0.25">
      <c r="A5388">
        <f ca="1">35480.9163149308*((RANDBETWEEN(1587,2416)))</f>
        <v>66810565.421014711</v>
      </c>
      <c r="B5388">
        <v>256998370.64129204</v>
      </c>
    </row>
    <row r="5389" spans="1:2" x14ac:dyDescent="0.25">
      <c r="A5389">
        <f ca="1">30655.9049653216*((RANDBETWEEN(1587,2416)))</f>
        <v>70477925.51527445</v>
      </c>
      <c r="B5389">
        <v>250189722.3979598</v>
      </c>
    </row>
    <row r="5390" spans="1:2" x14ac:dyDescent="0.25">
      <c r="A5390">
        <f ca="1">32433.8556019035*((RANDBETWEEN(1587,2416)))</f>
        <v>67721890.496774539</v>
      </c>
      <c r="B5390">
        <v>212428538.68673354</v>
      </c>
    </row>
    <row r="5391" spans="1:2" x14ac:dyDescent="0.25">
      <c r="A5391">
        <f ca="1">33171.7670498657*((RANDBETWEEN(1587,2416)))</f>
        <v>77887309.033084586</v>
      </c>
      <c r="B5391">
        <v>250291521.05898625</v>
      </c>
    </row>
    <row r="5392" spans="1:2" x14ac:dyDescent="0.25">
      <c r="A5392">
        <f ca="1">31049.9784356272*((RANDBETWEEN(1587,2416)))</f>
        <v>58436059.415850326</v>
      </c>
      <c r="B5392">
        <v>253974187.04839155</v>
      </c>
    </row>
    <row r="5393" spans="1:2" x14ac:dyDescent="0.25">
      <c r="A5393">
        <f ca="1">41831.2548275943*((RANDBETWEEN(1587,2416)))</f>
        <v>72619058.380703762</v>
      </c>
      <c r="B5393">
        <v>262204457.28251565</v>
      </c>
    </row>
    <row r="5394" spans="1:2" x14ac:dyDescent="0.25">
      <c r="A5394">
        <f ca="1">37079.9617394162*((RANDBETWEEN(1587,2416)))</f>
        <v>81650075.750194401</v>
      </c>
      <c r="B5394">
        <v>254332063.30398023</v>
      </c>
    </row>
    <row r="5395" spans="1:2" x14ac:dyDescent="0.25">
      <c r="A5395">
        <f ca="1">36516.0355824303*((RANDBETWEEN(1587,2416)))</f>
        <v>61894680.312219404</v>
      </c>
      <c r="B5395">
        <v>208017737.41836002</v>
      </c>
    </row>
    <row r="5396" spans="1:2" x14ac:dyDescent="0.25">
      <c r="A5396">
        <f ca="1">40451.000318859*((RANDBETWEEN(1587,2416)))</f>
        <v>85715669.67566213</v>
      </c>
      <c r="B5396">
        <v>207982058.74173769</v>
      </c>
    </row>
    <row r="5397" spans="1:2" x14ac:dyDescent="0.25">
      <c r="A5397">
        <f ca="1">38508.8077967454*((RANDBETWEEN(1587,2416)))</f>
        <v>77672265.326035365</v>
      </c>
      <c r="B5397">
        <v>211109691.83735847</v>
      </c>
    </row>
    <row r="5398" spans="1:2" x14ac:dyDescent="0.25">
      <c r="A5398">
        <f ca="1">30949.5241219121*((RANDBETWEEN(1587,2416)))</f>
        <v>68027054.019962817</v>
      </c>
      <c r="B5398">
        <v>232761976.36687532</v>
      </c>
    </row>
    <row r="5399" spans="1:2" x14ac:dyDescent="0.25">
      <c r="A5399">
        <f ca="1">39047.5649025138*((RANDBETWEEN(1587,2416)))</f>
        <v>89028447.977731526</v>
      </c>
      <c r="B5399">
        <v>210145638.31997937</v>
      </c>
    </row>
    <row r="5400" spans="1:2" x14ac:dyDescent="0.25">
      <c r="A5400">
        <f ca="1">31872.3151459129*((RANDBETWEEN(1587,2416)))</f>
        <v>73688792.617350683</v>
      </c>
      <c r="B5400">
        <v>212432535.32490683</v>
      </c>
    </row>
    <row r="5401" spans="1:2" x14ac:dyDescent="0.25">
      <c r="A5401">
        <f ca="1">31128.7729066426*((RANDBETWEEN(1587,2416)))</f>
        <v>66989119.29509487</v>
      </c>
      <c r="B5401">
        <v>251916527.02539974</v>
      </c>
    </row>
    <row r="5402" spans="1:2" x14ac:dyDescent="0.25">
      <c r="A5402">
        <f ca="1">32921.8102678236*((RANDBETWEEN(1587,2416)))</f>
        <v>69596706.906179041</v>
      </c>
      <c r="B5402">
        <v>252616005.90351063</v>
      </c>
    </row>
    <row r="5403" spans="1:2" x14ac:dyDescent="0.25">
      <c r="A5403">
        <f ca="1">32011.906143063*((RANDBETWEEN(1587,2416)))</f>
        <v>65336300.437991656</v>
      </c>
      <c r="B5403">
        <v>226140968.82609281</v>
      </c>
    </row>
    <row r="5404" spans="1:2" x14ac:dyDescent="0.25">
      <c r="A5404">
        <f ca="1">32204.0898395454*((RANDBETWEEN(1587,2416)))</f>
        <v>58321606.69941669</v>
      </c>
      <c r="B5404">
        <v>265966007.34340054</v>
      </c>
    </row>
    <row r="5405" spans="1:2" x14ac:dyDescent="0.25">
      <c r="A5405">
        <f ca="1">39846.2627388556*((RANDBETWEEN(1587,2416)))</f>
        <v>64670484.425162695</v>
      </c>
      <c r="B5405">
        <v>264036535.76422885</v>
      </c>
    </row>
    <row r="5406" spans="1:2" x14ac:dyDescent="0.25">
      <c r="A5406">
        <f ca="1">31174.8513731226*((RANDBETWEEN(1587,2416)))</f>
        <v>69800492.224421397</v>
      </c>
      <c r="B5406">
        <v>221115364.01441094</v>
      </c>
    </row>
    <row r="5407" spans="1:2" x14ac:dyDescent="0.25">
      <c r="A5407">
        <f ca="1">39468.7512876057*((RANDBETWEEN(1587,2416)))</f>
        <v>67254752.194080189</v>
      </c>
      <c r="B5407">
        <v>238783659.06748244</v>
      </c>
    </row>
    <row r="5408" spans="1:2" x14ac:dyDescent="0.25">
      <c r="A5408">
        <f ca="1">31752.9856907943*((RANDBETWEEN(1587,2416)))</f>
        <v>67316329.664483875</v>
      </c>
      <c r="B5408">
        <v>261497976.06581843</v>
      </c>
    </row>
    <row r="5409" spans="1:2" x14ac:dyDescent="0.25">
      <c r="A5409">
        <f ca="1">32222.7441642244*((RANDBETWEEN(1587,2416)))</f>
        <v>69246677.208918333</v>
      </c>
      <c r="B5409">
        <v>266063408.52619016</v>
      </c>
    </row>
    <row r="5410" spans="1:2" x14ac:dyDescent="0.25">
      <c r="A5410">
        <f ca="1">36954.5298827631*((RANDBETWEEN(1587,2416)))</f>
        <v>67072471.737215117</v>
      </c>
      <c r="B5410">
        <v>255246190.3393265</v>
      </c>
    </row>
    <row r="5411" spans="1:2" x14ac:dyDescent="0.25">
      <c r="A5411">
        <f ca="1">39292.2462008617*((RANDBETWEEN(1587,2416)))</f>
        <v>69429399.036922634</v>
      </c>
      <c r="B5411">
        <v>262037430.55982471</v>
      </c>
    </row>
    <row r="5412" spans="1:2" x14ac:dyDescent="0.25">
      <c r="A5412">
        <f ca="1">39287.8437132753*((RANDBETWEEN(1587,2416)))</f>
        <v>71228860.65216808</v>
      </c>
      <c r="B5412">
        <v>227955634.84980246</v>
      </c>
    </row>
    <row r="5413" spans="1:2" x14ac:dyDescent="0.25">
      <c r="A5413">
        <f ca="1">38155.3901722081*((RANDBETWEEN(1587,2416)))</f>
        <v>88520505.199522763</v>
      </c>
      <c r="B5413">
        <v>251563409.04238826</v>
      </c>
    </row>
    <row r="5414" spans="1:2" x14ac:dyDescent="0.25">
      <c r="A5414">
        <f ca="1">39883.0624578086*((RANDBETWEEN(1587,2416)))</f>
        <v>83475249.724193454</v>
      </c>
      <c r="B5414">
        <v>258614007.33930379</v>
      </c>
    </row>
    <row r="5415" spans="1:2" x14ac:dyDescent="0.25">
      <c r="A5415">
        <f ca="1">36290.0412844062*((RANDBETWEEN(1587,2416)))</f>
        <v>71890571.784408659</v>
      </c>
      <c r="B5415">
        <v>222549496.22346276</v>
      </c>
    </row>
    <row r="5416" spans="1:2" x14ac:dyDescent="0.25">
      <c r="A5416">
        <f ca="1">29869.0087238543*((RANDBETWEEN(1587,2416)))</f>
        <v>49791637.542665131</v>
      </c>
      <c r="B5416">
        <v>253324495.60905054</v>
      </c>
    </row>
    <row r="5417" spans="1:2" x14ac:dyDescent="0.25">
      <c r="A5417">
        <f ca="1">39547.7602561351*((RANDBETWEEN(1587,2416)))</f>
        <v>88547435.213486537</v>
      </c>
      <c r="B5417">
        <v>244113077.45121399</v>
      </c>
    </row>
    <row r="5418" spans="1:2" x14ac:dyDescent="0.25">
      <c r="A5418">
        <f ca="1">31751.2069504173*((RANDBETWEEN(1587,2416)))</f>
        <v>55469358.542378955</v>
      </c>
      <c r="B5418">
        <v>207796810.4055109</v>
      </c>
    </row>
    <row r="5419" spans="1:2" x14ac:dyDescent="0.25">
      <c r="A5419">
        <f ca="1">32672.9848388792*((RANDBETWEEN(1587,2416)))</f>
        <v>67731097.570996657</v>
      </c>
      <c r="B5419">
        <v>238861357.90471986</v>
      </c>
    </row>
    <row r="5420" spans="1:2" x14ac:dyDescent="0.25">
      <c r="A5420">
        <f ca="1">31253.1862444466*((RANDBETWEEN(1587,2416)))</f>
        <v>71569796.499782667</v>
      </c>
      <c r="B5420">
        <v>212269194.3582367</v>
      </c>
    </row>
    <row r="5421" spans="1:2" x14ac:dyDescent="0.25">
      <c r="A5421">
        <f ca="1">33624.4821717952*((RANDBETWEEN(1587,2416)))</f>
        <v>79051157.585890517</v>
      </c>
      <c r="B5421">
        <v>260404871.22750056</v>
      </c>
    </row>
    <row r="5422" spans="1:2" x14ac:dyDescent="0.25">
      <c r="A5422">
        <f ca="1">37113.3613609564*((RANDBETWEEN(1587,2416)))</f>
        <v>87216399.198247433</v>
      </c>
      <c r="B5422">
        <v>209642355.03544235</v>
      </c>
    </row>
    <row r="5423" spans="1:2" x14ac:dyDescent="0.25">
      <c r="A5423">
        <f ca="1">39218.427154072*((RANDBETWEEN(1587,2416)))</f>
        <v>64749623.231372885</v>
      </c>
      <c r="B5423">
        <v>240537396.53544182</v>
      </c>
    </row>
    <row r="5424" spans="1:2" x14ac:dyDescent="0.25">
      <c r="A5424">
        <f ca="1">42401.2504964227*((RANDBETWEEN(1587,2416)))</f>
        <v>71954922.09242925</v>
      </c>
      <c r="B5424">
        <v>243948048.38595545</v>
      </c>
    </row>
    <row r="5425" spans="1:2" x14ac:dyDescent="0.25">
      <c r="A5425">
        <f ca="1">32926.8587371483*((RANDBETWEEN(1587,2416)))</f>
        <v>62264689.87194737</v>
      </c>
      <c r="B5425">
        <v>234145592.66127723</v>
      </c>
    </row>
    <row r="5426" spans="1:2" x14ac:dyDescent="0.25">
      <c r="A5426">
        <f ca="1">32309.9840635379*((RANDBETWEEN(1587,2416)))</f>
        <v>75831532.597123489</v>
      </c>
      <c r="B5426">
        <v>229617077.5217182</v>
      </c>
    </row>
    <row r="5427" spans="1:2" x14ac:dyDescent="0.25">
      <c r="A5427">
        <f ca="1">32022.0118682352*((RANDBETWEEN(1587,2416)))</f>
        <v>72017504.69166103</v>
      </c>
      <c r="B5427">
        <v>223827293.60341451</v>
      </c>
    </row>
    <row r="5428" spans="1:2" x14ac:dyDescent="0.25">
      <c r="A5428">
        <f ca="1">32873.2675118751*((RANDBETWEEN(1587,2416)))</f>
        <v>68507889.494747698</v>
      </c>
      <c r="B5428">
        <v>243926645.51157439</v>
      </c>
    </row>
    <row r="5429" spans="1:2" x14ac:dyDescent="0.25">
      <c r="A5429">
        <f ca="1">37969.7093277256*((RANDBETWEEN(1587,2416)))</f>
        <v>63333475.1586463</v>
      </c>
      <c r="B5429">
        <v>237520768.23142672</v>
      </c>
    </row>
    <row r="5430" spans="1:2" x14ac:dyDescent="0.25">
      <c r="A5430">
        <f ca="1">33105.9155100709*((RANDBETWEEN(1587,2416)))</f>
        <v>59822389.326698095</v>
      </c>
      <c r="B5430">
        <v>220403815.61249602</v>
      </c>
    </row>
    <row r="5431" spans="1:2" x14ac:dyDescent="0.25">
      <c r="A5431">
        <f ca="1">38315.6045171545*((RANDBETWEEN(1587,2416)))</f>
        <v>70653974.72963281</v>
      </c>
      <c r="B5431">
        <v>229859481.87680811</v>
      </c>
    </row>
    <row r="5432" spans="1:2" x14ac:dyDescent="0.25">
      <c r="A5432">
        <f ca="1">32595.4790538801*((RANDBETWEEN(1587,2416)))</f>
        <v>77740217.543504134</v>
      </c>
      <c r="B5432">
        <v>238546299.98977295</v>
      </c>
    </row>
    <row r="5433" spans="1:2" x14ac:dyDescent="0.25">
      <c r="A5433">
        <f ca="1">30548.563594824*((RANDBETWEEN(1587,2416)))</f>
        <v>73499844.009146556</v>
      </c>
      <c r="B5433">
        <v>261530594.20752868</v>
      </c>
    </row>
    <row r="5434" spans="1:2" x14ac:dyDescent="0.25">
      <c r="A5434">
        <f ca="1">29443.0420779918*((RANDBETWEEN(1587,2416)))</f>
        <v>56854514.252602123</v>
      </c>
      <c r="B5434">
        <v>214584028.30840439</v>
      </c>
    </row>
    <row r="5435" spans="1:2" x14ac:dyDescent="0.25">
      <c r="A5435">
        <f ca="1">40601.3872031934*((RANDBETWEEN(1587,2416)))</f>
        <v>93098980.856922448</v>
      </c>
      <c r="B5435">
        <v>256722403.03664112</v>
      </c>
    </row>
    <row r="5436" spans="1:2" x14ac:dyDescent="0.25">
      <c r="A5436">
        <f ca="1">37171.3360585155*((RANDBETWEEN(1587,2416)))</f>
        <v>60849477.127789877</v>
      </c>
      <c r="B5436">
        <v>238400928.74998084</v>
      </c>
    </row>
    <row r="5437" spans="1:2" x14ac:dyDescent="0.25">
      <c r="A5437">
        <f ca="1">38000.5195256654*((RANDBETWEEN(1587,2416)))</f>
        <v>89567224.521993428</v>
      </c>
      <c r="B5437">
        <v>237782782.24852377</v>
      </c>
    </row>
    <row r="5438" spans="1:2" x14ac:dyDescent="0.25">
      <c r="A5438">
        <f ca="1">39134.2789809093*((RANDBETWEEN(1587,2416)))</f>
        <v>68445853.937610313</v>
      </c>
      <c r="B5438">
        <v>237322365.77969748</v>
      </c>
    </row>
    <row r="5439" spans="1:2" x14ac:dyDescent="0.25">
      <c r="A5439">
        <f ca="1">30043.5704120249*((RANDBETWEEN(1587,2416)))</f>
        <v>64984242.801209785</v>
      </c>
      <c r="B5439">
        <v>250474595.2179116</v>
      </c>
    </row>
    <row r="5440" spans="1:2" x14ac:dyDescent="0.25">
      <c r="A5440">
        <f ca="1">37991.233594449*((RANDBETWEEN(1587,2416)))</f>
        <v>83580713.90778771</v>
      </c>
      <c r="B5440">
        <v>226976095.97421581</v>
      </c>
    </row>
    <row r="5441" spans="1:2" x14ac:dyDescent="0.25">
      <c r="A5441">
        <f ca="1">39749.9428674296*((RANDBETWEEN(1587,2416)))</f>
        <v>81686132.592567757</v>
      </c>
      <c r="B5441">
        <v>260391392.87592399</v>
      </c>
    </row>
    <row r="5442" spans="1:2" x14ac:dyDescent="0.25">
      <c r="A5442">
        <f ca="1">31567.9531724808*((RANDBETWEEN(1587,2416)))</f>
        <v>75131728.550504342</v>
      </c>
      <c r="B5442">
        <v>238908944.7027809</v>
      </c>
    </row>
    <row r="5443" spans="1:2" x14ac:dyDescent="0.25">
      <c r="A5443">
        <f ca="1">31249.9048908638*((RANDBETWEEN(1587,2416)))</f>
        <v>64812302.743651532</v>
      </c>
      <c r="B5443">
        <v>257259030.78728858</v>
      </c>
    </row>
    <row r="5444" spans="1:2" x14ac:dyDescent="0.25">
      <c r="A5444">
        <f ca="1">35492.6000915695*((RANDBETWEEN(1587,2416)))</f>
        <v>70026899.980666682</v>
      </c>
      <c r="B5444">
        <v>211050057.0070045</v>
      </c>
    </row>
    <row r="5445" spans="1:2" x14ac:dyDescent="0.25">
      <c r="A5445">
        <f ca="1">31385.6514428256*((RANDBETWEEN(1587,2416)))</f>
        <v>57310199.534599543</v>
      </c>
      <c r="B5445">
        <v>258299350.07309565</v>
      </c>
    </row>
    <row r="5446" spans="1:2" x14ac:dyDescent="0.25">
      <c r="A5446">
        <f ca="1">33068.3221524581*((RANDBETWEEN(1587,2416)))</f>
        <v>70931551.017022699</v>
      </c>
      <c r="B5446">
        <v>262379645.43098617</v>
      </c>
    </row>
    <row r="5447" spans="1:2" x14ac:dyDescent="0.25">
      <c r="A5447">
        <f ca="1">29138.1556859588*((RANDBETWEEN(1587,2416)))</f>
        <v>66755514.676531643</v>
      </c>
      <c r="B5447">
        <v>238835669.55020764</v>
      </c>
    </row>
    <row r="5448" spans="1:2" x14ac:dyDescent="0.25">
      <c r="A5448">
        <f ca="1">39969.7371370773*((RANDBETWEEN(1587,2416)))</f>
        <v>79259988.742824376</v>
      </c>
      <c r="B5448">
        <v>225415685.90266654</v>
      </c>
    </row>
    <row r="5449" spans="1:2" x14ac:dyDescent="0.25">
      <c r="A5449">
        <f ca="1">32831.4607873196*((RANDBETWEEN(1587,2416)))</f>
        <v>74987056.438237861</v>
      </c>
      <c r="B5449">
        <v>223399085.52257836</v>
      </c>
    </row>
    <row r="5450" spans="1:2" x14ac:dyDescent="0.25">
      <c r="A5450">
        <f ca="1">36792.4747241001*((RANDBETWEEN(1587,2416)))</f>
        <v>88044392.014771506</v>
      </c>
      <c r="B5450">
        <v>267256773.76992235</v>
      </c>
    </row>
    <row r="5451" spans="1:2" x14ac:dyDescent="0.25">
      <c r="A5451">
        <f ca="1">30960.138053718*((RANDBETWEEN(1587,2416)))</f>
        <v>56718972.914411433</v>
      </c>
      <c r="B5451">
        <v>245188236.02852392</v>
      </c>
    </row>
    <row r="5452" spans="1:2" x14ac:dyDescent="0.25">
      <c r="A5452">
        <f ca="1">31134.9580916635*((RANDBETWEEN(1587,2416)))</f>
        <v>63702124.255543508</v>
      </c>
      <c r="B5452">
        <v>245389086.39274377</v>
      </c>
    </row>
    <row r="5453" spans="1:2" x14ac:dyDescent="0.25">
      <c r="A5453">
        <f ca="1">41201.7723657882*((RANDBETWEEN(1587,2416)))</f>
        <v>67529704.907526806</v>
      </c>
      <c r="B5453">
        <v>222865804.49145222</v>
      </c>
    </row>
    <row r="5454" spans="1:2" x14ac:dyDescent="0.25">
      <c r="A5454">
        <f ca="1">37885.6620605156*((RANDBETWEEN(1587,2416)))</f>
        <v>84181941.098465741</v>
      </c>
      <c r="B5454">
        <v>264003031.89268881</v>
      </c>
    </row>
    <row r="5455" spans="1:2" x14ac:dyDescent="0.25">
      <c r="A5455">
        <f ca="1">36778.7089576604*((RANDBETWEEN(1587,2416)))</f>
        <v>63663945.205710195</v>
      </c>
      <c r="B5455">
        <v>220909368.28703272</v>
      </c>
    </row>
    <row r="5456" spans="1:2" x14ac:dyDescent="0.25">
      <c r="A5456">
        <f ca="1">33333.575678732*((RANDBETWEEN(1587,2416)))</f>
        <v>66100480.570925482</v>
      </c>
      <c r="B5456">
        <v>258586339.62535</v>
      </c>
    </row>
    <row r="5457" spans="1:2" x14ac:dyDescent="0.25">
      <c r="A5457">
        <f ca="1">30429.4588792018*((RANDBETWEEN(1587,2416)))</f>
        <v>48595845.8300853</v>
      </c>
      <c r="B5457">
        <v>212795920.41445822</v>
      </c>
    </row>
    <row r="5458" spans="1:2" x14ac:dyDescent="0.25">
      <c r="A5458">
        <f ca="1">29448.2910570387*((RANDBETWEEN(1587,2416)))</f>
        <v>53831476.052266754</v>
      </c>
      <c r="B5458">
        <v>263650607.64059186</v>
      </c>
    </row>
    <row r="5459" spans="1:2" x14ac:dyDescent="0.25">
      <c r="A5459">
        <f ca="1">31376.288727471*((RANDBETWEEN(1587,2416)))</f>
        <v>66988376.433150679</v>
      </c>
      <c r="B5459">
        <v>255845306.96380791</v>
      </c>
    </row>
    <row r="5460" spans="1:2" x14ac:dyDescent="0.25">
      <c r="A5460">
        <f ca="1">36071.5972104058*((RANDBETWEEN(1587,2416)))</f>
        <v>61429930.04932107</v>
      </c>
      <c r="B5460">
        <v>231939033.07053578</v>
      </c>
    </row>
    <row r="5461" spans="1:2" x14ac:dyDescent="0.25">
      <c r="A5461">
        <f ca="1">30540.0138975875*((RANDBETWEEN(1587,2416)))</f>
        <v>68623411.227879062</v>
      </c>
      <c r="B5461">
        <v>246740995.97625971</v>
      </c>
    </row>
    <row r="5462" spans="1:2" x14ac:dyDescent="0.25">
      <c r="A5462">
        <f ca="1">35486.5128267811*((RANDBETWEEN(1587,2416)))</f>
        <v>56707447.497196198</v>
      </c>
      <c r="B5462">
        <v>263365981.07574996</v>
      </c>
    </row>
    <row r="5463" spans="1:2" x14ac:dyDescent="0.25">
      <c r="A5463">
        <f ca="1">32723.6418192322*((RANDBETWEEN(1587,2416)))</f>
        <v>71141197.315010816</v>
      </c>
      <c r="B5463">
        <v>208260332.24992615</v>
      </c>
    </row>
    <row r="5464" spans="1:2" x14ac:dyDescent="0.25">
      <c r="A5464">
        <f ca="1">35126.3922875424*((RANDBETWEEN(1587,2416)))</f>
        <v>79350520.177558169</v>
      </c>
      <c r="B5464">
        <v>211731845.27759051</v>
      </c>
    </row>
    <row r="5465" spans="1:2" x14ac:dyDescent="0.25">
      <c r="A5465">
        <f ca="1">38532.6861456986*((RANDBETWEEN(1587,2416)))</f>
        <v>63155072.592799932</v>
      </c>
      <c r="B5465">
        <v>206160624.3535938</v>
      </c>
    </row>
    <row r="5466" spans="1:2" x14ac:dyDescent="0.25">
      <c r="A5466">
        <f ca="1">37003.9793073409*((RANDBETWEEN(1587,2416)))</f>
        <v>80668674.89000316</v>
      </c>
      <c r="B5466">
        <v>260818207.42624378</v>
      </c>
    </row>
    <row r="5467" spans="1:2" x14ac:dyDescent="0.25">
      <c r="A5467">
        <f ca="1">38655.5768080156*((RANDBETWEEN(1587,2416)))</f>
        <v>87322948.00930728</v>
      </c>
      <c r="B5467">
        <v>207848285.63817874</v>
      </c>
    </row>
    <row r="5468" spans="1:2" x14ac:dyDescent="0.25">
      <c r="A5468">
        <f ca="1">32283.5303872681*((RANDBETWEEN(1587,2416)))</f>
        <v>65051313.730345145</v>
      </c>
      <c r="B5468">
        <v>241162303.48469108</v>
      </c>
    </row>
    <row r="5469" spans="1:2" x14ac:dyDescent="0.25">
      <c r="A5469">
        <f ca="1">39412.9245033496*((RANDBETWEEN(1587,2416)))</f>
        <v>85723110.79478544</v>
      </c>
      <c r="B5469">
        <v>260003527.90282238</v>
      </c>
    </row>
    <row r="5470" spans="1:2" x14ac:dyDescent="0.25">
      <c r="A5470">
        <f ca="1">33169.7653344031*((RANDBETWEEN(1587,2416)))</f>
        <v>67666321.282182425</v>
      </c>
      <c r="B5470">
        <v>264119364.67748055</v>
      </c>
    </row>
    <row r="5471" spans="1:2" x14ac:dyDescent="0.25">
      <c r="A5471">
        <f ca="1">32250.3004071043*((RANDBETWEEN(1587,2416)))</f>
        <v>71853669.307028383</v>
      </c>
      <c r="B5471">
        <v>257859787.39622459</v>
      </c>
    </row>
    <row r="5472" spans="1:2" x14ac:dyDescent="0.25">
      <c r="A5472">
        <f ca="1">30248.8043747184*((RANDBETWEEN(1587,2416)))</f>
        <v>55990536.89760375</v>
      </c>
      <c r="B5472">
        <v>259371654.43010122</v>
      </c>
    </row>
    <row r="5473" spans="1:2" x14ac:dyDescent="0.25">
      <c r="A5473">
        <f ca="1">30350.2653413872*((RANDBETWEEN(1587,2416)))</f>
        <v>70018062.142580241</v>
      </c>
      <c r="B5473">
        <v>237270020.34381399</v>
      </c>
    </row>
    <row r="5474" spans="1:2" x14ac:dyDescent="0.25">
      <c r="A5474">
        <f ca="1">37975.5339254955*((RANDBETWEEN(1587,2416)))</f>
        <v>64596383.207267791</v>
      </c>
      <c r="B5474">
        <v>254966377.45462459</v>
      </c>
    </row>
    <row r="5475" spans="1:2" x14ac:dyDescent="0.25">
      <c r="A5475">
        <f ca="1">33240.9221664556*((RANDBETWEEN(1587,2416)))</f>
        <v>53650848.376659334</v>
      </c>
      <c r="B5475">
        <v>249733435.0896953</v>
      </c>
    </row>
    <row r="5476" spans="1:2" x14ac:dyDescent="0.25">
      <c r="A5476">
        <f ca="1">42217.1876637172*((RANDBETWEEN(1587,2416)))</f>
        <v>87769533.152867973</v>
      </c>
      <c r="B5476">
        <v>228201327.18833423</v>
      </c>
    </row>
    <row r="5477" spans="1:2" x14ac:dyDescent="0.25">
      <c r="A5477">
        <f ca="1">36487.8587377265*((RANDBETWEEN(1587,2416)))</f>
        <v>68524198.709450394</v>
      </c>
      <c r="B5477">
        <v>252908441.65829715</v>
      </c>
    </row>
    <row r="5478" spans="1:2" x14ac:dyDescent="0.25">
      <c r="A5478">
        <f ca="1">39680.9825727639*((RANDBETWEEN(1587,2416)))</f>
        <v>87218799.694935024</v>
      </c>
      <c r="B5478">
        <v>211499467.14422294</v>
      </c>
    </row>
    <row r="5479" spans="1:2" x14ac:dyDescent="0.25">
      <c r="A5479">
        <f ca="1">32150.6816886777*((RANDBETWEEN(1587,2416)))</f>
        <v>51698296.155393712</v>
      </c>
      <c r="B5479">
        <v>212494461.9190504</v>
      </c>
    </row>
    <row r="5480" spans="1:2" x14ac:dyDescent="0.25">
      <c r="A5480">
        <f ca="1">38939.1877476757*((RANDBETWEEN(1587,2416)))</f>
        <v>75425206.667247921</v>
      </c>
      <c r="B5480">
        <v>236560520.19765091</v>
      </c>
    </row>
    <row r="5481" spans="1:2" x14ac:dyDescent="0.25">
      <c r="A5481">
        <f ca="1">33558.2901932604*((RANDBETWEEN(1587,2416)))</f>
        <v>60371364.057675391</v>
      </c>
      <c r="B5481">
        <v>222604442.74059978</v>
      </c>
    </row>
    <row r="5482" spans="1:2" x14ac:dyDescent="0.25">
      <c r="A5482">
        <f ca="1">40461.5653714043*((RANDBETWEEN(1587,2416)))</f>
        <v>74772972.806355163</v>
      </c>
      <c r="B5482">
        <v>204607327.40467179</v>
      </c>
    </row>
    <row r="5483" spans="1:2" x14ac:dyDescent="0.25">
      <c r="A5483">
        <f ca="1">29473.3429882647*((RANDBETWEEN(1587,2416)))</f>
        <v>68289735.703809425</v>
      </c>
      <c r="B5483">
        <v>233113822.20532629</v>
      </c>
    </row>
    <row r="5484" spans="1:2" x14ac:dyDescent="0.25">
      <c r="A5484">
        <f ca="1">29108.9007993372*((RANDBETWEEN(1587,2416)))</f>
        <v>49485131.358873263</v>
      </c>
      <c r="B5484">
        <v>266393425.00394642</v>
      </c>
    </row>
    <row r="5485" spans="1:2" x14ac:dyDescent="0.25">
      <c r="A5485">
        <f ca="1">40032.6208120731*((RANDBETWEEN(1587,2416)))</f>
        <v>71137967.183053955</v>
      </c>
      <c r="B5485">
        <v>257969565.83290917</v>
      </c>
    </row>
    <row r="5486" spans="1:2" x14ac:dyDescent="0.25">
      <c r="A5486">
        <f ca="1">30858.4913830124*((RANDBETWEEN(1587,2416)))</f>
        <v>69061303.715181842</v>
      </c>
      <c r="B5486">
        <v>257614205.07264128</v>
      </c>
    </row>
    <row r="5487" spans="1:2" x14ac:dyDescent="0.25">
      <c r="A5487">
        <f ca="1">29841.8608710406*((RANDBETWEEN(1587,2416)))</f>
        <v>59027200.802918367</v>
      </c>
      <c r="B5487">
        <v>246795015.02527434</v>
      </c>
    </row>
    <row r="5488" spans="1:2" x14ac:dyDescent="0.25">
      <c r="A5488">
        <f ca="1">31207.4778232664*((RANDBETWEEN(1587,2416)))</f>
        <v>58139531.184745349</v>
      </c>
      <c r="B5488">
        <v>209872956.3348</v>
      </c>
    </row>
    <row r="5489" spans="1:2" x14ac:dyDescent="0.25">
      <c r="A5489">
        <f ca="1">31142.5936022777*((RANDBETWEEN(1587,2416)))</f>
        <v>62067189.049339496</v>
      </c>
      <c r="B5489">
        <v>208271538.06149721</v>
      </c>
    </row>
    <row r="5490" spans="1:2" x14ac:dyDescent="0.25">
      <c r="A5490">
        <f ca="1">30989.6932716447*((RANDBETWEEN(1587,2416)))</f>
        <v>60212974.026805721</v>
      </c>
      <c r="B5490">
        <v>262545788.79406327</v>
      </c>
    </row>
    <row r="5491" spans="1:2" x14ac:dyDescent="0.25">
      <c r="A5491">
        <f ca="1">37636.8248817842*((RANDBETWEEN(1587,2416)))</f>
        <v>65074070.220604837</v>
      </c>
      <c r="B5491">
        <v>205423528.48831779</v>
      </c>
    </row>
    <row r="5492" spans="1:2" x14ac:dyDescent="0.25">
      <c r="A5492">
        <f ca="1">40385.5280808768*((RANDBETWEEN(1587,2416)))</f>
        <v>72451637.377093017</v>
      </c>
      <c r="B5492">
        <v>231216606.11726606</v>
      </c>
    </row>
    <row r="5493" spans="1:2" x14ac:dyDescent="0.25">
      <c r="A5493">
        <f ca="1">30242.8743585364*((RANDBETWEEN(1587,2416)))</f>
        <v>66625052.211855769</v>
      </c>
      <c r="B5493">
        <v>266738666.28788763</v>
      </c>
    </row>
    <row r="5494" spans="1:2" x14ac:dyDescent="0.25">
      <c r="A5494">
        <f ca="1">30682.275767865*((RANDBETWEEN(1587,2416)))</f>
        <v>71581749.366429135</v>
      </c>
      <c r="B5494">
        <v>240276338.78507257</v>
      </c>
    </row>
    <row r="5495" spans="1:2" x14ac:dyDescent="0.25">
      <c r="A5495">
        <f ca="1">31771.3816047788*((RANDBETWEEN(1587,2416)))</f>
        <v>51787352.015789375</v>
      </c>
      <c r="B5495">
        <v>262289003.7916041</v>
      </c>
    </row>
    <row r="5496" spans="1:2" x14ac:dyDescent="0.25">
      <c r="A5496">
        <f ca="1">32707.7996841593*((RANDBETWEEN(1587,2416)))</f>
        <v>73756088.287779272</v>
      </c>
      <c r="B5496">
        <v>221358128.39537555</v>
      </c>
    </row>
    <row r="5497" spans="1:2" x14ac:dyDescent="0.25">
      <c r="A5497">
        <f ca="1">40680.6500623816*((RANDBETWEEN(1587,2416)))</f>
        <v>64641552.949124344</v>
      </c>
      <c r="B5497">
        <v>226920922.00493449</v>
      </c>
    </row>
    <row r="5498" spans="1:2" x14ac:dyDescent="0.25">
      <c r="A5498">
        <f ca="1">31354.3493292896*((RANDBETWEEN(1587,2416)))</f>
        <v>70139679.449620873</v>
      </c>
      <c r="B5498">
        <v>215278558.302634</v>
      </c>
    </row>
    <row r="5499" spans="1:2" x14ac:dyDescent="0.25">
      <c r="A5499">
        <f ca="1">30955.852529654*((RANDBETWEEN(1587,2416)))</f>
        <v>59063766.626579911</v>
      </c>
      <c r="B5499">
        <v>205597268.47110832</v>
      </c>
    </row>
    <row r="5500" spans="1:2" x14ac:dyDescent="0.25">
      <c r="A5500">
        <f ca="1">31067.5904012977*((RANDBETWEEN(1587,2416)))</f>
        <v>72356418.044622347</v>
      </c>
      <c r="B5500">
        <v>240891047.2884472</v>
      </c>
    </row>
    <row r="5501" spans="1:2" x14ac:dyDescent="0.25">
      <c r="A5501">
        <f ca="1">31690.7001442377*((RANDBETWEEN(1587,2416)))</f>
        <v>59863732.572464973</v>
      </c>
      <c r="B5501">
        <v>227234360.84776378</v>
      </c>
    </row>
    <row r="5502" spans="1:2" x14ac:dyDescent="0.25">
      <c r="A5502">
        <f ca="1">34660.3199020567*((RANDBETWEEN(1587,2416)))</f>
        <v>75039592.587952852</v>
      </c>
      <c r="B5502">
        <v>213247861.08946767</v>
      </c>
    </row>
    <row r="5503" spans="1:2" x14ac:dyDescent="0.25">
      <c r="A5503">
        <f ca="1">36402.425987289*((RANDBETWEEN(1587,2416)))</f>
        <v>71785584.046933815</v>
      </c>
      <c r="B5503">
        <v>209607161.78484321</v>
      </c>
    </row>
    <row r="5504" spans="1:2" x14ac:dyDescent="0.25">
      <c r="A5504">
        <f ca="1">32900.4754709897*((RANDBETWEEN(1587,2416)))</f>
        <v>56161111.628979482</v>
      </c>
      <c r="B5504">
        <v>245315075.82900605</v>
      </c>
    </row>
    <row r="5505" spans="1:2" x14ac:dyDescent="0.25">
      <c r="A5505">
        <f ca="1">32748.3890683014*((RANDBETWEEN(1587,2416)))</f>
        <v>53085138.679716632</v>
      </c>
      <c r="B5505">
        <v>260368434.42929372</v>
      </c>
    </row>
    <row r="5506" spans="1:2" x14ac:dyDescent="0.25">
      <c r="A5506">
        <f ca="1">31955.8164764516*((RANDBETWEEN(1587,2416)))</f>
        <v>76566136.277577952</v>
      </c>
      <c r="B5506">
        <v>224403169.24262992</v>
      </c>
    </row>
    <row r="5507" spans="1:2" x14ac:dyDescent="0.25">
      <c r="A5507">
        <f ca="1">40709.2351825017*((RANDBETWEEN(1587,2416)))</f>
        <v>88746132.69785367</v>
      </c>
      <c r="B5507">
        <v>209180861.40442973</v>
      </c>
    </row>
    <row r="5508" spans="1:2" x14ac:dyDescent="0.25">
      <c r="A5508">
        <f ca="1">30693.588158499*((RANDBETWEEN(1587,2416)))</f>
        <v>64702083.838115796</v>
      </c>
      <c r="B5508">
        <v>229055784.07166532</v>
      </c>
    </row>
    <row r="5509" spans="1:2" x14ac:dyDescent="0.25">
      <c r="A5509">
        <f ca="1">30501.9355022408*((RANDBETWEEN(1587,2416)))</f>
        <v>68415841.33152613</v>
      </c>
      <c r="B5509">
        <v>266581317.38889164</v>
      </c>
    </row>
    <row r="5510" spans="1:2" x14ac:dyDescent="0.25">
      <c r="A5510">
        <f ca="1">37551.8368352973*((RANDBETWEEN(1587,2416)))</f>
        <v>69132931.613782346</v>
      </c>
      <c r="B5510">
        <v>236540657.06210876</v>
      </c>
    </row>
    <row r="5511" spans="1:2" x14ac:dyDescent="0.25">
      <c r="A5511">
        <f ca="1">37205.2574614262*((RANDBETWEEN(1587,2416)))</f>
        <v>67304310.747719988</v>
      </c>
      <c r="B5511">
        <v>257013715.43287516</v>
      </c>
    </row>
    <row r="5512" spans="1:2" x14ac:dyDescent="0.25">
      <c r="A5512">
        <f ca="1">38419.9470930276*((RANDBETWEEN(1587,2416)))</f>
        <v>89556896.673847303</v>
      </c>
      <c r="B5512">
        <v>219219914.2230711</v>
      </c>
    </row>
    <row r="5513" spans="1:2" x14ac:dyDescent="0.25">
      <c r="A5513">
        <f ca="1">32474.8497069021*((RANDBETWEEN(1587,2416)))</f>
        <v>75893723.765030146</v>
      </c>
      <c r="B5513">
        <v>204983061.85295764</v>
      </c>
    </row>
    <row r="5514" spans="1:2" x14ac:dyDescent="0.25">
      <c r="A5514">
        <f ca="1">37869.2557242072*((RANDBETWEEN(1587,2416)))</f>
        <v>68846306.906608686</v>
      </c>
      <c r="B5514">
        <v>250685308.83420703</v>
      </c>
    </row>
    <row r="5515" spans="1:2" x14ac:dyDescent="0.25">
      <c r="A5515">
        <f ca="1">29853.4544769453*((RANDBETWEEN(1587,2416)))</f>
        <v>55169183.873394988</v>
      </c>
      <c r="B5515">
        <v>266394500.79672712</v>
      </c>
    </row>
    <row r="5516" spans="1:2" x14ac:dyDescent="0.25">
      <c r="A5516">
        <f ca="1">33435.603380696*((RANDBETWEEN(1587,2416)))</f>
        <v>57408931.004655115</v>
      </c>
      <c r="B5516">
        <v>240041077.00676578</v>
      </c>
    </row>
    <row r="5517" spans="1:2" x14ac:dyDescent="0.25">
      <c r="A5517">
        <f ca="1">29172.3852152351*((RANDBETWEEN(1587,2416)))</f>
        <v>46296575.336578064</v>
      </c>
      <c r="B5517">
        <v>230425902.60040522</v>
      </c>
    </row>
    <row r="5518" spans="1:2" x14ac:dyDescent="0.25">
      <c r="A5518">
        <f ca="1">37554.6571417236*((RANDBETWEEN(1587,2416)))</f>
        <v>68161702.712228417</v>
      </c>
      <c r="B5518">
        <v>264017609.99208209</v>
      </c>
    </row>
    <row r="5519" spans="1:2" x14ac:dyDescent="0.25">
      <c r="A5519">
        <f ca="1">37553.1987194551*((RANDBETWEEN(1587,2416)))</f>
        <v>71613949.958000809</v>
      </c>
      <c r="B5519">
        <v>243138477.64009219</v>
      </c>
    </row>
    <row r="5520" spans="1:2" x14ac:dyDescent="0.25">
      <c r="A5520">
        <f ca="1">29730.0819845269*((RANDBETWEEN(1587,2416)))</f>
        <v>52265484.128798239</v>
      </c>
      <c r="B5520">
        <v>221285259.57918277</v>
      </c>
    </row>
    <row r="5521" spans="1:2" x14ac:dyDescent="0.25">
      <c r="A5521">
        <f ca="1">32792.8953224732*((RANDBETWEEN(1587,2416)))</f>
        <v>66012098.28413859</v>
      </c>
      <c r="B5521">
        <v>236617196.08222714</v>
      </c>
    </row>
    <row r="5522" spans="1:2" x14ac:dyDescent="0.25">
      <c r="A5522">
        <f ca="1">30581.5110288248*((RANDBETWEEN(1587,2416)))</f>
        <v>61224185.07970719</v>
      </c>
      <c r="B5522">
        <v>237768182.26235288</v>
      </c>
    </row>
    <row r="5523" spans="1:2" x14ac:dyDescent="0.25">
      <c r="A5523">
        <f ca="1">38186.6082433753*((RANDBETWEEN(1587,2416)))</f>
        <v>66864751.034150116</v>
      </c>
      <c r="B5523">
        <v>212813846.54510641</v>
      </c>
    </row>
    <row r="5524" spans="1:2" x14ac:dyDescent="0.25">
      <c r="A5524">
        <f ca="1">35808.0827874736*((RANDBETWEEN(1587,2416)))</f>
        <v>76199600.171743765</v>
      </c>
      <c r="B5524">
        <v>228940247.99882102</v>
      </c>
    </row>
    <row r="5525" spans="1:2" x14ac:dyDescent="0.25">
      <c r="A5525">
        <f ca="1">32968.0588810194*((RANDBETWEEN(1587,2416)))</f>
        <v>56935837.687520422</v>
      </c>
      <c r="B5525">
        <v>249117981.06219223</v>
      </c>
    </row>
    <row r="5526" spans="1:2" x14ac:dyDescent="0.25">
      <c r="A5526">
        <f ca="1">36665.7837658606*((RANDBETWEEN(1587,2416)))</f>
        <v>72414922.9375747</v>
      </c>
      <c r="B5526">
        <v>238790253.92549872</v>
      </c>
    </row>
    <row r="5527" spans="1:2" x14ac:dyDescent="0.25">
      <c r="A5527">
        <f ca="1">30267.45419935*((RANDBETWEEN(1587,2416)))</f>
        <v>64015665.63162528</v>
      </c>
      <c r="B5527">
        <v>259710525.24452892</v>
      </c>
    </row>
    <row r="5528" spans="1:2" x14ac:dyDescent="0.25">
      <c r="A5528">
        <f ca="1">30936.317043108*((RANDBETWEEN(1587,2416)))</f>
        <v>68709560.152742937</v>
      </c>
      <c r="B5528">
        <v>217272973.9408513</v>
      </c>
    </row>
    <row r="5529" spans="1:2" x14ac:dyDescent="0.25">
      <c r="A5529">
        <f ca="1">31919.7041529113*((RANDBETWEEN(1587,2416)))</f>
        <v>59051452.682885937</v>
      </c>
      <c r="B5529">
        <v>231815268.6046716</v>
      </c>
    </row>
    <row r="5530" spans="1:2" x14ac:dyDescent="0.25">
      <c r="A5530">
        <f ca="1">34713.9950389168*((RANDBETWEEN(1587,2416)))</f>
        <v>67970002.286199048</v>
      </c>
      <c r="B5530">
        <v>262051556.22936296</v>
      </c>
    </row>
    <row r="5531" spans="1:2" x14ac:dyDescent="0.25">
      <c r="A5531">
        <f ca="1">30888.9419001668*((RANDBETWEEN(1587,2416)))</f>
        <v>51491866.147577979</v>
      </c>
      <c r="B5531">
        <v>211853536.90520403</v>
      </c>
    </row>
    <row r="5532" spans="1:2" x14ac:dyDescent="0.25">
      <c r="A5532">
        <f ca="1">30545.3510462685*((RANDBETWEEN(1587,2416)))</f>
        <v>68910311.960381716</v>
      </c>
      <c r="B5532">
        <v>250918388.12056303</v>
      </c>
    </row>
    <row r="5533" spans="1:2" x14ac:dyDescent="0.25">
      <c r="A5533">
        <f ca="1">30112.0628482053*((RANDBETWEEN(1587,2416)))</f>
        <v>60705918.701981798</v>
      </c>
      <c r="B5533">
        <v>258431565.15882742</v>
      </c>
    </row>
    <row r="5534" spans="1:2" x14ac:dyDescent="0.25">
      <c r="A5534">
        <f ca="1">37792.245551309*((RANDBETWEEN(1587,2416)))</f>
        <v>79968391.586569846</v>
      </c>
      <c r="B5534">
        <v>219768493.43669087</v>
      </c>
    </row>
    <row r="5535" spans="1:2" x14ac:dyDescent="0.25">
      <c r="A5535">
        <f ca="1">39237.9136002709*((RANDBETWEEN(1587,2416)))</f>
        <v>74944414.976517469</v>
      </c>
      <c r="B5535">
        <v>233919937.91470367</v>
      </c>
    </row>
    <row r="5536" spans="1:2" x14ac:dyDescent="0.25">
      <c r="A5536">
        <f ca="1">30005.8804737804*((RANDBETWEEN(1587,2416)))</f>
        <v>56981167.019709028</v>
      </c>
      <c r="B5536">
        <v>232063183.05288088</v>
      </c>
    </row>
    <row r="5537" spans="1:2" x14ac:dyDescent="0.25">
      <c r="A5537">
        <f ca="1">32173.3013600164*((RANDBETWEEN(1587,2416)))</f>
        <v>72872527.580437183</v>
      </c>
      <c r="B5537">
        <v>231380327.11517549</v>
      </c>
    </row>
    <row r="5538" spans="1:2" x14ac:dyDescent="0.25">
      <c r="A5538">
        <f ca="1">32182.1148176186*((RANDBETWEEN(1587,2416)))</f>
        <v>68129537.068898544</v>
      </c>
      <c r="B5538">
        <v>220876845.30078572</v>
      </c>
    </row>
    <row r="5539" spans="1:2" x14ac:dyDescent="0.25">
      <c r="A5539">
        <f ca="1">39666.820582491*((RANDBETWEEN(1587,2416)))</f>
        <v>69020267.813534424</v>
      </c>
      <c r="B5539">
        <v>239777130.85072911</v>
      </c>
    </row>
    <row r="5540" spans="1:2" x14ac:dyDescent="0.25">
      <c r="A5540">
        <f ca="1">31610.9206615642*((RANDBETWEEN(1587,2416)))</f>
        <v>69227916.248825595</v>
      </c>
      <c r="B5540">
        <v>229277641.49584433</v>
      </c>
    </row>
    <row r="5541" spans="1:2" x14ac:dyDescent="0.25">
      <c r="A5541">
        <f ca="1">34138.1849510416*((RANDBETWEEN(1587,2416)))</f>
        <v>80156458.265045568</v>
      </c>
      <c r="B5541">
        <v>260060012.12585431</v>
      </c>
    </row>
    <row r="5542" spans="1:2" x14ac:dyDescent="0.25">
      <c r="A5542">
        <f ca="1">29647.0439530074*((RANDBETWEEN(1587,2416)))</f>
        <v>68514318.575400159</v>
      </c>
      <c r="B5542">
        <v>205373910.68248838</v>
      </c>
    </row>
    <row r="5543" spans="1:2" x14ac:dyDescent="0.25">
      <c r="A5543">
        <f ca="1">28690.3126336372*((RANDBETWEEN(1587,2416)))</f>
        <v>68799369.695462063</v>
      </c>
      <c r="B5543">
        <v>262819843.17598736</v>
      </c>
    </row>
    <row r="5544" spans="1:2" x14ac:dyDescent="0.25">
      <c r="A5544">
        <f ca="1">30893.5175685262*((RANDBETWEEN(1587,2416)))</f>
        <v>57678197.300438464</v>
      </c>
      <c r="B5544">
        <v>209314787.512748</v>
      </c>
    </row>
    <row r="5545" spans="1:2" x14ac:dyDescent="0.25">
      <c r="A5545">
        <f ca="1">37444.0230614657*((RANDBETWEEN(1587,2416)))</f>
        <v>65901480.588179708</v>
      </c>
      <c r="B5545">
        <v>258415023.93155366</v>
      </c>
    </row>
    <row r="5546" spans="1:2" x14ac:dyDescent="0.25">
      <c r="A5546">
        <f ca="1">31444.2343295524*((RANDBETWEEN(1587,2416)))</f>
        <v>75371829.6879372</v>
      </c>
      <c r="B5546">
        <v>240991055.56406665</v>
      </c>
    </row>
    <row r="5547" spans="1:2" x14ac:dyDescent="0.25">
      <c r="A5547">
        <f ca="1">30924.7074458113*((RANDBETWEEN(1587,2416)))</f>
        <v>72611213.082764924</v>
      </c>
      <c r="B5547">
        <v>234442617.98036274</v>
      </c>
    </row>
    <row r="5548" spans="1:2" x14ac:dyDescent="0.25">
      <c r="A5548">
        <f ca="1">38550.3747468513*((RANDBETWEEN(1587,2416)))</f>
        <v>78025958.487627208</v>
      </c>
      <c r="B5548">
        <v>234887878.47618008</v>
      </c>
    </row>
    <row r="5549" spans="1:2" x14ac:dyDescent="0.25">
      <c r="A5549">
        <f ca="1">33311.6747013095*((RANDBETWEEN(1587,2416)))</f>
        <v>75017891.427349016</v>
      </c>
      <c r="B5549">
        <v>257457382.86986768</v>
      </c>
    </row>
    <row r="5550" spans="1:2" x14ac:dyDescent="0.25">
      <c r="A5550">
        <f ca="1">32019.9180952063*((RANDBETWEEN(1587,2416)))</f>
        <v>67241827.999933258</v>
      </c>
      <c r="B5550">
        <v>229140305.52514073</v>
      </c>
    </row>
    <row r="5551" spans="1:2" x14ac:dyDescent="0.25">
      <c r="A5551">
        <f ca="1">31722.4923303318*((RANDBETWEEN(1587,2416)))</f>
        <v>74230632.052976355</v>
      </c>
      <c r="B5551">
        <v>262819072.40634125</v>
      </c>
    </row>
    <row r="5552" spans="1:2" x14ac:dyDescent="0.25">
      <c r="A5552">
        <f ca="1">30822.7829897173*((RANDBETWEEN(1587,2416)))</f>
        <v>70306767.999545082</v>
      </c>
      <c r="B5552">
        <v>211268383.8212972</v>
      </c>
    </row>
    <row r="5553" spans="1:2" x14ac:dyDescent="0.25">
      <c r="A5553">
        <f ca="1">33125.924741952*((RANDBETWEEN(1587,2416)))</f>
        <v>55022160.996382341</v>
      </c>
      <c r="B5553">
        <v>254184481.28357106</v>
      </c>
    </row>
    <row r="5554" spans="1:2" x14ac:dyDescent="0.25">
      <c r="A5554">
        <f ca="1">32024.0622010872*((RANDBETWEEN(1587,2416)))</f>
        <v>69236022.478750467</v>
      </c>
      <c r="B5554">
        <v>241385472.20914727</v>
      </c>
    </row>
    <row r="5555" spans="1:2" x14ac:dyDescent="0.25">
      <c r="A5555">
        <f ca="1">33740.2515193824*((RANDBETWEEN(1587,2416)))</f>
        <v>59180401.164996766</v>
      </c>
      <c r="B5555">
        <v>240601059.87619498</v>
      </c>
    </row>
    <row r="5556" spans="1:2" x14ac:dyDescent="0.25">
      <c r="A5556">
        <f ca="1">33002.553591158*((RANDBETWEEN(1587,2416)))</f>
        <v>77853023.921541795</v>
      </c>
      <c r="B5556">
        <v>214735512.4980835</v>
      </c>
    </row>
    <row r="5557" spans="1:2" x14ac:dyDescent="0.25">
      <c r="A5557">
        <f ca="1">30100.2573278579*((RANDBETWEEN(1587,2416)))</f>
        <v>57130288.408274345</v>
      </c>
      <c r="B5557">
        <v>208821283.29562709</v>
      </c>
    </row>
    <row r="5558" spans="1:2" x14ac:dyDescent="0.25">
      <c r="A5558">
        <f ca="1">31646.5667642742*((RANDBETWEEN(1587,2416)))</f>
        <v>57248639.276572026</v>
      </c>
      <c r="B5558">
        <v>228915736.53942901</v>
      </c>
    </row>
    <row r="5559" spans="1:2" x14ac:dyDescent="0.25">
      <c r="A5559">
        <f ca="1">32772.6785874731*((RANDBETWEEN(1587,2416)))</f>
        <v>64398313.424384639</v>
      </c>
      <c r="B5559">
        <v>226603283.85869798</v>
      </c>
    </row>
    <row r="5560" spans="1:2" x14ac:dyDescent="0.25">
      <c r="A5560">
        <f ca="1">32648.5348542922*((RANDBETWEEN(1587,2416)))</f>
        <v>51878521.883470371</v>
      </c>
      <c r="B5560">
        <v>234498483.93635514</v>
      </c>
    </row>
    <row r="5561" spans="1:2" x14ac:dyDescent="0.25">
      <c r="A5561">
        <f ca="1">34702.1446086676*((RANDBETWEEN(1587,2416)))</f>
        <v>68987863.482031211</v>
      </c>
      <c r="B5561">
        <v>228812208.79457241</v>
      </c>
    </row>
    <row r="5562" spans="1:2" x14ac:dyDescent="0.25">
      <c r="A5562">
        <f ca="1">30221.562426802*((RANDBETWEEN(1587,2416)))</f>
        <v>52857512.684476636</v>
      </c>
      <c r="B5562">
        <v>208292081.83454108</v>
      </c>
    </row>
    <row r="5563" spans="1:2" x14ac:dyDescent="0.25">
      <c r="A5563">
        <f ca="1">32228.5588669861*((RANDBETWEEN(1587,2416)))</f>
        <v>67422145.149735004</v>
      </c>
      <c r="B5563">
        <v>210845087.49275896</v>
      </c>
    </row>
    <row r="5564" spans="1:2" x14ac:dyDescent="0.25">
      <c r="A5564">
        <f ca="1">42060.3422239881*((RANDBETWEEN(1587,2416)))</f>
        <v>80966158.781176999</v>
      </c>
      <c r="B5564">
        <v>261722697.06394169</v>
      </c>
    </row>
    <row r="5565" spans="1:2" x14ac:dyDescent="0.25">
      <c r="A5565">
        <f ca="1">41259.6313498391*((RANDBETWEEN(1587,2416)))</f>
        <v>86892783.622761145</v>
      </c>
      <c r="B5565">
        <v>205256021.46882486</v>
      </c>
    </row>
    <row r="5566" spans="1:2" x14ac:dyDescent="0.25">
      <c r="A5566">
        <f ca="1">30659.4695937598*((RANDBETWEEN(1587,2416)))</f>
        <v>54205942.24176728</v>
      </c>
      <c r="B5566">
        <v>236400995.84965333</v>
      </c>
    </row>
    <row r="5567" spans="1:2" x14ac:dyDescent="0.25">
      <c r="A5567">
        <f ca="1">29791.7449424494*((RANDBETWEEN(1587,2416)))</f>
        <v>71529979.606820956</v>
      </c>
      <c r="B5567">
        <v>242382569.80917087</v>
      </c>
    </row>
    <row r="5568" spans="1:2" x14ac:dyDescent="0.25">
      <c r="A5568">
        <f ca="1">29175.5264320659*((RANDBETWEEN(1587,2416)))</f>
        <v>52399245.471990407</v>
      </c>
      <c r="B5568">
        <v>227799910.31600004</v>
      </c>
    </row>
    <row r="5569" spans="1:2" x14ac:dyDescent="0.25">
      <c r="A5569">
        <f ca="1">38006.7648611478*((RANDBETWEEN(1587,2416)))</f>
        <v>84299004.462025717</v>
      </c>
      <c r="B5569">
        <v>241154437.13285467</v>
      </c>
    </row>
    <row r="5570" spans="1:2" x14ac:dyDescent="0.25">
      <c r="A5570">
        <f ca="1">31039.0305079555*((RANDBETWEEN(1587,2416)))</f>
        <v>53356093.443175584</v>
      </c>
      <c r="B5570">
        <v>224077779.79707411</v>
      </c>
    </row>
    <row r="5571" spans="1:2" x14ac:dyDescent="0.25">
      <c r="A5571">
        <f ca="1">36010.65127164*((RANDBETWEEN(1587,2416)))</f>
        <v>80735880.151017085</v>
      </c>
      <c r="B5571">
        <v>246569272.7596184</v>
      </c>
    </row>
    <row r="5572" spans="1:2" x14ac:dyDescent="0.25">
      <c r="A5572">
        <f ca="1">31957.6801451413*((RANDBETWEEN(1587,2416)))</f>
        <v>76730390.028484195</v>
      </c>
      <c r="B5572">
        <v>256890145.77109343</v>
      </c>
    </row>
    <row r="5573" spans="1:2" x14ac:dyDescent="0.25">
      <c r="A5573">
        <f ca="1">37767.124110152*((RANDBETWEEN(1587,2416)))</f>
        <v>87355358.06678167</v>
      </c>
      <c r="B5573">
        <v>253221521.77244022</v>
      </c>
    </row>
    <row r="5574" spans="1:2" x14ac:dyDescent="0.25">
      <c r="A5574">
        <f ca="1">33587.9075792577*((RANDBETWEEN(1587,2416)))</f>
        <v>79737692.593157828</v>
      </c>
      <c r="B5574">
        <v>220437282.11951154</v>
      </c>
    </row>
    <row r="5575" spans="1:2" x14ac:dyDescent="0.25">
      <c r="A5575">
        <f ca="1">30163.6116535372*((RANDBETWEEN(1587,2416)))</f>
        <v>70130397.094474107</v>
      </c>
      <c r="B5575">
        <v>263525890.26534563</v>
      </c>
    </row>
    <row r="5576" spans="1:2" x14ac:dyDescent="0.25">
      <c r="A5576">
        <f ca="1">35128.7126939373*((RANDBETWEEN(1587,2416)))</f>
        <v>60210613.557408474</v>
      </c>
      <c r="B5576">
        <v>230965913.05152181</v>
      </c>
    </row>
    <row r="5577" spans="1:2" x14ac:dyDescent="0.25">
      <c r="A5577">
        <f ca="1">32216.6374221686*((RANDBETWEEN(1587,2416)))</f>
        <v>60728361.540787898</v>
      </c>
      <c r="B5577">
        <v>255973341.59127557</v>
      </c>
    </row>
    <row r="5578" spans="1:2" x14ac:dyDescent="0.25">
      <c r="A5578">
        <f ca="1">35726.1616596528*((RANDBETWEEN(1587,2416)))</f>
        <v>77061330.699871123</v>
      </c>
      <c r="B5578">
        <v>224532668.39385462</v>
      </c>
    </row>
    <row r="5579" spans="1:2" x14ac:dyDescent="0.25">
      <c r="A5579">
        <f ca="1">41250.4271712392*((RANDBETWEEN(1587,2416)))</f>
        <v>70950734.734531462</v>
      </c>
      <c r="B5579">
        <v>244567853.71817452</v>
      </c>
    </row>
    <row r="5580" spans="1:2" x14ac:dyDescent="0.25">
      <c r="A5580">
        <f ca="1">29203.4649744629*((RANDBETWEEN(1587,2416)))</f>
        <v>49529076.596689016</v>
      </c>
      <c r="B5580">
        <v>218555485.14908808</v>
      </c>
    </row>
    <row r="5581" spans="1:2" x14ac:dyDescent="0.25">
      <c r="A5581">
        <f ca="1">28944.8401059819*((RANDBETWEEN(1587,2416)))</f>
        <v>47527427.454022266</v>
      </c>
      <c r="B5581">
        <v>261248955.08474347</v>
      </c>
    </row>
    <row r="5582" spans="1:2" x14ac:dyDescent="0.25">
      <c r="A5582">
        <f ca="1">35043.1962658099*((RANDBETWEEN(1587,2416)))</f>
        <v>55788768.45516929</v>
      </c>
      <c r="B5582">
        <v>211290599.79285511</v>
      </c>
    </row>
    <row r="5583" spans="1:2" x14ac:dyDescent="0.25">
      <c r="A5583">
        <f ca="1">40549.5080820386*((RANDBETWEEN(1587,2416)))</f>
        <v>82883194.519686922</v>
      </c>
      <c r="B5583">
        <v>231554792.23062229</v>
      </c>
    </row>
    <row r="5584" spans="1:2" x14ac:dyDescent="0.25">
      <c r="A5584">
        <f ca="1">31722.9305042075*((RANDBETWEEN(1587,2416)))</f>
        <v>74993007.711946443</v>
      </c>
      <c r="B5584">
        <v>261806072.44300777</v>
      </c>
    </row>
    <row r="5585" spans="1:2" x14ac:dyDescent="0.25">
      <c r="A5585">
        <f ca="1">40220.3804551983*((RANDBETWEEN(1587,2416)))</f>
        <v>91099161.731024206</v>
      </c>
      <c r="B5585">
        <v>267437692.32160565</v>
      </c>
    </row>
    <row r="5586" spans="1:2" x14ac:dyDescent="0.25">
      <c r="A5586">
        <f ca="1">40522.5973292655*((RANDBETWEEN(1587,2416)))</f>
        <v>72211268.44075118</v>
      </c>
      <c r="B5586">
        <v>266291609.04996294</v>
      </c>
    </row>
    <row r="5587" spans="1:2" x14ac:dyDescent="0.25">
      <c r="A5587">
        <f ca="1">32128.0154120838*((RANDBETWEEN(1587,2416)))</f>
        <v>55613594.678317003</v>
      </c>
      <c r="B5587">
        <v>266348381.67194557</v>
      </c>
    </row>
    <row r="5588" spans="1:2" x14ac:dyDescent="0.25">
      <c r="A5588">
        <f ca="1">31618.0246163946*((RANDBETWEEN(1587,2416)))</f>
        <v>69306709.959136903</v>
      </c>
      <c r="B5588">
        <v>215619565.67071092</v>
      </c>
    </row>
    <row r="5589" spans="1:2" x14ac:dyDescent="0.25">
      <c r="A5589">
        <f ca="1">32470.6495122397*((RANDBETWEEN(1587,2416)))</f>
        <v>69974249.698876515</v>
      </c>
      <c r="B5589">
        <v>237851969.58560005</v>
      </c>
    </row>
    <row r="5590" spans="1:2" x14ac:dyDescent="0.25">
      <c r="A5590">
        <f ca="1">34149.5261865252*((RANDBETWEEN(1587,2416)))</f>
        <v>54297746.636575051</v>
      </c>
      <c r="B5590">
        <v>253586391.78912893</v>
      </c>
    </row>
    <row r="5591" spans="1:2" x14ac:dyDescent="0.25">
      <c r="A5591">
        <f ca="1">37642.6947715114*((RANDBETWEEN(1587,2416)))</f>
        <v>76715811.944340229</v>
      </c>
      <c r="B5591">
        <v>219476462.70591444</v>
      </c>
    </row>
    <row r="5592" spans="1:2" x14ac:dyDescent="0.25">
      <c r="A5592">
        <f ca="1">32345.5334162222*((RANDBETWEEN(1587,2416)))</f>
        <v>60874293.889330141</v>
      </c>
      <c r="B5592">
        <v>209462795.11297557</v>
      </c>
    </row>
    <row r="5593" spans="1:2" x14ac:dyDescent="0.25">
      <c r="A5593">
        <f ca="1">37058.3393113896*((RANDBETWEEN(1587,2416)))</f>
        <v>75413720.49867782</v>
      </c>
      <c r="B5593">
        <v>248710369.89888051</v>
      </c>
    </row>
    <row r="5594" spans="1:2" x14ac:dyDescent="0.25">
      <c r="A5594">
        <f ca="1">30459.7582763801*((RANDBETWEEN(1587,2416)))</f>
        <v>57964919.999951348</v>
      </c>
      <c r="B5594">
        <v>223441659.41430816</v>
      </c>
    </row>
    <row r="5595" spans="1:2" x14ac:dyDescent="0.25">
      <c r="A5595">
        <f ca="1">34186.6175798424*((RANDBETWEEN(1587,2416)))</f>
        <v>63518735.463347234</v>
      </c>
      <c r="B5595">
        <v>266905239.08002684</v>
      </c>
    </row>
    <row r="5596" spans="1:2" x14ac:dyDescent="0.25">
      <c r="A5596">
        <f ca="1">39457.2155687372*((RANDBETWEEN(1587,2416)))</f>
        <v>93395229.251200899</v>
      </c>
      <c r="B5596">
        <v>233124404.89403707</v>
      </c>
    </row>
    <row r="5597" spans="1:2" x14ac:dyDescent="0.25">
      <c r="A5597">
        <f ca="1">33344.449737995*((RANDBETWEEN(1587,2416)))</f>
        <v>69589866.603195578</v>
      </c>
      <c r="B5597">
        <v>223233622.63015273</v>
      </c>
    </row>
    <row r="5598" spans="1:2" x14ac:dyDescent="0.25">
      <c r="A5598">
        <f ca="1">32864.3536403742*((RANDBETWEEN(1587,2416)))</f>
        <v>73550423.447157547</v>
      </c>
      <c r="B5598">
        <v>233639645.7049557</v>
      </c>
    </row>
    <row r="5599" spans="1:2" x14ac:dyDescent="0.25">
      <c r="A5599">
        <f ca="1">37451.6846014897*((RANDBETWEEN(1587,2416)))</f>
        <v>71382910.850439325</v>
      </c>
      <c r="B5599">
        <v>229899034.05315959</v>
      </c>
    </row>
    <row r="5600" spans="1:2" x14ac:dyDescent="0.25">
      <c r="A5600">
        <f ca="1">32514.4383490407*((RANDBETWEEN(1587,2416)))</f>
        <v>62655322.69860144</v>
      </c>
      <c r="B5600">
        <v>215218848.61804038</v>
      </c>
    </row>
    <row r="5601" spans="1:2" x14ac:dyDescent="0.25">
      <c r="A5601">
        <f ca="1">31018.6848956882*((RANDBETWEEN(1587,2416)))</f>
        <v>71932330.273101047</v>
      </c>
      <c r="B5601">
        <v>245520170.79837483</v>
      </c>
    </row>
    <row r="5602" spans="1:2" x14ac:dyDescent="0.25">
      <c r="A5602">
        <f ca="1">30181.8628390736*((RANDBETWEEN(1587,2416)))</f>
        <v>67335735.99397321</v>
      </c>
      <c r="B5602">
        <v>265272025.99481079</v>
      </c>
    </row>
    <row r="5603" spans="1:2" x14ac:dyDescent="0.25">
      <c r="A5603">
        <f ca="1">30870.0267457579*((RANDBETWEEN(1587,2416)))</f>
        <v>62542674.186905541</v>
      </c>
      <c r="B5603">
        <v>224291932.11469263</v>
      </c>
    </row>
    <row r="5604" spans="1:2" x14ac:dyDescent="0.25">
      <c r="A5604">
        <f ca="1">37924.5729260923*((RANDBETWEEN(1587,2416)))</f>
        <v>75090654.393662825</v>
      </c>
      <c r="B5604">
        <v>261837385.1151098</v>
      </c>
    </row>
    <row r="5605" spans="1:2" x14ac:dyDescent="0.25">
      <c r="A5605">
        <f ca="1">30464.2348994161*((RANDBETWEEN(1587,2416)))</f>
        <v>65254391.154549308</v>
      </c>
      <c r="B5605">
        <v>224428541.44327301</v>
      </c>
    </row>
    <row r="5606" spans="1:2" x14ac:dyDescent="0.25">
      <c r="A5606">
        <f ca="1">31689.5804148604*((RANDBETWEEN(1587,2416)))</f>
        <v>62048198.452296644</v>
      </c>
      <c r="B5606">
        <v>206442426.00041583</v>
      </c>
    </row>
    <row r="5607" spans="1:2" x14ac:dyDescent="0.25">
      <c r="A5607">
        <f ca="1">30327.6924055276*((RANDBETWEEN(1587,2416)))</f>
        <v>71452043.3074231</v>
      </c>
      <c r="B5607">
        <v>229208823.52727234</v>
      </c>
    </row>
    <row r="5608" spans="1:2" x14ac:dyDescent="0.25">
      <c r="A5608">
        <f ca="1">37976.998526456*((RANDBETWEEN(1587,2416)))</f>
        <v>75953997.052912012</v>
      </c>
      <c r="B5608">
        <v>224391209.74099484</v>
      </c>
    </row>
    <row r="5609" spans="1:2" x14ac:dyDescent="0.25">
      <c r="A5609">
        <f ca="1">32606.7500598235*((RANDBETWEEN(1587,2416)))</f>
        <v>67691613.124193504</v>
      </c>
      <c r="B5609">
        <v>256546990.1005384</v>
      </c>
    </row>
    <row r="5610" spans="1:2" x14ac:dyDescent="0.25">
      <c r="A5610">
        <f ca="1">30806.8787273161*((RANDBETWEEN(1587,2416)))</f>
        <v>64540410.933727331</v>
      </c>
      <c r="B5610">
        <v>204365498.57483283</v>
      </c>
    </row>
    <row r="5611" spans="1:2" x14ac:dyDescent="0.25">
      <c r="A5611">
        <f ca="1">36165.5947591813*((RANDBETWEEN(1587,2416)))</f>
        <v>84121173.409855723</v>
      </c>
      <c r="B5611">
        <v>224828795.08900377</v>
      </c>
    </row>
    <row r="5612" spans="1:2" x14ac:dyDescent="0.25">
      <c r="A5612">
        <f ca="1">36223.4115747635*((RANDBETWEEN(1587,2416)))</f>
        <v>81647569.689517021</v>
      </c>
      <c r="B5612">
        <v>220694922.31862506</v>
      </c>
    </row>
    <row r="5613" spans="1:2" x14ac:dyDescent="0.25">
      <c r="A5613">
        <f ca="1">38400.4503381828*((RANDBETWEEN(1587,2416)))</f>
        <v>64282353.866118088</v>
      </c>
      <c r="B5613">
        <v>207396949.05172488</v>
      </c>
    </row>
    <row r="5614" spans="1:2" x14ac:dyDescent="0.25">
      <c r="A5614">
        <f ca="1">30022.3286269364*((RANDBETWEEN(1587,2416)))</f>
        <v>65718877.364363827</v>
      </c>
      <c r="B5614">
        <v>246534812.03904122</v>
      </c>
    </row>
    <row r="5615" spans="1:2" x14ac:dyDescent="0.25">
      <c r="A5615">
        <f ca="1">40016.5365688793*((RANDBETWEEN(1587,2416)))</f>
        <v>73550394.213600114</v>
      </c>
      <c r="B5615">
        <v>238842641.65427428</v>
      </c>
    </row>
    <row r="5616" spans="1:2" x14ac:dyDescent="0.25">
      <c r="A5616">
        <f ca="1">38798.6293532577*((RANDBETWEEN(1587,2416)))</f>
        <v>63940141.174168646</v>
      </c>
      <c r="B5616">
        <v>220908105.49736297</v>
      </c>
    </row>
    <row r="5617" spans="1:2" x14ac:dyDescent="0.25">
      <c r="A5617">
        <f ca="1">31427.2917156498*((RANDBETWEEN(1587,2416)))</f>
        <v>51917885.914253458</v>
      </c>
      <c r="B5617">
        <v>254866619.99295419</v>
      </c>
    </row>
    <row r="5618" spans="1:2" x14ac:dyDescent="0.25">
      <c r="A5618">
        <f ca="1">37297.0242758774*((RANDBETWEEN(1587,2416)))</f>
        <v>88916105.873691633</v>
      </c>
      <c r="B5618">
        <v>256722209.22062135</v>
      </c>
    </row>
    <row r="5619" spans="1:2" x14ac:dyDescent="0.25">
      <c r="A5619">
        <f ca="1">33699.7190003358*((RANDBETWEEN(1587,2416)))</f>
        <v>62614077.902623937</v>
      </c>
      <c r="B5619">
        <v>253241437.22178981</v>
      </c>
    </row>
    <row r="5620" spans="1:2" x14ac:dyDescent="0.25">
      <c r="A5620">
        <f ca="1">30648.9877607092*((RANDBETWEEN(1587,2416)))</f>
        <v>54708443.152866013</v>
      </c>
      <c r="B5620">
        <v>221614509.49737579</v>
      </c>
    </row>
    <row r="5621" spans="1:2" x14ac:dyDescent="0.25">
      <c r="A5621">
        <f ca="1">37439.144780429*((RANDBETWEEN(1587,2416)))</f>
        <v>83901123.452941373</v>
      </c>
      <c r="B5621">
        <v>230956957.43094826</v>
      </c>
    </row>
    <row r="5622" spans="1:2" x14ac:dyDescent="0.25">
      <c r="A5622">
        <f ca="1">32496.8395037643*((RANDBETWEEN(1587,2416)))</f>
        <v>73897813.031560108</v>
      </c>
      <c r="B5622">
        <v>242870053.29528317</v>
      </c>
    </row>
    <row r="5623" spans="1:2" x14ac:dyDescent="0.25">
      <c r="A5623">
        <f ca="1">30839.5169749104*((RANDBETWEEN(1587,2416)))</f>
        <v>70468296.28767024</v>
      </c>
      <c r="B5623">
        <v>250015510.62157884</v>
      </c>
    </row>
    <row r="5624" spans="1:2" x14ac:dyDescent="0.25">
      <c r="A5624">
        <f ca="1">39914.013174029*((RANDBETWEEN(1587,2416)))</f>
        <v>69330640.883288309</v>
      </c>
      <c r="B5624">
        <v>253764388.32258257</v>
      </c>
    </row>
    <row r="5625" spans="1:2" x14ac:dyDescent="0.25">
      <c r="A5625">
        <f ca="1">34255.3342675789*((RANDBETWEEN(1587,2416)))</f>
        <v>77280034.107658073</v>
      </c>
      <c r="B5625">
        <v>244284360.18832469</v>
      </c>
    </row>
    <row r="5626" spans="1:2" x14ac:dyDescent="0.25">
      <c r="A5626">
        <f ca="1">33517.1202868991*((RANDBETWEEN(1587,2416)))</f>
        <v>68777130.828716919</v>
      </c>
      <c r="B5626">
        <v>224631970.94542456</v>
      </c>
    </row>
    <row r="5627" spans="1:2" x14ac:dyDescent="0.25">
      <c r="A5627">
        <f ca="1">30765.407966881*((RANDBETWEEN(1587,2416)))</f>
        <v>61746173.789530173</v>
      </c>
      <c r="B5627">
        <v>254775513.25762957</v>
      </c>
    </row>
    <row r="5628" spans="1:2" x14ac:dyDescent="0.25">
      <c r="A5628">
        <f ca="1">32122.0310576266*((RANDBETWEEN(1587,2416)))</f>
        <v>58976049.021802418</v>
      </c>
      <c r="B5628">
        <v>244241215.04057428</v>
      </c>
    </row>
    <row r="5629" spans="1:2" x14ac:dyDescent="0.25">
      <c r="A5629">
        <f ca="1">28379.6792611001*((RANDBETWEEN(1587,2416)))</f>
        <v>61810941.430675991</v>
      </c>
      <c r="B5629">
        <v>214142421.40778723</v>
      </c>
    </row>
    <row r="5630" spans="1:2" x14ac:dyDescent="0.25">
      <c r="A5630">
        <f ca="1">33560.9766826521*((RANDBETWEEN(1587,2416)))</f>
        <v>70612294.940300077</v>
      </c>
      <c r="B5630">
        <v>235579787.8065449</v>
      </c>
    </row>
    <row r="5631" spans="1:2" x14ac:dyDescent="0.25">
      <c r="A5631">
        <f ca="1">35139.267302187*((RANDBETWEEN(1587,2416)))</f>
        <v>81066289.666145489</v>
      </c>
      <c r="B5631">
        <v>262985477.98470354</v>
      </c>
    </row>
    <row r="5632" spans="1:2" x14ac:dyDescent="0.25">
      <c r="A5632">
        <f ca="1">30762.3394457561*((RANDBETWEEN(1587,2416)))</f>
        <v>73829614.669814736</v>
      </c>
      <c r="B5632">
        <v>228754900.25917417</v>
      </c>
    </row>
    <row r="5633" spans="1:2" x14ac:dyDescent="0.25">
      <c r="A5633">
        <f ca="1">30609.4043999745*((RANDBETWEEN(1587,2416)))</f>
        <v>58433352.999551408</v>
      </c>
      <c r="B5633">
        <v>230890778.19197807</v>
      </c>
    </row>
    <row r="5634" spans="1:2" x14ac:dyDescent="0.25">
      <c r="A5634">
        <f ca="1">35011.9305545514*((RANDBETWEEN(1587,2416)))</f>
        <v>63126510.78985621</v>
      </c>
      <c r="B5634">
        <v>207014649.23361045</v>
      </c>
    </row>
    <row r="5635" spans="1:2" x14ac:dyDescent="0.25">
      <c r="A5635">
        <f ca="1">37267.7433280099*((RANDBETWEEN(1587,2416)))</f>
        <v>71814941.393075153</v>
      </c>
      <c r="B5635">
        <v>230968205.4361468</v>
      </c>
    </row>
    <row r="5636" spans="1:2" x14ac:dyDescent="0.25">
      <c r="A5636">
        <f ca="1">33281.5512265332*((RANDBETWEEN(1587,2416)))</f>
        <v>62169937.691164099</v>
      </c>
      <c r="B5636">
        <v>267370355.97326431</v>
      </c>
    </row>
    <row r="5637" spans="1:2" x14ac:dyDescent="0.25">
      <c r="A5637">
        <f ca="1">31548.8351233032*((RANDBETWEEN(1587,2416)))</f>
        <v>71111074.367925331</v>
      </c>
      <c r="B5637">
        <v>213695900.88114706</v>
      </c>
    </row>
    <row r="5638" spans="1:2" x14ac:dyDescent="0.25">
      <c r="A5638">
        <f ca="1">30878.1340983323*((RANDBETWEEN(1587,2416)))</f>
        <v>59100748.664207973</v>
      </c>
      <c r="B5638">
        <v>224032666.18027237</v>
      </c>
    </row>
    <row r="5639" spans="1:2" x14ac:dyDescent="0.25">
      <c r="A5639">
        <f ca="1">33581.1375239445*((RANDBETWEEN(1587,2416)))</f>
        <v>81098447.120326042</v>
      </c>
      <c r="B5639">
        <v>260304619.05680832</v>
      </c>
    </row>
    <row r="5640" spans="1:2" x14ac:dyDescent="0.25">
      <c r="A5640">
        <f ca="1">38431.4871992275*((RANDBETWEEN(1587,2416)))</f>
        <v>86547709.172660276</v>
      </c>
      <c r="B5640">
        <v>256546275.46283033</v>
      </c>
    </row>
    <row r="5641" spans="1:2" x14ac:dyDescent="0.25">
      <c r="A5641">
        <f ca="1">41752.8547020869*((RANDBETWEEN(1587,2416)))</f>
        <v>100415615.55851902</v>
      </c>
      <c r="B5641">
        <v>220384908.67574555</v>
      </c>
    </row>
    <row r="5642" spans="1:2" x14ac:dyDescent="0.25">
      <c r="A5642">
        <f ca="1">31111.6475450918*((RANDBETWEEN(1587,2416)))</f>
        <v>72272357.247248352</v>
      </c>
      <c r="B5642">
        <v>208535275.38077793</v>
      </c>
    </row>
    <row r="5643" spans="1:2" x14ac:dyDescent="0.25">
      <c r="A5643">
        <f ca="1">35299.7947277511*((RANDBETWEEN(1587,2416)))</f>
        <v>77447749.632686019</v>
      </c>
      <c r="B5643">
        <v>254034454.89245528</v>
      </c>
    </row>
    <row r="5644" spans="1:2" x14ac:dyDescent="0.25">
      <c r="A5644">
        <f ca="1">30997.8190133103*((RANDBETWEEN(1587,2416)))</f>
        <v>68474182.200402424</v>
      </c>
      <c r="B5644">
        <v>261017481.78450722</v>
      </c>
    </row>
    <row r="5645" spans="1:2" x14ac:dyDescent="0.25">
      <c r="A5645">
        <f ca="1">32940.1854981208*((RANDBETWEEN(1587,2416)))</f>
        <v>54779528.483374879</v>
      </c>
      <c r="B5645">
        <v>216965094.06593463</v>
      </c>
    </row>
    <row r="5646" spans="1:2" x14ac:dyDescent="0.25">
      <c r="A5646">
        <f ca="1">34060.8501868591*((RANDBETWEEN(1587,2416)))</f>
        <v>65873684.261385426</v>
      </c>
      <c r="B5646">
        <v>216863186.65996933</v>
      </c>
    </row>
    <row r="5647" spans="1:2" x14ac:dyDescent="0.25">
      <c r="A5647">
        <f ca="1">31116.7638609383*((RANDBETWEEN(1587,2416)))</f>
        <v>63260380.929287545</v>
      </c>
      <c r="B5647">
        <v>254815395.22202462</v>
      </c>
    </row>
    <row r="5648" spans="1:2" x14ac:dyDescent="0.25">
      <c r="A5648">
        <f ca="1">39343.2113033018*((RANDBETWEEN(1587,2416)))</f>
        <v>74516042.208453566</v>
      </c>
      <c r="B5648">
        <v>217058354.8678149</v>
      </c>
    </row>
    <row r="5649" spans="1:2" x14ac:dyDescent="0.25">
      <c r="A5649">
        <f ca="1">30305.2479187044*((RANDBETWEEN(1587,2416)))</f>
        <v>57792107.78096921</v>
      </c>
      <c r="B5649">
        <v>265520294.23129106</v>
      </c>
    </row>
    <row r="5650" spans="1:2" x14ac:dyDescent="0.25">
      <c r="A5650">
        <f ca="1">37530.8058643722*((RANDBETWEEN(1587,2416)))</f>
        <v>81554441.143280983</v>
      </c>
      <c r="B5650">
        <v>261759216.33286101</v>
      </c>
    </row>
    <row r="5651" spans="1:2" x14ac:dyDescent="0.25">
      <c r="A5651">
        <f ca="1">35515.8343088627*((RANDBETWEEN(1587,2416)))</f>
        <v>70889605.280489981</v>
      </c>
      <c r="B5651">
        <v>214414489.5347383</v>
      </c>
    </row>
    <row r="5652" spans="1:2" x14ac:dyDescent="0.25">
      <c r="A5652">
        <f ca="1">37942.2704276049*((RANDBETWEEN(1587,2416)))</f>
        <v>77326347.131458759</v>
      </c>
      <c r="B5652">
        <v>229363681.75981733</v>
      </c>
    </row>
    <row r="5653" spans="1:2" x14ac:dyDescent="0.25">
      <c r="A5653">
        <f ca="1">34348.9315840084*((RANDBETWEEN(1587,2416)))</f>
        <v>66705625.136144347</v>
      </c>
      <c r="B5653">
        <v>222601817.60873115</v>
      </c>
    </row>
    <row r="5654" spans="1:2" x14ac:dyDescent="0.25">
      <c r="A5654">
        <f ca="1">29673.6027031497*((RANDBETWEEN(1587,2416)))</f>
        <v>55370942.644077405</v>
      </c>
      <c r="B5654">
        <v>204146219.87168074</v>
      </c>
    </row>
    <row r="5655" spans="1:2" x14ac:dyDescent="0.25">
      <c r="A5655">
        <f ca="1">32179.0759058167*((RANDBETWEEN(1587,2416)))</f>
        <v>61719467.587356336</v>
      </c>
      <c r="B5655">
        <v>232587342.60322669</v>
      </c>
    </row>
    <row r="5656" spans="1:2" x14ac:dyDescent="0.25">
      <c r="A5656">
        <f ca="1">37230.1879769467*((RANDBETWEEN(1587,2416)))</f>
        <v>73008398.622792527</v>
      </c>
      <c r="B5656">
        <v>207695445.04303068</v>
      </c>
    </row>
    <row r="5657" spans="1:2" x14ac:dyDescent="0.25">
      <c r="A5657">
        <f ca="1">31046.582794692*((RANDBETWEEN(1587,2416)))</f>
        <v>65539336.279594868</v>
      </c>
      <c r="B5657">
        <v>204923816.27416396</v>
      </c>
    </row>
    <row r="5658" spans="1:2" x14ac:dyDescent="0.25">
      <c r="A5658">
        <f ca="1">42034.2427997376*((RANDBETWEEN(1587,2416)))</f>
        <v>95291628.427005231</v>
      </c>
      <c r="B5658">
        <v>225645952.8948912</v>
      </c>
    </row>
    <row r="5659" spans="1:2" x14ac:dyDescent="0.25">
      <c r="A5659">
        <f ca="1">29391.1792197199*((RANDBETWEEN(1587,2416)))</f>
        <v>66453456.215786785</v>
      </c>
      <c r="B5659">
        <v>262051610.92242271</v>
      </c>
    </row>
    <row r="5660" spans="1:2" x14ac:dyDescent="0.25">
      <c r="A5660">
        <f ca="1">32365.3741332423*((RANDBETWEEN(1587,2416)))</f>
        <v>67093420.578211203</v>
      </c>
      <c r="B5660">
        <v>208478320.13277537</v>
      </c>
    </row>
    <row r="5661" spans="1:2" x14ac:dyDescent="0.25">
      <c r="A5661">
        <f ca="1">31484.2962114289*((RANDBETWEEN(1587,2416)))</f>
        <v>64353901.456160657</v>
      </c>
      <c r="B5661">
        <v>238831157.66822028</v>
      </c>
    </row>
    <row r="5662" spans="1:2" x14ac:dyDescent="0.25">
      <c r="A5662">
        <f ca="1">35323.4390364854*((RANDBETWEEN(1587,2416)))</f>
        <v>80537441.003186777</v>
      </c>
      <c r="B5662">
        <v>223066385.33822706</v>
      </c>
    </row>
    <row r="5663" spans="1:2" x14ac:dyDescent="0.25">
      <c r="A5663">
        <f ca="1">32988.1381436838*((RANDBETWEEN(1587,2416)))</f>
        <v>73464583.645983741</v>
      </c>
      <c r="B5663">
        <v>236179844.00993213</v>
      </c>
    </row>
    <row r="5664" spans="1:2" x14ac:dyDescent="0.25">
      <c r="A5664">
        <f ca="1">38561.2852928855*((RANDBETWEEN(1587,2416)))</f>
        <v>78009480.147507459</v>
      </c>
      <c r="B5664">
        <v>223060415.18587133</v>
      </c>
    </row>
    <row r="5665" spans="1:2" x14ac:dyDescent="0.25">
      <c r="A5665">
        <f ca="1">34358.4142040691*((RANDBETWEEN(1587,2416)))</f>
        <v>67445567.082587689</v>
      </c>
      <c r="B5665">
        <v>247224277.16253763</v>
      </c>
    </row>
    <row r="5666" spans="1:2" x14ac:dyDescent="0.25">
      <c r="A5666">
        <f ca="1">32069.2177540135*((RANDBETWEEN(1587,2416)))</f>
        <v>51246609.970913544</v>
      </c>
      <c r="B5666">
        <v>244003434.86894321</v>
      </c>
    </row>
    <row r="5667" spans="1:2" x14ac:dyDescent="0.25">
      <c r="A5667">
        <f ca="1">27659.0127302012*((RANDBETWEEN(1587,2416)))</f>
        <v>64417840.648638636</v>
      </c>
      <c r="B5667">
        <v>258248040.3880527</v>
      </c>
    </row>
    <row r="5668" spans="1:2" x14ac:dyDescent="0.25">
      <c r="A5668">
        <f ca="1">30488.8775541546*((RANDBETWEEN(1587,2416)))</f>
        <v>68630463.374402106</v>
      </c>
      <c r="B5668">
        <v>222626028.8090353</v>
      </c>
    </row>
    <row r="5669" spans="1:2" x14ac:dyDescent="0.25">
      <c r="A5669">
        <f ca="1">32676.7149821268*((RANDBETWEEN(1587,2416)))</f>
        <v>71856096.245696887</v>
      </c>
      <c r="B5669">
        <v>244567303.75300726</v>
      </c>
    </row>
    <row r="5670" spans="1:2" x14ac:dyDescent="0.25">
      <c r="A5670">
        <f ca="1">31740.6394545609*((RANDBETWEEN(1587,2416)))</f>
        <v>59608920.895665355</v>
      </c>
      <c r="B5670">
        <v>211036203.87665218</v>
      </c>
    </row>
    <row r="5671" spans="1:2" x14ac:dyDescent="0.25">
      <c r="A5671">
        <f ca="1">36136.8099260384*((RANDBETWEEN(1587,2416)))</f>
        <v>72056798.99252066</v>
      </c>
      <c r="B5671">
        <v>229744081.55821195</v>
      </c>
    </row>
    <row r="5672" spans="1:2" x14ac:dyDescent="0.25">
      <c r="A5672">
        <f ca="1">38056.0685549703*((RANDBETWEEN(1587,2416)))</f>
        <v>61384438.579167113</v>
      </c>
      <c r="B5672">
        <v>203776631.88282672</v>
      </c>
    </row>
    <row r="5673" spans="1:2" x14ac:dyDescent="0.25">
      <c r="A5673">
        <f ca="1">38547.5324952551*((RANDBETWEEN(1587,2416)))</f>
        <v>79138084.212758616</v>
      </c>
      <c r="B5673">
        <v>216859787.02520785</v>
      </c>
    </row>
    <row r="5674" spans="1:2" x14ac:dyDescent="0.25">
      <c r="A5674">
        <f ca="1">28355.7593523722*((RANDBETWEEN(1587,2416)))</f>
        <v>62382670.575218871</v>
      </c>
      <c r="B5674">
        <v>243254552.47524315</v>
      </c>
    </row>
    <row r="5675" spans="1:2" x14ac:dyDescent="0.25">
      <c r="A5675">
        <f ca="1">31661.5003039979*((RANDBETWEEN(1587,2416)))</f>
        <v>53381289.51254046</v>
      </c>
      <c r="B5675">
        <v>258694959.9483026</v>
      </c>
    </row>
    <row r="5676" spans="1:2" x14ac:dyDescent="0.25">
      <c r="A5676">
        <f ca="1">33577.8314848187*((RANDBETWEEN(1587,2416)))</f>
        <v>57183047.018646196</v>
      </c>
      <c r="B5676">
        <v>219204745.06246075</v>
      </c>
    </row>
    <row r="5677" spans="1:2" x14ac:dyDescent="0.25">
      <c r="A5677">
        <f ca="1">32230.4181662895*((RANDBETWEEN(1587,2416)))</f>
        <v>52503351.192885585</v>
      </c>
      <c r="B5677">
        <v>211533604.9425621</v>
      </c>
    </row>
    <row r="5678" spans="1:2" x14ac:dyDescent="0.25">
      <c r="A5678">
        <f ca="1">31043.6014304156*((RANDBETWEEN(1587,2416)))</f>
        <v>51687596.381641947</v>
      </c>
      <c r="B5678">
        <v>230366311.70409313</v>
      </c>
    </row>
    <row r="5679" spans="1:2" x14ac:dyDescent="0.25">
      <c r="A5679">
        <f ca="1">32557.1274855296*((RANDBETWEEN(1587,2416)))</f>
        <v>77485963.415560529</v>
      </c>
      <c r="B5679">
        <v>212913336.43624929</v>
      </c>
    </row>
    <row r="5680" spans="1:2" x14ac:dyDescent="0.25">
      <c r="A5680">
        <f ca="1">37015.1279661041*((RANDBETWEEN(1587,2416)))</f>
        <v>74548467.723733649</v>
      </c>
      <c r="B5680">
        <v>244783305.88558611</v>
      </c>
    </row>
    <row r="5681" spans="1:2" x14ac:dyDescent="0.25">
      <c r="A5681">
        <f ca="1">28537.4415987976*((RANDBETWEEN(1587,2416)))</f>
        <v>56475596.924020372</v>
      </c>
      <c r="B5681">
        <v>216954776.40750647</v>
      </c>
    </row>
    <row r="5682" spans="1:2" x14ac:dyDescent="0.25">
      <c r="A5682">
        <f ca="1">37297.1693244308*((RANDBETWEEN(1587,2416)))</f>
        <v>86976998.864572585</v>
      </c>
      <c r="B5682">
        <v>212979376.45591468</v>
      </c>
    </row>
    <row r="5683" spans="1:2" x14ac:dyDescent="0.25">
      <c r="A5683">
        <f ca="1">30915.5105362969*((RANDBETWEEN(1587,2416)))</f>
        <v>64860741.105150849</v>
      </c>
      <c r="B5683">
        <v>241184257.50758845</v>
      </c>
    </row>
    <row r="5684" spans="1:2" x14ac:dyDescent="0.25">
      <c r="A5684">
        <f ca="1">38078.8886318476*((RANDBETWEEN(1587,2416)))</f>
        <v>91046622.718747824</v>
      </c>
      <c r="B5684">
        <v>228136263.33063179</v>
      </c>
    </row>
    <row r="5685" spans="1:2" x14ac:dyDescent="0.25">
      <c r="A5685">
        <f ca="1">31962.1413106691*((RANDBETWEEN(1587,2416)))</f>
        <v>75750274.906285822</v>
      </c>
      <c r="B5685">
        <v>224337825.00458264</v>
      </c>
    </row>
    <row r="5686" spans="1:2" x14ac:dyDescent="0.25">
      <c r="A5686">
        <f ca="1">30768.395256225*((RANDBETWEEN(1587,2416)))</f>
        <v>70151941.18419297</v>
      </c>
      <c r="B5686">
        <v>214950139.44958121</v>
      </c>
    </row>
    <row r="5687" spans="1:2" x14ac:dyDescent="0.25">
      <c r="A5687">
        <f ca="1">39464.533249332*((RANDBETWEEN(1587,2416)))</f>
        <v>76087620.104712084</v>
      </c>
      <c r="B5687">
        <v>265004636.88660973</v>
      </c>
    </row>
    <row r="5688" spans="1:2" x14ac:dyDescent="0.25">
      <c r="A5688">
        <f ca="1">36857.1212412229*((RANDBETWEEN(1587,2416)))</f>
        <v>73603671.118722185</v>
      </c>
      <c r="B5688">
        <v>205658584.4266246</v>
      </c>
    </row>
    <row r="5689" spans="1:2" x14ac:dyDescent="0.25">
      <c r="A5689">
        <f ca="1">33594.7764590484*((RANDBETWEEN(1587,2416)))</f>
        <v>63930859.601569049</v>
      </c>
      <c r="B5689">
        <v>217155561.75587684</v>
      </c>
    </row>
    <row r="5690" spans="1:2" x14ac:dyDescent="0.25">
      <c r="A5690">
        <f ca="1">31525.3116939848*((RANDBETWEEN(1587,2416)))</f>
        <v>74935665.896601781</v>
      </c>
      <c r="B5690">
        <v>232671255.71267557</v>
      </c>
    </row>
    <row r="5691" spans="1:2" x14ac:dyDescent="0.25">
      <c r="A5691">
        <f ca="1">31810.1822380248*((RANDBETWEEN(1587,2416)))</f>
        <v>68455512.176229373</v>
      </c>
      <c r="B5691">
        <v>215109758.85505751</v>
      </c>
    </row>
    <row r="5692" spans="1:2" x14ac:dyDescent="0.25">
      <c r="A5692">
        <f ca="1">32932.1051139217*((RANDBETWEEN(1587,2416)))</f>
        <v>55457665.011844069</v>
      </c>
      <c r="B5692">
        <v>230341482.63223651</v>
      </c>
    </row>
    <row r="5693" spans="1:2" x14ac:dyDescent="0.25">
      <c r="A5693">
        <f ca="1">31993.2665740232*((RANDBETWEEN(1587,2416)))</f>
        <v>51637132.250473499</v>
      </c>
      <c r="B5693">
        <v>261243000.27044266</v>
      </c>
    </row>
    <row r="5694" spans="1:2" x14ac:dyDescent="0.25">
      <c r="A5694">
        <f ca="1">41738.4525806642*((RANDBETWEEN(1587,2416)))</f>
        <v>79219582.998100698</v>
      </c>
      <c r="B5694">
        <v>259289439.23475286</v>
      </c>
    </row>
    <row r="5695" spans="1:2" x14ac:dyDescent="0.25">
      <c r="A5695">
        <f ca="1">32481.3773788584*((RANDBETWEEN(1587,2416)))</f>
        <v>58986181.320006855</v>
      </c>
      <c r="B5695">
        <v>261976186.04506737</v>
      </c>
    </row>
    <row r="5696" spans="1:2" x14ac:dyDescent="0.25">
      <c r="A5696">
        <f ca="1">37570.2377536677*((RANDBETWEEN(1587,2416)))</f>
        <v>84533034.945752338</v>
      </c>
      <c r="B5696">
        <v>230007298.77554882</v>
      </c>
    </row>
    <row r="5697" spans="1:2" x14ac:dyDescent="0.25">
      <c r="A5697">
        <f ca="1">38604.4195651272*((RANDBETWEEN(1587,2416)))</f>
        <v>72074451.328092426</v>
      </c>
      <c r="B5697">
        <v>256296690.47540867</v>
      </c>
    </row>
    <row r="5698" spans="1:2" x14ac:dyDescent="0.25">
      <c r="A5698">
        <f ca="1">39645.6049948517*((RANDBETWEEN(1587,2416)))</f>
        <v>88845800.793462709</v>
      </c>
      <c r="B5698">
        <v>256158232.71669763</v>
      </c>
    </row>
    <row r="5699" spans="1:2" x14ac:dyDescent="0.25">
      <c r="A5699">
        <f ca="1">36857.3288875284*((RANDBETWEEN(1587,2416)))</f>
        <v>86430436.241254032</v>
      </c>
      <c r="B5699">
        <v>209596868.60479006</v>
      </c>
    </row>
    <row r="5700" spans="1:2" x14ac:dyDescent="0.25">
      <c r="A5700">
        <f ca="1">36408.9108975381*((RANDBETWEEN(1587,2416)))</f>
        <v>66773942.58608488</v>
      </c>
      <c r="B5700">
        <v>254066220.55005628</v>
      </c>
    </row>
    <row r="5701" spans="1:2" x14ac:dyDescent="0.25">
      <c r="A5701">
        <f ca="1">31938.1803205174*((RANDBETWEEN(1587,2416)))</f>
        <v>60107655.363213681</v>
      </c>
      <c r="B5701">
        <v>240903987.77039176</v>
      </c>
    </row>
    <row r="5702" spans="1:2" x14ac:dyDescent="0.25">
      <c r="A5702">
        <f ca="1">33219.0090561456*((RANDBETWEEN(1587,2416)))</f>
        <v>73779419.113699377</v>
      </c>
      <c r="B5702">
        <v>255536223.36192232</v>
      </c>
    </row>
    <row r="5703" spans="1:2" x14ac:dyDescent="0.25">
      <c r="A5703">
        <f ca="1">32476.5142454977*((RANDBETWEEN(1587,2416)))</f>
        <v>70084317.741783977</v>
      </c>
      <c r="B5703">
        <v>226840045.93814051</v>
      </c>
    </row>
    <row r="5704" spans="1:2" x14ac:dyDescent="0.25">
      <c r="A5704">
        <f ca="1">32606.9850602004*((RANDBETWEEN(1587,2416)))</f>
        <v>66876926.358471021</v>
      </c>
      <c r="B5704">
        <v>210930723.22100657</v>
      </c>
    </row>
    <row r="5705" spans="1:2" x14ac:dyDescent="0.25">
      <c r="A5705">
        <f ca="1">39595.8867243191*((RANDBETWEEN(1587,2416)))</f>
        <v>90437005.27834481</v>
      </c>
      <c r="B5705">
        <v>254392922.5368655</v>
      </c>
    </row>
    <row r="5706" spans="1:2" x14ac:dyDescent="0.25">
      <c r="A5706">
        <f ca="1">37718.7706944535*((RANDBETWEEN(1587,2416)))</f>
        <v>77964699.025435403</v>
      </c>
      <c r="B5706">
        <v>235912926.19120556</v>
      </c>
    </row>
    <row r="5707" spans="1:2" x14ac:dyDescent="0.25">
      <c r="A5707">
        <f ca="1">31903.4869114233*((RANDBETWEEN(1587,2416)))</f>
        <v>68496786.398825824</v>
      </c>
      <c r="B5707">
        <v>244665939.34119833</v>
      </c>
    </row>
    <row r="5708" spans="1:2" x14ac:dyDescent="0.25">
      <c r="A5708">
        <f ca="1">31613.6205102589*((RANDBETWEEN(1587,2416)))</f>
        <v>67020875.481748939</v>
      </c>
      <c r="B5708">
        <v>247717492.37607712</v>
      </c>
    </row>
    <row r="5709" spans="1:2" x14ac:dyDescent="0.25">
      <c r="A5709">
        <f ca="1">34675.5964896415*((RANDBETWEEN(1587,2416)))</f>
        <v>80378032.662988901</v>
      </c>
      <c r="B5709">
        <v>259045405.78421459</v>
      </c>
    </row>
    <row r="5710" spans="1:2" x14ac:dyDescent="0.25">
      <c r="A5710">
        <f ca="1">40064.705197004*((RANDBETWEEN(1587,2416)))</f>
        <v>74360092.845639497</v>
      </c>
      <c r="B5710">
        <v>251517957.41000873</v>
      </c>
    </row>
    <row r="5711" spans="1:2" x14ac:dyDescent="0.25">
      <c r="A5711">
        <f ca="1">31753.8538146429*((RANDBETWEEN(1587,2416)))</f>
        <v>66587831.449306175</v>
      </c>
      <c r="B5711">
        <v>256657436.00185677</v>
      </c>
    </row>
    <row r="5712" spans="1:2" x14ac:dyDescent="0.25">
      <c r="A5712">
        <f ca="1">39511.9017664168*((RANDBETWEEN(1587,2416)))</f>
        <v>91746635.901619732</v>
      </c>
      <c r="B5712">
        <v>248640276.14488351</v>
      </c>
    </row>
    <row r="5713" spans="1:2" x14ac:dyDescent="0.25">
      <c r="A5713">
        <f ca="1">32498.5584282764*((RANDBETWEEN(1587,2416)))</f>
        <v>53785114.198797464</v>
      </c>
      <c r="B5713">
        <v>242529478.73775542</v>
      </c>
    </row>
    <row r="5714" spans="1:2" x14ac:dyDescent="0.25">
      <c r="A5714">
        <f ca="1">29233.7802200095*((RANDBETWEEN(1587,2416)))</f>
        <v>66945356.703821853</v>
      </c>
      <c r="B5714">
        <v>245848472.69286102</v>
      </c>
    </row>
    <row r="5715" spans="1:2" x14ac:dyDescent="0.25">
      <c r="A5715">
        <f ca="1">36329.5350934844*((RANDBETWEEN(1587,2416)))</f>
        <v>83448942.109733641</v>
      </c>
      <c r="B5715">
        <v>209252921.24588466</v>
      </c>
    </row>
    <row r="5716" spans="1:2" x14ac:dyDescent="0.25">
      <c r="A5716">
        <f ca="1">37207.9174840271*((RANDBETWEEN(1587,2416)))</f>
        <v>70434587.797263339</v>
      </c>
      <c r="B5716">
        <v>234152306.2795431</v>
      </c>
    </row>
    <row r="5717" spans="1:2" x14ac:dyDescent="0.25">
      <c r="A5717">
        <f ca="1">34308.5338199734*((RANDBETWEEN(1587,2416)))</f>
        <v>58976369.636534266</v>
      </c>
      <c r="B5717">
        <v>262234928.31075794</v>
      </c>
    </row>
    <row r="5718" spans="1:2" x14ac:dyDescent="0.25">
      <c r="A5718">
        <f ca="1">38211.9014591178*((RANDBETWEEN(1587,2416)))</f>
        <v>83301945.180876821</v>
      </c>
      <c r="B5718">
        <v>206168114.82293579</v>
      </c>
    </row>
    <row r="5719" spans="1:2" x14ac:dyDescent="0.25">
      <c r="A5719">
        <f ca="1">30865.5111780756*((RANDBETWEEN(1587,2416)))</f>
        <v>62440929.113246866</v>
      </c>
      <c r="B5719">
        <v>255628837.03190118</v>
      </c>
    </row>
    <row r="5720" spans="1:2" x14ac:dyDescent="0.25">
      <c r="A5720">
        <f ca="1">31884.4835940943*((RANDBETWEEN(1587,2416)))</f>
        <v>62110974.041295737</v>
      </c>
      <c r="B5720">
        <v>218473884.49563962</v>
      </c>
    </row>
    <row r="5721" spans="1:2" x14ac:dyDescent="0.25">
      <c r="A5721">
        <f ca="1">38073.3100061774*((RANDBETWEEN(1587,2416)))</f>
        <v>69445717.45126763</v>
      </c>
      <c r="B5721">
        <v>258659396.09311968</v>
      </c>
    </row>
    <row r="5722" spans="1:2" x14ac:dyDescent="0.25">
      <c r="A5722">
        <f ca="1">30776.7928182517*((RANDBETWEEN(1587,2416)))</f>
        <v>69863319.697431475</v>
      </c>
      <c r="B5722">
        <v>229542950.59940314</v>
      </c>
    </row>
    <row r="5723" spans="1:2" x14ac:dyDescent="0.25">
      <c r="A5723">
        <f ca="1">33863.6087030502*((RANDBETWEEN(1587,2416)))</f>
        <v>67591762.971288398</v>
      </c>
      <c r="B5723">
        <v>231452232.31970096</v>
      </c>
    </row>
    <row r="5724" spans="1:2" x14ac:dyDescent="0.25">
      <c r="A5724">
        <f ca="1">29722.722448864*((RANDBETWEEN(1587,2416)))</f>
        <v>51687814.338574566</v>
      </c>
      <c r="B5724">
        <v>261698317.31052935</v>
      </c>
    </row>
    <row r="5725" spans="1:2" x14ac:dyDescent="0.25">
      <c r="A5725">
        <f ca="1">30786.0605923082*((RANDBETWEEN(1587,2416)))</f>
        <v>67852477.545447305</v>
      </c>
      <c r="B5725">
        <v>258893808.48875895</v>
      </c>
    </row>
    <row r="5726" spans="1:2" x14ac:dyDescent="0.25">
      <c r="A5726">
        <f ca="1">35123.2497188681*((RANDBETWEEN(1587,2416)))</f>
        <v>83558211.081187278</v>
      </c>
      <c r="B5726">
        <v>216078603.70212591</v>
      </c>
    </row>
    <row r="5727" spans="1:2" x14ac:dyDescent="0.25">
      <c r="A5727">
        <f ca="1">39986.1134452332*((RANDBETWEEN(1587,2416)))</f>
        <v>90728491.407234058</v>
      </c>
      <c r="B5727">
        <v>215893861.65714842</v>
      </c>
    </row>
    <row r="5728" spans="1:2" x14ac:dyDescent="0.25">
      <c r="A5728">
        <f ca="1">32884.2537365152*((RANDBETWEEN(1587,2416)))</f>
        <v>63433725.457737766</v>
      </c>
      <c r="B5728">
        <v>235907898.58826303</v>
      </c>
    </row>
    <row r="5729" spans="1:2" x14ac:dyDescent="0.25">
      <c r="A5729">
        <f ca="1">33042.2956780665*((RANDBETWEEN(1587,2416)))</f>
        <v>67736706.140036434</v>
      </c>
      <c r="B5729">
        <v>258138646.61988395</v>
      </c>
    </row>
    <row r="5730" spans="1:2" x14ac:dyDescent="0.25">
      <c r="A5730">
        <f ca="1">30139.770237725*((RANDBETWEEN(1587,2416)))</f>
        <v>64830645.781346537</v>
      </c>
      <c r="B5730">
        <v>230611739.52108327</v>
      </c>
    </row>
    <row r="5731" spans="1:2" x14ac:dyDescent="0.25">
      <c r="A5731">
        <f ca="1">31240.9903468673*((RANDBETWEEN(1587,2416)))</f>
        <v>66387104.487093091</v>
      </c>
      <c r="B5731">
        <v>252734767.41052508</v>
      </c>
    </row>
    <row r="5732" spans="1:2" x14ac:dyDescent="0.25">
      <c r="A5732">
        <f ca="1">33069.3122111479*((RANDBETWEEN(1587,2416)))</f>
        <v>58598821.238154009</v>
      </c>
      <c r="B5732">
        <v>239961762.9236114</v>
      </c>
    </row>
    <row r="5733" spans="1:2" x14ac:dyDescent="0.25">
      <c r="A5733">
        <f ca="1">36216.8465517543*((RANDBETWEEN(1587,2416)))</f>
        <v>81089519.429377928</v>
      </c>
      <c r="B5733">
        <v>261592946.82583806</v>
      </c>
    </row>
    <row r="5734" spans="1:2" x14ac:dyDescent="0.25">
      <c r="A5734">
        <f ca="1">38685.709675481*((RANDBETWEEN(1587,2416)))</f>
        <v>81433418.866887674</v>
      </c>
      <c r="B5734">
        <v>204036468.32236141</v>
      </c>
    </row>
    <row r="5735" spans="1:2" x14ac:dyDescent="0.25">
      <c r="A5735">
        <f ca="1">30364.8261795257*((RANDBETWEEN(1587,2416)))</f>
        <v>68260129.251573741</v>
      </c>
      <c r="B5735">
        <v>221001669.84280512</v>
      </c>
    </row>
    <row r="5736" spans="1:2" x14ac:dyDescent="0.25">
      <c r="A5736">
        <f ca="1">38498.028800146*((RANDBETWEEN(1587,2416)))</f>
        <v>91779300.65954797</v>
      </c>
      <c r="B5736">
        <v>232406793.33171955</v>
      </c>
    </row>
    <row r="5737" spans="1:2" x14ac:dyDescent="0.25">
      <c r="A5737">
        <f ca="1">36832.1591317118*((RANDBETWEEN(1587,2416)))</f>
        <v>78047345.200097278</v>
      </c>
      <c r="B5737">
        <v>223175747.23561129</v>
      </c>
    </row>
    <row r="5738" spans="1:2" x14ac:dyDescent="0.25">
      <c r="A5738">
        <f ca="1">31243.9270799637*((RANDBETWEEN(1587,2416)))</f>
        <v>69673957.38831903</v>
      </c>
      <c r="B5738">
        <v>225588738.80017489</v>
      </c>
    </row>
    <row r="5739" spans="1:2" x14ac:dyDescent="0.25">
      <c r="A5739">
        <f ca="1">34115.8668070349*((RANDBETWEEN(1587,2416)))</f>
        <v>60521547.715679951</v>
      </c>
      <c r="B5739">
        <v>258990890.31077117</v>
      </c>
    </row>
    <row r="5740" spans="1:2" x14ac:dyDescent="0.25">
      <c r="A5740">
        <f ca="1">28757.5875178942*((RANDBETWEEN(1587,2416)))</f>
        <v>49031686.718009561</v>
      </c>
      <c r="B5740">
        <v>207441536.36632764</v>
      </c>
    </row>
    <row r="5741" spans="1:2" x14ac:dyDescent="0.25">
      <c r="A5741">
        <f ca="1">32850.7449408778*((RANDBETWEEN(1587,2416)))</f>
        <v>72862952.278866902</v>
      </c>
      <c r="B5741">
        <v>217984936.55244425</v>
      </c>
    </row>
    <row r="5742" spans="1:2" x14ac:dyDescent="0.25">
      <c r="A5742">
        <f ca="1">38429.430990236*((RANDBETWEEN(1587,2416)))</f>
        <v>77896456.617208347</v>
      </c>
      <c r="B5742">
        <v>251357043.87114087</v>
      </c>
    </row>
    <row r="5743" spans="1:2" x14ac:dyDescent="0.25">
      <c r="A5743">
        <f ca="1">31570.1876437252*((RANDBETWEEN(1587,2416)))</f>
        <v>61909137.969345085</v>
      </c>
      <c r="B5743">
        <v>245874471.7537412</v>
      </c>
    </row>
    <row r="5744" spans="1:2" x14ac:dyDescent="0.25">
      <c r="A5744">
        <f ca="1">30677.552203414*((RANDBETWEEN(1587,2416)))</f>
        <v>67122484.221069813</v>
      </c>
      <c r="B5744">
        <v>227954207.12720746</v>
      </c>
    </row>
    <row r="5745" spans="1:2" x14ac:dyDescent="0.25">
      <c r="A5745">
        <f ca="1">34789.4978354521*((RANDBETWEEN(1587,2416)))</f>
        <v>66969783.333245292</v>
      </c>
      <c r="B5745">
        <v>265838222.41071784</v>
      </c>
    </row>
    <row r="5746" spans="1:2" x14ac:dyDescent="0.25">
      <c r="A5746">
        <f ca="1">35209.5950504109*((RANDBETWEEN(1587,2416)))</f>
        <v>68975596.703754872</v>
      </c>
      <c r="B5746">
        <v>220423856.28715158</v>
      </c>
    </row>
    <row r="5747" spans="1:2" x14ac:dyDescent="0.25">
      <c r="A5747">
        <f ca="1">31832.9268537304*((RANDBETWEEN(1587,2416)))</f>
        <v>74138886.642338201</v>
      </c>
      <c r="B5747">
        <v>207684025.01127711</v>
      </c>
    </row>
    <row r="5748" spans="1:2" x14ac:dyDescent="0.25">
      <c r="A5748">
        <f ca="1">39780.7622144039*((RANDBETWEEN(1587,2416)))</f>
        <v>66195188.324768096</v>
      </c>
      <c r="B5748">
        <v>241516804.4063971</v>
      </c>
    </row>
    <row r="5749" spans="1:2" x14ac:dyDescent="0.25">
      <c r="A5749">
        <f ca="1">29334.2580514151*((RANDBETWEEN(1587,2416)))</f>
        <v>55119070.878608912</v>
      </c>
      <c r="B5749">
        <v>251699601.49827939</v>
      </c>
    </row>
    <row r="5750" spans="1:2" x14ac:dyDescent="0.25">
      <c r="A5750">
        <f ca="1">29978.7251861149*((RANDBETWEEN(1587,2416)))</f>
        <v>59028109.891460143</v>
      </c>
      <c r="B5750">
        <v>239697229.5639523</v>
      </c>
    </row>
    <row r="5751" spans="1:2" x14ac:dyDescent="0.25">
      <c r="A5751">
        <f ca="1">30098.3310421334*((RANDBETWEEN(1587,2416)))</f>
        <v>58601450.539033651</v>
      </c>
      <c r="B5751">
        <v>214502726.81176522</v>
      </c>
    </row>
    <row r="5752" spans="1:2" x14ac:dyDescent="0.25">
      <c r="A5752">
        <f ca="1">35591.2725255933*((RANDBETWEEN(1587,2416)))</f>
        <v>82215839.5341205</v>
      </c>
      <c r="B5752">
        <v>241870833.82449788</v>
      </c>
    </row>
    <row r="5753" spans="1:2" x14ac:dyDescent="0.25">
      <c r="A5753">
        <f ca="1">32245.3268536179*((RANDBETWEEN(1587,2416)))</f>
        <v>63877992.497017123</v>
      </c>
      <c r="B5753">
        <v>256462465.41102317</v>
      </c>
    </row>
    <row r="5754" spans="1:2" x14ac:dyDescent="0.25">
      <c r="A5754">
        <f ca="1">31833.5070220851*((RANDBETWEEN(1587,2416)))</f>
        <v>61088499.975381278</v>
      </c>
      <c r="B5754">
        <v>248160904.65342635</v>
      </c>
    </row>
    <row r="5755" spans="1:2" x14ac:dyDescent="0.25">
      <c r="A5755">
        <f ca="1">31697.9259413242*((RANDBETWEEN(1587,2416)))</f>
        <v>57183058.398148879</v>
      </c>
      <c r="B5755">
        <v>264842734.39794669</v>
      </c>
    </row>
    <row r="5756" spans="1:2" x14ac:dyDescent="0.25">
      <c r="A5756">
        <f ca="1">36652.9877630228*((RANDBETWEEN(1587,2416)))</f>
        <v>70447042.480529815</v>
      </c>
      <c r="B5756">
        <v>206182085.63205051</v>
      </c>
    </row>
    <row r="5757" spans="1:2" x14ac:dyDescent="0.25">
      <c r="A5757">
        <f ca="1">38517.8167659835*((RANDBETWEEN(1587,2416)))</f>
        <v>86742123.356995046</v>
      </c>
      <c r="B5757">
        <v>234021076.84865591</v>
      </c>
    </row>
    <row r="5758" spans="1:2" x14ac:dyDescent="0.25">
      <c r="A5758">
        <f ca="1">30822.1554718839*((RANDBETWEEN(1587,2416)))</f>
        <v>64325838.469821617</v>
      </c>
      <c r="B5758">
        <v>215854753.50330493</v>
      </c>
    </row>
    <row r="5759" spans="1:2" x14ac:dyDescent="0.25">
      <c r="A5759">
        <f ca="1">31840.5800171121*((RANDBETWEEN(1587,2416)))</f>
        <v>51740942.527807094</v>
      </c>
      <c r="B5759">
        <v>262440872.44976756</v>
      </c>
    </row>
    <row r="5760" spans="1:2" x14ac:dyDescent="0.25">
      <c r="A5760">
        <f ca="1">34944.8570153034*((RANDBETWEEN(1587,2416)))</f>
        <v>63844253.766959287</v>
      </c>
      <c r="B5760">
        <v>256404517.17884961</v>
      </c>
    </row>
    <row r="5761" spans="1:2" x14ac:dyDescent="0.25">
      <c r="A5761">
        <f ca="1">35266.5131324408*((RANDBETWEEN(1587,2416)))</f>
        <v>65384115.347545266</v>
      </c>
      <c r="B5761">
        <v>213394927.81962392</v>
      </c>
    </row>
    <row r="5762" spans="1:2" x14ac:dyDescent="0.25">
      <c r="A5762">
        <f ca="1">39339.1594531628*((RANDBETWEEN(1587,2416)))</f>
        <v>64162169.068108536</v>
      </c>
      <c r="B5762">
        <v>214185542.01826388</v>
      </c>
    </row>
    <row r="5763" spans="1:2" x14ac:dyDescent="0.25">
      <c r="A5763">
        <f ca="1">28265.8386881618*((RANDBETWEEN(1587,2416)))</f>
        <v>63117617.790665329</v>
      </c>
      <c r="B5763">
        <v>208845491.96550488</v>
      </c>
    </row>
    <row r="5764" spans="1:2" x14ac:dyDescent="0.25">
      <c r="A5764">
        <f ca="1">31332.6662298023*((RANDBETWEEN(1587,2416)))</f>
        <v>52012225.941471808</v>
      </c>
      <c r="B5764">
        <v>225787365.90529418</v>
      </c>
    </row>
    <row r="5765" spans="1:2" x14ac:dyDescent="0.25">
      <c r="A5765">
        <f ca="1">30066.5979320656*((RANDBETWEEN(1587,2416)))</f>
        <v>62328057.513171993</v>
      </c>
      <c r="B5765">
        <v>265732498.13965243</v>
      </c>
    </row>
    <row r="5766" spans="1:2" x14ac:dyDescent="0.25">
      <c r="A5766">
        <f ca="1">38176.7597303306*((RANDBETWEEN(1587,2416)))</f>
        <v>66962036.566999957</v>
      </c>
      <c r="B5766">
        <v>249983378.44406974</v>
      </c>
    </row>
    <row r="5767" spans="1:2" x14ac:dyDescent="0.25">
      <c r="A5767">
        <f ca="1">33713.0339270663*((RANDBETWEEN(1587,2416)))</f>
        <v>77202847.692981899</v>
      </c>
      <c r="B5767">
        <v>230788488.37772277</v>
      </c>
    </row>
    <row r="5768" spans="1:2" x14ac:dyDescent="0.25">
      <c r="A5768">
        <f ca="1">32041.4423483792*((RANDBETWEEN(1587,2416)))</f>
        <v>71836913.745066196</v>
      </c>
      <c r="B5768">
        <v>243040530.14003262</v>
      </c>
    </row>
    <row r="5769" spans="1:2" x14ac:dyDescent="0.25">
      <c r="A5769">
        <f ca="1">32749.1529125437*((RANDBETWEEN(1587,2416)))</f>
        <v>70476177.067794129</v>
      </c>
      <c r="B5769">
        <v>263440780.32832503</v>
      </c>
    </row>
    <row r="5770" spans="1:2" x14ac:dyDescent="0.25">
      <c r="A5770">
        <f ca="1">32192.8298859092*((RANDBETWEEN(1587,2416)))</f>
        <v>73914737.418047458</v>
      </c>
      <c r="B5770">
        <v>244536460.21619403</v>
      </c>
    </row>
    <row r="5771" spans="1:2" x14ac:dyDescent="0.25">
      <c r="A5771">
        <f ca="1">28683.0025794962*((RANDBETWEEN(1587,2416)))</f>
        <v>47240905.24843017</v>
      </c>
      <c r="B5771">
        <v>207031386.70421204</v>
      </c>
    </row>
    <row r="5772" spans="1:2" x14ac:dyDescent="0.25">
      <c r="A5772">
        <f ca="1">31360.621137679*((RANDBETWEEN(1587,2416)))</f>
        <v>64226552.089966677</v>
      </c>
      <c r="B5772">
        <v>251326509.51078478</v>
      </c>
    </row>
    <row r="5773" spans="1:2" x14ac:dyDescent="0.25">
      <c r="A5773">
        <f ca="1">35479.1585809561*((RANDBETWEEN(1587,2416)))</f>
        <v>79863585.965732098</v>
      </c>
      <c r="B5773">
        <v>205919702.23482782</v>
      </c>
    </row>
    <row r="5774" spans="1:2" x14ac:dyDescent="0.25">
      <c r="A5774">
        <f ca="1">34646.3072982662*((RANDBETWEEN(1587,2416)))</f>
        <v>80136908.780889779</v>
      </c>
      <c r="B5774">
        <v>228620058.61258808</v>
      </c>
    </row>
    <row r="5775" spans="1:2" x14ac:dyDescent="0.25">
      <c r="A5775">
        <f ca="1">39363.3612444953*((RANDBETWEEN(1587,2416)))</f>
        <v>80104440.132547989</v>
      </c>
      <c r="B5775">
        <v>223495317.0387485</v>
      </c>
    </row>
    <row r="5776" spans="1:2" x14ac:dyDescent="0.25">
      <c r="A5776">
        <f ca="1">35718.4529541778*((RANDBETWEEN(1587,2416)))</f>
        <v>69650983.260646671</v>
      </c>
      <c r="B5776">
        <v>240053106.59514463</v>
      </c>
    </row>
    <row r="5777" spans="1:2" x14ac:dyDescent="0.25">
      <c r="A5777">
        <f ca="1">32205.2922892169*((RANDBETWEEN(1587,2416)))</f>
        <v>73685708.757728383</v>
      </c>
      <c r="B5777">
        <v>205417842.05659771</v>
      </c>
    </row>
    <row r="5778" spans="1:2" x14ac:dyDescent="0.25">
      <c r="A5778">
        <f ca="1">30786.483033752*((RANDBETWEEN(1587,2416)))</f>
        <v>69977675.935718283</v>
      </c>
      <c r="B5778">
        <v>231137375.08087051</v>
      </c>
    </row>
    <row r="5779" spans="1:2" x14ac:dyDescent="0.25">
      <c r="A5779">
        <f ca="1">33244.1054577136*((RANDBETWEEN(1587,2416)))</f>
        <v>76527930.76365681</v>
      </c>
      <c r="B5779">
        <v>249551154.68931121</v>
      </c>
    </row>
    <row r="5780" spans="1:2" x14ac:dyDescent="0.25">
      <c r="A5780">
        <f ca="1">39721.0738647712*((RANDBETWEEN(1587,2416)))</f>
        <v>75470040.343065217</v>
      </c>
      <c r="B5780">
        <v>223922843.26957715</v>
      </c>
    </row>
    <row r="5781" spans="1:2" x14ac:dyDescent="0.25">
      <c r="A5781">
        <f ca="1">30154.7553745275*((RANDBETWEEN(1587,2416)))</f>
        <v>56932178.147108011</v>
      </c>
      <c r="B5781">
        <v>212146030.51993293</v>
      </c>
    </row>
    <row r="5782" spans="1:2" x14ac:dyDescent="0.25">
      <c r="A5782">
        <f ca="1">29481.0463764622*((RANDBETWEEN(1587,2416)))</f>
        <v>63413730.755770117</v>
      </c>
      <c r="B5782">
        <v>259391521.93117586</v>
      </c>
    </row>
    <row r="5783" spans="1:2" x14ac:dyDescent="0.25">
      <c r="A5783">
        <f ca="1">34035.0560240032*((RANDBETWEEN(1587,2416)))</f>
        <v>60071873.882365622</v>
      </c>
      <c r="B5783">
        <v>252131498.27447006</v>
      </c>
    </row>
    <row r="5784" spans="1:2" x14ac:dyDescent="0.25">
      <c r="A5784">
        <f ca="1">31249.7357089074*((RANDBETWEEN(1587,2416)))</f>
        <v>62686969.832068339</v>
      </c>
      <c r="B5784">
        <v>209504524.14657119</v>
      </c>
    </row>
    <row r="5785" spans="1:2" x14ac:dyDescent="0.25">
      <c r="A5785">
        <f ca="1">34646.217539117*((RANDBETWEEN(1587,2416)))</f>
        <v>55815056.455517493</v>
      </c>
      <c r="B5785">
        <v>261002999.99882814</v>
      </c>
    </row>
    <row r="5786" spans="1:2" x14ac:dyDescent="0.25">
      <c r="A5786">
        <f ca="1">37306.3499655042*((RANDBETWEEN(1587,2416)))</f>
        <v>73120445.932388291</v>
      </c>
      <c r="B5786">
        <v>239193838.39029533</v>
      </c>
    </row>
    <row r="5787" spans="1:2" x14ac:dyDescent="0.25">
      <c r="A5787">
        <f ca="1">31674.30682838*((RANDBETWEEN(1587,2416)))</f>
        <v>71045470.216056421</v>
      </c>
      <c r="B5787">
        <v>240281063.09995562</v>
      </c>
    </row>
    <row r="5788" spans="1:2" x14ac:dyDescent="0.25">
      <c r="A5788">
        <f ca="1">31822.951288304*((RANDBETWEEN(1587,2416)))</f>
        <v>52730630.284719668</v>
      </c>
      <c r="B5788">
        <v>235653236.07468775</v>
      </c>
    </row>
    <row r="5789" spans="1:2" x14ac:dyDescent="0.25">
      <c r="A5789">
        <f ca="1">32036.8813430003*((RANDBETWEEN(1587,2416)))</f>
        <v>57826570.824115589</v>
      </c>
      <c r="B5789">
        <v>229888981.64580789</v>
      </c>
    </row>
    <row r="5790" spans="1:2" x14ac:dyDescent="0.25">
      <c r="A5790">
        <f ca="1">32565.8650089902*((RANDBETWEEN(1587,2416)))</f>
        <v>64480412.717800565</v>
      </c>
      <c r="B5790">
        <v>241226082.04980811</v>
      </c>
    </row>
    <row r="5791" spans="1:2" x14ac:dyDescent="0.25">
      <c r="A5791">
        <f ca="1">29015.5339073195*((RANDBETWEEN(1587,2416)))</f>
        <v>55042467.822185174</v>
      </c>
      <c r="B5791">
        <v>253743868.33965239</v>
      </c>
    </row>
    <row r="5792" spans="1:2" x14ac:dyDescent="0.25">
      <c r="A5792">
        <f ca="1">35007.3054765657*((RANDBETWEEN(1587,2416)))</f>
        <v>79676627.264663503</v>
      </c>
      <c r="B5792">
        <v>229860124.45338377</v>
      </c>
    </row>
    <row r="5793" spans="1:2" x14ac:dyDescent="0.25">
      <c r="A5793">
        <f ca="1">32195.0762805276*((RANDBETWEEN(1587,2416)))</f>
        <v>74080870.521493897</v>
      </c>
      <c r="B5793">
        <v>226595722.06543463</v>
      </c>
    </row>
    <row r="5794" spans="1:2" x14ac:dyDescent="0.25">
      <c r="A5794">
        <f ca="1">33598.101668687*((RANDBETWEEN(1587,2416)))</f>
        <v>74822972.416165888</v>
      </c>
      <c r="B5794">
        <v>236859172.67717683</v>
      </c>
    </row>
    <row r="5795" spans="1:2" x14ac:dyDescent="0.25">
      <c r="A5795">
        <f ca="1">31521.2822136325*((RANDBETWEEN(1587,2416)))</f>
        <v>51915551.805852666</v>
      </c>
      <c r="B5795">
        <v>250902324.00338206</v>
      </c>
    </row>
    <row r="5796" spans="1:2" x14ac:dyDescent="0.25">
      <c r="A5796">
        <f ca="1">31881.0389182365*((RANDBETWEEN(1587,2416)))</f>
        <v>57194583.819316357</v>
      </c>
      <c r="B5796">
        <v>214196067.71074355</v>
      </c>
    </row>
    <row r="5797" spans="1:2" x14ac:dyDescent="0.25">
      <c r="A5797">
        <f ca="1">30280.1603303404*((RANDBETWEEN(1587,2416)))</f>
        <v>67312796.414346635</v>
      </c>
      <c r="B5797">
        <v>220859704.69572759</v>
      </c>
    </row>
    <row r="5798" spans="1:2" x14ac:dyDescent="0.25">
      <c r="A5798">
        <f ca="1">33903.8344602461*((RANDBETWEEN(1587,2416)))</f>
        <v>71401475.37327832</v>
      </c>
      <c r="B5798">
        <v>257856216.54462755</v>
      </c>
    </row>
    <row r="5799" spans="1:2" x14ac:dyDescent="0.25">
      <c r="A5799">
        <f ca="1">32696.0988204234*((RANDBETWEEN(1587,2416)))</f>
        <v>66928914.285406746</v>
      </c>
      <c r="B5799">
        <v>221591553.17851368</v>
      </c>
    </row>
    <row r="5800" spans="1:2" x14ac:dyDescent="0.25">
      <c r="A5800">
        <f ca="1">35865.0364589769*((RANDBETWEEN(1587,2416)))</f>
        <v>64951581.027207114</v>
      </c>
      <c r="B5800">
        <v>217001468.38267094</v>
      </c>
    </row>
    <row r="5801" spans="1:2" x14ac:dyDescent="0.25">
      <c r="A5801">
        <f ca="1">28894.1927412625*((RANDBETWEEN(1587,2416)))</f>
        <v>48802291.539992295</v>
      </c>
      <c r="B5801">
        <v>259499649.40100953</v>
      </c>
    </row>
    <row r="5802" spans="1:2" x14ac:dyDescent="0.25">
      <c r="A5802">
        <f ca="1">36732.2881902924*((RANDBETWEEN(1587,2416)))</f>
        <v>76439891.723998591</v>
      </c>
      <c r="B5802">
        <v>217499847.82049882</v>
      </c>
    </row>
    <row r="5803" spans="1:2" x14ac:dyDescent="0.25">
      <c r="A5803">
        <f ca="1">31128.386676221*((RANDBETWEEN(1587,2416)))</f>
        <v>49618648.361896306</v>
      </c>
      <c r="B5803">
        <v>203937642.6321702</v>
      </c>
    </row>
    <row r="5804" spans="1:2" x14ac:dyDescent="0.25">
      <c r="A5804">
        <f ca="1">40327.3598869499*((RANDBETWEEN(1587,2416)))</f>
        <v>64846394.698215388</v>
      </c>
      <c r="B5804">
        <v>223430567.91773301</v>
      </c>
    </row>
    <row r="5805" spans="1:2" x14ac:dyDescent="0.25">
      <c r="A5805">
        <f ca="1">41288.0339926915*((RANDBETWEEN(1587,2416)))</f>
        <v>68290408.223911792</v>
      </c>
      <c r="B5805">
        <v>229601904.51791477</v>
      </c>
    </row>
    <row r="5806" spans="1:2" x14ac:dyDescent="0.25">
      <c r="A5806">
        <f ca="1">40738.9795324541*((RANDBETWEEN(1587,2416)))</f>
        <v>90562751.500645384</v>
      </c>
      <c r="B5806">
        <v>206471854.36021459</v>
      </c>
    </row>
    <row r="5807" spans="1:2" x14ac:dyDescent="0.25">
      <c r="A5807">
        <f ca="1">31618.5904188953*((RANDBETWEEN(1587,2416)))</f>
        <v>67537309.13476038</v>
      </c>
      <c r="B5807">
        <v>225455892.8870104</v>
      </c>
    </row>
    <row r="5808" spans="1:2" x14ac:dyDescent="0.25">
      <c r="A5808">
        <f ca="1">32321.6202970516*((RANDBETWEEN(1587,2416)))</f>
        <v>62736264.996577188</v>
      </c>
      <c r="B5808">
        <v>206443651.87436649</v>
      </c>
    </row>
    <row r="5809" spans="1:2" x14ac:dyDescent="0.25">
      <c r="A5809">
        <f ca="1">32935.7947447463*((RANDBETWEEN(1587,2416)))</f>
        <v>79507008.513817519</v>
      </c>
      <c r="B5809">
        <v>246573562.7084212</v>
      </c>
    </row>
    <row r="5810" spans="1:2" x14ac:dyDescent="0.25">
      <c r="A5810">
        <f ca="1">31452.3594796984*((RANDBETWEEN(1587,2416)))</f>
        <v>64288622.776503503</v>
      </c>
      <c r="B5810">
        <v>245627500.33815619</v>
      </c>
    </row>
    <row r="5811" spans="1:2" x14ac:dyDescent="0.25">
      <c r="A5811">
        <f ca="1">36841.7667136849*((RANDBETWEEN(1587,2416)))</f>
        <v>88309714.812702611</v>
      </c>
      <c r="B5811">
        <v>245253215.46220943</v>
      </c>
    </row>
    <row r="5812" spans="1:2" x14ac:dyDescent="0.25">
      <c r="A5812">
        <f ca="1">33309.8129508461*((RANDBETWEEN(1587,2416)))</f>
        <v>68884693.182349771</v>
      </c>
      <c r="B5812">
        <v>229153854.61199546</v>
      </c>
    </row>
    <row r="5813" spans="1:2" x14ac:dyDescent="0.25">
      <c r="A5813">
        <f ca="1">41255.4562687269*((RANDBETWEEN(1587,2416)))</f>
        <v>66297518.2238442</v>
      </c>
      <c r="B5813">
        <v>259787494.56704938</v>
      </c>
    </row>
    <row r="5814" spans="1:2" x14ac:dyDescent="0.25">
      <c r="A5814">
        <f ca="1">32676.9490056565*((RANDBETWEEN(1587,2416)))</f>
        <v>75385721.356049657</v>
      </c>
      <c r="B5814">
        <v>226505113.03582609</v>
      </c>
    </row>
    <row r="5815" spans="1:2" x14ac:dyDescent="0.25">
      <c r="A5815">
        <f ca="1">32120.3105866907*((RANDBETWEEN(1587,2416)))</f>
        <v>63790936.825167805</v>
      </c>
      <c r="B5815">
        <v>239960237.65964532</v>
      </c>
    </row>
    <row r="5816" spans="1:2" x14ac:dyDescent="0.25">
      <c r="A5816">
        <f ca="1">34427.9056715812*((RANDBETWEEN(1587,2416)))</f>
        <v>79838313.252396747</v>
      </c>
      <c r="B5816">
        <v>216403390.76975948</v>
      </c>
    </row>
    <row r="5817" spans="1:2" x14ac:dyDescent="0.25">
      <c r="A5817">
        <f ca="1">30913.5384390353*((RANDBETWEEN(1587,2416)))</f>
        <v>51842003.962262139</v>
      </c>
      <c r="B5817">
        <v>261402623.39565083</v>
      </c>
    </row>
    <row r="5818" spans="1:2" x14ac:dyDescent="0.25">
      <c r="A5818">
        <f ca="1">40363.2680585601*((RANDBETWEEN(1587,2416)))</f>
        <v>86498483.449494332</v>
      </c>
      <c r="B5818">
        <v>244600965.08262339</v>
      </c>
    </row>
    <row r="5819" spans="1:2" x14ac:dyDescent="0.25">
      <c r="A5819">
        <f ca="1">33165.1294695826*((RANDBETWEEN(1587,2416)))</f>
        <v>73593422.293003768</v>
      </c>
      <c r="B5819">
        <v>223756987.1258873</v>
      </c>
    </row>
    <row r="5820" spans="1:2" x14ac:dyDescent="0.25">
      <c r="A5820">
        <f ca="1">29114.3452593747*((RANDBETWEEN(1587,2416)))</f>
        <v>66642736.298708603</v>
      </c>
      <c r="B5820">
        <v>243508771.38354117</v>
      </c>
    </row>
    <row r="5821" spans="1:2" x14ac:dyDescent="0.25">
      <c r="A5821">
        <f ca="1">29609.7464352105*((RANDBETWEEN(1587,2416)))</f>
        <v>49507496.03967195</v>
      </c>
      <c r="B5821">
        <v>210779887.34935454</v>
      </c>
    </row>
    <row r="5822" spans="1:2" x14ac:dyDescent="0.25">
      <c r="A5822">
        <f ca="1">31017.7788539725*((RANDBETWEEN(1587,2416)))</f>
        <v>49287250.598962352</v>
      </c>
      <c r="B5822">
        <v>243396566.62125593</v>
      </c>
    </row>
    <row r="5823" spans="1:2" x14ac:dyDescent="0.25">
      <c r="A5823">
        <f ca="1">32549.5328928477*((RANDBETWEEN(1587,2416)))</f>
        <v>57677772.286126144</v>
      </c>
      <c r="B5823">
        <v>219240791.9127686</v>
      </c>
    </row>
    <row r="5824" spans="1:2" x14ac:dyDescent="0.25">
      <c r="A5824">
        <f ca="1">32943.0246651206*((RANDBETWEEN(1587,2416)))</f>
        <v>70432186.734027803</v>
      </c>
      <c r="B5824">
        <v>265666340.22805145</v>
      </c>
    </row>
    <row r="5825" spans="1:2" x14ac:dyDescent="0.25">
      <c r="A5825">
        <f ca="1">39697.161714934*((RANDBETWEEN(1587,2416)))</f>
        <v>84078588.512230143</v>
      </c>
      <c r="B5825">
        <v>252429358.91412979</v>
      </c>
    </row>
    <row r="5826" spans="1:2" x14ac:dyDescent="0.25">
      <c r="A5826">
        <f ca="1">30063.823107111*((RANDBETWEEN(1587,2416)))</f>
        <v>70469601.363068104</v>
      </c>
      <c r="B5826">
        <v>204962041.08936062</v>
      </c>
    </row>
    <row r="5827" spans="1:2" x14ac:dyDescent="0.25">
      <c r="A5827">
        <f ca="1">37742.7377531844*((RANDBETWEEN(1587,2416)))</f>
        <v>89450288.475047052</v>
      </c>
      <c r="B5827">
        <v>238268233.74458352</v>
      </c>
    </row>
    <row r="5828" spans="1:2" x14ac:dyDescent="0.25">
      <c r="A5828">
        <f ca="1">38936.3055800544*((RANDBETWEEN(1587,2416)))</f>
        <v>68995133.487856403</v>
      </c>
      <c r="B5828">
        <v>247458967.07703266</v>
      </c>
    </row>
    <row r="5829" spans="1:2" x14ac:dyDescent="0.25">
      <c r="A5829">
        <f ca="1">30954.426827518*((RANDBETWEEN(1587,2416)))</f>
        <v>71164227.276463881</v>
      </c>
      <c r="B5829">
        <v>263561981.57721144</v>
      </c>
    </row>
    <row r="5830" spans="1:2" x14ac:dyDescent="0.25">
      <c r="A5830">
        <f ca="1">30780.8890854704*((RANDBETWEEN(1587,2416)))</f>
        <v>67717955.988034949</v>
      </c>
      <c r="B5830">
        <v>222280451.66322178</v>
      </c>
    </row>
    <row r="5831" spans="1:2" x14ac:dyDescent="0.25">
      <c r="A5831">
        <f ca="1">34726.2989437741*((RANDBETWEEN(1587,2416)))</f>
        <v>72404333.29776904</v>
      </c>
      <c r="B5831">
        <v>261349818.32783216</v>
      </c>
    </row>
    <row r="5832" spans="1:2" x14ac:dyDescent="0.25">
      <c r="A5832">
        <f ca="1">31692.3451642945*((RANDBETWEEN(1587,2416)))</f>
        <v>63194536.257603265</v>
      </c>
      <c r="B5832">
        <v>234027179.6597375</v>
      </c>
    </row>
    <row r="5833" spans="1:2" x14ac:dyDescent="0.25">
      <c r="A5833">
        <f ca="1">29788.7125565023*((RANDBETWEEN(1587,2416)))</f>
        <v>53351584.188695565</v>
      </c>
      <c r="B5833">
        <v>244398429.38995665</v>
      </c>
    </row>
    <row r="5834" spans="1:2" x14ac:dyDescent="0.25">
      <c r="A5834">
        <f ca="1">39099.8838427287*((RANDBETWEEN(1587,2416)))</f>
        <v>83165452.933483958</v>
      </c>
      <c r="B5834">
        <v>253247342.47995102</v>
      </c>
    </row>
    <row r="5835" spans="1:2" x14ac:dyDescent="0.25">
      <c r="A5835">
        <f ca="1">32173.8564502714*((RANDBETWEEN(1587,2416)))</f>
        <v>62867715.503830276</v>
      </c>
      <c r="B5835">
        <v>258565056.96483043</v>
      </c>
    </row>
    <row r="5836" spans="1:2" x14ac:dyDescent="0.25">
      <c r="A5836">
        <f ca="1">35802.5692509651*((RANDBETWEEN(1587,2416)))</f>
        <v>84708878.847783461</v>
      </c>
      <c r="B5836">
        <v>241861230.43845296</v>
      </c>
    </row>
    <row r="5837" spans="1:2" x14ac:dyDescent="0.25">
      <c r="A5837">
        <f ca="1">41156.7581513134*((RANDBETWEEN(1587,2416)))</f>
        <v>86717289.424817398</v>
      </c>
      <c r="B5837">
        <v>258093341.10762602</v>
      </c>
    </row>
    <row r="5838" spans="1:2" x14ac:dyDescent="0.25">
      <c r="A5838">
        <f ca="1">31475.3197860665*((RANDBETWEEN(1587,2416)))</f>
        <v>71732253.792445585</v>
      </c>
      <c r="B5838">
        <v>203701691.72592473</v>
      </c>
    </row>
    <row r="5839" spans="1:2" x14ac:dyDescent="0.25">
      <c r="A5839">
        <f ca="1">33884.4781624383*((RANDBETWEEN(1587,2416)))</f>
        <v>70649136.968683928</v>
      </c>
      <c r="B5839">
        <v>250032106.75856507</v>
      </c>
    </row>
    <row r="5840" spans="1:2" x14ac:dyDescent="0.25">
      <c r="A5840">
        <f ca="1">31888.0182513644*((RANDBETWEEN(1587,2416)))</f>
        <v>65657429.579559341</v>
      </c>
      <c r="B5840">
        <v>233654895.96236005</v>
      </c>
    </row>
    <row r="5841" spans="1:2" x14ac:dyDescent="0.25">
      <c r="A5841">
        <f ca="1">39256.6985533587*((RANDBETWEEN(1587,2416)))</f>
        <v>80790285.622812256</v>
      </c>
      <c r="B5841">
        <v>221185664.9976989</v>
      </c>
    </row>
    <row r="5842" spans="1:2" x14ac:dyDescent="0.25">
      <c r="A5842">
        <f ca="1">31860.3558789195*((RANDBETWEEN(1587,2416)))</f>
        <v>62987923.57262376</v>
      </c>
      <c r="B5842">
        <v>245770092.28837961</v>
      </c>
    </row>
    <row r="5843" spans="1:2" x14ac:dyDescent="0.25">
      <c r="A5843">
        <f ca="1">40996.8587765805*((RANDBETWEEN(1587,2416)))</f>
        <v>66086936.347847834</v>
      </c>
      <c r="B5843">
        <v>256238338.21282679</v>
      </c>
    </row>
    <row r="5844" spans="1:2" x14ac:dyDescent="0.25">
      <c r="A5844">
        <f ca="1">30363.3890806515*((RANDBETWEEN(1587,2416)))</f>
        <v>65584920.41420716</v>
      </c>
      <c r="B5844">
        <v>226958334.62608099</v>
      </c>
    </row>
    <row r="5845" spans="1:2" x14ac:dyDescent="0.25">
      <c r="A5845">
        <f ca="1">31609.4777680762*((RANDBETWEEN(1587,2416)))</f>
        <v>69319584.745391041</v>
      </c>
      <c r="B5845">
        <v>249882468.41766328</v>
      </c>
    </row>
    <row r="5846" spans="1:2" x14ac:dyDescent="0.25">
      <c r="A5846">
        <f ca="1">37111.4249910372*((RANDBETWEEN(1587,2416)))</f>
        <v>71402381.682755485</v>
      </c>
      <c r="B5846">
        <v>266131640.80817279</v>
      </c>
    </row>
    <row r="5847" spans="1:2" x14ac:dyDescent="0.25">
      <c r="A5847">
        <f ca="1">37829.249763431*((RANDBETWEEN(1587,2416)))</f>
        <v>81900325.737828165</v>
      </c>
      <c r="B5847">
        <v>214778436.19308949</v>
      </c>
    </row>
    <row r="5848" spans="1:2" x14ac:dyDescent="0.25">
      <c r="A5848">
        <f ca="1">31820.0535731678*((RANDBETWEEN(1587,2416)))</f>
        <v>72963382.843273744</v>
      </c>
      <c r="B5848">
        <v>209889800.79312289</v>
      </c>
    </row>
    <row r="5849" spans="1:2" x14ac:dyDescent="0.25">
      <c r="A5849">
        <f ca="1">38780.9824374645*((RANDBETWEEN(1587,2416)))</f>
        <v>74537048.244806767</v>
      </c>
      <c r="B5849">
        <v>255176104.07670724</v>
      </c>
    </row>
    <row r="5850" spans="1:2" x14ac:dyDescent="0.25">
      <c r="A5850">
        <f ca="1">37630.8896690274*((RANDBETWEEN(1587,2416)))</f>
        <v>76616491.366139844</v>
      </c>
      <c r="B5850">
        <v>218444447.58921087</v>
      </c>
    </row>
    <row r="5851" spans="1:2" x14ac:dyDescent="0.25">
      <c r="A5851">
        <f ca="1">31597.2958131362*((RANDBETWEEN(1587,2416)))</f>
        <v>61330351.173297428</v>
      </c>
      <c r="B5851">
        <v>252299390.71017107</v>
      </c>
    </row>
    <row r="5852" spans="1:2" x14ac:dyDescent="0.25">
      <c r="A5852">
        <f ca="1">39782.9562612754*((RANDBETWEEN(1587,2416)))</f>
        <v>68864297.288267627</v>
      </c>
      <c r="B5852">
        <v>263278907.53570735</v>
      </c>
    </row>
    <row r="5853" spans="1:2" x14ac:dyDescent="0.25">
      <c r="A5853">
        <f ca="1">29435.2661912099*((RANDBETWEEN(1587,2416)))</f>
        <v>65728949.404971607</v>
      </c>
      <c r="B5853">
        <v>227663119.38488096</v>
      </c>
    </row>
    <row r="5854" spans="1:2" x14ac:dyDescent="0.25">
      <c r="A5854">
        <f ca="1">34077.457068902*((RANDBETWEEN(1587,2416)))</f>
        <v>80763573.253297806</v>
      </c>
      <c r="B5854">
        <v>215920859.86618042</v>
      </c>
    </row>
    <row r="5855" spans="1:2" x14ac:dyDescent="0.25">
      <c r="A5855">
        <f ca="1">38625.8549323033*((RANDBETWEEN(1587,2416)))</f>
        <v>89727861.007740527</v>
      </c>
      <c r="B5855">
        <v>226126371.0046809</v>
      </c>
    </row>
    <row r="5856" spans="1:2" x14ac:dyDescent="0.25">
      <c r="A5856">
        <f ca="1">31382.3101391746*((RANDBETWEEN(1587,2416)))</f>
        <v>68476200.723678902</v>
      </c>
      <c r="B5856">
        <v>252474823.09421098</v>
      </c>
    </row>
    <row r="5857" spans="1:2" x14ac:dyDescent="0.25">
      <c r="A5857">
        <f ca="1">33531.6433655493*((RANDBETWEEN(1587,2416)))</f>
        <v>69343438.479955867</v>
      </c>
      <c r="B5857">
        <v>215153786.18500948</v>
      </c>
    </row>
    <row r="5858" spans="1:2" x14ac:dyDescent="0.25">
      <c r="A5858">
        <f ca="1">32762.7023768801*((RANDBETWEEN(1587,2416)))</f>
        <v>65787506.372775286</v>
      </c>
      <c r="B5858">
        <v>239894830.28306276</v>
      </c>
    </row>
    <row r="5859" spans="1:2" x14ac:dyDescent="0.25">
      <c r="A5859">
        <f ca="1">32741.0752110072*((RANDBETWEEN(1587,2416)))</f>
        <v>69149150.845647112</v>
      </c>
      <c r="B5859">
        <v>219786243.0976499</v>
      </c>
    </row>
    <row r="5860" spans="1:2" x14ac:dyDescent="0.25">
      <c r="A5860">
        <f ca="1">30173.6717613789*((RANDBETWEEN(1587,2416)))</f>
        <v>58114491.812415741</v>
      </c>
      <c r="B5860">
        <v>205727631.26212394</v>
      </c>
    </row>
    <row r="5861" spans="1:2" x14ac:dyDescent="0.25">
      <c r="A5861">
        <f ca="1">37167.6313891405*((RANDBETWEEN(1587,2416)))</f>
        <v>74558268.566615939</v>
      </c>
      <c r="B5861">
        <v>209951220.94345018</v>
      </c>
    </row>
    <row r="5862" spans="1:2" x14ac:dyDescent="0.25">
      <c r="A5862">
        <f ca="1">39717.4189231591*((RANDBETWEEN(1587,2416)))</f>
        <v>86544255.833563685</v>
      </c>
      <c r="B5862">
        <v>214290444.13505378</v>
      </c>
    </row>
    <row r="5863" spans="1:2" x14ac:dyDescent="0.25">
      <c r="A5863">
        <f ca="1">39204.8694762266*((RANDBETWEEN(1587,2416)))</f>
        <v>69314209.233968541</v>
      </c>
      <c r="B5863">
        <v>249960129.54289708</v>
      </c>
    </row>
    <row r="5864" spans="1:2" x14ac:dyDescent="0.25">
      <c r="A5864">
        <f ca="1">38487.3912355553*((RANDBETWEEN(1587,2416)))</f>
        <v>79591925.075128302</v>
      </c>
      <c r="B5864">
        <v>215700540.72957435</v>
      </c>
    </row>
    <row r="5865" spans="1:2" x14ac:dyDescent="0.25">
      <c r="A5865">
        <f ca="1">35279.9946181807*((RANDBETWEEN(1587,2416)))</f>
        <v>68795989.50545229</v>
      </c>
      <c r="B5865">
        <v>226325815.26103008</v>
      </c>
    </row>
    <row r="5866" spans="1:2" x14ac:dyDescent="0.25">
      <c r="A5866">
        <f ca="1">32077.7719523042*((RANDBETWEEN(1587,2416)))</f>
        <v>51645212.843209691</v>
      </c>
      <c r="B5866">
        <v>258806161.53326204</v>
      </c>
    </row>
    <row r="5867" spans="1:2" x14ac:dyDescent="0.25">
      <c r="A5867">
        <f ca="1">36519.2001190121*((RANDBETWEEN(1587,2416)))</f>
        <v>72928842.637667075</v>
      </c>
      <c r="B5867">
        <v>207932552.18423158</v>
      </c>
    </row>
    <row r="5868" spans="1:2" x14ac:dyDescent="0.25">
      <c r="A5868">
        <f ca="1">38837.4244832368*((RANDBETWEEN(1587,2416)))</f>
        <v>84083024.00620766</v>
      </c>
      <c r="B5868">
        <v>220234681.55023253</v>
      </c>
    </row>
    <row r="5869" spans="1:2" x14ac:dyDescent="0.25">
      <c r="A5869">
        <f ca="1">36489.6027741377*((RANDBETWEEN(1587,2416)))</f>
        <v>81846179.022390768</v>
      </c>
      <c r="B5869">
        <v>211105206.01305085</v>
      </c>
    </row>
    <row r="5870" spans="1:2" x14ac:dyDescent="0.25">
      <c r="A5870">
        <f ca="1">30881.5578784644*((RANDBETWEEN(1587,2416)))</f>
        <v>67043862.154146232</v>
      </c>
      <c r="B5870">
        <v>204656846.4332642</v>
      </c>
    </row>
    <row r="5871" spans="1:2" x14ac:dyDescent="0.25">
      <c r="A5871">
        <f ca="1">33304.9512847283*((RANDBETWEEN(1587,2416)))</f>
        <v>73837076.998242661</v>
      </c>
      <c r="B5871">
        <v>224763812.96984121</v>
      </c>
    </row>
    <row r="5872" spans="1:2" x14ac:dyDescent="0.25">
      <c r="A5872">
        <f ca="1">29978.1324800009*((RANDBETWEEN(1587,2416)))</f>
        <v>71467867.83232221</v>
      </c>
      <c r="B5872">
        <v>244210457.97008324</v>
      </c>
    </row>
    <row r="5873" spans="1:2" x14ac:dyDescent="0.25">
      <c r="A5873">
        <f ca="1">33768.6933430079*((RANDBETWEEN(1587,2416)))</f>
        <v>73649520.181100249</v>
      </c>
      <c r="B5873">
        <v>216047377.37260157</v>
      </c>
    </row>
    <row r="5874" spans="1:2" x14ac:dyDescent="0.25">
      <c r="A5874">
        <f ca="1">31177.3877704292*((RANDBETWEEN(1587,2416)))</f>
        <v>72580958.729559213</v>
      </c>
      <c r="B5874">
        <v>211841535.16090956</v>
      </c>
    </row>
    <row r="5875" spans="1:2" x14ac:dyDescent="0.25">
      <c r="A5875">
        <f ca="1">42407.1474647503*((RANDBETWEEN(1587,2416)))</f>
        <v>101861968.21033016</v>
      </c>
      <c r="B5875">
        <v>246250529.84092018</v>
      </c>
    </row>
    <row r="5876" spans="1:2" x14ac:dyDescent="0.25">
      <c r="A5876">
        <f ca="1">32610.4716801872*((RANDBETWEEN(1587,2416)))</f>
        <v>73177898.450340107</v>
      </c>
      <c r="B5876">
        <v>258410329.64444214</v>
      </c>
    </row>
    <row r="5877" spans="1:2" x14ac:dyDescent="0.25">
      <c r="A5877">
        <f ca="1">37725.4593916443*((RANDBETWEEN(1587,2416)))</f>
        <v>73036489.382223427</v>
      </c>
      <c r="B5877">
        <v>245465468.50349253</v>
      </c>
    </row>
    <row r="5878" spans="1:2" x14ac:dyDescent="0.25">
      <c r="A5878">
        <f ca="1">29149.6237860112*((RANDBETWEEN(1587,2416)))</f>
        <v>50108203.288153306</v>
      </c>
      <c r="B5878">
        <v>220498379.52469021</v>
      </c>
    </row>
    <row r="5879" spans="1:2" x14ac:dyDescent="0.25">
      <c r="A5879">
        <f ca="1">34079.4820280949*((RANDBETWEEN(1587,2416)))</f>
        <v>77633060.060000092</v>
      </c>
      <c r="B5879">
        <v>246409039.44429237</v>
      </c>
    </row>
    <row r="5880" spans="1:2" x14ac:dyDescent="0.25">
      <c r="A5880">
        <f ca="1">33192.3357125069*((RANDBETWEEN(1587,2416)))</f>
        <v>79562028.702879027</v>
      </c>
      <c r="B5880">
        <v>260034746.63939679</v>
      </c>
    </row>
    <row r="5881" spans="1:2" x14ac:dyDescent="0.25">
      <c r="A5881">
        <f ca="1">29689.2851710732*((RANDBETWEEN(1587,2416)))</f>
        <v>64930466.66913712</v>
      </c>
      <c r="B5881">
        <v>226885213.84252059</v>
      </c>
    </row>
    <row r="5882" spans="1:2" x14ac:dyDescent="0.25">
      <c r="A5882">
        <f ca="1">29188.5617899504*((RANDBETWEEN(1587,2416)))</f>
        <v>52918862.525180072</v>
      </c>
      <c r="B5882">
        <v>248084217.3528229</v>
      </c>
    </row>
    <row r="5883" spans="1:2" x14ac:dyDescent="0.25">
      <c r="A5883">
        <f ca="1">33234.2562123642*((RANDBETWEEN(1587,2416)))</f>
        <v>72184804.493254974</v>
      </c>
      <c r="B5883">
        <v>211714367.07029587</v>
      </c>
    </row>
    <row r="5884" spans="1:2" x14ac:dyDescent="0.25">
      <c r="A5884">
        <f ca="1">39579.6648589427*((RANDBETWEEN(1587,2416)))</f>
        <v>77061607.480361387</v>
      </c>
      <c r="B5884">
        <v>236954886.220157</v>
      </c>
    </row>
    <row r="5885" spans="1:2" x14ac:dyDescent="0.25">
      <c r="A5885">
        <f ca="1">30606.1021111481*((RANDBETWEEN(1587,2416)))</f>
        <v>70577671.46830745</v>
      </c>
      <c r="B5885">
        <v>261324443.77671009</v>
      </c>
    </row>
    <row r="5886" spans="1:2" x14ac:dyDescent="0.25">
      <c r="A5886">
        <f ca="1">32537.5998736414*((RANDBETWEEN(1587,2416)))</f>
        <v>59836646.167626448</v>
      </c>
      <c r="B5886">
        <v>238154240.9211604</v>
      </c>
    </row>
    <row r="5887" spans="1:2" x14ac:dyDescent="0.25">
      <c r="A5887">
        <f ca="1">34051.7317539028*((RANDBETWEEN(1587,2416)))</f>
        <v>79204328.059577987</v>
      </c>
      <c r="B5887">
        <v>249935544.79741555</v>
      </c>
    </row>
    <row r="5888" spans="1:2" x14ac:dyDescent="0.25">
      <c r="A5888">
        <f ca="1">34218.3189825477*((RANDBETWEEN(1587,2416)))</f>
        <v>79215408.44459787</v>
      </c>
      <c r="B5888">
        <v>222242478.25492212</v>
      </c>
    </row>
    <row r="5889" spans="1:2" x14ac:dyDescent="0.25">
      <c r="A5889">
        <f ca="1">36502.930034836*((RANDBETWEEN(1587,2416)))</f>
        <v>61288419.528489649</v>
      </c>
      <c r="B5889">
        <v>209564455.29392245</v>
      </c>
    </row>
    <row r="5890" spans="1:2" x14ac:dyDescent="0.25">
      <c r="A5890">
        <f ca="1">32594.713236942*((RANDBETWEEN(1587,2416)))</f>
        <v>63657474.951747783</v>
      </c>
      <c r="B5890">
        <v>261604269.03476045</v>
      </c>
    </row>
    <row r="5891" spans="1:2" x14ac:dyDescent="0.25">
      <c r="A5891">
        <f ca="1">33350.9126118803*((RANDBETWEEN(1587,2416)))</f>
        <v>58230693.420343019</v>
      </c>
      <c r="B5891">
        <v>243760363.08602202</v>
      </c>
    </row>
    <row r="5892" spans="1:2" x14ac:dyDescent="0.25">
      <c r="A5892">
        <f ca="1">31549.413091557*((RANDBETWEEN(1587,2416)))</f>
        <v>63950660.336586043</v>
      </c>
      <c r="B5892">
        <v>229711685.12122992</v>
      </c>
    </row>
    <row r="5893" spans="1:2" x14ac:dyDescent="0.25">
      <c r="A5893">
        <f ca="1">30023.1839351634*((RANDBETWEEN(1587,2416)))</f>
        <v>57854675.443059951</v>
      </c>
      <c r="B5893">
        <v>242562436.4042806</v>
      </c>
    </row>
    <row r="5894" spans="1:2" x14ac:dyDescent="0.25">
      <c r="A5894">
        <f ca="1">39817.9750813347*((RANDBETWEEN(1587,2416)))</f>
        <v>81587030.941654786</v>
      </c>
      <c r="B5894">
        <v>222820492.48302853</v>
      </c>
    </row>
    <row r="5895" spans="1:2" x14ac:dyDescent="0.25">
      <c r="A5895">
        <f ca="1">38117.5236343343*((RANDBETWEEN(1587,2416)))</f>
        <v>60759332.673128881</v>
      </c>
      <c r="B5895">
        <v>253909681.6289213</v>
      </c>
    </row>
    <row r="5896" spans="1:2" x14ac:dyDescent="0.25">
      <c r="A5896">
        <f ca="1">32378.0327107261*((RANDBETWEEN(1587,2416)))</f>
        <v>65500760.173798926</v>
      </c>
      <c r="B5896">
        <v>221052775.36010239</v>
      </c>
    </row>
    <row r="5897" spans="1:2" x14ac:dyDescent="0.25">
      <c r="A5897">
        <f ca="1">34575.7295043219*((RANDBETWEEN(1587,2416)))</f>
        <v>81114661.417139247</v>
      </c>
      <c r="B5897">
        <v>264766785.21524936</v>
      </c>
    </row>
    <row r="5898" spans="1:2" x14ac:dyDescent="0.25">
      <c r="A5898">
        <f ca="1">39301.6244062293*((RANDBETWEEN(1587,2416)))</f>
        <v>83280142.116799831</v>
      </c>
      <c r="B5898">
        <v>245070724.15181917</v>
      </c>
    </row>
    <row r="5899" spans="1:2" x14ac:dyDescent="0.25">
      <c r="A5899">
        <f ca="1">30215.3334600788*((RANDBETWEEN(1587,2416)))</f>
        <v>55052337.564263485</v>
      </c>
      <c r="B5899">
        <v>237863741.24170366</v>
      </c>
    </row>
    <row r="5900" spans="1:2" x14ac:dyDescent="0.25">
      <c r="A5900">
        <f ca="1">30617.8514108194*((RANDBETWEEN(1587,2416)))</f>
        <v>59980370.913795233</v>
      </c>
      <c r="B5900">
        <v>238531069.79573214</v>
      </c>
    </row>
    <row r="5901" spans="1:2" x14ac:dyDescent="0.25">
      <c r="A5901">
        <f ca="1">36837.9704860881*((RANDBETWEEN(1587,2416)))</f>
        <v>66455698.756903097</v>
      </c>
      <c r="B5901">
        <v>221351136.08098876</v>
      </c>
    </row>
    <row r="5902" spans="1:2" x14ac:dyDescent="0.25">
      <c r="A5902">
        <f ca="1">29330.1764647204*((RANDBETWEEN(1587,2416)))</f>
        <v>49010724.87254782</v>
      </c>
      <c r="B5902">
        <v>240913265.86547539</v>
      </c>
    </row>
    <row r="5903" spans="1:2" x14ac:dyDescent="0.25">
      <c r="A5903">
        <f ca="1">31314.9256788185*((RANDBETWEEN(1587,2416)))</f>
        <v>59310469.235682227</v>
      </c>
      <c r="B5903">
        <v>238181570.94167688</v>
      </c>
    </row>
    <row r="5904" spans="1:2" x14ac:dyDescent="0.25">
      <c r="A5904">
        <f ca="1">36496.230685773*((RANDBETWEEN(1587,2416)))</f>
        <v>79817256.509785488</v>
      </c>
      <c r="B5904">
        <v>239783509.9764542</v>
      </c>
    </row>
    <row r="5905" spans="1:2" x14ac:dyDescent="0.25">
      <c r="A5905">
        <f ca="1">32029.0600323419*((RANDBETWEEN(1587,2416)))</f>
        <v>64346381.604974829</v>
      </c>
      <c r="B5905">
        <v>255752186.21216023</v>
      </c>
    </row>
    <row r="5906" spans="1:2" x14ac:dyDescent="0.25">
      <c r="A5906">
        <f ca="1">33025.1503491308*((RANDBETWEEN(1587,2416)))</f>
        <v>78038430.274996161</v>
      </c>
      <c r="B5906">
        <v>233646950.03672415</v>
      </c>
    </row>
    <row r="5907" spans="1:2" x14ac:dyDescent="0.25">
      <c r="A5907">
        <f ca="1">29619.6899935198*((RANDBETWEEN(1587,2416)))</f>
        <v>71294593.814402074</v>
      </c>
      <c r="B5907">
        <v>205058404.79681033</v>
      </c>
    </row>
    <row r="5908" spans="1:2" x14ac:dyDescent="0.25">
      <c r="A5908">
        <f ca="1">36936.0143618966*((RANDBETWEEN(1587,2416)))</f>
        <v>87132057.879713982</v>
      </c>
      <c r="B5908">
        <v>220431607.32997593</v>
      </c>
    </row>
    <row r="5909" spans="1:2" x14ac:dyDescent="0.25">
      <c r="A5909">
        <f ca="1">32197.5953659988*((RANDBETWEEN(1587,2416)))</f>
        <v>52288894.874381997</v>
      </c>
      <c r="B5909">
        <v>230249407.57529026</v>
      </c>
    </row>
    <row r="5910" spans="1:2" x14ac:dyDescent="0.25">
      <c r="A5910">
        <f ca="1">32620.642184308*((RANDBETWEEN(1587,2416)))</f>
        <v>63773355.470322058</v>
      </c>
      <c r="B5910">
        <v>259329528.282318</v>
      </c>
    </row>
    <row r="5911" spans="1:2" x14ac:dyDescent="0.25">
      <c r="A5911">
        <f ca="1">31007.0279713768*((RANDBETWEEN(1587,2416)))</f>
        <v>61548950.523182862</v>
      </c>
      <c r="B5911">
        <v>242451535.6420356</v>
      </c>
    </row>
    <row r="5912" spans="1:2" x14ac:dyDescent="0.25">
      <c r="A5912">
        <f ca="1">32390.9862599489*((RANDBETWEEN(1587,2416)))</f>
        <v>72879719.084884912</v>
      </c>
      <c r="B5912">
        <v>251912434.35549784</v>
      </c>
    </row>
    <row r="5913" spans="1:2" x14ac:dyDescent="0.25">
      <c r="A5913">
        <f ca="1">32237.4117972955*((RANDBETWEEN(1587,2416)))</f>
        <v>66634730.18500986</v>
      </c>
      <c r="B5913">
        <v>256448427.55063316</v>
      </c>
    </row>
    <row r="5914" spans="1:2" x14ac:dyDescent="0.25">
      <c r="A5914">
        <f ca="1">37527.4140817409*((RANDBETWEEN(1587,2416)))</f>
        <v>82597838.393911824</v>
      </c>
      <c r="B5914">
        <v>203810192.80779135</v>
      </c>
    </row>
    <row r="5915" spans="1:2" x14ac:dyDescent="0.25">
      <c r="A5915">
        <f ca="1">34232.1116628527*((RANDBETWEEN(1587,2416)))</f>
        <v>67505724.199145615</v>
      </c>
      <c r="B5915">
        <v>255686793.9508186</v>
      </c>
    </row>
    <row r="5916" spans="1:2" x14ac:dyDescent="0.25">
      <c r="A5916">
        <f ca="1">39694.4619992639*((RANDBETWEEN(1587,2416)))</f>
        <v>64265333.976808228</v>
      </c>
      <c r="B5916">
        <v>234987948.23343262</v>
      </c>
    </row>
    <row r="5917" spans="1:2" x14ac:dyDescent="0.25">
      <c r="A5917">
        <f ca="1">34940.7973477265*((RANDBETWEEN(1587,2416)))</f>
        <v>59713822.667264521</v>
      </c>
      <c r="B5917">
        <v>262673204.96887022</v>
      </c>
    </row>
    <row r="5918" spans="1:2" x14ac:dyDescent="0.25">
      <c r="A5918">
        <f ca="1">39214.7138761949*((RANDBETWEEN(1587,2416)))</f>
        <v>81841107.859618813</v>
      </c>
      <c r="B5918">
        <v>206262778.36018866</v>
      </c>
    </row>
    <row r="5919" spans="1:2" x14ac:dyDescent="0.25">
      <c r="A5919">
        <f ca="1">36699.8867501697*((RANDBETWEEN(1587,2416)))</f>
        <v>58573019.253270999</v>
      </c>
      <c r="B5919">
        <v>232523092.70711139</v>
      </c>
    </row>
    <row r="5920" spans="1:2" x14ac:dyDescent="0.25">
      <c r="A5920">
        <f ca="1">31948.4230326629*((RANDBETWEEN(1587,2416)))</f>
        <v>68784954.789323211</v>
      </c>
      <c r="B5920">
        <v>240021096.49085984</v>
      </c>
    </row>
    <row r="5921" spans="1:2" x14ac:dyDescent="0.25">
      <c r="A5921">
        <f ca="1">40768.9852428209*((RANDBETWEEN(1587,2416)))</f>
        <v>76238002.404074997</v>
      </c>
      <c r="B5921">
        <v>221202995.47988844</v>
      </c>
    </row>
    <row r="5922" spans="1:2" x14ac:dyDescent="0.25">
      <c r="A5922">
        <f ca="1">30764.0663022092*((RANDBETWEEN(1587,2416)))</f>
        <v>69311441.378877431</v>
      </c>
      <c r="B5922">
        <v>252047827.33554718</v>
      </c>
    </row>
    <row r="5923" spans="1:2" x14ac:dyDescent="0.25">
      <c r="A5923">
        <f ca="1">32516.0618898996*((RANDBETWEEN(1587,2416)))</f>
        <v>52188279.333288893</v>
      </c>
      <c r="B5923">
        <v>212950874.07324588</v>
      </c>
    </row>
    <row r="5924" spans="1:2" x14ac:dyDescent="0.25">
      <c r="A5924">
        <f ca="1">37238.4679978444*((RANDBETWEEN(1587,2416)))</f>
        <v>78349736.667464674</v>
      </c>
      <c r="B5924">
        <v>209445744.08106989</v>
      </c>
    </row>
    <row r="5925" spans="1:2" x14ac:dyDescent="0.25">
      <c r="A5925">
        <f ca="1">32379.8258842324*((RANDBETWEEN(1587,2416)))</f>
        <v>57895128.681007519</v>
      </c>
      <c r="B5925">
        <v>242951311.56311092</v>
      </c>
    </row>
    <row r="5926" spans="1:2" x14ac:dyDescent="0.25">
      <c r="A5926">
        <f ca="1">31151.6284851009*((RANDBETWEEN(1587,2416)))</f>
        <v>61898285.799895398</v>
      </c>
      <c r="B5926">
        <v>238595875.79878834</v>
      </c>
    </row>
    <row r="5927" spans="1:2" x14ac:dyDescent="0.25">
      <c r="A5927">
        <f ca="1">29881.3595999455*((RANDBETWEEN(1587,2416)))</f>
        <v>59254736.08669199</v>
      </c>
      <c r="B5927">
        <v>215939012.40806451</v>
      </c>
    </row>
    <row r="5928" spans="1:2" x14ac:dyDescent="0.25">
      <c r="A5928">
        <f ca="1">30965.913759542*((RANDBETWEEN(1587,2416)))</f>
        <v>60042906.779751882</v>
      </c>
      <c r="B5928">
        <v>231637633.39301598</v>
      </c>
    </row>
    <row r="5929" spans="1:2" x14ac:dyDescent="0.25">
      <c r="A5929">
        <f ca="1">29763.4767081153*((RANDBETWEEN(1587,2416)))</f>
        <v>61640160.262506887</v>
      </c>
      <c r="B5929">
        <v>220588925.74543786</v>
      </c>
    </row>
    <row r="5930" spans="1:2" x14ac:dyDescent="0.25">
      <c r="A5930">
        <f ca="1">39922.0300482704*((RANDBETWEEN(1587,2416)))</f>
        <v>69424410.253942356</v>
      </c>
      <c r="B5930">
        <v>233998207.04883015</v>
      </c>
    </row>
    <row r="5931" spans="1:2" x14ac:dyDescent="0.25">
      <c r="A5931">
        <f ca="1">31893.1002514698*((RANDBETWEEN(1587,2416)))</f>
        <v>59608204.369997144</v>
      </c>
      <c r="B5931">
        <v>225039611.56434721</v>
      </c>
    </row>
    <row r="5932" spans="1:2" x14ac:dyDescent="0.25">
      <c r="A5932">
        <f ca="1">32988.5269978915*((RANDBETWEEN(1587,2416)))</f>
        <v>61490614.324069679</v>
      </c>
      <c r="B5932">
        <v>229934088.38837689</v>
      </c>
    </row>
    <row r="5933" spans="1:2" x14ac:dyDescent="0.25">
      <c r="A5933">
        <f ca="1">35732.6425532528*((RANDBETWEEN(1587,2416)))</f>
        <v>67856288.208627194</v>
      </c>
      <c r="B5933">
        <v>231101794.7597256</v>
      </c>
    </row>
    <row r="5934" spans="1:2" x14ac:dyDescent="0.25">
      <c r="A5934">
        <f ca="1">41426.4972461601*((RANDBETWEEN(1587,2416)))</f>
        <v>76183328.435688391</v>
      </c>
      <c r="B5934">
        <v>226188679.92628685</v>
      </c>
    </row>
    <row r="5935" spans="1:2" x14ac:dyDescent="0.25">
      <c r="A5935">
        <f ca="1">37561.3797565071*((RANDBETWEEN(1587,2416)))</f>
        <v>62577258.674340755</v>
      </c>
      <c r="B5935">
        <v>206744543.6148026</v>
      </c>
    </row>
    <row r="5936" spans="1:2" x14ac:dyDescent="0.25">
      <c r="A5936">
        <f ca="1">37928.0466022022*((RANDBETWEEN(1587,2416)))</f>
        <v>61708931.821782969</v>
      </c>
      <c r="B5936">
        <v>205734082.74787286</v>
      </c>
    </row>
    <row r="5937" spans="1:2" x14ac:dyDescent="0.25">
      <c r="A5937">
        <f ca="1">33966.5130498175*((RANDBETWEEN(1587,2416)))</f>
        <v>80636501.980266735</v>
      </c>
      <c r="B5937">
        <v>236124125.39290452</v>
      </c>
    </row>
    <row r="5938" spans="1:2" x14ac:dyDescent="0.25">
      <c r="A5938">
        <f ca="1">31989.2236362451*((RANDBETWEEN(1587,2416)))</f>
        <v>56237055.152518928</v>
      </c>
      <c r="B5938">
        <v>251892258.78348726</v>
      </c>
    </row>
    <row r="5939" spans="1:2" x14ac:dyDescent="0.25">
      <c r="A5939">
        <f ca="1">33092.707932109*((RANDBETWEEN(1587,2416)))</f>
        <v>69825613.736750051</v>
      </c>
      <c r="B5939">
        <v>230332588.32031995</v>
      </c>
    </row>
    <row r="5940" spans="1:2" x14ac:dyDescent="0.25">
      <c r="A5940">
        <f ca="1">36652.4288651665*((RANDBETWEEN(1587,2416)))</f>
        <v>58240709.466749623</v>
      </c>
      <c r="B5940">
        <v>234589699.250682</v>
      </c>
    </row>
    <row r="5941" spans="1:2" x14ac:dyDescent="0.25">
      <c r="A5941">
        <f ca="1">29483.9339632148*((RANDBETWEEN(1587,2416)))</f>
        <v>58496124.983018123</v>
      </c>
      <c r="B5941">
        <v>262611672.36041442</v>
      </c>
    </row>
    <row r="5942" spans="1:2" x14ac:dyDescent="0.25">
      <c r="A5942">
        <f ca="1">29946.4732428942*((RANDBETWEEN(1587,2416)))</f>
        <v>66541063.545710891</v>
      </c>
      <c r="B5942">
        <v>210814321.28584361</v>
      </c>
    </row>
    <row r="5943" spans="1:2" x14ac:dyDescent="0.25">
      <c r="A5943">
        <f ca="1">29472.3980514869*((RANDBETWEEN(1587,2416)))</f>
        <v>49277849.542086169</v>
      </c>
      <c r="B5943">
        <v>227180346.13365689</v>
      </c>
    </row>
    <row r="5944" spans="1:2" x14ac:dyDescent="0.25">
      <c r="A5944">
        <f ca="1">31209.0266232798*((RANDBETWEEN(1587,2416)))</f>
        <v>67005780.160181664</v>
      </c>
      <c r="B5944">
        <v>213194773.40484145</v>
      </c>
    </row>
    <row r="5945" spans="1:2" x14ac:dyDescent="0.25">
      <c r="A5945">
        <f ca="1">33847.2441766821*((RANDBETWEEN(1587,2416)))</f>
        <v>80421052.163796663</v>
      </c>
      <c r="B5945">
        <v>205467005.52743322</v>
      </c>
    </row>
    <row r="5946" spans="1:2" x14ac:dyDescent="0.25">
      <c r="A5946">
        <f ca="1">30721.1840360039*((RANDBETWEEN(1587,2416)))</f>
        <v>60797223.207251802</v>
      </c>
      <c r="B5946">
        <v>246136513.06785208</v>
      </c>
    </row>
    <row r="5947" spans="1:2" x14ac:dyDescent="0.25">
      <c r="A5947">
        <f ca="1">29594.9237061389*((RANDBETWEEN(1587,2416)))</f>
        <v>59397011.878220715</v>
      </c>
      <c r="B5947">
        <v>250533517.37797141</v>
      </c>
    </row>
    <row r="5948" spans="1:2" x14ac:dyDescent="0.25">
      <c r="A5948">
        <f ca="1">31822.2767743105*((RANDBETWEEN(1587,2416)))</f>
        <v>54766138.328588396</v>
      </c>
      <c r="B5948">
        <v>241579556.9510434</v>
      </c>
    </row>
    <row r="5949" spans="1:2" x14ac:dyDescent="0.25">
      <c r="A5949">
        <f ca="1">31669.5267377104*((RANDBETWEEN(1587,2416)))</f>
        <v>63465731.582371637</v>
      </c>
      <c r="B5949">
        <v>255668383.29597574</v>
      </c>
    </row>
    <row r="5950" spans="1:2" x14ac:dyDescent="0.25">
      <c r="A5950">
        <f ca="1">28738.1714172449*((RANDBETWEEN(1587,2416)))</f>
        <v>48797415.066481799</v>
      </c>
      <c r="B5950">
        <v>237379819.5007765</v>
      </c>
    </row>
    <row r="5951" spans="1:2" x14ac:dyDescent="0.25">
      <c r="A5951">
        <f ca="1">36687.2993248697*((RANDBETWEEN(1587,2416)))</f>
        <v>60680793.083334476</v>
      </c>
      <c r="B5951">
        <v>238781152.75417992</v>
      </c>
    </row>
    <row r="5952" spans="1:2" x14ac:dyDescent="0.25">
      <c r="A5952">
        <f ca="1">31017.8671178051*((RANDBETWEEN(1587,2416)))</f>
        <v>57072875.496761471</v>
      </c>
      <c r="B5952">
        <v>241064610.83559704</v>
      </c>
    </row>
    <row r="5953" spans="1:2" x14ac:dyDescent="0.25">
      <c r="A5953">
        <f ca="1">33623.5545661383*((RANDBETWEEN(1587,2416)))</f>
        <v>58404114.281382203</v>
      </c>
      <c r="B5953">
        <v>241067246.25016546</v>
      </c>
    </row>
    <row r="5954" spans="1:2" x14ac:dyDescent="0.25">
      <c r="A5954">
        <f ca="1">34167.9669724787*((RANDBETWEEN(1587,2416)))</f>
        <v>60374797.640369818</v>
      </c>
      <c r="B5954">
        <v>255832890.08185372</v>
      </c>
    </row>
    <row r="5955" spans="1:2" x14ac:dyDescent="0.25">
      <c r="A5955">
        <f ca="1">32318.384156739*((RANDBETWEEN(1587,2416)))</f>
        <v>74590830.633753628</v>
      </c>
      <c r="B5955">
        <v>233344833.59017149</v>
      </c>
    </row>
    <row r="5956" spans="1:2" x14ac:dyDescent="0.25">
      <c r="A5956">
        <f ca="1">31502.5902571672*((RANDBETWEEN(1587,2416)))</f>
        <v>54593988.915670775</v>
      </c>
      <c r="B5956">
        <v>261101294.93972215</v>
      </c>
    </row>
    <row r="5957" spans="1:2" x14ac:dyDescent="0.25">
      <c r="A5957">
        <f ca="1">33946.7522887985*((RANDBETWEEN(1587,2416)))</f>
        <v>57166330.854336597</v>
      </c>
      <c r="B5957">
        <v>227284964.16216031</v>
      </c>
    </row>
    <row r="5958" spans="1:2" x14ac:dyDescent="0.25">
      <c r="A5958">
        <f ca="1">29156.4577400709*((RANDBETWEEN(1587,2416)))</f>
        <v>50878018.756423697</v>
      </c>
      <c r="B5958">
        <v>246368045.78555426</v>
      </c>
    </row>
    <row r="5959" spans="1:2" x14ac:dyDescent="0.25">
      <c r="A5959">
        <f ca="1">36979.0442969358*((RANDBETWEEN(1587,2416)))</f>
        <v>68965917.613785446</v>
      </c>
      <c r="B5959">
        <v>242420626.25101346</v>
      </c>
    </row>
    <row r="5960" spans="1:2" x14ac:dyDescent="0.25">
      <c r="A5960">
        <f ca="1">31663.0418335118*((RANDBETWEEN(1587,2416)))</f>
        <v>52687301.61096371</v>
      </c>
      <c r="B5960">
        <v>264045377.6291706</v>
      </c>
    </row>
    <row r="5961" spans="1:2" x14ac:dyDescent="0.25">
      <c r="A5961">
        <f ca="1">33942.8586818857*((RANDBETWEEN(1587,2416)))</f>
        <v>58992688.389117375</v>
      </c>
      <c r="B5961">
        <v>217771233.89700621</v>
      </c>
    </row>
    <row r="5962" spans="1:2" x14ac:dyDescent="0.25">
      <c r="A5962">
        <f ca="1">33714.3516436542*((RANDBETWEEN(1587,2416)))</f>
        <v>67765846.803745002</v>
      </c>
      <c r="B5962">
        <v>257129213.10620171</v>
      </c>
    </row>
    <row r="5963" spans="1:2" x14ac:dyDescent="0.25">
      <c r="A5963">
        <f ca="1">31773.9104463351*((RANDBETWEEN(1587,2416)))</f>
        <v>55286604.176623061</v>
      </c>
      <c r="B5963">
        <v>220163463.57364988</v>
      </c>
    </row>
    <row r="5964" spans="1:2" x14ac:dyDescent="0.25">
      <c r="A5964">
        <f ca="1">40943.9460386569*((RANDBETWEEN(1587,2416)))</f>
        <v>82583939.159970969</v>
      </c>
      <c r="B5964">
        <v>220773052.47073689</v>
      </c>
    </row>
    <row r="5965" spans="1:2" x14ac:dyDescent="0.25">
      <c r="A5965">
        <f ca="1">37135.2825171456*((RANDBETWEEN(1587,2416)))</f>
        <v>78429716.676211551</v>
      </c>
      <c r="B5965">
        <v>205723780.9910503</v>
      </c>
    </row>
    <row r="5966" spans="1:2" x14ac:dyDescent="0.25">
      <c r="A5966">
        <f ca="1">31369.7047550047*((RANDBETWEEN(1587,2416)))</f>
        <v>68825132.232480243</v>
      </c>
      <c r="B5966">
        <v>208450189.24075392</v>
      </c>
    </row>
    <row r="5967" spans="1:2" x14ac:dyDescent="0.25">
      <c r="A5967">
        <f ca="1">29161.4470764267*((RANDBETWEEN(1587,2416)))</f>
        <v>63951053.438603655</v>
      </c>
      <c r="B5967">
        <v>253234829.80556577</v>
      </c>
    </row>
    <row r="5968" spans="1:2" x14ac:dyDescent="0.25">
      <c r="A5968">
        <f ca="1">33010.4297243399*((RANDBETWEEN(1587,2416)))</f>
        <v>79159010.478967145</v>
      </c>
      <c r="B5968">
        <v>230571808.89697683</v>
      </c>
    </row>
    <row r="5969" spans="1:2" x14ac:dyDescent="0.25">
      <c r="A5969">
        <f ca="1">32078.9935960061*((RANDBETWEEN(1587,2416)))</f>
        <v>66467674.730924673</v>
      </c>
      <c r="B5969">
        <v>211367764.20136443</v>
      </c>
    </row>
    <row r="5970" spans="1:2" x14ac:dyDescent="0.25">
      <c r="A5970">
        <f ca="1">31715.9904759678*((RANDBETWEEN(1587,2416)))</f>
        <v>60355529.87576668</v>
      </c>
      <c r="B5970">
        <v>209380581.86159337</v>
      </c>
    </row>
    <row r="5971" spans="1:2" x14ac:dyDescent="0.25">
      <c r="A5971">
        <f ca="1">29147.3412951595*((RANDBETWEEN(1587,2416)))</f>
        <v>55409095.80209817</v>
      </c>
      <c r="B5971">
        <v>252926380.84142029</v>
      </c>
    </row>
    <row r="5972" spans="1:2" x14ac:dyDescent="0.25">
      <c r="A5972">
        <f ca="1">33392.9493768635*((RANDBETWEEN(1587,2416)))</f>
        <v>79809149.010703728</v>
      </c>
      <c r="B5972">
        <v>212536978.44234586</v>
      </c>
    </row>
    <row r="5973" spans="1:2" x14ac:dyDescent="0.25">
      <c r="A5973">
        <f ca="1">37344.9905928856*((RANDBETWEEN(1587,2416)))</f>
        <v>82868534.125613168</v>
      </c>
      <c r="B5973">
        <v>239062610.08682171</v>
      </c>
    </row>
    <row r="5974" spans="1:2" x14ac:dyDescent="0.25">
      <c r="A5974">
        <f ca="1">31779.3358865645*((RANDBETWEEN(1587,2416)))</f>
        <v>51228289.449141927</v>
      </c>
      <c r="B5974">
        <v>247757671.90679532</v>
      </c>
    </row>
    <row r="5975" spans="1:2" x14ac:dyDescent="0.25">
      <c r="A5975">
        <f ca="1">30699.9350335694*((RANDBETWEEN(1587,2416)))</f>
        <v>55873881.761096239</v>
      </c>
      <c r="B5975">
        <v>212255271.07316077</v>
      </c>
    </row>
    <row r="5976" spans="1:2" x14ac:dyDescent="0.25">
      <c r="A5976">
        <f ca="1">38266.0192548298*((RANDBETWEEN(1587,2416)))</f>
        <v>75690186.086053401</v>
      </c>
      <c r="B5976">
        <v>245034347.01240867</v>
      </c>
    </row>
    <row r="5977" spans="1:2" x14ac:dyDescent="0.25">
      <c r="A5977">
        <f ca="1">32328.875567128*((RANDBETWEEN(1587,2416)))</f>
        <v>56316901.237936988</v>
      </c>
      <c r="B5977">
        <v>207122552.76408184</v>
      </c>
    </row>
    <row r="5978" spans="1:2" x14ac:dyDescent="0.25">
      <c r="A5978">
        <f ca="1">36108.8930206977*((RANDBETWEEN(1587,2416)))</f>
        <v>65790403.083711199</v>
      </c>
      <c r="B5978">
        <v>261412527.10048431</v>
      </c>
    </row>
    <row r="5979" spans="1:2" x14ac:dyDescent="0.25">
      <c r="A5979">
        <f ca="1">31006.1394528049*((RANDBETWEEN(1587,2416)))</f>
        <v>74290710.12892063</v>
      </c>
      <c r="B5979">
        <v>235815401.01289845</v>
      </c>
    </row>
    <row r="5980" spans="1:2" x14ac:dyDescent="0.25">
      <c r="A5980">
        <f ca="1">30432.0218997316*((RANDBETWEEN(1587,2416)))</f>
        <v>63785517.901837513</v>
      </c>
      <c r="B5980">
        <v>230862161.42061451</v>
      </c>
    </row>
    <row r="5981" spans="1:2" x14ac:dyDescent="0.25">
      <c r="A5981">
        <f ca="1">32662.5941237847*((RANDBETWEEN(1587,2416)))</f>
        <v>59707222.058278374</v>
      </c>
      <c r="B5981">
        <v>223360089.50058421</v>
      </c>
    </row>
    <row r="5982" spans="1:2" x14ac:dyDescent="0.25">
      <c r="A5982">
        <f ca="1">35168.0402087123*((RANDBETWEEN(1587,2416)))</f>
        <v>62774951.772551455</v>
      </c>
      <c r="B5982">
        <v>220926277.89093098</v>
      </c>
    </row>
    <row r="5983" spans="1:2" x14ac:dyDescent="0.25">
      <c r="A5983">
        <f ca="1">38589.4753029441*((RANDBETWEEN(1587,2416)))</f>
        <v>89141687.949800849</v>
      </c>
      <c r="B5983">
        <v>258644292.92917222</v>
      </c>
    </row>
    <row r="5984" spans="1:2" x14ac:dyDescent="0.25">
      <c r="A5984">
        <f ca="1">37842.0421267076*((RANDBETWEEN(1587,2416)))</f>
        <v>84652648.237444893</v>
      </c>
      <c r="B5984">
        <v>204035844.43269876</v>
      </c>
    </row>
    <row r="5985" spans="1:2" x14ac:dyDescent="0.25">
      <c r="A5985">
        <f ca="1">31055.7647084809*((RANDBETWEEN(1587,2416)))</f>
        <v>68105292.005698666</v>
      </c>
      <c r="B5985">
        <v>252348331.40207362</v>
      </c>
    </row>
    <row r="5986" spans="1:2" x14ac:dyDescent="0.25">
      <c r="A5986">
        <f ca="1">39132.5722825946*((RANDBETWEEN(1587,2416)))</f>
        <v>70399497.536387667</v>
      </c>
      <c r="B5986">
        <v>236253220.77516356</v>
      </c>
    </row>
    <row r="5987" spans="1:2" x14ac:dyDescent="0.25">
      <c r="A5987">
        <f ca="1">36900.6134373652*((RANDBETWEEN(1587,2416)))</f>
        <v>85720125.014999539</v>
      </c>
      <c r="B5987">
        <v>236076463.96978956</v>
      </c>
    </row>
    <row r="5988" spans="1:2" x14ac:dyDescent="0.25">
      <c r="A5988">
        <f ca="1">33424.0329357138*((RANDBETWEEN(1587,2416)))</f>
        <v>55517318.706220701</v>
      </c>
      <c r="B5988">
        <v>264264187.04949912</v>
      </c>
    </row>
    <row r="5989" spans="1:2" x14ac:dyDescent="0.25">
      <c r="A5989">
        <f ca="1">34528.3902009223*((RANDBETWEEN(1587,2416)))</f>
        <v>72164335.519927561</v>
      </c>
      <c r="B5989">
        <v>257270927.05192289</v>
      </c>
    </row>
    <row r="5990" spans="1:2" x14ac:dyDescent="0.25">
      <c r="A5990">
        <f ca="1">39315.3588478395*((RANDBETWEEN(1587,2416)))</f>
        <v>80832377.791158095</v>
      </c>
      <c r="B5990">
        <v>233866688.77474394</v>
      </c>
    </row>
    <row r="5991" spans="1:2" x14ac:dyDescent="0.25">
      <c r="A5991">
        <f ca="1">33742.416258608*((RANDBETWEEN(1587,2416)))</f>
        <v>57159653.142081983</v>
      </c>
      <c r="B5991">
        <v>257769557.65554833</v>
      </c>
    </row>
    <row r="5992" spans="1:2" x14ac:dyDescent="0.25">
      <c r="A5992">
        <f ca="1">33894.5466988969*((RANDBETWEEN(1587,2416)))</f>
        <v>63687853.247227289</v>
      </c>
      <c r="B5992">
        <v>244466662.58993933</v>
      </c>
    </row>
    <row r="5993" spans="1:2" x14ac:dyDescent="0.25">
      <c r="A5993">
        <f ca="1">30148.9785410751*((RANDBETWEEN(1587,2416)))</f>
        <v>58368422.455521397</v>
      </c>
      <c r="B5993">
        <v>259883952.57231873</v>
      </c>
    </row>
    <row r="5994" spans="1:2" x14ac:dyDescent="0.25">
      <c r="A5994">
        <f ca="1">30275.9047754788*((RANDBETWEEN(1587,2416)))</f>
        <v>71299755.746252581</v>
      </c>
      <c r="B5994">
        <v>265478789.73800886</v>
      </c>
    </row>
    <row r="5995" spans="1:2" x14ac:dyDescent="0.25">
      <c r="A5995">
        <f ca="1">32499.4804202511*((RANDBETWEEN(1587,2416)))</f>
        <v>72506340.817580298</v>
      </c>
      <c r="B5995">
        <v>213934137.21474802</v>
      </c>
    </row>
    <row r="5996" spans="1:2" x14ac:dyDescent="0.25">
      <c r="A5996">
        <f ca="1">37500.6587164776*((RANDBETWEEN(1587,2416)))</f>
        <v>83476466.302879035</v>
      </c>
      <c r="B5996">
        <v>265155192.51287383</v>
      </c>
    </row>
    <row r="5997" spans="1:2" x14ac:dyDescent="0.25">
      <c r="A5997">
        <f ca="1">38816.2214218488*((RANDBETWEEN(1587,2416)))</f>
        <v>79495621.471946433</v>
      </c>
      <c r="B5997">
        <v>219397798.6352233</v>
      </c>
    </row>
    <row r="5998" spans="1:2" x14ac:dyDescent="0.25">
      <c r="A5998">
        <f ca="1">29598.9764378624*((RANDBETWEEN(1587,2416)))</f>
        <v>65976118.479995288</v>
      </c>
      <c r="B5998">
        <v>260617671.66554755</v>
      </c>
    </row>
    <row r="5999" spans="1:2" x14ac:dyDescent="0.25">
      <c r="A5999">
        <f ca="1">32246.0866772581*((RANDBETWEEN(1587,2416)))</f>
        <v>70812406.343258768</v>
      </c>
      <c r="B5999">
        <v>251835556.26465863</v>
      </c>
    </row>
    <row r="6000" spans="1:2" x14ac:dyDescent="0.25">
      <c r="A6000">
        <f ca="1">31763.9082580837*((RANDBETWEEN(1587,2416)))</f>
        <v>67307721.598879278</v>
      </c>
      <c r="B6000">
        <v>223262867.28142425</v>
      </c>
    </row>
    <row r="6001" spans="1:2" x14ac:dyDescent="0.25">
      <c r="A6001">
        <f ca="1">36467.9528165842*((RANDBETWEEN(1587,2416)))</f>
        <v>75306322.566246286</v>
      </c>
      <c r="B6001">
        <v>217383348.76420429</v>
      </c>
    </row>
    <row r="6002" spans="1:2" x14ac:dyDescent="0.25">
      <c r="A6002">
        <f ca="1">38170.8519817939*((RANDBETWEEN(1587,2416)))</f>
        <v>61035192.318888403</v>
      </c>
      <c r="B6002">
        <v>238956265.03821391</v>
      </c>
    </row>
    <row r="6003" spans="1:2" x14ac:dyDescent="0.25">
      <c r="A6003">
        <f ca="1">31363.6547467967*((RANDBETWEEN(1587,2416)))</f>
        <v>73892770.583452925</v>
      </c>
      <c r="B6003">
        <v>230591338.18360856</v>
      </c>
    </row>
    <row r="6004" spans="1:2" x14ac:dyDescent="0.25">
      <c r="A6004">
        <f ca="1">39509.2274067517*((RANDBETWEEN(1587,2416)))</f>
        <v>80993916.183840945</v>
      </c>
      <c r="B6004">
        <v>218722040.18337381</v>
      </c>
    </row>
    <row r="6005" spans="1:2" x14ac:dyDescent="0.25">
      <c r="A6005">
        <f ca="1">35417.7686771499*((RANDBETWEEN(1587,2416)))</f>
        <v>85073480.362513974</v>
      </c>
      <c r="B6005">
        <v>215754951.38625425</v>
      </c>
    </row>
    <row r="6006" spans="1:2" x14ac:dyDescent="0.25">
      <c r="A6006">
        <f ca="1">38436.024206761*((RANDBETWEEN(1587,2416)))</f>
        <v>77717640.946070835</v>
      </c>
      <c r="B6006">
        <v>206746214.27532032</v>
      </c>
    </row>
    <row r="6007" spans="1:2" x14ac:dyDescent="0.25">
      <c r="A6007">
        <f ca="1">32215.6119356061*((RANDBETWEEN(1587,2416)))</f>
        <v>58793491.782481059</v>
      </c>
      <c r="B6007">
        <v>221564568.6385904</v>
      </c>
    </row>
    <row r="6008" spans="1:2" x14ac:dyDescent="0.25">
      <c r="A6008">
        <f ca="1">31151.8234451833*((RANDBETWEEN(1587,2416)))</f>
        <v>62054432.30280517</v>
      </c>
      <c r="B6008">
        <v>244490223.19875163</v>
      </c>
    </row>
    <row r="6009" spans="1:2" x14ac:dyDescent="0.25">
      <c r="A6009">
        <f ca="1">32691.5415269147*((RANDBETWEEN(1587,2416)))</f>
        <v>54627565.891474433</v>
      </c>
      <c r="B6009">
        <v>211882869.61698511</v>
      </c>
    </row>
    <row r="6010" spans="1:2" x14ac:dyDescent="0.25">
      <c r="A6010">
        <f ca="1">27949.4768159333*((RANDBETWEEN(1587,2416)))</f>
        <v>60622415.21375934</v>
      </c>
      <c r="B6010">
        <v>235662465.39631075</v>
      </c>
    </row>
    <row r="6011" spans="1:2" x14ac:dyDescent="0.25">
      <c r="A6011">
        <f ca="1">29732.4810911026*((RANDBETWEEN(1587,2416)))</f>
        <v>49980300.714143477</v>
      </c>
      <c r="B6011">
        <v>254254059.19785979</v>
      </c>
    </row>
    <row r="6012" spans="1:2" x14ac:dyDescent="0.25">
      <c r="A6012">
        <f ca="1">35217.8506995985*((RANDBETWEEN(1587,2416)))</f>
        <v>63180824.155079775</v>
      </c>
      <c r="B6012">
        <v>209071279.50466037</v>
      </c>
    </row>
    <row r="6013" spans="1:2" x14ac:dyDescent="0.25">
      <c r="A6013">
        <f ca="1">32899.0941807158*((RANDBETWEEN(1587,2416)))</f>
        <v>68824905.026057392</v>
      </c>
      <c r="B6013">
        <v>225875195.43034902</v>
      </c>
    </row>
    <row r="6014" spans="1:2" x14ac:dyDescent="0.25">
      <c r="A6014">
        <f ca="1">33814.0609452189*((RANDBETWEEN(1587,2416)))</f>
        <v>67831006.256109163</v>
      </c>
      <c r="B6014">
        <v>207514187.40456703</v>
      </c>
    </row>
    <row r="6015" spans="1:2" x14ac:dyDescent="0.25">
      <c r="A6015">
        <f ca="1">29226.0756176406*((RANDBETWEEN(1587,2416)))</f>
        <v>69178120.986955255</v>
      </c>
      <c r="B6015">
        <v>238685630.23941672</v>
      </c>
    </row>
    <row r="6016" spans="1:2" x14ac:dyDescent="0.25">
      <c r="A6016">
        <f ca="1">33101.7805086103*((RANDBETWEEN(1587,2416)))</f>
        <v>54816548.522258714</v>
      </c>
      <c r="B6016">
        <v>258384708.26773983</v>
      </c>
    </row>
    <row r="6017" spans="1:2" x14ac:dyDescent="0.25">
      <c r="A6017">
        <f ca="1">38087.7265945257*((RANDBETWEEN(1587,2416)))</f>
        <v>90001297.942864195</v>
      </c>
      <c r="B6017">
        <v>254626468.59605354</v>
      </c>
    </row>
    <row r="6018" spans="1:2" x14ac:dyDescent="0.25">
      <c r="A6018">
        <f ca="1">31033.2000718753*((RANDBETWEEN(1587,2416)))</f>
        <v>60763005.740731888</v>
      </c>
      <c r="B6018">
        <v>222647179.04190719</v>
      </c>
    </row>
    <row r="6019" spans="1:2" x14ac:dyDescent="0.25">
      <c r="A6019">
        <f ca="1">29629.7784141205*((RANDBETWEEN(1587,2416)))</f>
        <v>61570679.544542409</v>
      </c>
      <c r="B6019">
        <v>241098190.99480951</v>
      </c>
    </row>
    <row r="6020" spans="1:2" x14ac:dyDescent="0.25">
      <c r="A6020">
        <f ca="1">36816.4537878664*((RANDBETWEEN(1587,2416)))</f>
        <v>85450989.241637856</v>
      </c>
      <c r="B6020">
        <v>256018916.06976563</v>
      </c>
    </row>
    <row r="6021" spans="1:2" x14ac:dyDescent="0.25">
      <c r="A6021">
        <f ca="1">29629.891088124*((RANDBETWEEN(1587,2416)))</f>
        <v>47585605.087527178</v>
      </c>
      <c r="B6021">
        <v>210161201.8098394</v>
      </c>
    </row>
    <row r="6022" spans="1:2" x14ac:dyDescent="0.25">
      <c r="A6022">
        <f ca="1">31748.036196227*((RANDBETWEEN(1587,2416)))</f>
        <v>57400449.442778416</v>
      </c>
      <c r="B6022">
        <v>223025539.68512556</v>
      </c>
    </row>
    <row r="6023" spans="1:2" x14ac:dyDescent="0.25">
      <c r="A6023">
        <f ca="1">33319.5786160777*((RANDBETWEEN(1587,2416)))</f>
        <v>78267690.169166699</v>
      </c>
      <c r="B6023">
        <v>225574321.47711149</v>
      </c>
    </row>
    <row r="6024" spans="1:2" x14ac:dyDescent="0.25">
      <c r="A6024">
        <f ca="1">31515.0061942936*((RANDBETWEEN(1587,2416)))</f>
        <v>56002166.007259771</v>
      </c>
      <c r="B6024">
        <v>258261783.50625989</v>
      </c>
    </row>
    <row r="6025" spans="1:2" x14ac:dyDescent="0.25">
      <c r="A6025">
        <f ca="1">31408.2429051271*((RANDBETWEEN(1587,2416)))</f>
        <v>70982628.965587258</v>
      </c>
      <c r="B6025">
        <v>243474420.70320743</v>
      </c>
    </row>
    <row r="6026" spans="1:2" x14ac:dyDescent="0.25">
      <c r="A6026">
        <f ca="1">31143.2654968137*((RANDBETWEEN(1587,2416)))</f>
        <v>51915823.5831884</v>
      </c>
      <c r="B6026">
        <v>238498296.9461202</v>
      </c>
    </row>
    <row r="6027" spans="1:2" x14ac:dyDescent="0.25">
      <c r="A6027">
        <f ca="1">32319.9528839302*((RANDBETWEEN(1587,2416)))</f>
        <v>67807261.150485501</v>
      </c>
      <c r="B6027">
        <v>222988499.01833937</v>
      </c>
    </row>
    <row r="6028" spans="1:2" x14ac:dyDescent="0.25">
      <c r="A6028">
        <f ca="1">28457.5588024734*((RANDBETWEEN(1587,2416)))</f>
        <v>47950986.582167715</v>
      </c>
      <c r="B6028">
        <v>216770312.4585422</v>
      </c>
    </row>
    <row r="6029" spans="1:2" x14ac:dyDescent="0.25">
      <c r="A6029">
        <f ca="1">37124.8586483863*((RANDBETWEEN(1587,2416)))</f>
        <v>73507220.123804882</v>
      </c>
      <c r="B6029">
        <v>225723897.97508666</v>
      </c>
    </row>
    <row r="6030" spans="1:2" x14ac:dyDescent="0.25">
      <c r="A6030">
        <f ca="1">32602.3304192966*((RANDBETWEEN(1587,2416)))</f>
        <v>65921912.107817739</v>
      </c>
      <c r="B6030">
        <v>217075322.4343822</v>
      </c>
    </row>
    <row r="6031" spans="1:2" x14ac:dyDescent="0.25">
      <c r="A6031">
        <f ca="1">32473.9155554121*((RANDBETWEEN(1587,2416)))</f>
        <v>64590618.039714701</v>
      </c>
      <c r="B6031">
        <v>216945006.45680609</v>
      </c>
    </row>
    <row r="6032" spans="1:2" x14ac:dyDescent="0.25">
      <c r="A6032">
        <f ca="1">31341.4329996753*((RANDBETWEEN(1587,2416)))</f>
        <v>60582989.988372311</v>
      </c>
      <c r="B6032">
        <v>223289930.54948691</v>
      </c>
    </row>
    <row r="6033" spans="1:2" x14ac:dyDescent="0.25">
      <c r="A6033">
        <f ca="1">29989.3261955039*((RANDBETWEEN(1587,2416)))</f>
        <v>63547382.208272755</v>
      </c>
      <c r="B6033">
        <v>223540741.71073863</v>
      </c>
    </row>
    <row r="6034" spans="1:2" x14ac:dyDescent="0.25">
      <c r="A6034">
        <f ca="1">39096.6795967536*((RANDBETWEEN(1587,2416)))</f>
        <v>76199428.534072757</v>
      </c>
      <c r="B6034">
        <v>210967031.62520784</v>
      </c>
    </row>
    <row r="6035" spans="1:2" x14ac:dyDescent="0.25">
      <c r="A6035">
        <f ca="1">30271.013692615*((RANDBETWEEN(1587,2416)))</f>
        <v>66626501.137445532</v>
      </c>
      <c r="B6035">
        <v>263140185.72065827</v>
      </c>
    </row>
    <row r="6036" spans="1:2" x14ac:dyDescent="0.25">
      <c r="A6036">
        <f ca="1">32275.7031487793*((RANDBETWEEN(1587,2416)))</f>
        <v>55449658.00960283</v>
      </c>
      <c r="B6036">
        <v>227118614.79981777</v>
      </c>
    </row>
    <row r="6037" spans="1:2" x14ac:dyDescent="0.25">
      <c r="A6037">
        <f ca="1">38478.6838198988*((RANDBETWEEN(1587,2416)))</f>
        <v>89809248.035643891</v>
      </c>
      <c r="B6037">
        <v>263370515.0826546</v>
      </c>
    </row>
    <row r="6038" spans="1:2" x14ac:dyDescent="0.25">
      <c r="A6038">
        <f ca="1">38070.94979481*((RANDBETWEEN(1587,2416)))</f>
        <v>91979414.70426102</v>
      </c>
      <c r="B6038">
        <v>226500757.98468432</v>
      </c>
    </row>
    <row r="6039" spans="1:2" x14ac:dyDescent="0.25">
      <c r="A6039">
        <f ca="1">35842.1978918583*((RANDBETWEEN(1587,2416)))</f>
        <v>62688004.112860151</v>
      </c>
      <c r="B6039">
        <v>243545486.23361108</v>
      </c>
    </row>
    <row r="6040" spans="1:2" x14ac:dyDescent="0.25">
      <c r="A6040">
        <f ca="1">36839.9562981235*((RANDBETWEEN(1587,2416)))</f>
        <v>62149006.274934292</v>
      </c>
      <c r="B6040">
        <v>237711464.11628738</v>
      </c>
    </row>
    <row r="6041" spans="1:2" x14ac:dyDescent="0.25">
      <c r="A6041">
        <f ca="1">31499.6230519812*((RANDBETWEEN(1587,2416)))</f>
        <v>67598191.069551736</v>
      </c>
      <c r="B6041">
        <v>242735087.65315235</v>
      </c>
    </row>
    <row r="6042" spans="1:2" x14ac:dyDescent="0.25">
      <c r="A6042">
        <f ca="1">29728.5063278232*((RANDBETWEEN(1587,2416)))</f>
        <v>52232985.617985323</v>
      </c>
      <c r="B6042">
        <v>242909071.87337202</v>
      </c>
    </row>
    <row r="6043" spans="1:2" x14ac:dyDescent="0.25">
      <c r="A6043">
        <f ca="1">33911.8540386808*((RANDBETWEEN(1587,2416)))</f>
        <v>55445881.35324312</v>
      </c>
      <c r="B6043">
        <v>232773375.6963315</v>
      </c>
    </row>
    <row r="6044" spans="1:2" x14ac:dyDescent="0.25">
      <c r="A6044">
        <f ca="1">32074.3034462231*((RANDBETWEEN(1587,2416)))</f>
        <v>55552693.568858437</v>
      </c>
      <c r="B6044">
        <v>220461258.52642825</v>
      </c>
    </row>
    <row r="6045" spans="1:2" x14ac:dyDescent="0.25">
      <c r="A6045">
        <f ca="1">32611.6014224396*((RANDBETWEEN(1587,2416)))</f>
        <v>69267041.421261713</v>
      </c>
      <c r="B6045">
        <v>264019518.41115725</v>
      </c>
    </row>
    <row r="6046" spans="1:2" x14ac:dyDescent="0.25">
      <c r="A6046">
        <f ca="1">31300.7081129885*((RANDBETWEEN(1587,2416)))</f>
        <v>56403876.019605309</v>
      </c>
      <c r="B6046">
        <v>232339952.39760271</v>
      </c>
    </row>
    <row r="6047" spans="1:2" x14ac:dyDescent="0.25">
      <c r="A6047">
        <f ca="1">36114.1467606879*((RANDBETWEEN(1587,2416)))</f>
        <v>84145961.95240289</v>
      </c>
      <c r="B6047">
        <v>209021275.30464411</v>
      </c>
    </row>
    <row r="6048" spans="1:2" x14ac:dyDescent="0.25">
      <c r="A6048">
        <f ca="1">32077.0422751834*((RANDBETWEEN(1587,2416)))</f>
        <v>68516562.299791843</v>
      </c>
      <c r="B6048">
        <v>227593064.87155497</v>
      </c>
    </row>
    <row r="6049" spans="1:2" x14ac:dyDescent="0.25">
      <c r="A6049">
        <f ca="1">36176.1646607587*((RANDBETWEEN(1587,2416)))</f>
        <v>68662360.526120007</v>
      </c>
      <c r="B6049">
        <v>227115761.70413217</v>
      </c>
    </row>
    <row r="6050" spans="1:2" x14ac:dyDescent="0.25">
      <c r="A6050">
        <f ca="1">39004.6201442503*((RANDBETWEEN(1587,2416)))</f>
        <v>93884120.687210456</v>
      </c>
      <c r="B6050">
        <v>248512448.9631083</v>
      </c>
    </row>
    <row r="6051" spans="1:2" x14ac:dyDescent="0.25">
      <c r="A6051">
        <f ca="1">39208.3911285437*((RANDBETWEEN(1587,2416)))</f>
        <v>77358155.696616814</v>
      </c>
      <c r="B6051">
        <v>257631088.46751988</v>
      </c>
    </row>
    <row r="6052" spans="1:2" x14ac:dyDescent="0.25">
      <c r="A6052">
        <f ca="1">39332.0815638454*((RANDBETWEEN(1587,2416)))</f>
        <v>80001453.900861606</v>
      </c>
      <c r="B6052">
        <v>231783642.49527767</v>
      </c>
    </row>
    <row r="6053" spans="1:2" x14ac:dyDescent="0.25">
      <c r="A6053">
        <f ca="1">35397.9609611952*((RANDBETWEEN(1587,2416)))</f>
        <v>85025902.228790909</v>
      </c>
      <c r="B6053">
        <v>256706641.50966349</v>
      </c>
    </row>
    <row r="6054" spans="1:2" x14ac:dyDescent="0.25">
      <c r="A6054">
        <f ca="1">32137.6050827326*((RANDBETWEEN(1587,2416)))</f>
        <v>64435898.190878861</v>
      </c>
      <c r="B6054">
        <v>231224218.88960975</v>
      </c>
    </row>
    <row r="6055" spans="1:2" x14ac:dyDescent="0.25">
      <c r="A6055">
        <f ca="1">29608.5907312315*((RANDBETWEEN(1587,2416)))</f>
        <v>55960236.482027598</v>
      </c>
      <c r="B6055">
        <v>235728848.0827347</v>
      </c>
    </row>
    <row r="6056" spans="1:2" x14ac:dyDescent="0.25">
      <c r="A6056">
        <f ca="1">39110.6106084837*((RANDBETWEEN(1587,2416)))</f>
        <v>66879144.140507117</v>
      </c>
      <c r="B6056">
        <v>227922436.86660904</v>
      </c>
    </row>
    <row r="6057" spans="1:2" x14ac:dyDescent="0.25">
      <c r="A6057">
        <f ca="1">32780.2468955999*((RANDBETWEEN(1587,2416)))</f>
        <v>73591654.280621812</v>
      </c>
      <c r="B6057">
        <v>245514710.63152152</v>
      </c>
    </row>
    <row r="6058" spans="1:2" x14ac:dyDescent="0.25">
      <c r="A6058">
        <f ca="1">37158.2940995251*((RANDBETWEEN(1587,2416)))</f>
        <v>79147166.431988373</v>
      </c>
      <c r="B6058">
        <v>217224244.18088099</v>
      </c>
    </row>
    <row r="6059" spans="1:2" x14ac:dyDescent="0.25">
      <c r="A6059">
        <f ca="1">41220.7094574855*((RANDBETWEEN(1587,2416)))</f>
        <v>75021691.212623566</v>
      </c>
      <c r="B6059">
        <v>218696247.97712845</v>
      </c>
    </row>
    <row r="6060" spans="1:2" x14ac:dyDescent="0.25">
      <c r="A6060">
        <f ca="1">36900.1404256023*((RANDBETWEEN(1587,2416)))</f>
        <v>69815065.685239568</v>
      </c>
      <c r="B6060">
        <v>223544537.95775652</v>
      </c>
    </row>
    <row r="6061" spans="1:2" x14ac:dyDescent="0.25">
      <c r="A6061">
        <f ca="1">33183.3578521924*((RANDBETWEEN(1587,2416)))</f>
        <v>64276164.159696765</v>
      </c>
      <c r="B6061">
        <v>235149142.41062307</v>
      </c>
    </row>
    <row r="6062" spans="1:2" x14ac:dyDescent="0.25">
      <c r="A6062">
        <f ca="1">33707.9825238219*((RANDBETWEEN(1587,2416)))</f>
        <v>55281091.339067869</v>
      </c>
      <c r="B6062">
        <v>253878635.50536051</v>
      </c>
    </row>
    <row r="6063" spans="1:2" x14ac:dyDescent="0.25">
      <c r="A6063">
        <f ca="1">31815.7225610508*((RANDBETWEEN(1587,2416)))</f>
        <v>63154209.283685908</v>
      </c>
      <c r="B6063">
        <v>265132328.5453673</v>
      </c>
    </row>
    <row r="6064" spans="1:2" x14ac:dyDescent="0.25">
      <c r="A6064">
        <f ca="1">29567.2740623448*((RANDBETWEEN(1587,2416)))</f>
        <v>52688882.379098423</v>
      </c>
      <c r="B6064">
        <v>234307824.37519488</v>
      </c>
    </row>
    <row r="6065" spans="1:2" x14ac:dyDescent="0.25">
      <c r="A6065">
        <f ca="1">38350.7734993409*((RANDBETWEEN(1587,2416)))</f>
        <v>83221178.493569672</v>
      </c>
      <c r="B6065">
        <v>262624127.0607329</v>
      </c>
    </row>
    <row r="6066" spans="1:2" x14ac:dyDescent="0.25">
      <c r="A6066">
        <f ca="1">35401.8897032053*((RANDBETWEEN(1587,2416)))</f>
        <v>64820860.046568915</v>
      </c>
      <c r="B6066">
        <v>220812642.3466</v>
      </c>
    </row>
    <row r="6067" spans="1:2" x14ac:dyDescent="0.25">
      <c r="A6067">
        <f ca="1">31424.6491805099*((RANDBETWEEN(1587,2416)))</f>
        <v>56375820.629834756</v>
      </c>
      <c r="B6067">
        <v>228845261.85591522</v>
      </c>
    </row>
    <row r="6068" spans="1:2" x14ac:dyDescent="0.25">
      <c r="A6068">
        <f ca="1">29825.9324428966*((RANDBETWEEN(1587,2416)))</f>
        <v>53209463.478127606</v>
      </c>
      <c r="B6068">
        <v>252162343.44068491</v>
      </c>
    </row>
    <row r="6069" spans="1:2" x14ac:dyDescent="0.25">
      <c r="A6069">
        <f ca="1">30005.4473770395*((RANDBETWEEN(1587,2416)))</f>
        <v>58000529.779817365</v>
      </c>
      <c r="B6069">
        <v>258788181.57443857</v>
      </c>
    </row>
    <row r="6070" spans="1:2" x14ac:dyDescent="0.25">
      <c r="A6070">
        <f ca="1">30839.3308644834*((RANDBETWEEN(1587,2416)))</f>
        <v>68710029.16606921</v>
      </c>
      <c r="B6070">
        <v>254433348.56592807</v>
      </c>
    </row>
    <row r="6071" spans="1:2" x14ac:dyDescent="0.25">
      <c r="A6071">
        <f ca="1">37191.3523482451*((RANDBETWEEN(1587,2416)))</f>
        <v>87548443.427768871</v>
      </c>
      <c r="B6071">
        <v>241739426.51058424</v>
      </c>
    </row>
    <row r="6072" spans="1:2" x14ac:dyDescent="0.25">
      <c r="A6072">
        <f ca="1">32457.4322914346*((RANDBETWEEN(1587,2416)))</f>
        <v>74165232.785928145</v>
      </c>
      <c r="B6072">
        <v>230082145.71181047</v>
      </c>
    </row>
    <row r="6073" spans="1:2" x14ac:dyDescent="0.25">
      <c r="A6073">
        <f ca="1">39465.7197093257*((RANDBETWEEN(1587,2416)))</f>
        <v>64329123.126200974</v>
      </c>
      <c r="B6073">
        <v>263560282.48895973</v>
      </c>
    </row>
    <row r="6074" spans="1:2" x14ac:dyDescent="0.25">
      <c r="A6074">
        <f ca="1">39281.9926348901*((RANDBETWEEN(1587,2416)))</f>
        <v>93687552.434212908</v>
      </c>
      <c r="B6074">
        <v>241728942.47334448</v>
      </c>
    </row>
    <row r="6075" spans="1:2" x14ac:dyDescent="0.25">
      <c r="A6075">
        <f ca="1">32431.9939477846*((RANDBETWEEN(1587,2416)))</f>
        <v>66388291.611115113</v>
      </c>
      <c r="B6075">
        <v>232869458.67226109</v>
      </c>
    </row>
    <row r="6076" spans="1:2" x14ac:dyDescent="0.25">
      <c r="A6076">
        <f ca="1">31865.9890970902*((RANDBETWEEN(1587,2416)))</f>
        <v>64656091.877995983</v>
      </c>
      <c r="B6076">
        <v>238097255.79906014</v>
      </c>
    </row>
    <row r="6077" spans="1:2" x14ac:dyDescent="0.25">
      <c r="A6077">
        <f ca="1">40127.3453516792*((RANDBETWEEN(1587,2416)))</f>
        <v>67654704.262931079</v>
      </c>
      <c r="B6077">
        <v>231426492.1112273</v>
      </c>
    </row>
    <row r="6078" spans="1:2" x14ac:dyDescent="0.25">
      <c r="A6078">
        <f ca="1">31229.2585093376*((RANDBETWEEN(1587,2416)))</f>
        <v>70546894.972593561</v>
      </c>
      <c r="B6078">
        <v>262160760.12446281</v>
      </c>
    </row>
    <row r="6079" spans="1:2" x14ac:dyDescent="0.25">
      <c r="A6079">
        <f ca="1">30315.3028852623*((RANDBETWEEN(1587,2416)))</f>
        <v>67754701.948561251</v>
      </c>
      <c r="B6079">
        <v>227068419.53622863</v>
      </c>
    </row>
    <row r="6080" spans="1:2" x14ac:dyDescent="0.25">
      <c r="A6080">
        <f ca="1">35745.7474546469*((RANDBETWEEN(1587,2416)))</f>
        <v>85754048.143697903</v>
      </c>
      <c r="B6080">
        <v>256902848.46195474</v>
      </c>
    </row>
    <row r="6081" spans="1:2" x14ac:dyDescent="0.25">
      <c r="A6081">
        <f ca="1">33061.4859107419*((RANDBETWEEN(1587,2416)))</f>
        <v>60535580.702568382</v>
      </c>
      <c r="B6081">
        <v>254650579.72953516</v>
      </c>
    </row>
    <row r="6082" spans="1:2" x14ac:dyDescent="0.25">
      <c r="A6082">
        <f ca="1">33607.5868607415*((RANDBETWEEN(1587,2416)))</f>
        <v>78104031.864363238</v>
      </c>
      <c r="B6082">
        <v>205146160.1964111</v>
      </c>
    </row>
    <row r="6083" spans="1:2" x14ac:dyDescent="0.25">
      <c r="A6083">
        <f ca="1">32398.1002209426*((RANDBETWEEN(1587,2416)))</f>
        <v>53456865.364555217</v>
      </c>
      <c r="B6083">
        <v>235551240.39186919</v>
      </c>
    </row>
    <row r="6084" spans="1:2" x14ac:dyDescent="0.25">
      <c r="A6084">
        <f ca="1">32843.9048187305*((RANDBETWEEN(1587,2416)))</f>
        <v>77511615.372203946</v>
      </c>
      <c r="B6084">
        <v>236363184.47043857</v>
      </c>
    </row>
    <row r="6085" spans="1:2" x14ac:dyDescent="0.25">
      <c r="A6085">
        <f ca="1">31143.7208340334*((RANDBETWEEN(1587,2416)))</f>
        <v>68173604.905699179</v>
      </c>
      <c r="B6085">
        <v>228644119.48175514</v>
      </c>
    </row>
    <row r="6086" spans="1:2" x14ac:dyDescent="0.25">
      <c r="A6086">
        <f ca="1">32721.233285564*((RANDBETWEEN(1587,2416)))</f>
        <v>54251804.787465081</v>
      </c>
      <c r="B6086">
        <v>250038186.00868082</v>
      </c>
    </row>
    <row r="6087" spans="1:2" x14ac:dyDescent="0.25">
      <c r="A6087">
        <f ca="1">31711.3593330119*((RANDBETWEEN(1587,2416)))</f>
        <v>71826228.889271945</v>
      </c>
      <c r="B6087">
        <v>243220086.42301869</v>
      </c>
    </row>
    <row r="6088" spans="1:2" x14ac:dyDescent="0.25">
      <c r="A6088">
        <f ca="1">31482.6316924118*((RANDBETWEEN(1587,2416)))</f>
        <v>70521094.991002426</v>
      </c>
      <c r="B6088">
        <v>247372661.89392793</v>
      </c>
    </row>
    <row r="6089" spans="1:2" x14ac:dyDescent="0.25">
      <c r="A6089">
        <f ca="1">31172.747992443*((RANDBETWEEN(1587,2416)))</f>
        <v>50343988.00779552</v>
      </c>
      <c r="B6089">
        <v>213241719.3597495</v>
      </c>
    </row>
    <row r="6090" spans="1:2" x14ac:dyDescent="0.25">
      <c r="A6090">
        <f ca="1">30830.4601744767*((RANDBETWEEN(1587,2416)))</f>
        <v>55494828.314058043</v>
      </c>
      <c r="B6090">
        <v>245430995.43532413</v>
      </c>
    </row>
    <row r="6091" spans="1:2" x14ac:dyDescent="0.25">
      <c r="A6091">
        <f ca="1">32842.0616911336*((RANDBETWEEN(1587,2416)))</f>
        <v>52350246.335666999</v>
      </c>
      <c r="B6091">
        <v>242485789.58333725</v>
      </c>
    </row>
    <row r="6092" spans="1:2" x14ac:dyDescent="0.25">
      <c r="A6092">
        <f ca="1">33415.9089165324*((RANDBETWEEN(1587,2416)))</f>
        <v>63256315.578995839</v>
      </c>
      <c r="B6092">
        <v>267795000.57478803</v>
      </c>
    </row>
    <row r="6093" spans="1:2" x14ac:dyDescent="0.25">
      <c r="A6093">
        <f ca="1">33137.006955066*((RANDBETWEEN(1587,2416)))</f>
        <v>53483129.225476474</v>
      </c>
      <c r="B6093">
        <v>258258272.16257617</v>
      </c>
    </row>
    <row r="6094" spans="1:2" x14ac:dyDescent="0.25">
      <c r="A6094">
        <f ca="1">38495.0336849311*((RANDBETWEEN(1587,2416)))</f>
        <v>85612954.91528675</v>
      </c>
      <c r="B6094">
        <v>206883621.5213739</v>
      </c>
    </row>
    <row r="6095" spans="1:2" x14ac:dyDescent="0.25">
      <c r="A6095">
        <f ca="1">31934.8971765991*((RANDBETWEEN(1587,2416)))</f>
        <v>66584260.613209046</v>
      </c>
      <c r="B6095">
        <v>214836016.49345893</v>
      </c>
    </row>
    <row r="6096" spans="1:2" x14ac:dyDescent="0.25">
      <c r="A6096">
        <f ca="1">37928.4875455994*((RANDBETWEEN(1587,2416)))</f>
        <v>77980970.393752471</v>
      </c>
      <c r="B6096">
        <v>213015109.17359978</v>
      </c>
    </row>
    <row r="6097" spans="1:2" x14ac:dyDescent="0.25">
      <c r="A6097">
        <f ca="1">27929.505030985*((RANDBETWEEN(1587,2416)))</f>
        <v>56026587.092155993</v>
      </c>
      <c r="B6097">
        <v>265162239.58482522</v>
      </c>
    </row>
    <row r="6098" spans="1:2" x14ac:dyDescent="0.25">
      <c r="A6098">
        <f ca="1">28491.2511190068*((RANDBETWEEN(1587,2416)))</f>
        <v>56840045.982418634</v>
      </c>
      <c r="B6098">
        <v>221403408.99037537</v>
      </c>
    </row>
    <row r="6099" spans="1:2" x14ac:dyDescent="0.25">
      <c r="A6099">
        <f ca="1">30765.3928961343*((RANDBETWEEN(1587,2416)))</f>
        <v>71375711.519031659</v>
      </c>
      <c r="B6099">
        <v>267874345.50363374</v>
      </c>
    </row>
    <row r="6100" spans="1:2" x14ac:dyDescent="0.25">
      <c r="A6100">
        <f ca="1">33504.5062824834*((RANDBETWEEN(1587,2416)))</f>
        <v>59537507.663972914</v>
      </c>
      <c r="B6100">
        <v>238114409.64778394</v>
      </c>
    </row>
    <row r="6101" spans="1:2" x14ac:dyDescent="0.25">
      <c r="A6101">
        <f ca="1">31844.2996609081*((RANDBETWEEN(1587,2416)))</f>
        <v>76585540.684483856</v>
      </c>
      <c r="B6101">
        <v>210839429.65255538</v>
      </c>
    </row>
    <row r="6102" spans="1:2" x14ac:dyDescent="0.25">
      <c r="A6102">
        <f ca="1">30313.6259634692*((RANDBETWEEN(1587,2416)))</f>
        <v>62506696.736673407</v>
      </c>
      <c r="B6102">
        <v>260504254.88546592</v>
      </c>
    </row>
    <row r="6103" spans="1:2" x14ac:dyDescent="0.25">
      <c r="A6103">
        <f ca="1">41610.8082442457*((RANDBETWEEN(1587,2416)))</f>
        <v>67617563.396899313</v>
      </c>
      <c r="B6103">
        <v>229628453.61695558</v>
      </c>
    </row>
    <row r="6104" spans="1:2" x14ac:dyDescent="0.25">
      <c r="A6104">
        <f ca="1">31706.4396399463*((RANDBETWEEN(1587,2416)))</f>
        <v>75366207.024152279</v>
      </c>
      <c r="B6104">
        <v>258694973.10654053</v>
      </c>
    </row>
    <row r="6105" spans="1:2" x14ac:dyDescent="0.25">
      <c r="A6105">
        <f ca="1">39831.7316787638*((RANDBETWEEN(1587,2416)))</f>
        <v>80101612.405993998</v>
      </c>
      <c r="B6105">
        <v>217530725.88539463</v>
      </c>
    </row>
    <row r="6106" spans="1:2" x14ac:dyDescent="0.25">
      <c r="A6106">
        <f ca="1">37699.7969236249*((RANDBETWEEN(1587,2416)))</f>
        <v>83165752.01351653</v>
      </c>
      <c r="B6106">
        <v>264646827.02258757</v>
      </c>
    </row>
    <row r="6107" spans="1:2" x14ac:dyDescent="0.25">
      <c r="A6107">
        <f ca="1">37486.2001442888*((RANDBETWEEN(1587,2416)))</f>
        <v>64288833.247455254</v>
      </c>
      <c r="B6107">
        <v>215729250.65286183</v>
      </c>
    </row>
    <row r="6108" spans="1:2" x14ac:dyDescent="0.25">
      <c r="A6108">
        <f ca="1">35351.6384344636*((RANDBETWEEN(1587,2416)))</f>
        <v>63880410.651075773</v>
      </c>
      <c r="B6108">
        <v>241497886.21583724</v>
      </c>
    </row>
    <row r="6109" spans="1:2" x14ac:dyDescent="0.25">
      <c r="A6109">
        <f ca="1">38336.7674903736*((RANDBETWEEN(1587,2416)))</f>
        <v>64827473.826221704</v>
      </c>
      <c r="B6109">
        <v>250735028.58863235</v>
      </c>
    </row>
    <row r="6110" spans="1:2" x14ac:dyDescent="0.25">
      <c r="A6110">
        <f ca="1">38177.9594458377*((RANDBETWEEN(1587,2416)))</f>
        <v>79257443.809559152</v>
      </c>
      <c r="B6110">
        <v>263137473.31966668</v>
      </c>
    </row>
    <row r="6111" spans="1:2" x14ac:dyDescent="0.25">
      <c r="A6111">
        <f ca="1">35105.1057044635*((RANDBETWEEN(1587,2416)))</f>
        <v>77757809.135386631</v>
      </c>
      <c r="B6111">
        <v>228408734.01338577</v>
      </c>
    </row>
    <row r="6112" spans="1:2" x14ac:dyDescent="0.25">
      <c r="A6112">
        <f ca="1">38527.8470833954*((RANDBETWEEN(1587,2416)))</f>
        <v>71199461.410114646</v>
      </c>
      <c r="B6112">
        <v>225330205.6011354</v>
      </c>
    </row>
    <row r="6113" spans="1:2" x14ac:dyDescent="0.25">
      <c r="A6113">
        <f ca="1">41847.0756110544*((RANDBETWEEN(1587,2416)))</f>
        <v>82899056.785498738</v>
      </c>
      <c r="B6113">
        <v>238990511.40515733</v>
      </c>
    </row>
    <row r="6114" spans="1:2" x14ac:dyDescent="0.25">
      <c r="A6114">
        <f ca="1">40426.2944583023*((RANDBETWEEN(1587,2416)))</f>
        <v>66016138.850407697</v>
      </c>
      <c r="B6114">
        <v>227582984.0651781</v>
      </c>
    </row>
    <row r="6115" spans="1:2" x14ac:dyDescent="0.25">
      <c r="A6115">
        <f ca="1">37021.4982090889*((RANDBETWEEN(1587,2416)))</f>
        <v>66009331.306805499</v>
      </c>
      <c r="B6115">
        <v>263940752.42215377</v>
      </c>
    </row>
    <row r="6116" spans="1:2" x14ac:dyDescent="0.25">
      <c r="A6116">
        <f ca="1">30626.4785555989*((RANDBETWEEN(1587,2416)))</f>
        <v>67163867.472428307</v>
      </c>
      <c r="B6116">
        <v>207170896.93331879</v>
      </c>
    </row>
    <row r="6117" spans="1:2" x14ac:dyDescent="0.25">
      <c r="A6117">
        <f ca="1">34459.9893449758*((RANDBETWEEN(1587,2416)))</f>
        <v>55583962.81344603</v>
      </c>
      <c r="B6117">
        <v>253399095.29072288</v>
      </c>
    </row>
    <row r="6118" spans="1:2" x14ac:dyDescent="0.25">
      <c r="A6118">
        <f ca="1">31286.6841349477*((RANDBETWEEN(1587,2416)))</f>
        <v>64638289.422802038</v>
      </c>
      <c r="B6118">
        <v>232319803.01936179</v>
      </c>
    </row>
    <row r="6119" spans="1:2" x14ac:dyDescent="0.25">
      <c r="A6119">
        <f ca="1">37609.0078439819*((RANDBETWEEN(1587,2416)))</f>
        <v>83567215.429327875</v>
      </c>
      <c r="B6119">
        <v>206051161.14209095</v>
      </c>
    </row>
    <row r="6120" spans="1:2" x14ac:dyDescent="0.25">
      <c r="A6120">
        <f ca="1">42565.6700696959*((RANDBETWEEN(1587,2416)))</f>
        <v>80704510.452143371</v>
      </c>
      <c r="B6120">
        <v>218322168.78364754</v>
      </c>
    </row>
    <row r="6121" spans="1:2" x14ac:dyDescent="0.25">
      <c r="A6121">
        <f ca="1">33284.9770494228*((RANDBETWEEN(1587,2416)))</f>
        <v>54853642.177448809</v>
      </c>
      <c r="B6121">
        <v>228158600.31376967</v>
      </c>
    </row>
    <row r="6122" spans="1:2" x14ac:dyDescent="0.25">
      <c r="A6122">
        <f ca="1">30390.0556819317*((RANDBETWEEN(1587,2416)))</f>
        <v>59382168.802494474</v>
      </c>
      <c r="B6122">
        <v>218949503.43962127</v>
      </c>
    </row>
    <row r="6123" spans="1:2" x14ac:dyDescent="0.25">
      <c r="A6123">
        <f ca="1">31042.6751125312*((RANDBETWEEN(1587,2416)))</f>
        <v>58763783.988021627</v>
      </c>
      <c r="B6123">
        <v>242415952.6045208</v>
      </c>
    </row>
    <row r="6124" spans="1:2" x14ac:dyDescent="0.25">
      <c r="A6124">
        <f ca="1">33517.5297210189*((RANDBETWEEN(1587,2416)))</f>
        <v>66297673.788175419</v>
      </c>
      <c r="B6124">
        <v>248951808.75977385</v>
      </c>
    </row>
    <row r="6125" spans="1:2" x14ac:dyDescent="0.25">
      <c r="A6125">
        <f ca="1">35738.9205991447*((RANDBETWEEN(1587,2416)))</f>
        <v>67689515.614780024</v>
      </c>
      <c r="B6125">
        <v>217667918.90596902</v>
      </c>
    </row>
    <row r="6126" spans="1:2" x14ac:dyDescent="0.25">
      <c r="A6126">
        <f ca="1">29411.8611145131*((RANDBETWEEN(1587,2416)))</f>
        <v>56647244.506552175</v>
      </c>
      <c r="B6126">
        <v>232964660.564601</v>
      </c>
    </row>
    <row r="6127" spans="1:2" x14ac:dyDescent="0.25">
      <c r="A6127">
        <f ca="1">39938.7565401684*((RANDBETWEEN(1587,2416)))</f>
        <v>82912858.577389583</v>
      </c>
      <c r="B6127">
        <v>229865922.90056863</v>
      </c>
    </row>
    <row r="6128" spans="1:2" x14ac:dyDescent="0.25">
      <c r="A6128">
        <f ca="1">32534.7574292394*((RANDBETWEEN(1587,2416)))</f>
        <v>74341920.725812137</v>
      </c>
      <c r="B6128">
        <v>244516390.82757449</v>
      </c>
    </row>
    <row r="6129" spans="1:2" x14ac:dyDescent="0.25">
      <c r="A6129">
        <f ca="1">38920.2474143685*((RANDBETWEEN(1587,2416)))</f>
        <v>72158138.706239179</v>
      </c>
      <c r="B6129">
        <v>236818449.46045125</v>
      </c>
    </row>
    <row r="6130" spans="1:2" x14ac:dyDescent="0.25">
      <c r="A6130">
        <f ca="1">39023.2174280058*((RANDBETWEEN(1587,2416)))</f>
        <v>67432119.715594068</v>
      </c>
      <c r="B6130">
        <v>250882375.35634756</v>
      </c>
    </row>
    <row r="6131" spans="1:2" x14ac:dyDescent="0.25">
      <c r="A6131">
        <f ca="1">30977.9357032692*((RANDBETWEEN(1587,2416)))</f>
        <v>56689622.336982608</v>
      </c>
      <c r="B6131">
        <v>261377142.02745461</v>
      </c>
    </row>
    <row r="6132" spans="1:2" x14ac:dyDescent="0.25">
      <c r="A6132">
        <f ca="1">38015.8205437031*((RANDBETWEEN(1587,2416)))</f>
        <v>83216631.17016615</v>
      </c>
      <c r="B6132">
        <v>222908603.81023976</v>
      </c>
    </row>
    <row r="6133" spans="1:2" x14ac:dyDescent="0.25">
      <c r="A6133">
        <f ca="1">35028.7522815101*((RANDBETWEEN(1587,2416)))</f>
        <v>78499433.862864122</v>
      </c>
      <c r="B6133">
        <v>224231959.54670623</v>
      </c>
    </row>
    <row r="6134" spans="1:2" x14ac:dyDescent="0.25">
      <c r="A6134">
        <f ca="1">29880.6503077452*((RANDBETWEEN(1587,2416)))</f>
        <v>68038240.750735745</v>
      </c>
      <c r="B6134">
        <v>221526474.72709477</v>
      </c>
    </row>
    <row r="6135" spans="1:2" x14ac:dyDescent="0.25">
      <c r="A6135">
        <f ca="1">33133.3573611615*((RANDBETWEEN(1587,2416)))</f>
        <v>58712309.24397818</v>
      </c>
      <c r="B6135">
        <v>265863010.11030903</v>
      </c>
    </row>
    <row r="6136" spans="1:2" x14ac:dyDescent="0.25">
      <c r="A6136">
        <f ca="1">36131.8995723949*((RANDBETWEEN(1587,2416)))</f>
        <v>58100094.512411028</v>
      </c>
      <c r="B6136">
        <v>243565696.10590553</v>
      </c>
    </row>
    <row r="6137" spans="1:2" x14ac:dyDescent="0.25">
      <c r="A6137">
        <f ca="1">33046.8588097957*((RANDBETWEEN(1587,2416)))</f>
        <v>66060670.760781698</v>
      </c>
      <c r="B6137">
        <v>235623926.16302565</v>
      </c>
    </row>
    <row r="6138" spans="1:2" x14ac:dyDescent="0.25">
      <c r="A6138">
        <f ca="1">32523.0519411867*((RANDBETWEEN(1587,2416)))</f>
        <v>67615424.985727057</v>
      </c>
      <c r="B6138">
        <v>238006213.43528914</v>
      </c>
    </row>
    <row r="6139" spans="1:2" x14ac:dyDescent="0.25">
      <c r="A6139">
        <f ca="1">35479.3602591647*((RANDBETWEEN(1587,2416)))</f>
        <v>84405398.056552827</v>
      </c>
      <c r="B6139">
        <v>221176562.52113643</v>
      </c>
    </row>
    <row r="6140" spans="1:2" x14ac:dyDescent="0.25">
      <c r="A6140">
        <f ca="1">31915.9457299972*((RANDBETWEEN(1587,2416)))</f>
        <v>66161755.498284116</v>
      </c>
      <c r="B6140">
        <v>236211945.73214716</v>
      </c>
    </row>
    <row r="6141" spans="1:2" x14ac:dyDescent="0.25">
      <c r="A6141">
        <f ca="1">35636.8494150377*((RANDBETWEEN(1587,2416)))</f>
        <v>81822206.256926507</v>
      </c>
      <c r="B6141">
        <v>204591110.85048515</v>
      </c>
    </row>
    <row r="6142" spans="1:2" x14ac:dyDescent="0.25">
      <c r="A6142">
        <f ca="1">31939.3192612759*((RANDBETWEEN(1587,2416)))</f>
        <v>52061090.39587976</v>
      </c>
      <c r="B6142">
        <v>242075812.20444793</v>
      </c>
    </row>
    <row r="6143" spans="1:2" x14ac:dyDescent="0.25">
      <c r="A6143">
        <f ca="1">35173.8105870234*((RANDBETWEEN(1587,2416)))</f>
        <v>57157442.203912973</v>
      </c>
      <c r="B6143">
        <v>237767805.81900427</v>
      </c>
    </row>
    <row r="6144" spans="1:2" x14ac:dyDescent="0.25">
      <c r="A6144">
        <f ca="1">30989.1004872386*((RANDBETWEEN(1587,2416)))</f>
        <v>69074704.986054823</v>
      </c>
      <c r="B6144">
        <v>212608015.49138784</v>
      </c>
    </row>
    <row r="6145" spans="1:2" x14ac:dyDescent="0.25">
      <c r="A6145">
        <f ca="1">41304.4598207016*((RANDBETWEEN(1587,2416)))</f>
        <v>96693740.440262422</v>
      </c>
      <c r="B6145">
        <v>254571381.314412</v>
      </c>
    </row>
    <row r="6146" spans="1:2" x14ac:dyDescent="0.25">
      <c r="A6146">
        <f ca="1">32981.8131779617*((RANDBETWEEN(1587,2416)))</f>
        <v>76451842.946515262</v>
      </c>
      <c r="B6146">
        <v>225646342.25471562</v>
      </c>
    </row>
    <row r="6147" spans="1:2" x14ac:dyDescent="0.25">
      <c r="A6147">
        <f ca="1">37036.4404004056*((RANDBETWEEN(1587,2416)))</f>
        <v>70295163.87996982</v>
      </c>
      <c r="B6147">
        <v>255259911.98216173</v>
      </c>
    </row>
    <row r="6148" spans="1:2" x14ac:dyDescent="0.25">
      <c r="A6148">
        <f ca="1">32174.2268073278*((RANDBETWEEN(1587,2416)))</f>
        <v>74483335.058963761</v>
      </c>
      <c r="B6148">
        <v>215383761.59978217</v>
      </c>
    </row>
    <row r="6149" spans="1:2" x14ac:dyDescent="0.25">
      <c r="A6149">
        <f ca="1">32427.4499104502*((RANDBETWEEN(1587,2416)))</f>
        <v>75101973.992602691</v>
      </c>
      <c r="B6149">
        <v>257916409.17270157</v>
      </c>
    </row>
    <row r="6150" spans="1:2" x14ac:dyDescent="0.25">
      <c r="A6150">
        <f ca="1">32459.9951530063*((RANDBETWEEN(1587,2416)))</f>
        <v>68652889.748608246</v>
      </c>
      <c r="B6150">
        <v>223357589.5840987</v>
      </c>
    </row>
    <row r="6151" spans="1:2" x14ac:dyDescent="0.25">
      <c r="A6151">
        <f ca="1">32726.2443994514*((RANDBETWEEN(1587,2416)))</f>
        <v>63816176.578930221</v>
      </c>
      <c r="B6151">
        <v>245620498.34955192</v>
      </c>
    </row>
    <row r="6152" spans="1:2" x14ac:dyDescent="0.25">
      <c r="A6152">
        <f ca="1">39496.631987808*((RANDBETWEEN(1587,2416)))</f>
        <v>74727627.720932811</v>
      </c>
      <c r="B6152">
        <v>215055380.04281044</v>
      </c>
    </row>
    <row r="6153" spans="1:2" x14ac:dyDescent="0.25">
      <c r="A6153">
        <f ca="1">29175.9942833257*((RANDBETWEEN(1587,2416)))</f>
        <v>48636382.47030399</v>
      </c>
      <c r="B6153">
        <v>228395883.57631409</v>
      </c>
    </row>
    <row r="6154" spans="1:2" x14ac:dyDescent="0.25">
      <c r="A6154">
        <f ca="1">32060.9369650188*((RANDBETWEEN(1587,2416)))</f>
        <v>62230278.64910154</v>
      </c>
      <c r="B6154">
        <v>265268660.7798419</v>
      </c>
    </row>
    <row r="6155" spans="1:2" x14ac:dyDescent="0.25">
      <c r="A6155">
        <f ca="1">40203.5839502592*((RANDBETWEEN(1587,2416)))</f>
        <v>90538471.055983722</v>
      </c>
      <c r="B6155">
        <v>208717042.99976772</v>
      </c>
    </row>
    <row r="6156" spans="1:2" x14ac:dyDescent="0.25">
      <c r="A6156">
        <f ca="1">31758.4046449739*((RANDBETWEEN(1587,2416)))</f>
        <v>64533078.238587029</v>
      </c>
      <c r="B6156">
        <v>240745931.74456671</v>
      </c>
    </row>
    <row r="6157" spans="1:2" x14ac:dyDescent="0.25">
      <c r="A6157">
        <f ca="1">31163.8886310843*((RANDBETWEEN(1587,2416)))</f>
        <v>54412149.549873203</v>
      </c>
      <c r="B6157">
        <v>251393902.19378147</v>
      </c>
    </row>
    <row r="6158" spans="1:2" x14ac:dyDescent="0.25">
      <c r="A6158">
        <f ca="1">31860.4647728202*((RANDBETWEEN(1587,2416)))</f>
        <v>68149534.149062455</v>
      </c>
      <c r="B6158">
        <v>208873996.20785415</v>
      </c>
    </row>
    <row r="6159" spans="1:2" x14ac:dyDescent="0.25">
      <c r="A6159">
        <f ca="1">36166.9886052603*((RANDBETWEEN(1587,2416)))</f>
        <v>83292574.757914469</v>
      </c>
      <c r="B6159">
        <v>216850776.68558374</v>
      </c>
    </row>
    <row r="6160" spans="1:2" x14ac:dyDescent="0.25">
      <c r="A6160">
        <f ca="1">38053.6230033941*((RANDBETWEEN(1587,2416)))</f>
        <v>64919480.8437903</v>
      </c>
      <c r="B6160">
        <v>235943893.8281351</v>
      </c>
    </row>
    <row r="6161" spans="1:2" x14ac:dyDescent="0.25">
      <c r="A6161">
        <f ca="1">35984.3687500803*((RANDBETWEEN(1587,2416)))</f>
        <v>65383598.018895999</v>
      </c>
      <c r="B6161">
        <v>236293940.3398166</v>
      </c>
    </row>
    <row r="6162" spans="1:2" x14ac:dyDescent="0.25">
      <c r="A6162">
        <f ca="1">29179.2985349867*((RANDBETWEEN(1587,2416)))</f>
        <v>52464378.765906125</v>
      </c>
      <c r="B6162">
        <v>235615539.54140085</v>
      </c>
    </row>
    <row r="6163" spans="1:2" x14ac:dyDescent="0.25">
      <c r="A6163">
        <f ca="1">30136.8913108214*((RANDBETWEEN(1587,2416)))</f>
        <v>54487499.489965096</v>
      </c>
      <c r="B6163">
        <v>261445882.25182727</v>
      </c>
    </row>
    <row r="6164" spans="1:2" x14ac:dyDescent="0.25">
      <c r="A6164">
        <f ca="1">36914.0455166359*((RANDBETWEEN(1587,2416)))</f>
        <v>79918908.543516681</v>
      </c>
      <c r="B6164">
        <v>233313248.17660052</v>
      </c>
    </row>
    <row r="6165" spans="1:2" x14ac:dyDescent="0.25">
      <c r="A6165">
        <f ca="1">29292.859518866*((RANDBETWEEN(1587,2416)))</f>
        <v>49973618.339185335</v>
      </c>
      <c r="B6165">
        <v>251218537.98897123</v>
      </c>
    </row>
    <row r="6166" spans="1:2" x14ac:dyDescent="0.25">
      <c r="A6166">
        <f ca="1">32324.5548322351*((RANDBETWEEN(1587,2416)))</f>
        <v>77126387.829712838</v>
      </c>
      <c r="B6166">
        <v>238058499.47243476</v>
      </c>
    </row>
    <row r="6167" spans="1:2" x14ac:dyDescent="0.25">
      <c r="A6167">
        <f ca="1">30942.9680495465*((RANDBETWEEN(1587,2416)))</f>
        <v>66156065.689930394</v>
      </c>
      <c r="B6167">
        <v>208867429.98892444</v>
      </c>
    </row>
    <row r="6168" spans="1:2" x14ac:dyDescent="0.25">
      <c r="A6168">
        <f ca="1">31997.9239717709*((RANDBETWEEN(1587,2416)))</f>
        <v>66811665.253057599</v>
      </c>
      <c r="B6168">
        <v>207241164.11854157</v>
      </c>
    </row>
    <row r="6169" spans="1:2" x14ac:dyDescent="0.25">
      <c r="A6169">
        <f ca="1">39240.678644481*((RANDBETWEEN(1587,2416)))</f>
        <v>64236990.941015452</v>
      </c>
      <c r="B6169">
        <v>255909511.7855331</v>
      </c>
    </row>
    <row r="6170" spans="1:2" x14ac:dyDescent="0.25">
      <c r="A6170">
        <f ca="1">39368.6577544254*((RANDBETWEEN(1587,2416)))</f>
        <v>69170731.67452535</v>
      </c>
      <c r="B6170">
        <v>226403806.18684885</v>
      </c>
    </row>
    <row r="6171" spans="1:2" x14ac:dyDescent="0.25">
      <c r="A6171">
        <f ca="1">39194.6757508059*((RANDBETWEEN(1587,2416)))</f>
        <v>69061018.672920167</v>
      </c>
      <c r="B6171">
        <v>215394694.80716172</v>
      </c>
    </row>
    <row r="6172" spans="1:2" x14ac:dyDescent="0.25">
      <c r="A6172">
        <f ca="1">32604.8681557481*((RANDBETWEEN(1587,2416)))</f>
        <v>76067157.40736036</v>
      </c>
      <c r="B6172">
        <v>206813044.66089672</v>
      </c>
    </row>
    <row r="6173" spans="1:2" x14ac:dyDescent="0.25">
      <c r="A6173">
        <f ca="1">33165.3395541216*((RANDBETWEEN(1587,2416)))</f>
        <v>56745895.977102101</v>
      </c>
      <c r="B6173">
        <v>256117927.01198429</v>
      </c>
    </row>
    <row r="6174" spans="1:2" x14ac:dyDescent="0.25">
      <c r="A6174">
        <f ca="1">34565.8004865806*((RANDBETWEEN(1587,2416)))</f>
        <v>62771493.683630355</v>
      </c>
      <c r="B6174">
        <v>262639322.36339837</v>
      </c>
    </row>
    <row r="6175" spans="1:2" x14ac:dyDescent="0.25">
      <c r="A6175">
        <f ca="1">31744.8140001299*((RANDBETWEEN(1587,2416)))</f>
        <v>71362341.872292042</v>
      </c>
      <c r="B6175">
        <v>261644781.68308458</v>
      </c>
    </row>
    <row r="6176" spans="1:2" x14ac:dyDescent="0.25">
      <c r="A6176">
        <f ca="1">38099.1059782744*((RANDBETWEEN(1587,2416)))</f>
        <v>72997887.054373726</v>
      </c>
      <c r="B6176">
        <v>233162146.85701546</v>
      </c>
    </row>
    <row r="6177" spans="1:2" x14ac:dyDescent="0.25">
      <c r="A6177">
        <f ca="1">31345.3996597973*((RANDBETWEEN(1587,2416)))</f>
        <v>52597580.6291399</v>
      </c>
      <c r="B6177">
        <v>218070901.32664376</v>
      </c>
    </row>
    <row r="6178" spans="1:2" x14ac:dyDescent="0.25">
      <c r="A6178">
        <f ca="1">34359.7428606912*((RANDBETWEEN(1587,2416)))</f>
        <v>60232629.234791726</v>
      </c>
      <c r="B6178">
        <v>266836033.40520164</v>
      </c>
    </row>
    <row r="6179" spans="1:2" x14ac:dyDescent="0.25">
      <c r="A6179">
        <f ca="1">30573.5912563561*((RANDBETWEEN(1587,2416)))</f>
        <v>56683438.18928425</v>
      </c>
      <c r="B6179">
        <v>204559393.54376984</v>
      </c>
    </row>
    <row r="6180" spans="1:2" x14ac:dyDescent="0.25">
      <c r="A6180">
        <f ca="1">35430.3848106197*((RANDBETWEEN(1587,2416)))</f>
        <v>61684299.955288865</v>
      </c>
      <c r="B6180">
        <v>205440061.0753814</v>
      </c>
    </row>
    <row r="6181" spans="1:2" x14ac:dyDescent="0.25">
      <c r="A6181">
        <f ca="1">38266.7151474959*((RANDBETWEEN(1587,2416)))</f>
        <v>87209843.821143314</v>
      </c>
      <c r="B6181">
        <v>249554806.93146908</v>
      </c>
    </row>
    <row r="6182" spans="1:2" x14ac:dyDescent="0.25">
      <c r="A6182">
        <f ca="1">36795.3344567224*((RANDBETWEEN(1587,2416)))</f>
        <v>79514717.760977149</v>
      </c>
      <c r="B6182">
        <v>245453025.14412028</v>
      </c>
    </row>
    <row r="6183" spans="1:2" x14ac:dyDescent="0.25">
      <c r="A6183">
        <f ca="1">30877.5315475192*((RANDBETWEEN(1587,2416)))</f>
        <v>68208467.188469991</v>
      </c>
      <c r="B6183">
        <v>228024689.32362208</v>
      </c>
    </row>
    <row r="6184" spans="1:2" x14ac:dyDescent="0.25">
      <c r="A6184">
        <f ca="1">37284.4819890725*((RANDBETWEEN(1587,2416)))</f>
        <v>87469394.746364042</v>
      </c>
      <c r="B6184">
        <v>221523618.99182105</v>
      </c>
    </row>
    <row r="6185" spans="1:2" x14ac:dyDescent="0.25">
      <c r="A6185">
        <f ca="1">34498.7172019551*((RANDBETWEEN(1587,2416)))</f>
        <v>74275738.135809377</v>
      </c>
      <c r="B6185">
        <v>216571264.26247153</v>
      </c>
    </row>
    <row r="6186" spans="1:2" x14ac:dyDescent="0.25">
      <c r="A6186">
        <f ca="1">30386.3454893661*((RANDBETWEEN(1587,2416)))</f>
        <v>52598764.042092733</v>
      </c>
      <c r="B6186">
        <v>213462348.67474079</v>
      </c>
    </row>
    <row r="6187" spans="1:2" x14ac:dyDescent="0.25">
      <c r="A6187">
        <f ca="1">33309.1626958742*((RANDBETWEEN(1587,2416)))</f>
        <v>72347501.375438824</v>
      </c>
      <c r="B6187">
        <v>247993557.2619026</v>
      </c>
    </row>
    <row r="6188" spans="1:2" x14ac:dyDescent="0.25">
      <c r="A6188">
        <f ca="1">32563.9061986293*((RANDBETWEEN(1587,2416)))</f>
        <v>77274149.409347326</v>
      </c>
      <c r="B6188">
        <v>228062049.87346247</v>
      </c>
    </row>
    <row r="6189" spans="1:2" x14ac:dyDescent="0.25">
      <c r="A6189">
        <f ca="1">31495.308456687*((RANDBETWEEN(1587,2416)))</f>
        <v>52849127.590320744</v>
      </c>
      <c r="B6189">
        <v>265868889.81413463</v>
      </c>
    </row>
    <row r="6190" spans="1:2" x14ac:dyDescent="0.25">
      <c r="A6190">
        <f ca="1">29625.9568100788*((RANDBETWEEN(1587,2416)))</f>
        <v>50453004.447564125</v>
      </c>
      <c r="B6190">
        <v>225672825.88940617</v>
      </c>
    </row>
    <row r="6191" spans="1:2" x14ac:dyDescent="0.25">
      <c r="A6191">
        <f ca="1">38015.7884300912*((RANDBETWEEN(1587,2416)))</f>
        <v>69074687.577475637</v>
      </c>
      <c r="B6191">
        <v>237255091.74044287</v>
      </c>
    </row>
    <row r="6192" spans="1:2" x14ac:dyDescent="0.25">
      <c r="A6192">
        <f ca="1">34592.7418669704*((RANDBETWEEN(1587,2416)))</f>
        <v>61367524.072005473</v>
      </c>
      <c r="B6192">
        <v>227693129.40285793</v>
      </c>
    </row>
    <row r="6193" spans="1:2" x14ac:dyDescent="0.25">
      <c r="A6193">
        <f ca="1">41151.2871634627*((RANDBETWEEN(1587,2416)))</f>
        <v>95882499.090868071</v>
      </c>
      <c r="B6193">
        <v>214552810.89379787</v>
      </c>
    </row>
    <row r="6194" spans="1:2" x14ac:dyDescent="0.25">
      <c r="A6194">
        <f ca="1">34040.5160638497*((RANDBETWEEN(1587,2416)))</f>
        <v>65970520.131740741</v>
      </c>
      <c r="B6194">
        <v>233594921.94255257</v>
      </c>
    </row>
    <row r="6195" spans="1:2" x14ac:dyDescent="0.25">
      <c r="A6195">
        <f ca="1">29879.5495304633*((RANDBETWEEN(1587,2416)))</f>
        <v>71920075.719825119</v>
      </c>
      <c r="B6195">
        <v>252988146.20611364</v>
      </c>
    </row>
    <row r="6196" spans="1:2" x14ac:dyDescent="0.25">
      <c r="A6196">
        <f ca="1">41347.2549799296*((RANDBETWEEN(1587,2416)))</f>
        <v>86250373.888133168</v>
      </c>
      <c r="B6196">
        <v>256401562.37194782</v>
      </c>
    </row>
    <row r="6197" spans="1:2" x14ac:dyDescent="0.25">
      <c r="A6197">
        <f ca="1">37455.9881193883*((RANDBETWEEN(1587,2416)))</f>
        <v>60903436.6821253</v>
      </c>
      <c r="B6197">
        <v>205907714.27885246</v>
      </c>
    </row>
    <row r="6198" spans="1:2" x14ac:dyDescent="0.25">
      <c r="A6198">
        <f ca="1">32213.5332039985*((RANDBETWEEN(1587,2416)))</f>
        <v>76861490.224740386</v>
      </c>
      <c r="B6198">
        <v>250989118.84132114</v>
      </c>
    </row>
    <row r="6199" spans="1:2" x14ac:dyDescent="0.25">
      <c r="A6199">
        <f ca="1">32733.632355182*((RANDBETWEEN(1587,2416)))</f>
        <v>60197149.90117979</v>
      </c>
      <c r="B6199">
        <v>224941688.5246543</v>
      </c>
    </row>
    <row r="6200" spans="1:2" x14ac:dyDescent="0.25">
      <c r="A6200">
        <f ca="1">40214.1053351388*((RANDBETWEEN(1587,2416)))</f>
        <v>73390742.236628383</v>
      </c>
      <c r="B6200">
        <v>265912964.12243819</v>
      </c>
    </row>
    <row r="6201" spans="1:2" x14ac:dyDescent="0.25">
      <c r="A6201">
        <f ca="1">29080.0296562874*((RANDBETWEEN(1587,2416)))</f>
        <v>49145250.119125769</v>
      </c>
      <c r="B6201">
        <v>228382126.3152597</v>
      </c>
    </row>
    <row r="6202" spans="1:2" x14ac:dyDescent="0.25">
      <c r="A6202">
        <f ca="1">31207.2607594437*((RANDBETWEEN(1587,2416)))</f>
        <v>66471465.417615093</v>
      </c>
      <c r="B6202">
        <v>213247561.57867652</v>
      </c>
    </row>
    <row r="6203" spans="1:2" x14ac:dyDescent="0.25">
      <c r="A6203">
        <f ca="1">34735.2897308842*((RANDBETWEEN(1587,2416)))</f>
        <v>62940344.992362134</v>
      </c>
      <c r="B6203">
        <v>240997403.31939673</v>
      </c>
    </row>
    <row r="6204" spans="1:2" x14ac:dyDescent="0.25">
      <c r="A6204">
        <f ca="1">32718.5759054735*((RANDBETWEEN(1587,2416)))</f>
        <v>67367547.789370045</v>
      </c>
      <c r="B6204">
        <v>242139744.13576275</v>
      </c>
    </row>
    <row r="6205" spans="1:2" x14ac:dyDescent="0.25">
      <c r="A6205">
        <f ca="1">27464.4977524545*((RANDBETWEEN(1587,2416)))</f>
        <v>62097229.418299548</v>
      </c>
      <c r="B6205">
        <v>205037969.48788923</v>
      </c>
    </row>
    <row r="6206" spans="1:2" x14ac:dyDescent="0.25">
      <c r="A6206">
        <f ca="1">30947.0924962413*((RANDBETWEEN(1587,2416)))</f>
        <v>58180533.892933547</v>
      </c>
      <c r="B6206">
        <v>240913098.21149063</v>
      </c>
    </row>
    <row r="6207" spans="1:2" x14ac:dyDescent="0.25">
      <c r="A6207">
        <f ca="1">32246.9317943709*((RANDBETWEEN(1587,2416)))</f>
        <v>62752529.27184581</v>
      </c>
      <c r="B6207">
        <v>220472777.03012222</v>
      </c>
    </row>
    <row r="6208" spans="1:2" x14ac:dyDescent="0.25">
      <c r="A6208">
        <f ca="1">35408.8248088201*((RANDBETWEEN(1587,2416)))</f>
        <v>85547720.738109484</v>
      </c>
      <c r="B6208">
        <v>263210486.06646496</v>
      </c>
    </row>
    <row r="6209" spans="1:2" x14ac:dyDescent="0.25">
      <c r="A6209">
        <f ca="1">28659.7475269425*((RANDBETWEEN(1587,2416)))</f>
        <v>47059305.439239509</v>
      </c>
      <c r="B6209">
        <v>219036339.05943426</v>
      </c>
    </row>
    <row r="6210" spans="1:2" x14ac:dyDescent="0.25">
      <c r="A6210">
        <f ca="1">31249.2313570168*((RANDBETWEEN(1587,2416)))</f>
        <v>54498659.486637272</v>
      </c>
      <c r="B6210">
        <v>239385329.00214079</v>
      </c>
    </row>
    <row r="6211" spans="1:2" x14ac:dyDescent="0.25">
      <c r="A6211">
        <f ca="1">32011.5368547787*((RANDBETWEEN(1587,2416)))</f>
        <v>53299208.863206595</v>
      </c>
      <c r="B6211">
        <v>261193240.54079479</v>
      </c>
    </row>
    <row r="6212" spans="1:2" x14ac:dyDescent="0.25">
      <c r="A6212">
        <f ca="1">31932.5655104789*((RANDBETWEEN(1587,2416)))</f>
        <v>71688609.571025208</v>
      </c>
      <c r="B6212">
        <v>229750052.4413448</v>
      </c>
    </row>
    <row r="6213" spans="1:2" x14ac:dyDescent="0.25">
      <c r="A6213">
        <f ca="1">34972.3745331977*((RANDBETWEEN(1587,2416)))</f>
        <v>61866130.549226776</v>
      </c>
      <c r="B6213">
        <v>211005072.44557244</v>
      </c>
    </row>
    <row r="6214" spans="1:2" x14ac:dyDescent="0.25">
      <c r="A6214">
        <f ca="1">28349.6178107347*((RANDBETWEEN(1587,2416)))</f>
        <v>51766402.12240155</v>
      </c>
      <c r="B6214">
        <v>265669493.21855888</v>
      </c>
    </row>
    <row r="6215" spans="1:2" x14ac:dyDescent="0.25">
      <c r="A6215">
        <f ca="1">37138.6739284206*((RANDBETWEEN(1587,2416)))</f>
        <v>74648734.596125424</v>
      </c>
      <c r="B6215">
        <v>265469384.10532236</v>
      </c>
    </row>
    <row r="6216" spans="1:2" x14ac:dyDescent="0.25">
      <c r="A6216">
        <f ca="1">35772.5240894976*((RANDBETWEEN(1587,2416)))</f>
        <v>59811660.277639993</v>
      </c>
      <c r="B6216">
        <v>206034535.8003042</v>
      </c>
    </row>
    <row r="6217" spans="1:2" x14ac:dyDescent="0.25">
      <c r="A6217">
        <f ca="1">37284.6679033592*((RANDBETWEEN(1587,2416)))</f>
        <v>65695584.845718965</v>
      </c>
      <c r="B6217">
        <v>205219578.48614955</v>
      </c>
    </row>
    <row r="6218" spans="1:2" x14ac:dyDescent="0.25">
      <c r="A6218">
        <f ca="1">33072.3965226691*((RANDBETWEEN(1587,2416)))</f>
        <v>62407612.238276526</v>
      </c>
      <c r="B6218">
        <v>223293837.42399377</v>
      </c>
    </row>
    <row r="6219" spans="1:2" x14ac:dyDescent="0.25">
      <c r="A6219">
        <f ca="1">31187.3599767593*((RANDBETWEEN(1587,2416)))</f>
        <v>68674566.668823928</v>
      </c>
      <c r="B6219">
        <v>262777093.73423058</v>
      </c>
    </row>
    <row r="6220" spans="1:2" x14ac:dyDescent="0.25">
      <c r="A6220">
        <f ca="1">29006.5007264899*((RANDBETWEEN(1587,2416)))</f>
        <v>58042007.953706317</v>
      </c>
      <c r="B6220">
        <v>239547762.09235412</v>
      </c>
    </row>
    <row r="6221" spans="1:2" x14ac:dyDescent="0.25">
      <c r="A6221">
        <f ca="1">39223.7839213967*((RANDBETWEEN(1587,2416)))</f>
        <v>84017345.159631729</v>
      </c>
      <c r="B6221">
        <v>223707075.76569477</v>
      </c>
    </row>
    <row r="6222" spans="1:2" x14ac:dyDescent="0.25">
      <c r="A6222">
        <f ca="1">29195.1722558759*((RANDBETWEEN(1587,2416)))</f>
        <v>58331954.167239986</v>
      </c>
      <c r="B6222">
        <v>218433719.33754194</v>
      </c>
    </row>
    <row r="6223" spans="1:2" x14ac:dyDescent="0.25">
      <c r="A6223">
        <f ca="1">31855.3859127473*((RANDBETWEEN(1587,2416)))</f>
        <v>51605725.178650595</v>
      </c>
      <c r="B6223">
        <v>218082139.53981721</v>
      </c>
    </row>
    <row r="6224" spans="1:2" x14ac:dyDescent="0.25">
      <c r="A6224">
        <f ca="1">37765.6051634881*((RANDBETWEEN(1587,2416)))</f>
        <v>61822295.652629986</v>
      </c>
      <c r="B6224">
        <v>242980218.24566767</v>
      </c>
    </row>
    <row r="6225" spans="1:2" x14ac:dyDescent="0.25">
      <c r="A6225">
        <f ca="1">33266.7864552227*((RANDBETWEEN(1587,2416)))</f>
        <v>73286730.560855582</v>
      </c>
      <c r="B6225">
        <v>208409553.3093397</v>
      </c>
    </row>
    <row r="6226" spans="1:2" x14ac:dyDescent="0.25">
      <c r="A6226">
        <f ca="1">36065.5586459708*((RANDBETWEEN(1587,2416)))</f>
        <v>86449144.074392065</v>
      </c>
      <c r="B6226">
        <v>256151787.71954492</v>
      </c>
    </row>
    <row r="6227" spans="1:2" x14ac:dyDescent="0.25">
      <c r="A6227">
        <f ca="1">35121.0956602132*((RANDBETWEEN(1587,2416)))</f>
        <v>83377481.097346142</v>
      </c>
      <c r="B6227">
        <v>210529056.57704276</v>
      </c>
    </row>
    <row r="6228" spans="1:2" x14ac:dyDescent="0.25">
      <c r="A6228">
        <f ca="1">34248.6642993278*((RANDBETWEEN(1587,2416)))</f>
        <v>63462774.94665435</v>
      </c>
      <c r="B6228">
        <v>263099271.74965495</v>
      </c>
    </row>
    <row r="6229" spans="1:2" x14ac:dyDescent="0.25">
      <c r="A6229">
        <f ca="1">39354.8075038921*((RANDBETWEEN(1587,2416)))</f>
        <v>91814765.906580165</v>
      </c>
      <c r="B6229">
        <v>247938142.47306567</v>
      </c>
    </row>
    <row r="6230" spans="1:2" x14ac:dyDescent="0.25">
      <c r="A6230">
        <f ca="1">36608.6274153232*((RANDBETWEEN(1587,2416)))</f>
        <v>66371441.503980964</v>
      </c>
      <c r="B6230">
        <v>252022302.18631271</v>
      </c>
    </row>
    <row r="6231" spans="1:2" x14ac:dyDescent="0.25">
      <c r="A6231">
        <f ca="1">31520.8784236828*((RANDBETWEEN(1587,2416)))</f>
        <v>65752552.391802385</v>
      </c>
      <c r="B6231">
        <v>222004500.60473362</v>
      </c>
    </row>
    <row r="6232" spans="1:2" x14ac:dyDescent="0.25">
      <c r="A6232">
        <f ca="1">29786.143889149*((RANDBETWEEN(1587,2416)))</f>
        <v>63921064.786113746</v>
      </c>
      <c r="B6232">
        <v>266622199.84977633</v>
      </c>
    </row>
    <row r="6233" spans="1:2" x14ac:dyDescent="0.25">
      <c r="A6233">
        <f ca="1">29709.0590886686*((RANDBETWEEN(1587,2416)))</f>
        <v>49227910.909923881</v>
      </c>
      <c r="B6233">
        <v>208965650.88444746</v>
      </c>
    </row>
    <row r="6234" spans="1:2" x14ac:dyDescent="0.25">
      <c r="A6234">
        <f ca="1">33937.8073174397*((RANDBETWEEN(1587,2416)))</f>
        <v>66925356.029991031</v>
      </c>
      <c r="B6234">
        <v>250695161.44679803</v>
      </c>
    </row>
    <row r="6235" spans="1:2" x14ac:dyDescent="0.25">
      <c r="A6235">
        <f ca="1">31072.119163863*((RANDBETWEEN(1587,2416)))</f>
        <v>56147319.329100393</v>
      </c>
      <c r="B6235">
        <v>254337053.21612531</v>
      </c>
    </row>
    <row r="6236" spans="1:2" x14ac:dyDescent="0.25">
      <c r="A6236">
        <f ca="1">38708.2433941026*((RANDBETWEEN(1587,2416)))</f>
        <v>90074082.378076822</v>
      </c>
      <c r="B6236">
        <v>249632178.5529595</v>
      </c>
    </row>
    <row r="6237" spans="1:2" x14ac:dyDescent="0.25">
      <c r="A6237">
        <f ca="1">32898.3592194392*((RANDBETWEEN(1587,2416)))</f>
        <v>75732022.923149094</v>
      </c>
      <c r="B6237">
        <v>228164465.86077118</v>
      </c>
    </row>
    <row r="6238" spans="1:2" x14ac:dyDescent="0.25">
      <c r="A6238">
        <f ca="1">31737.5476260528*((RANDBETWEEN(1587,2416)))</f>
        <v>53826880.773785532</v>
      </c>
      <c r="B6238">
        <v>239702025.93145639</v>
      </c>
    </row>
    <row r="6239" spans="1:2" x14ac:dyDescent="0.25">
      <c r="A6239">
        <f ca="1">30657.3536562552*((RANDBETWEEN(1587,2416)))</f>
        <v>55428495.41050943</v>
      </c>
      <c r="B6239">
        <v>218362622.63400018</v>
      </c>
    </row>
    <row r="6240" spans="1:2" x14ac:dyDescent="0.25">
      <c r="A6240">
        <f ca="1">34969.6363626806*((RANDBETWEEN(1587,2416)))</f>
        <v>65498128.907300949</v>
      </c>
      <c r="B6240">
        <v>208514356.96286714</v>
      </c>
    </row>
    <row r="6241" spans="1:2" x14ac:dyDescent="0.25">
      <c r="A6241">
        <f ca="1">39769.3558660349*((RANDBETWEEN(1587,2416)))</f>
        <v>76913934.244911477</v>
      </c>
      <c r="B6241">
        <v>213113242.17530394</v>
      </c>
    </row>
    <row r="6242" spans="1:2" x14ac:dyDescent="0.25">
      <c r="A6242">
        <f ca="1">35703.3776543859*((RANDBETWEEN(1587,2416)))</f>
        <v>69657289.803706899</v>
      </c>
      <c r="B6242">
        <v>219428057.73263061</v>
      </c>
    </row>
    <row r="6243" spans="1:2" x14ac:dyDescent="0.25">
      <c r="A6243">
        <f ca="1">34967.717057279*((RANDBETWEEN(1587,2416)))</f>
        <v>66228856.10648641</v>
      </c>
      <c r="B6243">
        <v>255991125.05166015</v>
      </c>
    </row>
    <row r="6244" spans="1:2" x14ac:dyDescent="0.25">
      <c r="A6244">
        <f ca="1">31266.7489740262*((RANDBETWEEN(1587,2416)))</f>
        <v>58249953.338610739</v>
      </c>
      <c r="B6244">
        <v>262408078.24957272</v>
      </c>
    </row>
    <row r="6245" spans="1:2" x14ac:dyDescent="0.25">
      <c r="A6245">
        <f ca="1">40085.7348983937*((RANDBETWEEN(1587,2416)))</f>
        <v>88669645.595246911</v>
      </c>
      <c r="B6245">
        <v>260537076.86714795</v>
      </c>
    </row>
    <row r="6246" spans="1:2" x14ac:dyDescent="0.25">
      <c r="A6246">
        <f ca="1">35102.3593921134*((RANDBETWEEN(1587,2416)))</f>
        <v>78629285.038333908</v>
      </c>
      <c r="B6246">
        <v>206341403.54778498</v>
      </c>
    </row>
    <row r="6247" spans="1:2" x14ac:dyDescent="0.25">
      <c r="A6247">
        <f ca="1">32283.3199628812*((RANDBETWEEN(1587,2416)))</f>
        <v>62209957.568471983</v>
      </c>
      <c r="B6247">
        <v>265754651.37537539</v>
      </c>
    </row>
    <row r="6248" spans="1:2" x14ac:dyDescent="0.25">
      <c r="A6248">
        <f ca="1">26773.5137173897*((RANDBETWEEN(1587,2416)))</f>
        <v>55260532.312692419</v>
      </c>
      <c r="B6248">
        <v>237667454.69108272</v>
      </c>
    </row>
    <row r="6249" spans="1:2" x14ac:dyDescent="0.25">
      <c r="A6249">
        <f ca="1">31458.8330148815*((RANDBETWEEN(1587,2416)))</f>
        <v>63043501.361822598</v>
      </c>
      <c r="B6249">
        <v>267548436.47668734</v>
      </c>
    </row>
    <row r="6250" spans="1:2" x14ac:dyDescent="0.25">
      <c r="A6250">
        <f ca="1">36614.3213147032*((RANDBETWEEN(1587,2416)))</f>
        <v>75535344.872232646</v>
      </c>
      <c r="B6250">
        <v>265487099.40258393</v>
      </c>
    </row>
    <row r="6251" spans="1:2" x14ac:dyDescent="0.25">
      <c r="A6251">
        <f ca="1">36287.420621514*((RANDBETWEEN(1587,2416)))</f>
        <v>69780709.855171487</v>
      </c>
      <c r="B6251">
        <v>263610328.76946598</v>
      </c>
    </row>
    <row r="6252" spans="1:2" x14ac:dyDescent="0.25">
      <c r="A6252">
        <f ca="1">32194.3322150409*((RANDBETWEEN(1587,2416)))</f>
        <v>70634364.879799694</v>
      </c>
      <c r="B6252">
        <v>205027501.61612073</v>
      </c>
    </row>
    <row r="6253" spans="1:2" x14ac:dyDescent="0.25">
      <c r="A6253">
        <f ca="1">37765.7559645483*((RANDBETWEEN(1587,2416)))</f>
        <v>75267151.637344703</v>
      </c>
      <c r="B6253">
        <v>257414600.9645493</v>
      </c>
    </row>
    <row r="6254" spans="1:2" x14ac:dyDescent="0.25">
      <c r="A6254">
        <f ca="1">34360.9134417259*((RANDBETWEEN(1587,2416)))</f>
        <v>64220547.222585745</v>
      </c>
      <c r="B6254">
        <v>214098754.31691971</v>
      </c>
    </row>
    <row r="6255" spans="1:2" x14ac:dyDescent="0.25">
      <c r="A6255">
        <f ca="1">38983.8047862344*((RANDBETWEEN(1587,2416)))</f>
        <v>86816933.258944079</v>
      </c>
      <c r="B6255">
        <v>258889019.25211608</v>
      </c>
    </row>
    <row r="6256" spans="1:2" x14ac:dyDescent="0.25">
      <c r="A6256">
        <f ca="1">35816.3324027459*((RANDBETWEEN(1587,2416)))</f>
        <v>72026644.461921945</v>
      </c>
      <c r="B6256">
        <v>215060112.85509941</v>
      </c>
    </row>
    <row r="6257" spans="1:2" x14ac:dyDescent="0.25">
      <c r="A6257">
        <f ca="1">33151.9983203898*((RANDBETWEEN(1587,2416)))</f>
        <v>72669180.318294525</v>
      </c>
      <c r="B6257">
        <v>226370625.89113069</v>
      </c>
    </row>
    <row r="6258" spans="1:2" x14ac:dyDescent="0.25">
      <c r="A6258">
        <f ca="1">37253.9144368087*((RANDBETWEEN(1587,2416)))</f>
        <v>78046950.745114133</v>
      </c>
      <c r="B6258">
        <v>240509921.81328258</v>
      </c>
    </row>
    <row r="6259" spans="1:2" x14ac:dyDescent="0.25">
      <c r="A6259">
        <f ca="1">30731.5988256071*((RANDBETWEEN(1587,2416)))</f>
        <v>71328040.874234051</v>
      </c>
      <c r="B6259">
        <v>252248755.78866276</v>
      </c>
    </row>
    <row r="6260" spans="1:2" x14ac:dyDescent="0.25">
      <c r="A6260">
        <f ca="1">35939.3655484877*((RANDBETWEEN(1587,2416)))</f>
        <v>68392612.638772175</v>
      </c>
      <c r="B6260">
        <v>206571097.20490715</v>
      </c>
    </row>
    <row r="6261" spans="1:2" x14ac:dyDescent="0.25">
      <c r="A6261">
        <f ca="1">33531.163083165*((RANDBETWEEN(1587,2416)))</f>
        <v>72159062.954971135</v>
      </c>
      <c r="B6261">
        <v>259563725.82489628</v>
      </c>
    </row>
    <row r="6262" spans="1:2" x14ac:dyDescent="0.25">
      <c r="A6262">
        <f ca="1">33259.0011531241*((RANDBETWEEN(1587,2416)))</f>
        <v>74267349.574926004</v>
      </c>
      <c r="B6262">
        <v>249612781.00384492</v>
      </c>
    </row>
    <row r="6263" spans="1:2" x14ac:dyDescent="0.25">
      <c r="A6263">
        <f ca="1">38862.0078896349*((RANDBETWEEN(1587,2416)))</f>
        <v>75236847.274333134</v>
      </c>
      <c r="B6263">
        <v>245933650.12593448</v>
      </c>
    </row>
    <row r="6264" spans="1:2" x14ac:dyDescent="0.25">
      <c r="A6264">
        <f ca="1">29918.7399821721*((RANDBETWEEN(1587,2416)))</f>
        <v>58162030.525342606</v>
      </c>
      <c r="B6264">
        <v>216688780.05111355</v>
      </c>
    </row>
    <row r="6265" spans="1:2" x14ac:dyDescent="0.25">
      <c r="A6265">
        <f ca="1">38822.0376524882*((RANDBETWEEN(1587,2416)))</f>
        <v>70927862.791095987</v>
      </c>
      <c r="B6265">
        <v>223286608.12853953</v>
      </c>
    </row>
    <row r="6266" spans="1:2" x14ac:dyDescent="0.25">
      <c r="A6266">
        <f ca="1">38002.8322221383*((RANDBETWEEN(1587,2416)))</f>
        <v>62666670.334306076</v>
      </c>
      <c r="B6266">
        <v>240532436.96313313</v>
      </c>
    </row>
    <row r="6267" spans="1:2" x14ac:dyDescent="0.25">
      <c r="A6267">
        <f ca="1">33720.8893370094*((RANDBETWEEN(1587,2416)))</f>
        <v>67239453.337996706</v>
      </c>
      <c r="B6267">
        <v>251011700.57211852</v>
      </c>
    </row>
    <row r="6268" spans="1:2" x14ac:dyDescent="0.25">
      <c r="A6268">
        <f ca="1">37134.0062689726*((RANDBETWEEN(1587,2416)))</f>
        <v>60305626.180811428</v>
      </c>
      <c r="B6268">
        <v>249921377.52930698</v>
      </c>
    </row>
    <row r="6269" spans="1:2" x14ac:dyDescent="0.25">
      <c r="A6269">
        <f ca="1">31172.7503761992*((RANDBETWEEN(1587,2416)))</f>
        <v>74658737.150996998</v>
      </c>
      <c r="B6269">
        <v>247489214.56371319</v>
      </c>
    </row>
    <row r="6270" spans="1:2" x14ac:dyDescent="0.25">
      <c r="A6270">
        <f ca="1">35984.6803545086*((RANDBETWEEN(1587,2416)))</f>
        <v>72437161.553625777</v>
      </c>
      <c r="B6270">
        <v>227918476.11815315</v>
      </c>
    </row>
    <row r="6271" spans="1:2" x14ac:dyDescent="0.25">
      <c r="A6271">
        <f ca="1">37709.9940619507*((RANDBETWEEN(1587,2416)))</f>
        <v>87487186.223725602</v>
      </c>
      <c r="B6271">
        <v>208356961.73775372</v>
      </c>
    </row>
    <row r="6272" spans="1:2" x14ac:dyDescent="0.25">
      <c r="A6272">
        <f ca="1">35183.2449953087*((RANDBETWEEN(1587,2416)))</f>
        <v>59987432.717001393</v>
      </c>
      <c r="B6272">
        <v>213952373.27238196</v>
      </c>
    </row>
    <row r="6273" spans="1:2" x14ac:dyDescent="0.25">
      <c r="A6273">
        <f ca="1">32284.2390983503*((RANDBETWEEN(1587,2416)))</f>
        <v>63147971.676373117</v>
      </c>
      <c r="B6273">
        <v>247551844.0521659</v>
      </c>
    </row>
    <row r="6274" spans="1:2" x14ac:dyDescent="0.25">
      <c r="A6274">
        <f ca="1">36425.1638972588*((RANDBETWEEN(1587,2416)))</f>
        <v>85817686.141941726</v>
      </c>
      <c r="B6274">
        <v>246283120.56683299</v>
      </c>
    </row>
    <row r="6275" spans="1:2" x14ac:dyDescent="0.25">
      <c r="A6275">
        <f ca="1">32244.3552984671*((RANDBETWEEN(1587,2416)))</f>
        <v>76902787.386844143</v>
      </c>
      <c r="B6275">
        <v>204852198.96537775</v>
      </c>
    </row>
    <row r="6276" spans="1:2" x14ac:dyDescent="0.25">
      <c r="A6276">
        <f ca="1">30826.7641718025*((RANDBETWEEN(1587,2416)))</f>
        <v>57861836.350473307</v>
      </c>
      <c r="B6276">
        <v>256432369.87296724</v>
      </c>
    </row>
    <row r="6277" spans="1:2" x14ac:dyDescent="0.25">
      <c r="A6277">
        <f ca="1">30915.4617587751*((RANDBETWEEN(1587,2416)))</f>
        <v>74258939.144577846</v>
      </c>
      <c r="B6277">
        <v>203853473.9269163</v>
      </c>
    </row>
    <row r="6278" spans="1:2" x14ac:dyDescent="0.25">
      <c r="A6278">
        <f ca="1">29330.1039042431*((RANDBETWEEN(1587,2416)))</f>
        <v>64438238.277622148</v>
      </c>
      <c r="B6278">
        <v>209538878.21145269</v>
      </c>
    </row>
    <row r="6279" spans="1:2" x14ac:dyDescent="0.25">
      <c r="A6279">
        <f ca="1">31810.9706106117*((RANDBETWEEN(1587,2416)))</f>
        <v>71606494.844486907</v>
      </c>
      <c r="B6279">
        <v>231749580.73082504</v>
      </c>
    </row>
    <row r="6280" spans="1:2" x14ac:dyDescent="0.25">
      <c r="A6280">
        <f ca="1">34717.5911170255*((RANDBETWEEN(1587,2416)))</f>
        <v>59644821.539049804</v>
      </c>
      <c r="B6280">
        <v>261909331.37440354</v>
      </c>
    </row>
    <row r="6281" spans="1:2" x14ac:dyDescent="0.25">
      <c r="A6281">
        <f ca="1">32964.3740525724*((RANDBETWEEN(1587,2416)))</f>
        <v>79444141.466699541</v>
      </c>
      <c r="B6281">
        <v>256655776.52021885</v>
      </c>
    </row>
    <row r="6282" spans="1:2" x14ac:dyDescent="0.25">
      <c r="A6282">
        <f ca="1">33876.0481647802*((RANDBETWEEN(1587,2416)))</f>
        <v>71038073.001543999</v>
      </c>
      <c r="B6282">
        <v>213314960.33626115</v>
      </c>
    </row>
    <row r="6283" spans="1:2" x14ac:dyDescent="0.25">
      <c r="A6283">
        <f ca="1">39498.2585188433*((RANDBETWEEN(1587,2416)))</f>
        <v>92781409.260762855</v>
      </c>
      <c r="B6283">
        <v>245356333.33335865</v>
      </c>
    </row>
    <row r="6284" spans="1:2" x14ac:dyDescent="0.25">
      <c r="A6284">
        <f ca="1">36686.6013688324*((RANDBETWEEN(1587,2416)))</f>
        <v>65375523.639259264</v>
      </c>
      <c r="B6284">
        <v>251824320.72331887</v>
      </c>
    </row>
    <row r="6285" spans="1:2" x14ac:dyDescent="0.25">
      <c r="A6285">
        <f ca="1">32397.5469164365*((RANDBETWEEN(1587,2416)))</f>
        <v>53844722.975117542</v>
      </c>
      <c r="B6285">
        <v>217422336.1161944</v>
      </c>
    </row>
    <row r="6286" spans="1:2" x14ac:dyDescent="0.25">
      <c r="A6286">
        <f ca="1">34390.4007606573*((RANDBETWEEN(1587,2416)))</f>
        <v>55574887.629222184</v>
      </c>
      <c r="B6286">
        <v>245344426.74068186</v>
      </c>
    </row>
    <row r="6287" spans="1:2" x14ac:dyDescent="0.25">
      <c r="A6287">
        <f ca="1">34541.4569478001*((RANDBETWEEN(1587,2416)))</f>
        <v>70602738.001303494</v>
      </c>
      <c r="B6287">
        <v>209345537.3273977</v>
      </c>
    </row>
    <row r="6288" spans="1:2" x14ac:dyDescent="0.25">
      <c r="A6288">
        <f ca="1">37725.1991022819*((RANDBETWEEN(1587,2416)))</f>
        <v>69980244.334732875</v>
      </c>
      <c r="B6288">
        <v>206137631.21416995</v>
      </c>
    </row>
    <row r="6289" spans="1:2" x14ac:dyDescent="0.25">
      <c r="A6289">
        <f ca="1">38432.8377127227*((RANDBETWEEN(1587,2416)))</f>
        <v>70485824.365133464</v>
      </c>
      <c r="B6289">
        <v>256781733.78722677</v>
      </c>
    </row>
    <row r="6290" spans="1:2" x14ac:dyDescent="0.25">
      <c r="A6290">
        <f ca="1">41299.1178957672*((RANDBETWEEN(1587,2416)))</f>
        <v>81235364.90097408</v>
      </c>
      <c r="B6290">
        <v>211336274.8839449</v>
      </c>
    </row>
    <row r="6291" spans="1:2" x14ac:dyDescent="0.25">
      <c r="A6291">
        <f ca="1">30527.8730612425*((RANDBETWEEN(1587,2416)))</f>
        <v>55316505.986971468</v>
      </c>
      <c r="B6291">
        <v>263281312.0776065</v>
      </c>
    </row>
    <row r="6292" spans="1:2" x14ac:dyDescent="0.25">
      <c r="A6292">
        <f ca="1">33924.2643218534*((RANDBETWEEN(1587,2416)))</f>
        <v>76024276.345273435</v>
      </c>
      <c r="B6292">
        <v>244823545.84891647</v>
      </c>
    </row>
    <row r="6293" spans="1:2" x14ac:dyDescent="0.25">
      <c r="A6293">
        <f ca="1">33927.7491528775*((RANDBETWEEN(1587,2416)))</f>
        <v>74267842.895648897</v>
      </c>
      <c r="B6293">
        <v>219063081.35332009</v>
      </c>
    </row>
    <row r="6294" spans="1:2" x14ac:dyDescent="0.25">
      <c r="A6294">
        <f ca="1">37130.6571228956*((RANDBETWEEN(1587,2416)))</f>
        <v>68580323.705988243</v>
      </c>
      <c r="B6294">
        <v>264870807.09893087</v>
      </c>
    </row>
    <row r="6295" spans="1:2" x14ac:dyDescent="0.25">
      <c r="A6295">
        <f ca="1">33424.3560424371*((RANDBETWEEN(1587,2416)))</f>
        <v>67283228.713425785</v>
      </c>
      <c r="B6295">
        <v>251885298.79846001</v>
      </c>
    </row>
    <row r="6296" spans="1:2" x14ac:dyDescent="0.25">
      <c r="A6296">
        <f ca="1">31520.8463475648*((RANDBETWEEN(1587,2416)))</f>
        <v>50496395.848798826</v>
      </c>
      <c r="B6296">
        <v>223374727.37437966</v>
      </c>
    </row>
    <row r="6297" spans="1:2" x14ac:dyDescent="0.25">
      <c r="A6297">
        <f ca="1">32269.9058942426*((RANDBETWEEN(1587,2416)))</f>
        <v>75672929.321998999</v>
      </c>
      <c r="B6297">
        <v>206528880.38284615</v>
      </c>
    </row>
    <row r="6298" spans="1:2" x14ac:dyDescent="0.25">
      <c r="A6298">
        <f ca="1">28606.2697287329*((RANDBETWEEN(1587,2416)))</f>
        <v>66337939.500931516</v>
      </c>
      <c r="B6298">
        <v>234247963.43918604</v>
      </c>
    </row>
    <row r="6299" spans="1:2" x14ac:dyDescent="0.25">
      <c r="A6299">
        <f ca="1">38147.6114913579*((RANDBETWEEN(1587,2416)))</f>
        <v>70611228.87050353</v>
      </c>
      <c r="B6299">
        <v>242567391.27690831</v>
      </c>
    </row>
    <row r="6300" spans="1:2" x14ac:dyDescent="0.25">
      <c r="A6300">
        <f ca="1">31086.8129325767*((RANDBETWEEN(1587,2416)))</f>
        <v>60246243.463333681</v>
      </c>
      <c r="B6300">
        <v>205210404.90239584</v>
      </c>
    </row>
    <row r="6301" spans="1:2" x14ac:dyDescent="0.25">
      <c r="A6301">
        <f ca="1">32448.8787584156*((RANDBETWEEN(1587,2416)))</f>
        <v>60452261.126928337</v>
      </c>
      <c r="B6301">
        <v>230729010.21823704</v>
      </c>
    </row>
    <row r="6302" spans="1:2" x14ac:dyDescent="0.25">
      <c r="A6302">
        <f ca="1">38294.9586351265*((RANDBETWEEN(1587,2416)))</f>
        <v>67169357.446011871</v>
      </c>
      <c r="B6302">
        <v>246804682.19517222</v>
      </c>
    </row>
    <row r="6303" spans="1:2" x14ac:dyDescent="0.25">
      <c r="A6303">
        <f ca="1">32233.812718129*((RANDBETWEEN(1587,2416)))</f>
        <v>75975096.576630056</v>
      </c>
      <c r="B6303">
        <v>210880305.7959888</v>
      </c>
    </row>
    <row r="6304" spans="1:2" x14ac:dyDescent="0.25">
      <c r="A6304">
        <f ca="1">30611.7754550225*((RANDBETWEEN(1587,2416)))</f>
        <v>53448159.944469243</v>
      </c>
      <c r="B6304">
        <v>224562226.23431268</v>
      </c>
    </row>
    <row r="6305" spans="1:2" x14ac:dyDescent="0.25">
      <c r="A6305">
        <f ca="1">32354.3449268731*((RANDBETWEEN(1587,2416)))</f>
        <v>52737582.230803169</v>
      </c>
      <c r="B6305">
        <v>251645522.21191448</v>
      </c>
    </row>
    <row r="6306" spans="1:2" x14ac:dyDescent="0.25">
      <c r="A6306">
        <f ca="1">37335.8389487386*((RANDBETWEEN(1587,2416)))</f>
        <v>64628337.220266454</v>
      </c>
      <c r="B6306">
        <v>263331881.65256733</v>
      </c>
    </row>
    <row r="6307" spans="1:2" x14ac:dyDescent="0.25">
      <c r="A6307">
        <f ca="1">30343.2607135582*((RANDBETWEEN(1587,2416)))</f>
        <v>68818515.298350066</v>
      </c>
      <c r="B6307">
        <v>233968645.48323649</v>
      </c>
    </row>
    <row r="6308" spans="1:2" x14ac:dyDescent="0.25">
      <c r="A6308">
        <f ca="1">34692.070848594*((RANDBETWEEN(1587,2416)))</f>
        <v>59080596.655155636</v>
      </c>
      <c r="B6308">
        <v>249202997.2624703</v>
      </c>
    </row>
    <row r="6309" spans="1:2" x14ac:dyDescent="0.25">
      <c r="A6309">
        <f ca="1">33705.2435567117*((RANDBETWEEN(1587,2416)))</f>
        <v>69500212.213939548</v>
      </c>
      <c r="B6309">
        <v>230097098.92966896</v>
      </c>
    </row>
    <row r="6310" spans="1:2" x14ac:dyDescent="0.25">
      <c r="A6310">
        <f ca="1">31731.6949465601*((RANDBETWEEN(1587,2416)))</f>
        <v>74537751.429469764</v>
      </c>
      <c r="B6310">
        <v>216688280.00604963</v>
      </c>
    </row>
    <row r="6311" spans="1:2" x14ac:dyDescent="0.25">
      <c r="A6311">
        <f ca="1">29996.4423046105*((RANDBETWEEN(1587,2416)))</f>
        <v>58193098.070944369</v>
      </c>
      <c r="B6311">
        <v>216991169.41907075</v>
      </c>
    </row>
    <row r="6312" spans="1:2" x14ac:dyDescent="0.25">
      <c r="A6312">
        <f ca="1">29520.9672705363*((RANDBETWEEN(1587,2416)))</f>
        <v>65861277.980566427</v>
      </c>
      <c r="B6312">
        <v>252690797.30444255</v>
      </c>
    </row>
    <row r="6313" spans="1:2" x14ac:dyDescent="0.25">
      <c r="A6313">
        <f ca="1">40399.9734514248*((RANDBETWEEN(1587,2416)))</f>
        <v>71386753.088667646</v>
      </c>
      <c r="B6313">
        <v>204446503.41014975</v>
      </c>
    </row>
    <row r="6314" spans="1:2" x14ac:dyDescent="0.25">
      <c r="A6314">
        <f ca="1">29221.6995570639*((RANDBETWEEN(1587,2416)))</f>
        <v>47426818.381114684</v>
      </c>
      <c r="B6314">
        <v>254182132.11365789</v>
      </c>
    </row>
    <row r="6315" spans="1:2" x14ac:dyDescent="0.25">
      <c r="A6315">
        <f ca="1">31275.5362128554*((RANDBETWEEN(1587,2416)))</f>
        <v>51979941.185765676</v>
      </c>
      <c r="B6315">
        <v>244454052.7454876</v>
      </c>
    </row>
    <row r="6316" spans="1:2" x14ac:dyDescent="0.25">
      <c r="A6316">
        <f ca="1">38650.9680546922*((RANDBETWEEN(1587,2416)))</f>
        <v>65513390.852703258</v>
      </c>
      <c r="B6316">
        <v>237143093.09781012</v>
      </c>
    </row>
    <row r="6317" spans="1:2" x14ac:dyDescent="0.25">
      <c r="A6317">
        <f ca="1">37853.4383983253*((RANDBETWEEN(1587,2416)))</f>
        <v>60414087.683727153</v>
      </c>
      <c r="B6317">
        <v>210270291.24904126</v>
      </c>
    </row>
    <row r="6318" spans="1:2" x14ac:dyDescent="0.25">
      <c r="A6318">
        <f ca="1">28045.3172321268*((RANDBETWEEN(1587,2416)))</f>
        <v>62232558.93808946</v>
      </c>
      <c r="B6318">
        <v>210679300.89690286</v>
      </c>
    </row>
    <row r="6319" spans="1:2" x14ac:dyDescent="0.25">
      <c r="A6319">
        <f ca="1">29832.0027449503*((RANDBETWEEN(1587,2416)))</f>
        <v>64198469.907133125</v>
      </c>
      <c r="B6319">
        <v>247146754.40783459</v>
      </c>
    </row>
    <row r="6320" spans="1:2" x14ac:dyDescent="0.25">
      <c r="A6320">
        <f ca="1">38981.074251889*((RANDBETWEEN(1587,2416)))</f>
        <v>86537984.839193478</v>
      </c>
      <c r="B6320">
        <v>250784041.79971904</v>
      </c>
    </row>
    <row r="6321" spans="1:2" x14ac:dyDescent="0.25">
      <c r="A6321">
        <f ca="1">40959.5543911717*((RANDBETWEEN(1587,2416)))</f>
        <v>86260821.54780753</v>
      </c>
      <c r="B6321">
        <v>253919560.8916178</v>
      </c>
    </row>
    <row r="6322" spans="1:2" x14ac:dyDescent="0.25">
      <c r="A6322">
        <f ca="1">30411.3295234448*((RANDBETWEEN(1587,2416)))</f>
        <v>68455902.75727427</v>
      </c>
      <c r="B6322">
        <v>240757776.32203671</v>
      </c>
    </row>
    <row r="6323" spans="1:2" x14ac:dyDescent="0.25">
      <c r="A6323">
        <f ca="1">33252.8671711977*((RANDBETWEEN(1587,2416)))</f>
        <v>63912010.703042068</v>
      </c>
      <c r="B6323">
        <v>224153992.94318873</v>
      </c>
    </row>
    <row r="6324" spans="1:2" x14ac:dyDescent="0.25">
      <c r="A6324">
        <f ca="1">28658.2475089279*((RANDBETWEEN(1587,2416)))</f>
        <v>68636502.78388235</v>
      </c>
      <c r="B6324">
        <v>230094482.38173357</v>
      </c>
    </row>
    <row r="6325" spans="1:2" x14ac:dyDescent="0.25">
      <c r="A6325">
        <f ca="1">34850.4170441314*((RANDBETWEEN(1587,2416)))</f>
        <v>62417096.926039346</v>
      </c>
      <c r="B6325">
        <v>253797952.11521909</v>
      </c>
    </row>
    <row r="6326" spans="1:2" x14ac:dyDescent="0.25">
      <c r="A6326">
        <f ca="1">31216.2242309777*((RANDBETWEEN(1587,2416)))</f>
        <v>54004067.919591434</v>
      </c>
      <c r="B6326">
        <v>218241036.59643859</v>
      </c>
    </row>
    <row r="6327" spans="1:2" x14ac:dyDescent="0.25">
      <c r="A6327">
        <f ca="1">32199.9780435211*((RANDBETWEEN(1587,2416)))</f>
        <v>64625355.933346882</v>
      </c>
      <c r="B6327">
        <v>251589346.05178869</v>
      </c>
    </row>
    <row r="6328" spans="1:2" x14ac:dyDescent="0.25">
      <c r="A6328">
        <f ca="1">40950.406614767*((RANDBETWEEN(1587,2416)))</f>
        <v>72973624.587514877</v>
      </c>
      <c r="B6328">
        <v>231171179.74072874</v>
      </c>
    </row>
    <row r="6329" spans="1:2" x14ac:dyDescent="0.25">
      <c r="A6329">
        <f ca="1">28961.5046481664*((RANDBETWEEN(1587,2416)))</f>
        <v>60210968.163537852</v>
      </c>
      <c r="B6329">
        <v>234669915.72763351</v>
      </c>
    </row>
    <row r="6330" spans="1:2" x14ac:dyDescent="0.25">
      <c r="A6330">
        <f ca="1">36435.4398951411*((RANDBETWEEN(1587,2416)))</f>
        <v>76186504.82073997</v>
      </c>
      <c r="B6330">
        <v>231512169.31242394</v>
      </c>
    </row>
    <row r="6331" spans="1:2" x14ac:dyDescent="0.25">
      <c r="A6331">
        <f ca="1">34338.9308755938*((RANDBETWEEN(1587,2416)))</f>
        <v>65827730.488513224</v>
      </c>
      <c r="B6331">
        <v>251537035.12991038</v>
      </c>
    </row>
    <row r="6332" spans="1:2" x14ac:dyDescent="0.25">
      <c r="A6332">
        <f ca="1">32381.8765705085*((RANDBETWEEN(1587,2416)))</f>
        <v>65055190.030151516</v>
      </c>
      <c r="B6332">
        <v>212008334.26331669</v>
      </c>
    </row>
    <row r="6333" spans="1:2" x14ac:dyDescent="0.25">
      <c r="A6333">
        <f ca="1">32440.5234977449*((RANDBETWEEN(1587,2416)))</f>
        <v>63323901.867598124</v>
      </c>
      <c r="B6333">
        <v>233891230.52220994</v>
      </c>
    </row>
    <row r="6334" spans="1:2" x14ac:dyDescent="0.25">
      <c r="A6334">
        <f ca="1">31738.8315266854*((RANDBETWEEN(1587,2416)))</f>
        <v>74903642.402977556</v>
      </c>
      <c r="B6334">
        <v>242253122.72330105</v>
      </c>
    </row>
    <row r="6335" spans="1:2" x14ac:dyDescent="0.25">
      <c r="A6335">
        <f ca="1">29356.3253908145*((RANDBETWEEN(1587,2416)))</f>
        <v>62499616.757044017</v>
      </c>
      <c r="B6335">
        <v>224831738.58112136</v>
      </c>
    </row>
    <row r="6336" spans="1:2" x14ac:dyDescent="0.25">
      <c r="A6336">
        <f ca="1">41830.2003249781*((RANDBETWEEN(1587,2416)))</f>
        <v>73955794.174561217</v>
      </c>
      <c r="B6336">
        <v>253238070.58084503</v>
      </c>
    </row>
    <row r="6337" spans="1:2" x14ac:dyDescent="0.25">
      <c r="A6337">
        <f ca="1">31569.747348527*((RANDBETWEEN(1587,2416)))</f>
        <v>68190654.272818342</v>
      </c>
      <c r="B6337">
        <v>208281267.43711334</v>
      </c>
    </row>
    <row r="6338" spans="1:2" x14ac:dyDescent="0.25">
      <c r="A6338">
        <f ca="1">31163.7486965958*((RANDBETWEEN(1587,2416)))</f>
        <v>68560247.132510841</v>
      </c>
      <c r="B6338">
        <v>262922726.23961693</v>
      </c>
    </row>
    <row r="6339" spans="1:2" x14ac:dyDescent="0.25">
      <c r="A6339">
        <f ca="1">32199.565633328*((RANDBETWEEN(1587,2416)))</f>
        <v>59086202.937156968</v>
      </c>
      <c r="B6339">
        <v>252983402.5310846</v>
      </c>
    </row>
    <row r="6340" spans="1:2" x14ac:dyDescent="0.25">
      <c r="A6340">
        <f ca="1">28713.2058769894*((RANDBETWEEN(1587,2416)))</f>
        <v>64748279.252611026</v>
      </c>
      <c r="B6340">
        <v>207840197.69574055</v>
      </c>
    </row>
    <row r="6341" spans="1:2" x14ac:dyDescent="0.25">
      <c r="A6341">
        <f ca="1">33030.4859920628*((RANDBETWEEN(1587,2416)))</f>
        <v>61833069.777141534</v>
      </c>
      <c r="B6341">
        <v>206493422.13800272</v>
      </c>
    </row>
    <row r="6342" spans="1:2" x14ac:dyDescent="0.25">
      <c r="A6342">
        <f ca="1">36353.0209931418*((RANDBETWEEN(1587,2416)))</f>
        <v>72815101.049263045</v>
      </c>
      <c r="B6342">
        <v>220511040.02245897</v>
      </c>
    </row>
    <row r="6343" spans="1:2" x14ac:dyDescent="0.25">
      <c r="A6343">
        <f ca="1">32854.8880782961*((RANDBETWEEN(1587,2416)))</f>
        <v>77997504.297875032</v>
      </c>
      <c r="B6343">
        <v>249323370.10275868</v>
      </c>
    </row>
    <row r="6344" spans="1:2" x14ac:dyDescent="0.25">
      <c r="A6344">
        <f ca="1">32412.6318851281*((RANDBETWEEN(1587,2416)))</f>
        <v>51665735.224894211</v>
      </c>
      <c r="B6344">
        <v>223436387.43706161</v>
      </c>
    </row>
    <row r="6345" spans="1:2" x14ac:dyDescent="0.25">
      <c r="A6345">
        <f ca="1">33007.557832857*((RANDBETWEEN(1587,2416)))</f>
        <v>62747367.440261237</v>
      </c>
      <c r="B6345">
        <v>227202312.65214357</v>
      </c>
    </row>
    <row r="6346" spans="1:2" x14ac:dyDescent="0.25">
      <c r="A6346">
        <f ca="1">29355.8276227895*((RANDBETWEEN(1587,2416)))</f>
        <v>57830980.416895352</v>
      </c>
      <c r="B6346">
        <v>216886591.77560544</v>
      </c>
    </row>
    <row r="6347" spans="1:2" x14ac:dyDescent="0.25">
      <c r="A6347">
        <f ca="1">39351.3207503436*((RANDBETWEEN(1587,2416)))</f>
        <v>81811395.83996436</v>
      </c>
      <c r="B6347">
        <v>259498364.29333097</v>
      </c>
    </row>
    <row r="6348" spans="1:2" x14ac:dyDescent="0.25">
      <c r="A6348">
        <f ca="1">30884.2107447517*((RANDBETWEEN(1587,2416)))</f>
        <v>55622463.551297829</v>
      </c>
      <c r="B6348">
        <v>242147859.20317951</v>
      </c>
    </row>
    <row r="6349" spans="1:2" x14ac:dyDescent="0.25">
      <c r="A6349">
        <f ca="1">30331.7406674558*((RANDBETWEEN(1587,2416)))</f>
        <v>59632202.152218111</v>
      </c>
      <c r="B6349">
        <v>208647669.29723984</v>
      </c>
    </row>
    <row r="6350" spans="1:2" x14ac:dyDescent="0.25">
      <c r="A6350">
        <f ca="1">36363.9288272343*((RANDBETWEEN(1587,2416)))</f>
        <v>77927899.47676304</v>
      </c>
      <c r="B6350">
        <v>222199874.33736601</v>
      </c>
    </row>
    <row r="6351" spans="1:2" x14ac:dyDescent="0.25">
      <c r="A6351">
        <f ca="1">30810.8439069166*((RANDBETWEEN(1587,2416)))</f>
        <v>62761689.038389131</v>
      </c>
      <c r="B6351">
        <v>267129575.41882885</v>
      </c>
    </row>
    <row r="6352" spans="1:2" x14ac:dyDescent="0.25">
      <c r="A6352">
        <f ca="1">31076.9655035782*((RANDBETWEEN(1587,2416)))</f>
        <v>74242870.588048264</v>
      </c>
      <c r="B6352">
        <v>244626637.97437882</v>
      </c>
    </row>
    <row r="6353" spans="1:2" x14ac:dyDescent="0.25">
      <c r="A6353">
        <f ca="1">33692.6452845417*((RANDBETWEEN(1587,2416)))</f>
        <v>61657540.870711342</v>
      </c>
      <c r="B6353">
        <v>237596478.97342938</v>
      </c>
    </row>
    <row r="6354" spans="1:2" x14ac:dyDescent="0.25">
      <c r="A6354">
        <f ca="1">36129.9582292915*((RANDBETWEEN(1587,2416)))</f>
        <v>67237852.26471141</v>
      </c>
      <c r="B6354">
        <v>225475851.64257276</v>
      </c>
    </row>
    <row r="6355" spans="1:2" x14ac:dyDescent="0.25">
      <c r="A6355">
        <f ca="1">30153.6344203825*((RANDBETWEEN(1587,2416)))</f>
        <v>63955858.605631381</v>
      </c>
      <c r="B6355">
        <v>258163557.24696553</v>
      </c>
    </row>
    <row r="6356" spans="1:2" x14ac:dyDescent="0.25">
      <c r="A6356">
        <f ca="1">35394.3486964007*((RANDBETWEEN(1587,2416)))</f>
        <v>59781054.948220789</v>
      </c>
      <c r="B6356">
        <v>212309853.59035677</v>
      </c>
    </row>
    <row r="6357" spans="1:2" x14ac:dyDescent="0.25">
      <c r="A6357">
        <f ca="1">31112.8609234114*((RANDBETWEEN(1587,2416)))</f>
        <v>64279170.667768009</v>
      </c>
      <c r="B6357">
        <v>254553664.0023247</v>
      </c>
    </row>
    <row r="6358" spans="1:2" x14ac:dyDescent="0.25">
      <c r="A6358">
        <f ca="1">36825.3103901964*((RANDBETWEEN(1587,2416)))</f>
        <v>59767478.763288744</v>
      </c>
      <c r="B6358">
        <v>214705594.94016635</v>
      </c>
    </row>
    <row r="6359" spans="1:2" x14ac:dyDescent="0.25">
      <c r="A6359">
        <f ca="1">34985.8158592078*((RANDBETWEEN(1587,2416)))</f>
        <v>68677156.531624898</v>
      </c>
      <c r="B6359">
        <v>211369498.7243154</v>
      </c>
    </row>
    <row r="6360" spans="1:2" x14ac:dyDescent="0.25">
      <c r="A6360">
        <f ca="1">39650.2289180501*((RANDBETWEEN(1587,2416)))</f>
        <v>89411266.210203052</v>
      </c>
      <c r="B6360">
        <v>256456916.23637089</v>
      </c>
    </row>
    <row r="6361" spans="1:2" x14ac:dyDescent="0.25">
      <c r="A6361">
        <f ca="1">37351.4979490582*((RANDBETWEEN(1587,2416)))</f>
        <v>69249677.197553858</v>
      </c>
      <c r="B6361">
        <v>214899728.70986235</v>
      </c>
    </row>
    <row r="6362" spans="1:2" x14ac:dyDescent="0.25">
      <c r="A6362">
        <f ca="1">33030.6106130863*((RANDBETWEEN(1587,2416)))</f>
        <v>54797783.007110156</v>
      </c>
      <c r="B6362">
        <v>242786029.75061646</v>
      </c>
    </row>
    <row r="6363" spans="1:2" x14ac:dyDescent="0.25">
      <c r="A6363">
        <f ca="1">33163.4904435432*((RANDBETWEEN(1587,2416)))</f>
        <v>78232673.956318453</v>
      </c>
      <c r="B6363">
        <v>265376093.53917301</v>
      </c>
    </row>
    <row r="6364" spans="1:2" x14ac:dyDescent="0.25">
      <c r="A6364">
        <f ca="1">29825.3882893415*((RANDBETWEEN(1587,2416)))</f>
        <v>52522508.777530462</v>
      </c>
      <c r="B6364">
        <v>246367836.68263796</v>
      </c>
    </row>
    <row r="6365" spans="1:2" x14ac:dyDescent="0.25">
      <c r="A6365">
        <f ca="1">31174.6164246488*((RANDBETWEEN(1587,2416)))</f>
        <v>68303584.586405575</v>
      </c>
      <c r="B6365">
        <v>250669500.88889891</v>
      </c>
    </row>
    <row r="6366" spans="1:2" x14ac:dyDescent="0.25">
      <c r="A6366">
        <f ca="1">31228.1049512303*((RANDBETWEEN(1587,2416)))</f>
        <v>74760083.253245264</v>
      </c>
      <c r="B6366">
        <v>220036796.26596954</v>
      </c>
    </row>
    <row r="6367" spans="1:2" x14ac:dyDescent="0.25">
      <c r="A6367">
        <f ca="1">41672.7343637572*((RANDBETWEEN(1587,2416)))</f>
        <v>89763069.819533035</v>
      </c>
      <c r="B6367">
        <v>219240120.79697841</v>
      </c>
    </row>
    <row r="6368" spans="1:2" x14ac:dyDescent="0.25">
      <c r="A6368">
        <f ca="1">38094.572593601*((RANDBETWEEN(1587,2416)))</f>
        <v>68303568.66032663</v>
      </c>
      <c r="B6368">
        <v>234179854.3593002</v>
      </c>
    </row>
    <row r="6369" spans="1:2" x14ac:dyDescent="0.25">
      <c r="A6369">
        <f ca="1">32923.3086861499*((RANDBETWEEN(1587,2416)))</f>
        <v>52446830.737036727</v>
      </c>
      <c r="B6369">
        <v>215039489.25289249</v>
      </c>
    </row>
    <row r="6370" spans="1:2" x14ac:dyDescent="0.25">
      <c r="A6370">
        <f ca="1">33146.2230712264*((RANDBETWEEN(1587,2416)))</f>
        <v>52934518.244748607</v>
      </c>
      <c r="B6370">
        <v>216915867.95232856</v>
      </c>
    </row>
    <row r="6371" spans="1:2" x14ac:dyDescent="0.25">
      <c r="A6371">
        <f ca="1">33240.7140815678*((RANDBETWEEN(1587,2416)))</f>
        <v>59766803.918658957</v>
      </c>
      <c r="B6371">
        <v>256688055.70172501</v>
      </c>
    </row>
    <row r="6372" spans="1:2" x14ac:dyDescent="0.25">
      <c r="A6372">
        <f ca="1">33081.9549025088*((RANDBETWEEN(1587,2416)))</f>
        <v>73971251.162009582</v>
      </c>
      <c r="B6372">
        <v>220419378.94092155</v>
      </c>
    </row>
    <row r="6373" spans="1:2" x14ac:dyDescent="0.25">
      <c r="A6373">
        <f ca="1">40224.3684778852*((RANDBETWEEN(1587,2416)))</f>
        <v>80730307.53511554</v>
      </c>
      <c r="B6373">
        <v>221607032.26243785</v>
      </c>
    </row>
    <row r="6374" spans="1:2" x14ac:dyDescent="0.25">
      <c r="A6374">
        <f ca="1">31889.9336941727*((RANDBETWEEN(1587,2416)))</f>
        <v>55233365.15830715</v>
      </c>
      <c r="B6374">
        <v>252736533.89377633</v>
      </c>
    </row>
    <row r="6375" spans="1:2" x14ac:dyDescent="0.25">
      <c r="A6375">
        <f ca="1">31912.4184900993*((RANDBETWEEN(1587,2416)))</f>
        <v>53708600.318837166</v>
      </c>
      <c r="B6375">
        <v>230950962.41980726</v>
      </c>
    </row>
    <row r="6376" spans="1:2" x14ac:dyDescent="0.25">
      <c r="A6376">
        <f ca="1">33992.6229875143*((RANDBETWEEN(1587,2416)))</f>
        <v>68325172.204903707</v>
      </c>
      <c r="B6376">
        <v>252751008.76253885</v>
      </c>
    </row>
    <row r="6377" spans="1:2" x14ac:dyDescent="0.25">
      <c r="A6377">
        <f ca="1">30367.6889147174*((RANDBETWEEN(1587,2416)))</f>
        <v>68782815.39183487</v>
      </c>
      <c r="B6377">
        <v>206428937.85366577</v>
      </c>
    </row>
    <row r="6378" spans="1:2" x14ac:dyDescent="0.25">
      <c r="A6378">
        <f ca="1">35066.2378484795*((RANDBETWEEN(1587,2416)))</f>
        <v>58420352.255566917</v>
      </c>
      <c r="B6378">
        <v>218625832.99111956</v>
      </c>
    </row>
    <row r="6379" spans="1:2" x14ac:dyDescent="0.25">
      <c r="A6379">
        <f ca="1">31037.0944619306*((RANDBETWEEN(1587,2416)))</f>
        <v>50000759.178170174</v>
      </c>
      <c r="B6379">
        <v>221903273.27442899</v>
      </c>
    </row>
    <row r="6380" spans="1:2" x14ac:dyDescent="0.25">
      <c r="A6380">
        <f ca="1">40953.1144887793*((RANDBETWEEN(1587,2416)))</f>
        <v>69866013.317857549</v>
      </c>
      <c r="B6380">
        <v>243398521.67986244</v>
      </c>
    </row>
    <row r="6381" spans="1:2" x14ac:dyDescent="0.25">
      <c r="A6381">
        <f ca="1">32415.2407022848*((RANDBETWEEN(1587,2416)))</f>
        <v>56726671.228998445</v>
      </c>
      <c r="B6381">
        <v>239321809.27073637</v>
      </c>
    </row>
    <row r="6382" spans="1:2" x14ac:dyDescent="0.25">
      <c r="A6382">
        <f ca="1">30944.5630113307*((RANDBETWEEN(1587,2416)))</f>
        <v>69222987.45634672</v>
      </c>
      <c r="B6382">
        <v>224740497.36689162</v>
      </c>
    </row>
    <row r="6383" spans="1:2" x14ac:dyDescent="0.25">
      <c r="A6383">
        <f ca="1">35472.7385511725*((RANDBETWEEN(1587,2416)))</f>
        <v>81835607.837555066</v>
      </c>
      <c r="B6383">
        <v>214882240.36472946</v>
      </c>
    </row>
    <row r="6384" spans="1:2" x14ac:dyDescent="0.25">
      <c r="A6384">
        <f ca="1">29545.5557461018*((RANDBETWEEN(1587,2416)))</f>
        <v>56018373.694608986</v>
      </c>
      <c r="B6384">
        <v>208908320.56074259</v>
      </c>
    </row>
    <row r="6385" spans="1:2" x14ac:dyDescent="0.25">
      <c r="A6385">
        <f ca="1">30360.0541836275*((RANDBETWEEN(1587,2416)))</f>
        <v>63482873.297965027</v>
      </c>
      <c r="B6385">
        <v>207958798.10767335</v>
      </c>
    </row>
    <row r="6386" spans="1:2" x14ac:dyDescent="0.25">
      <c r="A6386">
        <f ca="1">31860.4009540621*((RANDBETWEEN(1587,2416)))</f>
        <v>53143148.791375525</v>
      </c>
      <c r="B6386">
        <v>254813459.08120683</v>
      </c>
    </row>
    <row r="6387" spans="1:2" x14ac:dyDescent="0.25">
      <c r="A6387">
        <f ca="1">38110.3379629293*((RANDBETWEEN(1587,2416)))</f>
        <v>72142869.763825223</v>
      </c>
      <c r="B6387">
        <v>228265913.62090534</v>
      </c>
    </row>
    <row r="6388" spans="1:2" x14ac:dyDescent="0.25">
      <c r="A6388">
        <f ca="1">31290.4421504784*((RANDBETWEEN(1587,2416)))</f>
        <v>67149288.854926661</v>
      </c>
      <c r="B6388">
        <v>241813171.67254499</v>
      </c>
    </row>
    <row r="6389" spans="1:2" x14ac:dyDescent="0.25">
      <c r="A6389">
        <f ca="1">41494.5251291667*((RANDBETWEEN(1587,2416)))</f>
        <v>92574285.56317094</v>
      </c>
      <c r="B6389">
        <v>240579780.91943246</v>
      </c>
    </row>
    <row r="6390" spans="1:2" x14ac:dyDescent="0.25">
      <c r="A6390">
        <f ca="1">30530.5664327509*((RANDBETWEEN(1587,2416)))</f>
        <v>51230290.474156044</v>
      </c>
      <c r="B6390">
        <v>235665583.93846849</v>
      </c>
    </row>
    <row r="6391" spans="1:2" x14ac:dyDescent="0.25">
      <c r="A6391">
        <f ca="1">33947.9587850602*((RANDBETWEEN(1587,2416)))</f>
        <v>69016200.210027397</v>
      </c>
      <c r="B6391">
        <v>215841151.22598195</v>
      </c>
    </row>
    <row r="6392" spans="1:2" x14ac:dyDescent="0.25">
      <c r="A6392">
        <f ca="1">39469.3630637977*((RANDBETWEEN(1587,2416)))</f>
        <v>73807708.929301605</v>
      </c>
      <c r="B6392">
        <v>252285726.28605294</v>
      </c>
    </row>
    <row r="6393" spans="1:2" x14ac:dyDescent="0.25">
      <c r="A6393">
        <f ca="1">31451.6614197707*((RANDBETWEEN(1587,2416)))</f>
        <v>55008955.823178954</v>
      </c>
      <c r="B6393">
        <v>220900035.49136761</v>
      </c>
    </row>
    <row r="6394" spans="1:2" x14ac:dyDescent="0.25">
      <c r="A6394">
        <f ca="1">29148.825977412*((RANDBETWEEN(1587,2416)))</f>
        <v>65905495.534928553</v>
      </c>
      <c r="B6394">
        <v>248239732.13083714</v>
      </c>
    </row>
    <row r="6395" spans="1:2" x14ac:dyDescent="0.25">
      <c r="A6395">
        <f ca="1">31549.9501088234*((RANDBETWEEN(1587,2416)))</f>
        <v>55275512.590658642</v>
      </c>
      <c r="B6395">
        <v>217533473.17926848</v>
      </c>
    </row>
    <row r="6396" spans="1:2" x14ac:dyDescent="0.25">
      <c r="A6396">
        <f ca="1">30143.6843483007*((RANDBETWEEN(1587,2416)))</f>
        <v>69601767.16022642</v>
      </c>
      <c r="B6396">
        <v>221900623.89574167</v>
      </c>
    </row>
    <row r="6397" spans="1:2" x14ac:dyDescent="0.25">
      <c r="A6397">
        <f ca="1">32424.4871820645*((RANDBETWEEN(1587,2416)))</f>
        <v>72760549.236552805</v>
      </c>
      <c r="B6397">
        <v>233258230.18787915</v>
      </c>
    </row>
    <row r="6398" spans="1:2" x14ac:dyDescent="0.25">
      <c r="A6398">
        <f ca="1">40832.8826939365*((RANDBETWEEN(1587,2416)))</f>
        <v>91383991.469029799</v>
      </c>
      <c r="B6398">
        <v>236603331.85801065</v>
      </c>
    </row>
    <row r="6399" spans="1:2" x14ac:dyDescent="0.25">
      <c r="A6399">
        <f ca="1">31919.7532750709*((RANDBETWEEN(1587,2416)))</f>
        <v>52348395.371116214</v>
      </c>
      <c r="B6399">
        <v>261530773.42435351</v>
      </c>
    </row>
    <row r="6400" spans="1:2" x14ac:dyDescent="0.25">
      <c r="A6400">
        <f ca="1">38942.1784731349*((RANDBETWEEN(1587,2416)))</f>
        <v>91786714.661178902</v>
      </c>
      <c r="B6400">
        <v>234820100.35149756</v>
      </c>
    </row>
    <row r="6401" spans="1:2" x14ac:dyDescent="0.25">
      <c r="A6401">
        <f ca="1">32118.834528052*((RANDBETWEEN(1587,2416)))</f>
        <v>60736716.092546418</v>
      </c>
      <c r="B6401">
        <v>215316432.03789568</v>
      </c>
    </row>
    <row r="6402" spans="1:2" x14ac:dyDescent="0.25">
      <c r="A6402">
        <f ca="1">36527.8283252166*((RANDBETWEEN(1587,2416)))</f>
        <v>65603979.67208901</v>
      </c>
      <c r="B6402">
        <v>209682702.79662117</v>
      </c>
    </row>
    <row r="6403" spans="1:2" x14ac:dyDescent="0.25">
      <c r="A6403">
        <f ca="1">30865.4942800327*((RANDBETWEEN(1587,2416)))</f>
        <v>52162685.333255328</v>
      </c>
      <c r="B6403">
        <v>241022688.37257415</v>
      </c>
    </row>
    <row r="6404" spans="1:2" x14ac:dyDescent="0.25">
      <c r="A6404">
        <f ca="1">39242.6350467984*((RANDBETWEEN(1587,2416)))</f>
        <v>76405410.436116561</v>
      </c>
      <c r="B6404">
        <v>226854521.66290221</v>
      </c>
    </row>
    <row r="6405" spans="1:2" x14ac:dyDescent="0.25">
      <c r="A6405">
        <f ca="1">42257.8111733052*((RANDBETWEEN(1587,2416)))</f>
        <v>91783965.868418813</v>
      </c>
      <c r="B6405">
        <v>259485630.55061257</v>
      </c>
    </row>
    <row r="6406" spans="1:2" x14ac:dyDescent="0.25">
      <c r="A6406">
        <f ca="1">31053.4369378815*((RANDBETWEEN(1587,2416)))</f>
        <v>49343911.294293769</v>
      </c>
      <c r="B6406">
        <v>245736131.01793528</v>
      </c>
    </row>
    <row r="6407" spans="1:2" x14ac:dyDescent="0.25">
      <c r="A6407">
        <f ca="1">30512.1505028875*((RANDBETWEEN(1587,2416)))</f>
        <v>69171045.190046057</v>
      </c>
      <c r="B6407">
        <v>234392059.41902155</v>
      </c>
    </row>
    <row r="6408" spans="1:2" x14ac:dyDescent="0.25">
      <c r="A6408">
        <f ca="1">30373.8881048887*((RANDBETWEEN(1587,2416)))</f>
        <v>53093556.407345429</v>
      </c>
      <c r="B6408">
        <v>208026364.52671179</v>
      </c>
    </row>
    <row r="6409" spans="1:2" x14ac:dyDescent="0.25">
      <c r="A6409">
        <f ca="1">41800.8895830683*((RANDBETWEEN(1587,2416)))</f>
        <v>81010124.01198633</v>
      </c>
      <c r="B6409">
        <v>218782302.94864935</v>
      </c>
    </row>
    <row r="6410" spans="1:2" x14ac:dyDescent="0.25">
      <c r="A6410">
        <f ca="1">29208.3922493328*((RANDBETWEEN(1587,2416)))</f>
        <v>64346088.125280261</v>
      </c>
      <c r="B6410">
        <v>260427308.90712476</v>
      </c>
    </row>
    <row r="6411" spans="1:2" x14ac:dyDescent="0.25">
      <c r="A6411">
        <f ca="1">31968.6300323923*((RANDBETWEEN(1587,2416)))</f>
        <v>72632727.433595374</v>
      </c>
      <c r="B6411">
        <v>229737676.6820167</v>
      </c>
    </row>
    <row r="6412" spans="1:2" x14ac:dyDescent="0.25">
      <c r="A6412">
        <f ca="1">35130.7128321607*((RANDBETWEEN(1587,2416)))</f>
        <v>76584953.974110246</v>
      </c>
      <c r="B6412">
        <v>243948676.12538666</v>
      </c>
    </row>
    <row r="6413" spans="1:2" x14ac:dyDescent="0.25">
      <c r="A6413">
        <f ca="1">31796.8453926713*((RANDBETWEEN(1587,2416)))</f>
        <v>65215329.900368765</v>
      </c>
      <c r="B6413">
        <v>223606978.46018639</v>
      </c>
    </row>
    <row r="6414" spans="1:2" x14ac:dyDescent="0.25">
      <c r="A6414">
        <f ca="1">30995.8706817184*((RANDBETWEEN(1587,2416)))</f>
        <v>51546132.943697684</v>
      </c>
      <c r="B6414">
        <v>222558237.84869125</v>
      </c>
    </row>
    <row r="6415" spans="1:2" x14ac:dyDescent="0.25">
      <c r="A6415">
        <f ca="1">42530.494257885*((RANDBETWEEN(1587,2416)))</f>
        <v>71621352.330278382</v>
      </c>
      <c r="B6415">
        <v>267628256.35450381</v>
      </c>
    </row>
    <row r="6416" spans="1:2" x14ac:dyDescent="0.25">
      <c r="A6416">
        <f ca="1">29984.6251674583*((RANDBETWEEN(1587,2416)))</f>
        <v>64766790.36170993</v>
      </c>
      <c r="B6416">
        <v>205276147.58260071</v>
      </c>
    </row>
    <row r="6417" spans="1:2" x14ac:dyDescent="0.25">
      <c r="A6417">
        <f ca="1">36238.1754117356*((RANDBETWEEN(1587,2416)))</f>
        <v>77948315.310643256</v>
      </c>
      <c r="B6417">
        <v>249080124.91020864</v>
      </c>
    </row>
    <row r="6418" spans="1:2" x14ac:dyDescent="0.25">
      <c r="A6418">
        <f ca="1">32604.4231637217*((RANDBETWEEN(1587,2416)))</f>
        <v>59470467.850628398</v>
      </c>
      <c r="B6418">
        <v>223516205.28873646</v>
      </c>
    </row>
    <row r="6419" spans="1:2" x14ac:dyDescent="0.25">
      <c r="A6419">
        <f ca="1">34981.5279528009*((RANDBETWEEN(1587,2416)))</f>
        <v>70732649.520563483</v>
      </c>
      <c r="B6419">
        <v>211381656.8083809</v>
      </c>
    </row>
    <row r="6420" spans="1:2" x14ac:dyDescent="0.25">
      <c r="A6420">
        <f ca="1">32283.002448282*((RANDBETWEEN(1587,2416)))</f>
        <v>74928848.682462409</v>
      </c>
      <c r="B6420">
        <v>249235629.12814468</v>
      </c>
    </row>
    <row r="6421" spans="1:2" x14ac:dyDescent="0.25">
      <c r="A6421">
        <f ca="1">39696.9227703614*((RANDBETWEEN(1587,2416)))</f>
        <v>71255976.372798696</v>
      </c>
      <c r="B6421">
        <v>216511429.54988098</v>
      </c>
    </row>
    <row r="6422" spans="1:2" x14ac:dyDescent="0.25">
      <c r="A6422">
        <f ca="1">36109.532889081*((RANDBETWEEN(1587,2416)))</f>
        <v>73591228.027947053</v>
      </c>
      <c r="B6422">
        <v>250419355.63232011</v>
      </c>
    </row>
    <row r="6423" spans="1:2" x14ac:dyDescent="0.25">
      <c r="A6423">
        <f ca="1">31955.0650986939*((RANDBETWEEN(1587,2416)))</f>
        <v>60203342.645939372</v>
      </c>
      <c r="B6423">
        <v>243880733.43616775</v>
      </c>
    </row>
    <row r="6424" spans="1:2" x14ac:dyDescent="0.25">
      <c r="A6424">
        <f ca="1">36370.1061303789*((RANDBETWEEN(1587,2416)))</f>
        <v>80778005.715571612</v>
      </c>
      <c r="B6424">
        <v>230443544.71421143</v>
      </c>
    </row>
    <row r="6425" spans="1:2" x14ac:dyDescent="0.25">
      <c r="A6425">
        <f ca="1">33593.1371950461*((RANDBETWEEN(1587,2416)))</f>
        <v>73669749.868736029</v>
      </c>
      <c r="B6425">
        <v>266381111.76824874</v>
      </c>
    </row>
    <row r="6426" spans="1:2" x14ac:dyDescent="0.25">
      <c r="A6426">
        <f ca="1">31774.6704383612*((RANDBETWEEN(1587,2416)))</f>
        <v>76672279.767765522</v>
      </c>
      <c r="B6426">
        <v>235400102.89004052</v>
      </c>
    </row>
    <row r="6427" spans="1:2" x14ac:dyDescent="0.25">
      <c r="A6427">
        <f ca="1">29946.5012057187*((RANDBETWEEN(1587,2416)))</f>
        <v>71781763.390107617</v>
      </c>
      <c r="B6427">
        <v>255287890.8519429</v>
      </c>
    </row>
    <row r="6428" spans="1:2" x14ac:dyDescent="0.25">
      <c r="A6428">
        <f ca="1">33766.6113670224*((RANDBETWEEN(1587,2416)))</f>
        <v>68613754.297789469</v>
      </c>
      <c r="B6428">
        <v>208929227.03285336</v>
      </c>
    </row>
    <row r="6429" spans="1:2" x14ac:dyDescent="0.25">
      <c r="A6429">
        <f ca="1">34849.2457791918*((RANDBETWEEN(1587,2416)))</f>
        <v>68548466.447670177</v>
      </c>
      <c r="B6429">
        <v>207890161.62467909</v>
      </c>
    </row>
    <row r="6430" spans="1:2" x14ac:dyDescent="0.25">
      <c r="A6430">
        <f ca="1">39627.8816630415*((RANDBETWEEN(1587,2416)))</f>
        <v>74698556.934833243</v>
      </c>
      <c r="B6430">
        <v>233978099.95655698</v>
      </c>
    </row>
    <row r="6431" spans="1:2" x14ac:dyDescent="0.25">
      <c r="A6431">
        <f ca="1">29395.4222879985*((RANDBETWEEN(1587,2416)))</f>
        <v>51265616.47026936</v>
      </c>
      <c r="B6431">
        <v>244249374.059863</v>
      </c>
    </row>
    <row r="6432" spans="1:2" x14ac:dyDescent="0.25">
      <c r="A6432">
        <f ca="1">30139.0167843963*((RANDBETWEEN(1587,2416)))</f>
        <v>57565522.058196999</v>
      </c>
      <c r="B6432">
        <v>249838791.43107751</v>
      </c>
    </row>
    <row r="6433" spans="1:2" x14ac:dyDescent="0.25">
      <c r="A6433">
        <f ca="1">30441.5543942715*((RANDBETWEEN(1587,2416)))</f>
        <v>71933393.033663616</v>
      </c>
      <c r="B6433">
        <v>247591183.56254154</v>
      </c>
    </row>
    <row r="6434" spans="1:2" x14ac:dyDescent="0.25">
      <c r="A6434">
        <f ca="1">33374.8453564544*((RANDBETWEEN(1587,2416)))</f>
        <v>79599006.175143704</v>
      </c>
      <c r="B6434">
        <v>231605837.9443059</v>
      </c>
    </row>
    <row r="6435" spans="1:2" x14ac:dyDescent="0.25">
      <c r="A6435">
        <f ca="1">40040.5923324454*((RANDBETWEEN(1587,2416)))</f>
        <v>77318383.793951973</v>
      </c>
      <c r="B6435">
        <v>256832311.29676282</v>
      </c>
    </row>
    <row r="6436" spans="1:2" x14ac:dyDescent="0.25">
      <c r="A6436">
        <f ca="1">39506.5126747264*((RANDBETWEEN(1587,2416)))</f>
        <v>86953834.397072837</v>
      </c>
      <c r="B6436">
        <v>226254720.80313939</v>
      </c>
    </row>
    <row r="6437" spans="1:2" x14ac:dyDescent="0.25">
      <c r="A6437">
        <f ca="1">33343.2587083355*((RANDBETWEEN(1587,2416)))</f>
        <v>70220902.839754611</v>
      </c>
      <c r="B6437">
        <v>218398806.20253775</v>
      </c>
    </row>
    <row r="6438" spans="1:2" x14ac:dyDescent="0.25">
      <c r="A6438">
        <f ca="1">32540.3804143553*((RANDBETWEEN(1587,2416)))</f>
        <v>72792830.986912847</v>
      </c>
      <c r="B6438">
        <v>249228056.04879102</v>
      </c>
    </row>
    <row r="6439" spans="1:2" x14ac:dyDescent="0.25">
      <c r="A6439">
        <f ca="1">31191.223230929*((RANDBETWEEN(1587,2416)))</f>
        <v>54085581.082430959</v>
      </c>
      <c r="B6439">
        <v>253817523.90458012</v>
      </c>
    </row>
    <row r="6440" spans="1:2" x14ac:dyDescent="0.25">
      <c r="A6440">
        <f ca="1">37114.363347073*((RANDBETWEEN(1587,2416)))</f>
        <v>79907224.286248192</v>
      </c>
      <c r="B6440">
        <v>228637558.12142748</v>
      </c>
    </row>
    <row r="6441" spans="1:2" x14ac:dyDescent="0.25">
      <c r="A6441">
        <f ca="1">41702.4283616106*((RANDBETWEEN(1587,2416)))</f>
        <v>87533397.131020546</v>
      </c>
      <c r="B6441">
        <v>261811476.40095168</v>
      </c>
    </row>
    <row r="6442" spans="1:2" x14ac:dyDescent="0.25">
      <c r="A6442">
        <f ca="1">39677.7217104273*((RANDBETWEEN(1587,2416)))</f>
        <v>72530875.286661059</v>
      </c>
      <c r="B6442">
        <v>243622110.70665252</v>
      </c>
    </row>
    <row r="6443" spans="1:2" x14ac:dyDescent="0.25">
      <c r="A6443">
        <f ca="1">32122.1667872386*((RANDBETWEEN(1587,2416)))</f>
        <v>57402312.048795342</v>
      </c>
      <c r="B6443">
        <v>213170149.91457146</v>
      </c>
    </row>
    <row r="6444" spans="1:2" x14ac:dyDescent="0.25">
      <c r="A6444">
        <f ca="1">37846.9363880496*((RANDBETWEEN(1587,2416)))</f>
        <v>90416331.031050593</v>
      </c>
      <c r="B6444">
        <v>254573534.82230479</v>
      </c>
    </row>
    <row r="6445" spans="1:2" x14ac:dyDescent="0.25">
      <c r="A6445">
        <f ca="1">40819.8723372613*((RANDBETWEEN(1587,2416)))</f>
        <v>79802850.419345796</v>
      </c>
      <c r="B6445">
        <v>210034395.80689049</v>
      </c>
    </row>
    <row r="6446" spans="1:2" x14ac:dyDescent="0.25">
      <c r="A6446">
        <f ca="1">38685.41343401*((RANDBETWEEN(1587,2416)))</f>
        <v>69711115.0080861</v>
      </c>
      <c r="B6446">
        <v>222584661.05049962</v>
      </c>
    </row>
    <row r="6447" spans="1:2" x14ac:dyDescent="0.25">
      <c r="A6447">
        <f ca="1">36434.4566776719*((RANDBETWEEN(1587,2416)))</f>
        <v>85985317.759305596</v>
      </c>
      <c r="B6447">
        <v>241171722.95378596</v>
      </c>
    </row>
    <row r="6448" spans="1:2" x14ac:dyDescent="0.25">
      <c r="A6448">
        <f ca="1">33031.9492514388*((RANDBETWEEN(1587,2416)))</f>
        <v>63157086.968751065</v>
      </c>
      <c r="B6448">
        <v>228736607.28147873</v>
      </c>
    </row>
    <row r="6449" spans="1:2" x14ac:dyDescent="0.25">
      <c r="A6449">
        <f ca="1">30084.3378924142*((RANDBETWEEN(1587,2416)))</f>
        <v>59747495.054334573</v>
      </c>
      <c r="B6449">
        <v>222297316.29685798</v>
      </c>
    </row>
    <row r="6450" spans="1:2" x14ac:dyDescent="0.25">
      <c r="A6450">
        <f ca="1">37693.7637688513*((RANDBETWEEN(1587,2416)))</f>
        <v>66001780.359258562</v>
      </c>
      <c r="B6450">
        <v>229604378.5597508</v>
      </c>
    </row>
    <row r="6451" spans="1:2" x14ac:dyDescent="0.25">
      <c r="A6451">
        <f ca="1">32684.2106838835*((RANDBETWEEN(1587,2416)))</f>
        <v>72428210.875485897</v>
      </c>
      <c r="B6451">
        <v>210937520.62361744</v>
      </c>
    </row>
    <row r="6452" spans="1:2" x14ac:dyDescent="0.25">
      <c r="A6452">
        <f ca="1">33448.612538926*((RANDBETWEEN(1587,2416)))</f>
        <v>79139417.267099082</v>
      </c>
      <c r="B6452">
        <v>266482305.14164925</v>
      </c>
    </row>
    <row r="6453" spans="1:2" x14ac:dyDescent="0.25">
      <c r="A6453">
        <f ca="1">29585.8613083209*((RANDBETWEEN(1587,2416)))</f>
        <v>56272308.208426304</v>
      </c>
      <c r="B6453">
        <v>243183884.25130057</v>
      </c>
    </row>
    <row r="6454" spans="1:2" x14ac:dyDescent="0.25">
      <c r="A6454">
        <f ca="1">30983.0837897732*((RANDBETWEEN(1587,2416)))</f>
        <v>49913747.985324763</v>
      </c>
      <c r="B6454">
        <v>261681186.47615853</v>
      </c>
    </row>
    <row r="6455" spans="1:2" x14ac:dyDescent="0.25">
      <c r="A6455">
        <f ca="1">31324.6044689427*((RANDBETWEEN(1587,2416)))</f>
        <v>65625046.362434879</v>
      </c>
      <c r="B6455">
        <v>219679306.71819863</v>
      </c>
    </row>
    <row r="6456" spans="1:2" x14ac:dyDescent="0.25">
      <c r="A6456">
        <f ca="1">32202.9226759723*((RANDBETWEEN(1587,2416)))</f>
        <v>55743259.152108103</v>
      </c>
      <c r="B6456">
        <v>245407871.44055277</v>
      </c>
    </row>
    <row r="6457" spans="1:2" x14ac:dyDescent="0.25">
      <c r="A6457">
        <f ca="1">33475.0069385405*((RANDBETWEEN(1587,2416)))</f>
        <v>77762441.118229553</v>
      </c>
      <c r="B6457">
        <v>224607159.08453643</v>
      </c>
    </row>
    <row r="6458" spans="1:2" x14ac:dyDescent="0.25">
      <c r="A6458">
        <f ca="1">29092.928131526*((RANDBETWEEN(1587,2416)))</f>
        <v>67495593.265140206</v>
      </c>
      <c r="B6458">
        <v>238998571.68218106</v>
      </c>
    </row>
    <row r="6459" spans="1:2" x14ac:dyDescent="0.25">
      <c r="A6459">
        <f ca="1">31210.5446370177*((RANDBETWEEN(1587,2416)))</f>
        <v>71659410.486592725</v>
      </c>
      <c r="B6459">
        <v>235850435.02450496</v>
      </c>
    </row>
    <row r="6460" spans="1:2" x14ac:dyDescent="0.25">
      <c r="A6460">
        <f ca="1">31591.2851496572*((RANDBETWEEN(1587,2416)))</f>
        <v>69627192.46984446</v>
      </c>
      <c r="B6460">
        <v>231072791.84545219</v>
      </c>
    </row>
    <row r="6461" spans="1:2" x14ac:dyDescent="0.25">
      <c r="A6461">
        <f ca="1">39649.4944596023*((RANDBETWEEN(1587,2416)))</f>
        <v>82986391.903947681</v>
      </c>
      <c r="B6461">
        <v>215281206.31874308</v>
      </c>
    </row>
    <row r="6462" spans="1:2" x14ac:dyDescent="0.25">
      <c r="A6462">
        <f ca="1">32277.5684653839*((RANDBETWEEN(1587,2416)))</f>
        <v>66362680.764829323</v>
      </c>
      <c r="B6462">
        <v>231673905.80212554</v>
      </c>
    </row>
    <row r="6463" spans="1:2" x14ac:dyDescent="0.25">
      <c r="A6463">
        <f ca="1">33553.6025505688*((RANDBETWEEN(1587,2416)))</f>
        <v>56940463.528315209</v>
      </c>
      <c r="B6463">
        <v>259793970.59100619</v>
      </c>
    </row>
    <row r="6464" spans="1:2" x14ac:dyDescent="0.25">
      <c r="A6464">
        <f ca="1">30676.53469138*((RANDBETWEEN(1587,2416)))</f>
        <v>65923873.051775523</v>
      </c>
      <c r="B6464">
        <v>215904040.69818479</v>
      </c>
    </row>
    <row r="6465" spans="1:2" x14ac:dyDescent="0.25">
      <c r="A6465">
        <f ca="1">34587.9389179356*((RANDBETWEEN(1587,2416)))</f>
        <v>75782174.169196978</v>
      </c>
      <c r="B6465">
        <v>248060612.15041044</v>
      </c>
    </row>
    <row r="6466" spans="1:2" x14ac:dyDescent="0.25">
      <c r="A6466">
        <f ca="1">29631.6604295968*((RANDBETWEEN(1587,2416)))</f>
        <v>69901086.953418896</v>
      </c>
      <c r="B6466">
        <v>231000772.31805664</v>
      </c>
    </row>
    <row r="6467" spans="1:2" x14ac:dyDescent="0.25">
      <c r="A6467">
        <f ca="1">30654.4880728766*((RANDBETWEEN(1587,2416)))</f>
        <v>54105171.448627241</v>
      </c>
      <c r="B6467">
        <v>244034121.02892452</v>
      </c>
    </row>
    <row r="6468" spans="1:2" x14ac:dyDescent="0.25">
      <c r="A6468">
        <f ca="1">37214.2837083286*((RANDBETWEEN(1587,2416)))</f>
        <v>86709281.040405676</v>
      </c>
      <c r="B6468">
        <v>259753199.29756752</v>
      </c>
    </row>
    <row r="6469" spans="1:2" x14ac:dyDescent="0.25">
      <c r="A6469">
        <f ca="1">29614.4193273268*((RANDBETWEEN(1587,2416)))</f>
        <v>58577321.429452486</v>
      </c>
      <c r="B6469">
        <v>236032356.68551305</v>
      </c>
    </row>
    <row r="6470" spans="1:2" x14ac:dyDescent="0.25">
      <c r="A6470">
        <f ca="1">32521.7098945283*((RANDBETWEEN(1587,2416)))</f>
        <v>57465861.383631498</v>
      </c>
      <c r="B6470">
        <v>253923759.55000737</v>
      </c>
    </row>
    <row r="6471" spans="1:2" x14ac:dyDescent="0.25">
      <c r="A6471">
        <f ca="1">38675.9551259939*((RANDBETWEEN(1587,2416)))</f>
        <v>83926822.623406708</v>
      </c>
      <c r="B6471">
        <v>254992131.86307579</v>
      </c>
    </row>
    <row r="6472" spans="1:2" x14ac:dyDescent="0.25">
      <c r="A6472">
        <f ca="1">33039.6350402794*((RANDBETWEEN(1587,2416)))</f>
        <v>77709221.614737034</v>
      </c>
      <c r="B6472">
        <v>251821163.87512809</v>
      </c>
    </row>
    <row r="6473" spans="1:2" x14ac:dyDescent="0.25">
      <c r="A6473">
        <f ca="1">30421.4874589292*((RANDBETWEEN(1587,2416)))</f>
        <v>72494404.614628285</v>
      </c>
      <c r="B6473">
        <v>248906487.23707485</v>
      </c>
    </row>
    <row r="6474" spans="1:2" x14ac:dyDescent="0.25">
      <c r="A6474">
        <f ca="1">35452.5745889039*((RANDBETWEEN(1587,2416)))</f>
        <v>81257300.957767844</v>
      </c>
      <c r="B6474">
        <v>209449304.58285969</v>
      </c>
    </row>
    <row r="6475" spans="1:2" x14ac:dyDescent="0.25">
      <c r="A6475">
        <f ca="1">35009.365486805*((RANDBETWEEN(1587,2416)))</f>
        <v>57730443.6877416</v>
      </c>
      <c r="B6475">
        <v>219143317.91132909</v>
      </c>
    </row>
    <row r="6476" spans="1:2" x14ac:dyDescent="0.25">
      <c r="A6476">
        <f ca="1">38021.781413927*((RANDBETWEEN(1587,2416)))</f>
        <v>88818881.382933587</v>
      </c>
      <c r="B6476">
        <v>241732636.54138419</v>
      </c>
    </row>
    <row r="6477" spans="1:2" x14ac:dyDescent="0.25">
      <c r="A6477">
        <f ca="1">31826.0152381873*((RANDBETWEEN(1587,2416)))</f>
        <v>64829593.040187463</v>
      </c>
      <c r="B6477">
        <v>224397110.67795604</v>
      </c>
    </row>
    <row r="6478" spans="1:2" x14ac:dyDescent="0.25">
      <c r="A6478">
        <f ca="1">30946.3077999052*((RANDBETWEEN(1587,2416)))</f>
        <v>67091595.310194485</v>
      </c>
      <c r="B6478">
        <v>229721662.65481737</v>
      </c>
    </row>
    <row r="6479" spans="1:2" x14ac:dyDescent="0.25">
      <c r="A6479">
        <f ca="1">33456.5480981534*((RANDBETWEEN(1587,2416)))</f>
        <v>53229368.024162002</v>
      </c>
      <c r="B6479">
        <v>260149698.70492864</v>
      </c>
    </row>
    <row r="6480" spans="1:2" x14ac:dyDescent="0.25">
      <c r="A6480">
        <f ca="1">33256.9023991047*((RANDBETWEEN(1587,2416)))</f>
        <v>62223664.388724893</v>
      </c>
      <c r="B6480">
        <v>267807464.86546078</v>
      </c>
    </row>
    <row r="6481" spans="1:2" x14ac:dyDescent="0.25">
      <c r="A6481">
        <f ca="1">32819.0397244326*((RANDBETWEEN(1587,2416)))</f>
        <v>71545506.599262983</v>
      </c>
      <c r="B6481">
        <v>215466575.42562953</v>
      </c>
    </row>
    <row r="6482" spans="1:2" x14ac:dyDescent="0.25">
      <c r="A6482">
        <f ca="1">30592.7044973604*((RANDBETWEEN(1587,2416)))</f>
        <v>72412931.545251966</v>
      </c>
      <c r="B6482">
        <v>211575273.76192296</v>
      </c>
    </row>
    <row r="6483" spans="1:2" x14ac:dyDescent="0.25">
      <c r="A6483">
        <f ca="1">34241.8931774985*((RANDBETWEEN(1587,2416)))</f>
        <v>67764706.598269612</v>
      </c>
      <c r="B6483">
        <v>210317939.3672376</v>
      </c>
    </row>
    <row r="6484" spans="1:2" x14ac:dyDescent="0.25">
      <c r="A6484">
        <f ca="1">32581.0618183578*((RANDBETWEEN(1587,2416)))</f>
        <v>74284820.945855856</v>
      </c>
      <c r="B6484">
        <v>207327077.46186614</v>
      </c>
    </row>
    <row r="6485" spans="1:2" x14ac:dyDescent="0.25">
      <c r="A6485">
        <f ca="1">40092.4133077002*((RANDBETWEEN(1587,2416)))</f>
        <v>78982054.216169491</v>
      </c>
      <c r="B6485">
        <v>237183769.37732172</v>
      </c>
    </row>
    <row r="6486" spans="1:2" x14ac:dyDescent="0.25">
      <c r="A6486">
        <f ca="1">32367.7250709061*((RANDBETWEEN(1587,2416)))</f>
        <v>56190370.723093003</v>
      </c>
      <c r="B6486">
        <v>262138955.3098079</v>
      </c>
    </row>
    <row r="6487" spans="1:2" x14ac:dyDescent="0.25">
      <c r="A6487">
        <f ca="1">32529.3896838822*((RANDBETWEEN(1587,2416)))</f>
        <v>55852962.08722572</v>
      </c>
      <c r="B6487">
        <v>210943184.54481709</v>
      </c>
    </row>
    <row r="6488" spans="1:2" x14ac:dyDescent="0.25">
      <c r="A6488">
        <f ca="1">32735.9522198109*((RANDBETWEEN(1587,2416)))</f>
        <v>73066645.354617834</v>
      </c>
      <c r="B6488">
        <v>265379851.86100501</v>
      </c>
    </row>
    <row r="6489" spans="1:2" x14ac:dyDescent="0.25">
      <c r="A6489">
        <f ca="1">37131.3919093352*((RANDBETWEEN(1587,2416)))</f>
        <v>71737849.168835536</v>
      </c>
      <c r="B6489">
        <v>232365838.79366446</v>
      </c>
    </row>
    <row r="6490" spans="1:2" x14ac:dyDescent="0.25">
      <c r="A6490">
        <f ca="1">29149.0827800334*((RANDBETWEEN(1587,2416)))</f>
        <v>64477771.109433793</v>
      </c>
      <c r="B6490">
        <v>237190329.78961024</v>
      </c>
    </row>
    <row r="6491" spans="1:2" x14ac:dyDescent="0.25">
      <c r="A6491">
        <f ca="1">37144.8613775768*((RANDBETWEEN(1587,2416)))</f>
        <v>75924096.655766875</v>
      </c>
      <c r="B6491">
        <v>265711957.31496614</v>
      </c>
    </row>
    <row r="6492" spans="1:2" x14ac:dyDescent="0.25">
      <c r="A6492">
        <f ca="1">40943.2950872938*((RANDBETWEEN(1587,2416)))</f>
        <v>75253776.370446056</v>
      </c>
      <c r="B6492">
        <v>247636274.17974168</v>
      </c>
    </row>
    <row r="6493" spans="1:2" x14ac:dyDescent="0.25">
      <c r="A6493">
        <f ca="1">41033.9744444028*((RANDBETWEEN(1587,2416)))</f>
        <v>85596870.691024169</v>
      </c>
      <c r="B6493">
        <v>259836433.25848341</v>
      </c>
    </row>
    <row r="6494" spans="1:2" x14ac:dyDescent="0.25">
      <c r="A6494">
        <f ca="1">30390.8651724586*((RANDBETWEEN(1587,2416)))</f>
        <v>53791831.355251804</v>
      </c>
      <c r="B6494">
        <v>256668244.57763255</v>
      </c>
    </row>
    <row r="6495" spans="1:2" x14ac:dyDescent="0.25">
      <c r="A6495">
        <f ca="1">30162.8702564355*((RANDBETWEEN(1587,2416)))</f>
        <v>56464893.120047189</v>
      </c>
      <c r="B6495">
        <v>237685670.65381879</v>
      </c>
    </row>
    <row r="6496" spans="1:2" x14ac:dyDescent="0.25">
      <c r="A6496">
        <f ca="1">32709.2456177095*((RANDBETWEEN(1587,2416)))</f>
        <v>73988313.587258965</v>
      </c>
      <c r="B6496">
        <v>258593111.44822541</v>
      </c>
    </row>
    <row r="6497" spans="1:2" x14ac:dyDescent="0.25">
      <c r="A6497">
        <f ca="1">39681.9725176009*((RANDBETWEEN(1587,2416)))</f>
        <v>75673521.59106496</v>
      </c>
      <c r="B6497">
        <v>250060818.80307537</v>
      </c>
    </row>
    <row r="6498" spans="1:2" x14ac:dyDescent="0.25">
      <c r="A6498">
        <f ca="1">29622.6476855013*((RANDBETWEEN(1587,2416)))</f>
        <v>56816238.26079151</v>
      </c>
      <c r="B6498">
        <v>251912415.34087318</v>
      </c>
    </row>
    <row r="6499" spans="1:2" x14ac:dyDescent="0.25">
      <c r="A6499">
        <f ca="1">36570.6196432028*((RANDBETWEEN(1587,2416)))</f>
        <v>71129855.206029415</v>
      </c>
      <c r="B6499">
        <v>229990781.38664994</v>
      </c>
    </row>
    <row r="6500" spans="1:2" x14ac:dyDescent="0.25">
      <c r="A6500">
        <f ca="1">39593.7354937208*((RANDBETWEEN(1587,2416)))</f>
        <v>63983476.557852812</v>
      </c>
      <c r="B6500">
        <v>246464890.94640061</v>
      </c>
    </row>
    <row r="6501" spans="1:2" x14ac:dyDescent="0.25">
      <c r="A6501">
        <f ca="1">36511.4028860817*((RANDBETWEEN(1587,2416)))</f>
        <v>70357473.361479431</v>
      </c>
      <c r="B6501">
        <v>214781348.1593914</v>
      </c>
    </row>
    <row r="6502" spans="1:2" x14ac:dyDescent="0.25">
      <c r="A6502">
        <f ca="1">40554.386953894*((RANDBETWEEN(1587,2416)))</f>
        <v>76566682.56895192</v>
      </c>
      <c r="B6502">
        <v>252401806.7726123</v>
      </c>
    </row>
    <row r="6503" spans="1:2" x14ac:dyDescent="0.25">
      <c r="A6503">
        <f ca="1">34173.7540621219*((RANDBETWEEN(1587,2416)))</f>
        <v>72755922.398257539</v>
      </c>
      <c r="B6503">
        <v>243648622.66146627</v>
      </c>
    </row>
    <row r="6504" spans="1:2" x14ac:dyDescent="0.25">
      <c r="A6504">
        <f ca="1">32183.7974653816*((RANDBETWEEN(1587,2416)))</f>
        <v>73443425.816000745</v>
      </c>
      <c r="B6504">
        <v>245654197.51456666</v>
      </c>
    </row>
    <row r="6505" spans="1:2" x14ac:dyDescent="0.25">
      <c r="A6505">
        <f ca="1">28286.2301911206*((RANDBETWEEN(1587,2416)))</f>
        <v>67519231.466204822</v>
      </c>
      <c r="B6505">
        <v>221727539.43533739</v>
      </c>
    </row>
    <row r="6506" spans="1:2" x14ac:dyDescent="0.25">
      <c r="A6506">
        <f ca="1">39333.4274262787*((RANDBETWEEN(1587,2416)))</f>
        <v>70524835.375317723</v>
      </c>
      <c r="B6506">
        <v>205486078.87588233</v>
      </c>
    </row>
    <row r="6507" spans="1:2" x14ac:dyDescent="0.25">
      <c r="A6507">
        <f ca="1">39426.8162430025*((RANDBETWEEN(1587,2416)))</f>
        <v>68090111.651665404</v>
      </c>
      <c r="B6507">
        <v>240661556.98960692</v>
      </c>
    </row>
    <row r="6508" spans="1:2" x14ac:dyDescent="0.25">
      <c r="A6508">
        <f ca="1">29036.0469895387*((RANDBETWEEN(1587,2416)))</f>
        <v>66695799.934970379</v>
      </c>
      <c r="B6508">
        <v>251797626.87092793</v>
      </c>
    </row>
    <row r="6509" spans="1:2" x14ac:dyDescent="0.25">
      <c r="A6509">
        <f ca="1">42664.0908698489*((RANDBETWEEN(1587,2416)))</f>
        <v>83450961.741424412</v>
      </c>
      <c r="B6509">
        <v>259460299.88404509</v>
      </c>
    </row>
    <row r="6510" spans="1:2" x14ac:dyDescent="0.25">
      <c r="A6510">
        <f ca="1">31496.187297692*((RANDBETWEEN(1587,2416)))</f>
        <v>52850602.285527177</v>
      </c>
      <c r="B6510">
        <v>229981757.86780387</v>
      </c>
    </row>
    <row r="6511" spans="1:2" x14ac:dyDescent="0.25">
      <c r="A6511">
        <f ca="1">30872.9270700207*((RANDBETWEEN(1587,2416)))</f>
        <v>53749766.028905995</v>
      </c>
      <c r="B6511">
        <v>223823975.97354636</v>
      </c>
    </row>
    <row r="6512" spans="1:2" x14ac:dyDescent="0.25">
      <c r="A6512">
        <f ca="1">31834.2861107668*((RANDBETWEEN(1587,2416)))</f>
        <v>60230469.321570806</v>
      </c>
      <c r="B6512">
        <v>235759817.32732898</v>
      </c>
    </row>
    <row r="6513" spans="1:2" x14ac:dyDescent="0.25">
      <c r="A6513">
        <f ca="1">38378.5194861367*((RANDBETWEEN(1587,2416)))</f>
        <v>83434901.362861201</v>
      </c>
      <c r="B6513">
        <v>219667236.44806612</v>
      </c>
    </row>
    <row r="6514" spans="1:2" x14ac:dyDescent="0.25">
      <c r="A6514">
        <f ca="1">30285.337354901*((RANDBETWEEN(1587,2416)))</f>
        <v>54998172.636500157</v>
      </c>
      <c r="B6514">
        <v>228439985.30301496</v>
      </c>
    </row>
    <row r="6515" spans="1:2" x14ac:dyDescent="0.25">
      <c r="A6515">
        <f ca="1">40823.6430564366*((RANDBETWEEN(1587,2416)))</f>
        <v>75972799.728028491</v>
      </c>
      <c r="B6515">
        <v>217311447.72556067</v>
      </c>
    </row>
    <row r="6516" spans="1:2" x14ac:dyDescent="0.25">
      <c r="A6516">
        <f ca="1">42194.6091084709*((RANDBETWEEN(1587,2416)))</f>
        <v>76498826.313657805</v>
      </c>
      <c r="B6516">
        <v>248303718.99726638</v>
      </c>
    </row>
    <row r="6517" spans="1:2" x14ac:dyDescent="0.25">
      <c r="A6517">
        <f ca="1">31507.6847615259*((RANDBETWEEN(1587,2416)))</f>
        <v>63551000.163997672</v>
      </c>
      <c r="B6517">
        <v>249221480.76948097</v>
      </c>
    </row>
    <row r="6518" spans="1:2" x14ac:dyDescent="0.25">
      <c r="A6518">
        <f ca="1">29484.3224000922*((RANDBETWEEN(1587,2416)))</f>
        <v>56167634.172175571</v>
      </c>
      <c r="B6518">
        <v>244019158.99670908</v>
      </c>
    </row>
    <row r="6519" spans="1:2" x14ac:dyDescent="0.25">
      <c r="A6519">
        <f ca="1">31729.4123693728*((RANDBETWEEN(1587,2416)))</f>
        <v>74722766.129873022</v>
      </c>
      <c r="B6519">
        <v>228989527.7394163</v>
      </c>
    </row>
    <row r="6520" spans="1:2" x14ac:dyDescent="0.25">
      <c r="A6520">
        <f ca="1">36858.356535128*((RANDBETWEEN(1587,2416)))</f>
        <v>81604401.368773445</v>
      </c>
      <c r="B6520">
        <v>254667400.60707152</v>
      </c>
    </row>
    <row r="6521" spans="1:2" x14ac:dyDescent="0.25">
      <c r="A6521">
        <f ca="1">30140.7157132776*((RANDBETWEEN(1587,2416)))</f>
        <v>68720831.826272845</v>
      </c>
      <c r="B6521">
        <v>243068337.10273269</v>
      </c>
    </row>
    <row r="6522" spans="1:2" x14ac:dyDescent="0.25">
      <c r="A6522">
        <f ca="1">30288.2803333472*((RANDBETWEEN(1587,2416)))</f>
        <v>69784197.888031855</v>
      </c>
      <c r="B6522">
        <v>217385723.72233793</v>
      </c>
    </row>
    <row r="6523" spans="1:2" x14ac:dyDescent="0.25">
      <c r="A6523">
        <f ca="1">30526.3009209851*((RANDBETWEEN(1587,2416)))</f>
        <v>67921019.549191833</v>
      </c>
      <c r="B6523">
        <v>267418188.18177047</v>
      </c>
    </row>
    <row r="6524" spans="1:2" x14ac:dyDescent="0.25">
      <c r="A6524">
        <f ca="1">30086.8722386203*((RANDBETWEEN(1587,2416)))</f>
        <v>56473059.191890359</v>
      </c>
      <c r="B6524">
        <v>226036612.84937036</v>
      </c>
    </row>
    <row r="6525" spans="1:2" x14ac:dyDescent="0.25">
      <c r="A6525">
        <f ca="1">36560.4273315607*((RANDBETWEEN(1587,2416)))</f>
        <v>68879845.092660412</v>
      </c>
      <c r="B6525">
        <v>243014953.70686522</v>
      </c>
    </row>
    <row r="6526" spans="1:2" x14ac:dyDescent="0.25">
      <c r="A6526">
        <f ca="1">38469.6469645503*((RANDBETWEEN(1587,2416)))</f>
        <v>88210900.489713922</v>
      </c>
      <c r="B6526">
        <v>240406041.03220457</v>
      </c>
    </row>
    <row r="6527" spans="1:2" x14ac:dyDescent="0.25">
      <c r="A6527">
        <f ca="1">32260.5536308182*((RANDBETWEEN(1587,2416)))</f>
        <v>60940185.808615573</v>
      </c>
      <c r="B6527">
        <v>259434902.78004313</v>
      </c>
    </row>
    <row r="6528" spans="1:2" x14ac:dyDescent="0.25">
      <c r="A6528">
        <f ca="1">32051.7364386132*((RANDBETWEEN(1587,2416)))</f>
        <v>60417523.186785854</v>
      </c>
      <c r="B6528">
        <v>216688289.77903408</v>
      </c>
    </row>
    <row r="6529" spans="1:2" x14ac:dyDescent="0.25">
      <c r="A6529">
        <f ca="1">34993.8804964854*((RANDBETWEEN(1587,2416)))</f>
        <v>84160282.594047338</v>
      </c>
      <c r="B6529">
        <v>255921638.55953312</v>
      </c>
    </row>
    <row r="6530" spans="1:2" x14ac:dyDescent="0.25">
      <c r="A6530">
        <f ca="1">38075.1358085117*((RANDBETWEEN(1587,2416)))</f>
        <v>69639423.393767849</v>
      </c>
      <c r="B6530">
        <v>256195249.59342164</v>
      </c>
    </row>
    <row r="6531" spans="1:2" x14ac:dyDescent="0.25">
      <c r="A6531">
        <f ca="1">38022.4095945266*((RANDBETWEEN(1587,2416)))</f>
        <v>71253995.580142856</v>
      </c>
      <c r="B6531">
        <v>231320563.2837446</v>
      </c>
    </row>
    <row r="6532" spans="1:2" x14ac:dyDescent="0.25">
      <c r="A6532">
        <f ca="1">32459.2892180081*((RANDBETWEEN(1587,2416)))</f>
        <v>67093350.813622691</v>
      </c>
      <c r="B6532">
        <v>256546707.69717261</v>
      </c>
    </row>
    <row r="6533" spans="1:2" x14ac:dyDescent="0.25">
      <c r="A6533">
        <f ca="1">32295.2271455022*((RANDBETWEEN(1587,2416)))</f>
        <v>68239814.95844613</v>
      </c>
      <c r="B6533">
        <v>241118720.84521547</v>
      </c>
    </row>
    <row r="6534" spans="1:2" x14ac:dyDescent="0.25">
      <c r="A6534">
        <f ca="1">30070.3848214303*((RANDBETWEEN(1587,2416)))</f>
        <v>58877813.480360501</v>
      </c>
      <c r="B6534">
        <v>216473486.67507938</v>
      </c>
    </row>
    <row r="6535" spans="1:2" x14ac:dyDescent="0.25">
      <c r="A6535">
        <f ca="1">34227.4254425519*((RANDBETWEEN(1587,2416)))</f>
        <v>59589947.695482925</v>
      </c>
      <c r="B6535">
        <v>252040572.23906821</v>
      </c>
    </row>
    <row r="6536" spans="1:2" x14ac:dyDescent="0.25">
      <c r="A6536">
        <f ca="1">38988.3287980193*((RANDBETWEEN(1587,2416)))</f>
        <v>81758525.489446551</v>
      </c>
      <c r="B6536">
        <v>264138386.55021158</v>
      </c>
    </row>
    <row r="6537" spans="1:2" x14ac:dyDescent="0.25">
      <c r="A6537">
        <f ca="1">39889.6635675304*((RANDBETWEEN(1587,2416)))</f>
        <v>89352846.39126803</v>
      </c>
      <c r="B6537">
        <v>234355579.04927039</v>
      </c>
    </row>
    <row r="6538" spans="1:2" x14ac:dyDescent="0.25">
      <c r="A6538">
        <f ca="1">30028.0670155748*((RANDBETWEEN(1587,2416)))</f>
        <v>66332000.037404805</v>
      </c>
      <c r="B6538">
        <v>235109682.58227122</v>
      </c>
    </row>
    <row r="6539" spans="1:2" x14ac:dyDescent="0.25">
      <c r="A6539">
        <f ca="1">31292.3620842085*((RANDBETWEEN(1587,2416)))</f>
        <v>63492202.66885896</v>
      </c>
      <c r="B6539">
        <v>219163840.12432501</v>
      </c>
    </row>
    <row r="6540" spans="1:2" x14ac:dyDescent="0.25">
      <c r="A6540">
        <f ca="1">39575.1247450923*((RANDBETWEEN(1587,2416)))</f>
        <v>71076924.042185679</v>
      </c>
      <c r="B6540">
        <v>215200083.57390127</v>
      </c>
    </row>
    <row r="6541" spans="1:2" x14ac:dyDescent="0.25">
      <c r="A6541">
        <f ca="1">36467.2122643274*((RANDBETWEEN(1587,2416)))</f>
        <v>76216473.632444188</v>
      </c>
      <c r="B6541">
        <v>260101901.70467395</v>
      </c>
    </row>
    <row r="6542" spans="1:2" x14ac:dyDescent="0.25">
      <c r="A6542">
        <f ca="1">33375.2261590406*((RANDBETWEEN(1587,2416)))</f>
        <v>60609410.70481775</v>
      </c>
      <c r="B6542">
        <v>214092328.59590876</v>
      </c>
    </row>
    <row r="6543" spans="1:2" x14ac:dyDescent="0.25">
      <c r="A6543">
        <f ca="1">40176.667498086*((RANDBETWEEN(1587,2416)))</f>
        <v>63880901.321956724</v>
      </c>
      <c r="B6543">
        <v>210346872.93789017</v>
      </c>
    </row>
    <row r="6544" spans="1:2" x14ac:dyDescent="0.25">
      <c r="A6544">
        <f ca="1">37861.0698571348*((RANDBETWEEN(1587,2416)))</f>
        <v>61334933.168558441</v>
      </c>
      <c r="B6544">
        <v>227122226.67115027</v>
      </c>
    </row>
    <row r="6545" spans="1:2" x14ac:dyDescent="0.25">
      <c r="A6545">
        <f ca="1">40058.6683549067*((RANDBETWEEN(1587,2416)))</f>
        <v>92014761.211220607</v>
      </c>
      <c r="B6545">
        <v>217890396.38757986</v>
      </c>
    </row>
    <row r="6546" spans="1:2" x14ac:dyDescent="0.25">
      <c r="A6546">
        <f ca="1">36071.6315531989*((RANDBETWEEN(1587,2416)))</f>
        <v>85634053.30729413</v>
      </c>
      <c r="B6546">
        <v>215972705.39952964</v>
      </c>
    </row>
    <row r="6547" spans="1:2" x14ac:dyDescent="0.25">
      <c r="A6547">
        <f ca="1">37918.4426902815*((RANDBETWEEN(1587,2416)))</f>
        <v>75078516.526757404</v>
      </c>
      <c r="B6547">
        <v>234093846.51840997</v>
      </c>
    </row>
    <row r="6548" spans="1:2" x14ac:dyDescent="0.25">
      <c r="A6548">
        <f ca="1">31317.737729668*((RANDBETWEEN(1587,2416)))</f>
        <v>61445401.425608635</v>
      </c>
      <c r="B6548">
        <v>218310233.18703306</v>
      </c>
    </row>
    <row r="6549" spans="1:2" x14ac:dyDescent="0.25">
      <c r="A6549">
        <f ca="1">34581.0828334877*((RANDBETWEEN(1587,2416)))</f>
        <v>80712247.333360344</v>
      </c>
      <c r="B6549">
        <v>208428052.81127834</v>
      </c>
    </row>
    <row r="6550" spans="1:2" x14ac:dyDescent="0.25">
      <c r="A6550">
        <f ca="1">38479.6897033495*((RANDBETWEEN(1587,2416)))</f>
        <v>80307112.41089043</v>
      </c>
      <c r="B6550">
        <v>265490830.20206544</v>
      </c>
    </row>
    <row r="6551" spans="1:2" x14ac:dyDescent="0.25">
      <c r="A6551">
        <f ca="1">39106.8148653914*((RANDBETWEEN(1587,2416)))</f>
        <v>65425701.269799784</v>
      </c>
      <c r="B6551">
        <v>209179517.42716467</v>
      </c>
    </row>
    <row r="6552" spans="1:2" x14ac:dyDescent="0.25">
      <c r="A6552">
        <f ca="1">30544.8549396096*((RANDBETWEEN(1587,2416)))</f>
        <v>67320860.286899447</v>
      </c>
      <c r="B6552">
        <v>239622021.67061192</v>
      </c>
    </row>
    <row r="6553" spans="1:2" x14ac:dyDescent="0.25">
      <c r="A6553">
        <f ca="1">37535.3525210942*((RANDBETWEEN(1587,2416)))</f>
        <v>65724402.264436014</v>
      </c>
      <c r="B6553">
        <v>210907908.26207876</v>
      </c>
    </row>
    <row r="6554" spans="1:2" x14ac:dyDescent="0.25">
      <c r="A6554">
        <f ca="1">38790.5448274551*((RANDBETWEEN(1587,2416)))</f>
        <v>82352326.668687269</v>
      </c>
      <c r="B6554">
        <v>207013228.94977063</v>
      </c>
    </row>
    <row r="6555" spans="1:2" x14ac:dyDescent="0.25">
      <c r="A6555">
        <f ca="1">31885.0648839731*((RANDBETWEEN(1587,2416)))</f>
        <v>76141534.942927673</v>
      </c>
      <c r="B6555">
        <v>257942848.06514037</v>
      </c>
    </row>
    <row r="6556" spans="1:2" x14ac:dyDescent="0.25">
      <c r="A6556">
        <f ca="1">31935.6484740923*((RANDBETWEEN(1587,2416)))</f>
        <v>75942972.071391448</v>
      </c>
      <c r="B6556">
        <v>247269828.90957296</v>
      </c>
    </row>
    <row r="6557" spans="1:2" x14ac:dyDescent="0.25">
      <c r="A6557">
        <f ca="1">36015.0869039092*((RANDBETWEEN(1587,2416)))</f>
        <v>69725208.245968267</v>
      </c>
      <c r="B6557">
        <v>243941497.57844466</v>
      </c>
    </row>
    <row r="6558" spans="1:2" x14ac:dyDescent="0.25">
      <c r="A6558">
        <f ca="1">31711.4517735837*((RANDBETWEEN(1587,2416)))</f>
        <v>71382477.942336962</v>
      </c>
      <c r="B6558">
        <v>257837517.69021165</v>
      </c>
    </row>
    <row r="6559" spans="1:2" x14ac:dyDescent="0.25">
      <c r="A6559">
        <f ca="1">30671.7178625226*((RANDBETWEEN(1587,2416)))</f>
        <v>65698819.661523357</v>
      </c>
      <c r="B6559">
        <v>221917286.4905661</v>
      </c>
    </row>
    <row r="6560" spans="1:2" x14ac:dyDescent="0.25">
      <c r="A6560">
        <f ca="1">38573.6968104342*((RANDBETWEEN(1587,2416)))</f>
        <v>77108819.924057901</v>
      </c>
      <c r="B6560">
        <v>250761237.51023883</v>
      </c>
    </row>
    <row r="6561" spans="1:2" x14ac:dyDescent="0.25">
      <c r="A6561">
        <f ca="1">30793.4946574778*((RANDBETWEEN(1587,2416)))</f>
        <v>50101015.807716407</v>
      </c>
      <c r="B6561">
        <v>265633726.99993518</v>
      </c>
    </row>
    <row r="6562" spans="1:2" x14ac:dyDescent="0.25">
      <c r="A6562">
        <f ca="1">29182.6865875497*((RANDBETWEEN(1587,2416)))</f>
        <v>58307007.801924221</v>
      </c>
      <c r="B6562">
        <v>240223857.35389057</v>
      </c>
    </row>
    <row r="6563" spans="1:2" x14ac:dyDescent="0.25">
      <c r="A6563">
        <f ca="1">37190.787429937*((RANDBETWEEN(1587,2416)))</f>
        <v>83828034.867078006</v>
      </c>
      <c r="B6563">
        <v>205452471.72272292</v>
      </c>
    </row>
    <row r="6564" spans="1:2" x14ac:dyDescent="0.25">
      <c r="A6564">
        <f ca="1">36557.3674521097*((RANDBETWEEN(1587,2416)))</f>
        <v>72822275.9646025</v>
      </c>
      <c r="B6564">
        <v>208690545.01372373</v>
      </c>
    </row>
    <row r="6565" spans="1:2" x14ac:dyDescent="0.25">
      <c r="A6565">
        <f ca="1">35679.7503630371*((RANDBETWEEN(1587,2416)))</f>
        <v>58050953.840661399</v>
      </c>
      <c r="B6565">
        <v>244419790.3422004</v>
      </c>
    </row>
    <row r="6566" spans="1:2" x14ac:dyDescent="0.25">
      <c r="A6566">
        <f ca="1">36901.9881976758*((RANDBETWEEN(1587,2416)))</f>
        <v>63323811.747211657</v>
      </c>
      <c r="B6566">
        <v>227029941.26935524</v>
      </c>
    </row>
    <row r="6567" spans="1:2" x14ac:dyDescent="0.25">
      <c r="A6567">
        <f ca="1">42378.7904459764*((RANDBETWEEN(1587,2416)))</f>
        <v>75900413.688743666</v>
      </c>
      <c r="B6567">
        <v>248143890.58108458</v>
      </c>
    </row>
    <row r="6568" spans="1:2" x14ac:dyDescent="0.25">
      <c r="A6568">
        <f ca="1">36383.4064841146*((RANDBETWEEN(1587,2416)))</f>
        <v>76150469.771251827</v>
      </c>
      <c r="B6568">
        <v>231158534.76970866</v>
      </c>
    </row>
    <row r="6569" spans="1:2" x14ac:dyDescent="0.25">
      <c r="A6569">
        <f ca="1">40402.5397823049*((RANDBETWEEN(1587,2416)))</f>
        <v>84845333.542840272</v>
      </c>
      <c r="B6569">
        <v>232815810.18845969</v>
      </c>
    </row>
    <row r="6570" spans="1:2" x14ac:dyDescent="0.25">
      <c r="A6570">
        <f ca="1">33425.7707194513*((RANDBETWEEN(1587,2416)))</f>
        <v>58327969.905442603</v>
      </c>
      <c r="B6570">
        <v>226760963.48583063</v>
      </c>
    </row>
    <row r="6571" spans="1:2" x14ac:dyDescent="0.25">
      <c r="A6571">
        <f ca="1">29548.7167665391*((RANDBETWEEN(1587,2416)))</f>
        <v>52419423.543840416</v>
      </c>
      <c r="B6571">
        <v>214290483.56283331</v>
      </c>
    </row>
    <row r="6572" spans="1:2" x14ac:dyDescent="0.25">
      <c r="A6572">
        <f ca="1">35642.0275793207*((RANDBETWEEN(1587,2416)))</f>
        <v>69038607.421144173</v>
      </c>
      <c r="B6572">
        <v>265240587.61774266</v>
      </c>
    </row>
    <row r="6573" spans="1:2" x14ac:dyDescent="0.25">
      <c r="A6573">
        <f ca="1">33018.2381652581*((RANDBETWEEN(1587,2416)))</f>
        <v>56197041.357269339</v>
      </c>
      <c r="B6573">
        <v>228362135.95903519</v>
      </c>
    </row>
    <row r="6574" spans="1:2" x14ac:dyDescent="0.25">
      <c r="A6574">
        <f ca="1">30186.7115529057*((RANDBETWEEN(1587,2416)))</f>
        <v>55935976.507534295</v>
      </c>
      <c r="B6574">
        <v>266597258.04984146</v>
      </c>
    </row>
    <row r="6575" spans="1:2" x14ac:dyDescent="0.25">
      <c r="A6575">
        <f ca="1">31374.0934399006*((RANDBETWEEN(1587,2416)))</f>
        <v>63218798.281399727</v>
      </c>
      <c r="B6575">
        <v>259999896.08222026</v>
      </c>
    </row>
    <row r="6576" spans="1:2" x14ac:dyDescent="0.25">
      <c r="A6576">
        <f ca="1">35348.6084770517*((RANDBETWEEN(1587,2416)))</f>
        <v>71404189.123644471</v>
      </c>
      <c r="B6576">
        <v>263840994.25881037</v>
      </c>
    </row>
    <row r="6577" spans="1:2" x14ac:dyDescent="0.25">
      <c r="A6577">
        <f ca="1">35542.3218850691*((RANDBETWEEN(1587,2416)))</f>
        <v>59640016.123146027</v>
      </c>
      <c r="B6577">
        <v>236296296.77438158</v>
      </c>
    </row>
    <row r="6578" spans="1:2" x14ac:dyDescent="0.25">
      <c r="A6578">
        <f ca="1">32102.8850738361*((RANDBETWEEN(1587,2416)))</f>
        <v>77111129.947354332</v>
      </c>
      <c r="B6578">
        <v>262069602.16529405</v>
      </c>
    </row>
    <row r="6579" spans="1:2" x14ac:dyDescent="0.25">
      <c r="A6579">
        <f ca="1">36566.9826490595*((RANDBETWEEN(1587,2416)))</f>
        <v>66661609.369235538</v>
      </c>
      <c r="B6579">
        <v>245976373.17387232</v>
      </c>
    </row>
    <row r="6580" spans="1:2" x14ac:dyDescent="0.25">
      <c r="A6580">
        <f ca="1">34199.4773473121*((RANDBETWEEN(1587,2416)))</f>
        <v>71818902.429355398</v>
      </c>
      <c r="B6580">
        <v>266444751.30231231</v>
      </c>
    </row>
    <row r="6581" spans="1:2" x14ac:dyDescent="0.25">
      <c r="A6581">
        <f ca="1">40351.3899863703*((RANDBETWEEN(1587,2416)))</f>
        <v>65692062.897810847</v>
      </c>
      <c r="B6581">
        <v>210845701.38227671</v>
      </c>
    </row>
    <row r="6582" spans="1:2" x14ac:dyDescent="0.25">
      <c r="A6582">
        <f ca="1">31111.9391161348*((RANDBETWEEN(1587,2416)))</f>
        <v>59423803.711817466</v>
      </c>
      <c r="B6582">
        <v>242613114.0068765</v>
      </c>
    </row>
    <row r="6583" spans="1:2" x14ac:dyDescent="0.25">
      <c r="A6583">
        <f ca="1">38616.9318846922*((RANDBETWEEN(1587,2416)))</f>
        <v>71673025.577988774</v>
      </c>
      <c r="B6583">
        <v>229541939.55731723</v>
      </c>
    </row>
    <row r="6584" spans="1:2" x14ac:dyDescent="0.25">
      <c r="A6584">
        <f ca="1">31166.2045071847*((RANDBETWEEN(1587,2416)))</f>
        <v>65293198.442552008</v>
      </c>
      <c r="B6584">
        <v>209620156.59443575</v>
      </c>
    </row>
    <row r="6585" spans="1:2" x14ac:dyDescent="0.25">
      <c r="A6585">
        <f ca="1">32769.7968769396*((RANDBETWEEN(1587,2416)))</f>
        <v>76255317.332638413</v>
      </c>
      <c r="B6585">
        <v>231307356.01072955</v>
      </c>
    </row>
    <row r="6586" spans="1:2" x14ac:dyDescent="0.25">
      <c r="A6586">
        <f ca="1">40817.0188777691*((RANDBETWEEN(1587,2416)))</f>
        <v>76287008.282550395</v>
      </c>
      <c r="B6586">
        <v>262061055.51114619</v>
      </c>
    </row>
    <row r="6587" spans="1:2" x14ac:dyDescent="0.25">
      <c r="A6587">
        <f ca="1">35216.5378327444*((RANDBETWEEN(1587,2416)))</f>
        <v>57755122.045700885</v>
      </c>
      <c r="B6587">
        <v>229822056.19110501</v>
      </c>
    </row>
    <row r="6588" spans="1:2" x14ac:dyDescent="0.25">
      <c r="A6588">
        <f ca="1">29213.1486864296*((RANDBETWEEN(1587,2416)))</f>
        <v>59390331.27951137</v>
      </c>
      <c r="B6588">
        <v>224390099.41849476</v>
      </c>
    </row>
    <row r="6589" spans="1:2" x14ac:dyDescent="0.25">
      <c r="A6589">
        <f ca="1">33360.6988085163*((RANDBETWEEN(1587,2416)))</f>
        <v>75028211.620353326</v>
      </c>
      <c r="B6589">
        <v>240391659.61459985</v>
      </c>
    </row>
    <row r="6590" spans="1:2" x14ac:dyDescent="0.25">
      <c r="A6590">
        <f ca="1">30669.5094709187*((RANDBETWEEN(1587,2416)))</f>
        <v>65172707.625702299</v>
      </c>
      <c r="B6590">
        <v>215257783.68480539</v>
      </c>
    </row>
    <row r="6591" spans="1:2" x14ac:dyDescent="0.25">
      <c r="A6591">
        <f ca="1">35982.5744128432*((RANDBETWEEN(1587,2416)))</f>
        <v>80313106.089465991</v>
      </c>
      <c r="B6591">
        <v>213748917.96277311</v>
      </c>
    </row>
    <row r="6592" spans="1:2" x14ac:dyDescent="0.25">
      <c r="A6592">
        <f ca="1">29403.5459580253*((RANDBETWEEN(1587,2416)))</f>
        <v>64893625.929361813</v>
      </c>
      <c r="B6592">
        <v>224675416.84074751</v>
      </c>
    </row>
    <row r="6593" spans="1:2" x14ac:dyDescent="0.25">
      <c r="A6593">
        <f ca="1">37031.879915605*((RANDBETWEEN(1587,2416)))</f>
        <v>76359736.385977477</v>
      </c>
      <c r="B6593">
        <v>266106837.39693108</v>
      </c>
    </row>
    <row r="6594" spans="1:2" x14ac:dyDescent="0.25">
      <c r="A6594">
        <f ca="1">31944.6722344707*((RANDBETWEEN(1587,2416)))</f>
        <v>63633787.09106569</v>
      </c>
      <c r="B6594">
        <v>264093404.68352282</v>
      </c>
    </row>
    <row r="6595" spans="1:2" x14ac:dyDescent="0.25">
      <c r="A6595">
        <f ca="1">32381.8033695763*((RANDBETWEEN(1587,2416)))</f>
        <v>52911866.705887608</v>
      </c>
      <c r="B6595">
        <v>213104366.84957546</v>
      </c>
    </row>
    <row r="6596" spans="1:2" x14ac:dyDescent="0.25">
      <c r="A6596">
        <f ca="1">38309.7440865016*((RANDBETWEEN(1587,2416)))</f>
        <v>68459512.68257837</v>
      </c>
      <c r="B6596">
        <v>228858043.64426079</v>
      </c>
    </row>
    <row r="6597" spans="1:2" x14ac:dyDescent="0.25">
      <c r="A6597">
        <f ca="1">31548.3397794998*((RANDBETWEEN(1587,2416)))</f>
        <v>73349889.987337142</v>
      </c>
      <c r="B6597">
        <v>216104561.94932702</v>
      </c>
    </row>
    <row r="6598" spans="1:2" x14ac:dyDescent="0.25">
      <c r="A6598">
        <f ca="1">32648.3262579103*((RANDBETWEEN(1587,2416)))</f>
        <v>52269970.338914387</v>
      </c>
      <c r="B6598">
        <v>243262510.75731859</v>
      </c>
    </row>
    <row r="6599" spans="1:2" x14ac:dyDescent="0.25">
      <c r="A6599">
        <f ca="1">36840.2617556664*((RANDBETWEEN(1587,2416)))</f>
        <v>82632707.117959693</v>
      </c>
      <c r="B6599">
        <v>233955178.03292033</v>
      </c>
    </row>
    <row r="6600" spans="1:2" x14ac:dyDescent="0.25">
      <c r="A6600">
        <f ca="1">30431.9855156611*((RANDBETWEEN(1587,2416)))</f>
        <v>53895046.348235741</v>
      </c>
      <c r="B6600">
        <v>239515532.89136377</v>
      </c>
    </row>
    <row r="6601" spans="1:2" x14ac:dyDescent="0.25">
      <c r="A6601">
        <f ca="1">30891.7780734123*((RANDBETWEEN(1587,2416)))</f>
        <v>67745669.314993322</v>
      </c>
      <c r="B6601">
        <v>209879173.72344893</v>
      </c>
    </row>
    <row r="6602" spans="1:2" x14ac:dyDescent="0.25">
      <c r="A6602">
        <f ca="1">29349.0399870497*((RANDBETWEEN(1587,2416)))</f>
        <v>65008123.571315132</v>
      </c>
      <c r="B6602">
        <v>213409791.64141273</v>
      </c>
    </row>
    <row r="6603" spans="1:2" x14ac:dyDescent="0.25">
      <c r="A6603">
        <f ca="1">34850.5750480605*((RANDBETWEEN(1587,2416)))</f>
        <v>68028322.493814185</v>
      </c>
      <c r="B6603">
        <v>237352107.94039893</v>
      </c>
    </row>
    <row r="6604" spans="1:2" x14ac:dyDescent="0.25">
      <c r="A6604">
        <f ca="1">36298.3797268692*((RANDBETWEEN(1587,2416)))</f>
        <v>84938208.560873941</v>
      </c>
      <c r="B6604">
        <v>242688280.59089378</v>
      </c>
    </row>
    <row r="6605" spans="1:2" x14ac:dyDescent="0.25">
      <c r="A6605">
        <f ca="1">41088.2742727522*((RANDBETWEEN(1587,2416)))</f>
        <v>78601868.683774903</v>
      </c>
      <c r="B6605">
        <v>241657509.47915396</v>
      </c>
    </row>
    <row r="6606" spans="1:2" x14ac:dyDescent="0.25">
      <c r="A6606">
        <f ca="1">30514.8372493131*((RANDBETWEEN(1587,2416)))</f>
        <v>68658383.810954362</v>
      </c>
      <c r="B6606">
        <v>209932098.18202913</v>
      </c>
    </row>
    <row r="6607" spans="1:2" x14ac:dyDescent="0.25">
      <c r="A6607">
        <f ca="1">30561.5175992865*((RANDBETWEEN(1587,2416)))</f>
        <v>53788270.974744178</v>
      </c>
      <c r="B6607">
        <v>262042750.6990369</v>
      </c>
    </row>
    <row r="6608" spans="1:2" x14ac:dyDescent="0.25">
      <c r="A6608">
        <f ca="1">34912.1238938159*((RANDBETWEEN(1587,2416)))</f>
        <v>68881620.442498744</v>
      </c>
      <c r="B6608">
        <v>244393813.34089386</v>
      </c>
    </row>
    <row r="6609" spans="1:2" x14ac:dyDescent="0.25">
      <c r="A6609">
        <f ca="1">35193.311295957*((RANDBETWEEN(1587,2416)))</f>
        <v>76721418.625186324</v>
      </c>
      <c r="B6609">
        <v>234828538.61026689</v>
      </c>
    </row>
    <row r="6610" spans="1:2" x14ac:dyDescent="0.25">
      <c r="A6610">
        <f ca="1">37046.9326272697*((RANDBETWEEN(1587,2416)))</f>
        <v>62312940.679067589</v>
      </c>
      <c r="B6610">
        <v>244058239.41790825</v>
      </c>
    </row>
    <row r="6611" spans="1:2" x14ac:dyDescent="0.25">
      <c r="A6611">
        <f ca="1">32108.4174811026*((RANDBETWEEN(1587,2416)))</f>
        <v>74748395.896006942</v>
      </c>
      <c r="B6611">
        <v>216301279.43868721</v>
      </c>
    </row>
    <row r="6612" spans="1:2" x14ac:dyDescent="0.25">
      <c r="A6612">
        <f ca="1">31261.7893034051*((RANDBETWEEN(1587,2416)))</f>
        <v>69807575.514503554</v>
      </c>
      <c r="B6612">
        <v>254276676.12315452</v>
      </c>
    </row>
    <row r="6613" spans="1:2" x14ac:dyDescent="0.25">
      <c r="A6613">
        <f ca="1">30819.9547556745*((RANDBETWEEN(1587,2416)))</f>
        <v>53010322.179760098</v>
      </c>
      <c r="B6613">
        <v>252954976.39324108</v>
      </c>
    </row>
    <row r="6614" spans="1:2" x14ac:dyDescent="0.25">
      <c r="A6614">
        <f ca="1">31942.280827994*((RANDBETWEEN(1587,2416)))</f>
        <v>59380700.059240863</v>
      </c>
      <c r="B6614">
        <v>251913089.45645627</v>
      </c>
    </row>
    <row r="6615" spans="1:2" x14ac:dyDescent="0.25">
      <c r="A6615">
        <f ca="1">41004.3610967086*((RANDBETWEEN(1587,2416)))</f>
        <v>73192784.557624817</v>
      </c>
      <c r="B6615">
        <v>266671525.21268764</v>
      </c>
    </row>
    <row r="6616" spans="1:2" x14ac:dyDescent="0.25">
      <c r="A6616">
        <f ca="1">32623.2498209638*((RANDBETWEEN(1587,2416)))</f>
        <v>62212537.408577897</v>
      </c>
      <c r="B6616">
        <v>256127016.57209069</v>
      </c>
    </row>
    <row r="6617" spans="1:2" x14ac:dyDescent="0.25">
      <c r="A6617">
        <f ca="1">30592.4219771911*((RANDBETWEEN(1587,2416)))</f>
        <v>55096951.980921172</v>
      </c>
      <c r="B6617">
        <v>257078519.98133963</v>
      </c>
    </row>
    <row r="6618" spans="1:2" x14ac:dyDescent="0.25">
      <c r="A6618">
        <f ca="1">39796.7901405677*((RANDBETWEEN(1587,2416)))</f>
        <v>68450479.041776374</v>
      </c>
      <c r="B6618">
        <v>248389256.31261402</v>
      </c>
    </row>
    <row r="6619" spans="1:2" x14ac:dyDescent="0.25">
      <c r="A6619">
        <f ca="1">32359.5494153186*((RANDBETWEEN(1587,2416)))</f>
        <v>61418424.790274739</v>
      </c>
      <c r="B6619">
        <v>224506071.81173474</v>
      </c>
    </row>
    <row r="6620" spans="1:2" x14ac:dyDescent="0.25">
      <c r="A6620">
        <f ca="1">38504.785928508*((RANDBETWEEN(1587,2416)))</f>
        <v>80783040.878009737</v>
      </c>
      <c r="B6620">
        <v>259808305.31656829</v>
      </c>
    </row>
    <row r="6621" spans="1:2" x14ac:dyDescent="0.25">
      <c r="A6621">
        <f ca="1">29735.28834*((RANDBETWEEN(1587,2416)))</f>
        <v>58816400.336520001</v>
      </c>
      <c r="B6621">
        <v>262933419.95141032</v>
      </c>
    </row>
    <row r="6622" spans="1:2" x14ac:dyDescent="0.25">
      <c r="A6622">
        <f ca="1">33185.659881786*((RANDBETWEEN(1587,2416)))</f>
        <v>72245181.562648058</v>
      </c>
      <c r="B6622">
        <v>256118460.69869709</v>
      </c>
    </row>
    <row r="6623" spans="1:2" x14ac:dyDescent="0.25">
      <c r="A6623">
        <f ca="1">31895.6881041978*((RANDBETWEEN(1587,2416)))</f>
        <v>61399199.600580737</v>
      </c>
      <c r="B6623">
        <v>238208593.19253939</v>
      </c>
    </row>
    <row r="6624" spans="1:2" x14ac:dyDescent="0.25">
      <c r="A6624">
        <f ca="1">33392.1120276161*((RANDBETWEEN(1587,2416)))</f>
        <v>61341309.794730738</v>
      </c>
      <c r="B6624">
        <v>235683663.27269354</v>
      </c>
    </row>
    <row r="6625" spans="1:2" x14ac:dyDescent="0.25">
      <c r="A6625">
        <f ca="1">27991.1482565513*((RANDBETWEEN(1587,2416)))</f>
        <v>65835180.699408598</v>
      </c>
      <c r="B6625">
        <v>224736379.02724662</v>
      </c>
    </row>
    <row r="6626" spans="1:2" x14ac:dyDescent="0.25">
      <c r="A6626">
        <f ca="1">33628.2918326975*((RANDBETWEEN(1587,2416)))</f>
        <v>73242419.611615106</v>
      </c>
      <c r="B6626">
        <v>203892666.40755638</v>
      </c>
    </row>
    <row r="6627" spans="1:2" x14ac:dyDescent="0.25">
      <c r="A6627">
        <f ca="1">32234.2604826921*((RANDBETWEEN(1587,2416)))</f>
        <v>67401838.669309244</v>
      </c>
      <c r="B6627">
        <v>216568424.14166582</v>
      </c>
    </row>
    <row r="6628" spans="1:2" x14ac:dyDescent="0.25">
      <c r="A6628">
        <f ca="1">35000.8465928114*((RANDBETWEEN(1587,2416)))</f>
        <v>60061452.753264301</v>
      </c>
      <c r="B6628">
        <v>233812720.24465588</v>
      </c>
    </row>
    <row r="6629" spans="1:2" x14ac:dyDescent="0.25">
      <c r="A6629">
        <f ca="1">35146.607589379*((RANDBETWEEN(1587,2416)))</f>
        <v>60944217.559983253</v>
      </c>
      <c r="B6629">
        <v>228752355.18600965</v>
      </c>
    </row>
    <row r="6630" spans="1:2" x14ac:dyDescent="0.25">
      <c r="A6630">
        <f ca="1">33092.2423721127*((RANDBETWEEN(1587,2416)))</f>
        <v>56488457.729196347</v>
      </c>
      <c r="B6630">
        <v>232817417.95640978</v>
      </c>
    </row>
    <row r="6631" spans="1:2" x14ac:dyDescent="0.25">
      <c r="A6631">
        <f ca="1">31758.3820535089*((RANDBETWEEN(1587,2416)))</f>
        <v>71170534.181913406</v>
      </c>
      <c r="B6631">
        <v>255078787.99114108</v>
      </c>
    </row>
    <row r="6632" spans="1:2" x14ac:dyDescent="0.25">
      <c r="A6632">
        <f ca="1">37700.0306790542*((RANDBETWEEN(1587,2416)))</f>
        <v>67294554.762111783</v>
      </c>
      <c r="B6632">
        <v>232226153.64216322</v>
      </c>
    </row>
    <row r="6633" spans="1:2" x14ac:dyDescent="0.25">
      <c r="A6633">
        <f ca="1">33647.7276346493*((RANDBETWEEN(1587,2416)))</f>
        <v>73520284.881708682</v>
      </c>
      <c r="B6633">
        <v>246275643.37590033</v>
      </c>
    </row>
    <row r="6634" spans="1:2" x14ac:dyDescent="0.25">
      <c r="A6634">
        <f ca="1">40761.9506972242*((RANDBETWEEN(1587,2416)))</f>
        <v>85477810.612079099</v>
      </c>
      <c r="B6634">
        <v>266475916.20132312</v>
      </c>
    </row>
    <row r="6635" spans="1:2" x14ac:dyDescent="0.25">
      <c r="A6635">
        <f ca="1">30036.3589791693*((RANDBETWEEN(1587,2416)))</f>
        <v>71005952.626756147</v>
      </c>
      <c r="B6635">
        <v>226749441.82738209</v>
      </c>
    </row>
    <row r="6636" spans="1:2" x14ac:dyDescent="0.25">
      <c r="A6636">
        <f ca="1">29864.3395608509*((RANDBETWEEN(1587,2416)))</f>
        <v>62207419.305252478</v>
      </c>
      <c r="B6636">
        <v>263005977.5059914</v>
      </c>
    </row>
    <row r="6637" spans="1:2" x14ac:dyDescent="0.25">
      <c r="A6637">
        <f ca="1">39733.4410836752*((RANDBETWEEN(1587,2416)))</f>
        <v>84155428.215224117</v>
      </c>
      <c r="B6637">
        <v>267782906.65250015</v>
      </c>
    </row>
    <row r="6638" spans="1:2" x14ac:dyDescent="0.25">
      <c r="A6638">
        <f ca="1">32030.4598017154*((RANDBETWEEN(1587,2416)))</f>
        <v>58295436.839122057</v>
      </c>
      <c r="B6638">
        <v>242948710.72761151</v>
      </c>
    </row>
    <row r="6639" spans="1:2" x14ac:dyDescent="0.25">
      <c r="A6639">
        <f ca="1">32962.0317605696*((RANDBETWEEN(1587,2416)))</f>
        <v>76603761.811563641</v>
      </c>
      <c r="B6639">
        <v>209366606.88552916</v>
      </c>
    </row>
    <row r="6640" spans="1:2" x14ac:dyDescent="0.25">
      <c r="A6640">
        <f ca="1">37415.8527368402*((RANDBETWEEN(1587,2416)))</f>
        <v>74719457.915469855</v>
      </c>
      <c r="B6640">
        <v>240765314.93118483</v>
      </c>
    </row>
    <row r="6641" spans="1:2" x14ac:dyDescent="0.25">
      <c r="A6641">
        <f ca="1">33313.3444118561*((RANDBETWEEN(1587,2416)))</f>
        <v>76087678.636679336</v>
      </c>
      <c r="B6641">
        <v>215710553.48077959</v>
      </c>
    </row>
    <row r="6642" spans="1:2" x14ac:dyDescent="0.25">
      <c r="A6642">
        <f ca="1">29545.3133149617*((RANDBETWEEN(1587,2416)))</f>
        <v>67540586.238002464</v>
      </c>
      <c r="B6642">
        <v>232007025.93758923</v>
      </c>
    </row>
    <row r="6643" spans="1:2" x14ac:dyDescent="0.25">
      <c r="A6643">
        <f ca="1">30139.0554358398*((RANDBETWEEN(1587,2416)))</f>
        <v>68837602.615458027</v>
      </c>
      <c r="B6643">
        <v>261874823.47482991</v>
      </c>
    </row>
    <row r="6644" spans="1:2" x14ac:dyDescent="0.25">
      <c r="A6644">
        <f ca="1">32151.6871684039*((RANDBETWEEN(1587,2416)))</f>
        <v>53403952.386718854</v>
      </c>
      <c r="B6644">
        <v>241773652.84218127</v>
      </c>
    </row>
    <row r="6645" spans="1:2" x14ac:dyDescent="0.25">
      <c r="A6645">
        <f ca="1">33793.2337146562*((RANDBETWEEN(1587,2416)))</f>
        <v>57110564.977768913</v>
      </c>
      <c r="B6645">
        <v>231742048.32172635</v>
      </c>
    </row>
    <row r="6646" spans="1:2" x14ac:dyDescent="0.25">
      <c r="A6646">
        <f ca="1">40458.9211730698*((RANDBETWEEN(1587,2416)))</f>
        <v>68658789.230699375</v>
      </c>
      <c r="B6646">
        <v>240247358.59972948</v>
      </c>
    </row>
    <row r="6647" spans="1:2" x14ac:dyDescent="0.25">
      <c r="A6647">
        <f ca="1">38702.9107575681*((RANDBETWEEN(1587,2416)))</f>
        <v>86036570.614073858</v>
      </c>
      <c r="B6647">
        <v>211750513.59957242</v>
      </c>
    </row>
    <row r="6648" spans="1:2" x14ac:dyDescent="0.25">
      <c r="A6648">
        <f ca="1">36349.2437006844*((RANDBETWEEN(1587,2416)))</f>
        <v>85311674.965506226</v>
      </c>
      <c r="B6648">
        <v>256792993.40899068</v>
      </c>
    </row>
    <row r="6649" spans="1:2" x14ac:dyDescent="0.25">
      <c r="A6649">
        <f ca="1">32231.7187827895*((RANDBETWEEN(1587,2416)))</f>
        <v>73810636.012587845</v>
      </c>
      <c r="B6649">
        <v>227551699.70010024</v>
      </c>
    </row>
    <row r="6650" spans="1:2" x14ac:dyDescent="0.25">
      <c r="A6650">
        <f ca="1">34888.0369138682*((RANDBETWEEN(1587,2416)))</f>
        <v>80207596.864982888</v>
      </c>
      <c r="B6650">
        <v>221768068.4672786</v>
      </c>
    </row>
    <row r="6651" spans="1:2" x14ac:dyDescent="0.25">
      <c r="A6651">
        <f ca="1">36425.886415501*((RANDBETWEEN(1587,2416)))</f>
        <v>86875739.100969762</v>
      </c>
      <c r="B6651">
        <v>244663822.98915905</v>
      </c>
    </row>
    <row r="6652" spans="1:2" x14ac:dyDescent="0.25">
      <c r="A6652">
        <f ca="1">31757.7985570918*((RANDBETWEEN(1587,2416)))</f>
        <v>54020015.345613226</v>
      </c>
      <c r="B6652">
        <v>258584372.81897867</v>
      </c>
    </row>
    <row r="6653" spans="1:2" x14ac:dyDescent="0.25">
      <c r="A6653">
        <f ca="1">33137.8537060564*((RANDBETWEEN(1587,2416)))</f>
        <v>72406210.347733155</v>
      </c>
      <c r="B6653">
        <v>212471922.74945337</v>
      </c>
    </row>
    <row r="6654" spans="1:2" x14ac:dyDescent="0.25">
      <c r="A6654">
        <f ca="1">33373.6662576521*((RANDBETWEEN(1587,2416)))</f>
        <v>71886877.118982524</v>
      </c>
      <c r="B6654">
        <v>213679683.36346078</v>
      </c>
    </row>
    <row r="6655" spans="1:2" x14ac:dyDescent="0.25">
      <c r="A6655">
        <f ca="1">32023.2199455705*((RANDBETWEEN(1587,2416)))</f>
        <v>52998429.009919137</v>
      </c>
      <c r="B6655">
        <v>265542453.57793489</v>
      </c>
    </row>
    <row r="6656" spans="1:2" x14ac:dyDescent="0.25">
      <c r="A6656">
        <f ca="1">40315.3144877999*((RANDBETWEEN(1587,2416)))</f>
        <v>71640313.84482041</v>
      </c>
      <c r="B6656">
        <v>222492101.7678768</v>
      </c>
    </row>
    <row r="6657" spans="1:2" x14ac:dyDescent="0.25">
      <c r="A6657">
        <f ca="1">30749.0123724459*((RANDBETWEEN(1587,2416)))</f>
        <v>61098287.584049962</v>
      </c>
      <c r="B6657">
        <v>236300166.9459784</v>
      </c>
    </row>
    <row r="6658" spans="1:2" x14ac:dyDescent="0.25">
      <c r="A6658">
        <f ca="1">28962.6553573477*((RANDBETWEEN(1587,2416)))</f>
        <v>53204397.891447783</v>
      </c>
      <c r="B6658">
        <v>223632500.98703644</v>
      </c>
    </row>
    <row r="6659" spans="1:2" x14ac:dyDescent="0.25">
      <c r="A6659">
        <f ca="1">37946.1394300697*((RANDBETWEEN(1587,2416)))</f>
        <v>60751769.227541566</v>
      </c>
      <c r="B6659">
        <v>259200710.43596649</v>
      </c>
    </row>
    <row r="6660" spans="1:2" x14ac:dyDescent="0.25">
      <c r="A6660">
        <f ca="1">29170.973920855*((RANDBETWEEN(1587,2416)))</f>
        <v>55395679.475703657</v>
      </c>
      <c r="B6660">
        <v>229732484.28689674</v>
      </c>
    </row>
    <row r="6661" spans="1:2" x14ac:dyDescent="0.25">
      <c r="A6661">
        <f ca="1">31483.9771421053*((RANDBETWEEN(1587,2416)))</f>
        <v>53869084.890142187</v>
      </c>
      <c r="B6661">
        <v>233104449.13300163</v>
      </c>
    </row>
    <row r="6662" spans="1:2" x14ac:dyDescent="0.25">
      <c r="A6662">
        <f ca="1">36781.5273521791*((RANDBETWEEN(1587,2416)))</f>
        <v>61903310.533717379</v>
      </c>
      <c r="B6662">
        <v>252524199.25663009</v>
      </c>
    </row>
    <row r="6663" spans="1:2" x14ac:dyDescent="0.25">
      <c r="A6663">
        <f ca="1">30834.1457928792*((RANDBETWEEN(1587,2416)))</f>
        <v>51277184.453558184</v>
      </c>
      <c r="B6663">
        <v>265829841.37820181</v>
      </c>
    </row>
    <row r="6664" spans="1:2" x14ac:dyDescent="0.25">
      <c r="A6664">
        <f ca="1">36779.7772158248*((RANDBETWEEN(1587,2416)))</f>
        <v>68631064.284729049</v>
      </c>
      <c r="B6664">
        <v>212638733.43738335</v>
      </c>
    </row>
    <row r="6665" spans="1:2" x14ac:dyDescent="0.25">
      <c r="A6665">
        <f ca="1">32789.0770430055*((RANDBETWEEN(1587,2416)))</f>
        <v>69709577.793429703</v>
      </c>
      <c r="B6665">
        <v>243473387.44317216</v>
      </c>
    </row>
    <row r="6666" spans="1:2" x14ac:dyDescent="0.25">
      <c r="A6666">
        <f ca="1">37723.324379538*((RANDBETWEEN(1587,2416)))</f>
        <v>73220972.620683238</v>
      </c>
      <c r="B6666">
        <v>234060847.4201746</v>
      </c>
    </row>
    <row r="6667" spans="1:2" x14ac:dyDescent="0.25">
      <c r="A6667">
        <f ca="1">28830.1826979194*((RANDBETWEEN(1587,2416)))</f>
        <v>68846476.282631606</v>
      </c>
      <c r="B6667">
        <v>231471695.84488577</v>
      </c>
    </row>
    <row r="6668" spans="1:2" x14ac:dyDescent="0.25">
      <c r="A6668">
        <f ca="1">31060.1198976397*((RANDBETWEEN(1587,2416)))</f>
        <v>66561836.940641947</v>
      </c>
      <c r="B6668">
        <v>211827303.10363761</v>
      </c>
    </row>
    <row r="6669" spans="1:2" x14ac:dyDescent="0.25">
      <c r="A6669">
        <f ca="1">30902.1015701464*((RANDBETWEEN(1587,2416)))</f>
        <v>66037791.055402882</v>
      </c>
      <c r="B6669">
        <v>243617484.78531915</v>
      </c>
    </row>
    <row r="6670" spans="1:2" x14ac:dyDescent="0.25">
      <c r="A6670">
        <f ca="1">32390.004843868*((RANDBETWEEN(1587,2416)))</f>
        <v>54188478.10379117</v>
      </c>
      <c r="B6670">
        <v>267791595.92133588</v>
      </c>
    </row>
    <row r="6671" spans="1:2" x14ac:dyDescent="0.25">
      <c r="A6671">
        <f ca="1">39543.8093813229*((RANDBETWEEN(1587,2416)))</f>
        <v>87075468.2576731</v>
      </c>
      <c r="B6671">
        <v>237547415.2355985</v>
      </c>
    </row>
    <row r="6672" spans="1:2" x14ac:dyDescent="0.25">
      <c r="A6672">
        <f ca="1">32845.0597132594*((RANDBETWEEN(1587,2416)))</f>
        <v>55639531.154261492</v>
      </c>
      <c r="B6672">
        <v>267468303.51238546</v>
      </c>
    </row>
    <row r="6673" spans="1:2" x14ac:dyDescent="0.25">
      <c r="A6673">
        <f ca="1">32235.2310963082*((RANDBETWEEN(1587,2416)))</f>
        <v>54058482.548508778</v>
      </c>
      <c r="B6673">
        <v>256014683.45913079</v>
      </c>
    </row>
    <row r="6674" spans="1:2" x14ac:dyDescent="0.25">
      <c r="A6674">
        <f ca="1">30082.6404974557*((RANDBETWEEN(1587,2416)))</f>
        <v>68287593.929224387</v>
      </c>
      <c r="B6674">
        <v>229560065.36949965</v>
      </c>
    </row>
    <row r="6675" spans="1:2" x14ac:dyDescent="0.25">
      <c r="A6675">
        <f ca="1">31006.4357411518*((RANDBETWEEN(1587,2416)))</f>
        <v>65702637.335500576</v>
      </c>
      <c r="B6675">
        <v>205238619.72706363</v>
      </c>
    </row>
    <row r="6676" spans="1:2" x14ac:dyDescent="0.25">
      <c r="A6676">
        <f ca="1">36508.6206199282*((RANDBETWEEN(1587,2416)))</f>
        <v>85028577.423812658</v>
      </c>
      <c r="B6676">
        <v>235521970.22494936</v>
      </c>
    </row>
    <row r="6677" spans="1:2" x14ac:dyDescent="0.25">
      <c r="A6677">
        <f ca="1">40608.3785722091*((RANDBETWEEN(1587,2416)))</f>
        <v>86658279.873094216</v>
      </c>
      <c r="B6677">
        <v>232365611.35200238</v>
      </c>
    </row>
    <row r="6678" spans="1:2" x14ac:dyDescent="0.25">
      <c r="A6678">
        <f ca="1">34121.1384246151*((RANDBETWEEN(1587,2416)))</f>
        <v>69504758.970940888</v>
      </c>
      <c r="B6678">
        <v>225444768.68863451</v>
      </c>
    </row>
    <row r="6679" spans="1:2" x14ac:dyDescent="0.25">
      <c r="A6679">
        <f ca="1">36882.2049064028*((RANDBETWEEN(1587,2416)))</f>
        <v>69818013.887820482</v>
      </c>
      <c r="B6679">
        <v>211884844.57568032</v>
      </c>
    </row>
    <row r="6680" spans="1:2" x14ac:dyDescent="0.25">
      <c r="A6680">
        <f ca="1">32054.8997081303*((RANDBETWEEN(1587,2416)))</f>
        <v>64109799.416260794</v>
      </c>
      <c r="B6680">
        <v>243479229.23799527</v>
      </c>
    </row>
    <row r="6681" spans="1:2" x14ac:dyDescent="0.25">
      <c r="A6681">
        <f ca="1">39680.1960204715*((RANDBETWEEN(1587,2416)))</f>
        <v>91343811.239125475</v>
      </c>
      <c r="B6681">
        <v>257588123.90329885</v>
      </c>
    </row>
    <row r="6682" spans="1:2" x14ac:dyDescent="0.25">
      <c r="A6682">
        <f ca="1">29470.4409352307*((RANDBETWEEN(1587,2416)))</f>
        <v>68165129.883188546</v>
      </c>
      <c r="B6682">
        <v>204648930.00615948</v>
      </c>
    </row>
    <row r="6683" spans="1:2" x14ac:dyDescent="0.25">
      <c r="A6683">
        <f ca="1">34426.3856933813*((RANDBETWEEN(1587,2416)))</f>
        <v>77769205.281348363</v>
      </c>
      <c r="B6683">
        <v>264809804.9053489</v>
      </c>
    </row>
    <row r="6684" spans="1:2" x14ac:dyDescent="0.25">
      <c r="A6684">
        <f ca="1">32647.7679698985*((RANDBETWEEN(1587,2416)))</f>
        <v>68331778.360997543</v>
      </c>
      <c r="B6684">
        <v>216251969.02739611</v>
      </c>
    </row>
    <row r="6685" spans="1:2" x14ac:dyDescent="0.25">
      <c r="A6685">
        <f ca="1">32012.9617420318*((RANDBETWEEN(1587,2416)))</f>
        <v>69596178.827177167</v>
      </c>
      <c r="B6685">
        <v>224007053.69464195</v>
      </c>
    </row>
    <row r="6686" spans="1:2" x14ac:dyDescent="0.25">
      <c r="A6686">
        <f ca="1">36504.63519614*((RANDBETWEEN(1587,2416)))</f>
        <v>68811237.344723895</v>
      </c>
      <c r="B6686">
        <v>230362167.96335194</v>
      </c>
    </row>
    <row r="6687" spans="1:2" x14ac:dyDescent="0.25">
      <c r="A6687">
        <f ca="1">30768.629333216*((RANDBETWEEN(1587,2416)))</f>
        <v>68029439.455740616</v>
      </c>
      <c r="B6687">
        <v>242157305.6834569</v>
      </c>
    </row>
    <row r="6688" spans="1:2" x14ac:dyDescent="0.25">
      <c r="A6688">
        <f ca="1">30019.4072298528*((RANDBETWEEN(1587,2416)))</f>
        <v>60158892.088624999</v>
      </c>
      <c r="B6688">
        <v>253023231.47797906</v>
      </c>
    </row>
    <row r="6689" spans="1:2" x14ac:dyDescent="0.25">
      <c r="A6689">
        <f ca="1">32896.0401540965*((RANDBETWEEN(1587,2416)))</f>
        <v>56482500.944583736</v>
      </c>
      <c r="B6689">
        <v>245527284.6479646</v>
      </c>
    </row>
    <row r="6690" spans="1:2" x14ac:dyDescent="0.25">
      <c r="A6690">
        <f ca="1">38741.3916597853*((RANDBETWEEN(1587,2416)))</f>
        <v>75119558.428323656</v>
      </c>
      <c r="B6690">
        <v>241501118.33160242</v>
      </c>
    </row>
    <row r="6691" spans="1:2" x14ac:dyDescent="0.25">
      <c r="A6691">
        <f ca="1">43080.1507538087*((RANDBETWEEN(1587,2416)))</f>
        <v>100075190.2010975</v>
      </c>
      <c r="B6691">
        <v>233708103.95363674</v>
      </c>
    </row>
    <row r="6692" spans="1:2" x14ac:dyDescent="0.25">
      <c r="A6692">
        <f ca="1">28604.2774355253*((RANDBETWEEN(1587,2416)))</f>
        <v>65932859.48888579</v>
      </c>
      <c r="B6692">
        <v>227761937.7939716</v>
      </c>
    </row>
    <row r="6693" spans="1:2" x14ac:dyDescent="0.25">
      <c r="A6693">
        <f ca="1">30774.5875425688*((RANDBETWEEN(1587,2416)))</f>
        <v>59394953.95715782</v>
      </c>
      <c r="B6693">
        <v>218807951.67989326</v>
      </c>
    </row>
    <row r="6694" spans="1:2" x14ac:dyDescent="0.25">
      <c r="A6694">
        <f ca="1">31335.4442843369*((RANDBETWEEN(1587,2416)))</f>
        <v>74045654.843888193</v>
      </c>
      <c r="B6694">
        <v>238745502.75648761</v>
      </c>
    </row>
    <row r="6695" spans="1:2" x14ac:dyDescent="0.25">
      <c r="A6695">
        <f ca="1">28049.0215066012*((RANDBETWEEN(1587,2416)))</f>
        <v>63895670.992037602</v>
      </c>
      <c r="B6695">
        <v>218509408.74274403</v>
      </c>
    </row>
    <row r="6696" spans="1:2" x14ac:dyDescent="0.25">
      <c r="A6696">
        <f ca="1">39456.5101207021*((RANDBETWEEN(1587,2416)))</f>
        <v>66365850.023020968</v>
      </c>
      <c r="B6696">
        <v>207009013.0921661</v>
      </c>
    </row>
    <row r="6697" spans="1:2" x14ac:dyDescent="0.25">
      <c r="A6697">
        <f ca="1">37010.5682198528*((RANDBETWEEN(1587,2416)))</f>
        <v>74872379.508762345</v>
      </c>
      <c r="B6697">
        <v>264048188.76711956</v>
      </c>
    </row>
    <row r="6698" spans="1:2" x14ac:dyDescent="0.25">
      <c r="A6698">
        <f ca="1">40505.6130954076*((RANDBETWEEN(1587,2416)))</f>
        <v>82509933.875345364</v>
      </c>
      <c r="B6698">
        <v>266481561.79002461</v>
      </c>
    </row>
    <row r="6699" spans="1:2" x14ac:dyDescent="0.25">
      <c r="A6699">
        <f ca="1">36111.5310277508*((RANDBETWEEN(1587,2416)))</f>
        <v>78434245.392274842</v>
      </c>
      <c r="B6699">
        <v>208843846.03408319</v>
      </c>
    </row>
    <row r="6700" spans="1:2" x14ac:dyDescent="0.25">
      <c r="A6700">
        <f ca="1">32947.309150393*((RANDBETWEEN(1587,2416)))</f>
        <v>72484080.13086468</v>
      </c>
      <c r="B6700">
        <v>245431665.39177591</v>
      </c>
    </row>
    <row r="6701" spans="1:2" x14ac:dyDescent="0.25">
      <c r="A6701">
        <f ca="1">38972.7800537872*((RANDBETWEEN(1587,2416)))</f>
        <v>84843742.177094758</v>
      </c>
      <c r="B6701">
        <v>207541612.16879508</v>
      </c>
    </row>
    <row r="6702" spans="1:2" x14ac:dyDescent="0.25">
      <c r="A6702">
        <f ca="1">31929.4918823231*((RANDBETWEEN(1587,2416)))</f>
        <v>73565549.296872422</v>
      </c>
      <c r="B6702">
        <v>222237985.70106798</v>
      </c>
    </row>
    <row r="6703" spans="1:2" x14ac:dyDescent="0.25">
      <c r="A6703">
        <f ca="1">37267.9114114857*((RANDBETWEEN(1587,2416)))</f>
        <v>85194445.486656308</v>
      </c>
      <c r="B6703">
        <v>241150982.71210527</v>
      </c>
    </row>
    <row r="6704" spans="1:2" x14ac:dyDescent="0.25">
      <c r="A6704">
        <f ca="1">31881.3797343783*((RANDBETWEEN(1587,2416)))</f>
        <v>75399463.071804643</v>
      </c>
      <c r="B6704">
        <v>224990878.13118979</v>
      </c>
    </row>
    <row r="6705" spans="1:2" x14ac:dyDescent="0.25">
      <c r="A6705">
        <f ca="1">30619.427439252*((RANDBETWEEN(1587,2416)))</f>
        <v>67730173.495625481</v>
      </c>
      <c r="B6705">
        <v>251579083.51765871</v>
      </c>
    </row>
    <row r="6706" spans="1:2" x14ac:dyDescent="0.25">
      <c r="A6706">
        <f ca="1">32862.1047977955*((RANDBETWEEN(1587,2416)))</f>
        <v>55175473.955498658</v>
      </c>
      <c r="B6706">
        <v>209413371.17329308</v>
      </c>
    </row>
    <row r="6707" spans="1:2" x14ac:dyDescent="0.25">
      <c r="A6707">
        <f ca="1">31395.389031902*((RANDBETWEEN(1587,2416)))</f>
        <v>62225661.06122984</v>
      </c>
      <c r="B6707">
        <v>252217015.24597502</v>
      </c>
    </row>
    <row r="6708" spans="1:2" x14ac:dyDescent="0.25">
      <c r="A6708">
        <f ca="1">31735.110591687*((RANDBETWEEN(1587,2416)))</f>
        <v>55726854.199002445</v>
      </c>
      <c r="B6708">
        <v>241486227.15850618</v>
      </c>
    </row>
    <row r="6709" spans="1:2" x14ac:dyDescent="0.25">
      <c r="A6709">
        <f ca="1">26790.9619519679*((RANDBETWEEN(1587,2416)))</f>
        <v>61940704.032949783</v>
      </c>
      <c r="B6709">
        <v>254426611.31727284</v>
      </c>
    </row>
    <row r="6710" spans="1:2" x14ac:dyDescent="0.25">
      <c r="A6710">
        <f ca="1">32825.524133588*((RANDBETWEEN(1587,2416)))</f>
        <v>72413106.238695219</v>
      </c>
      <c r="B6710">
        <v>206161166.1027506</v>
      </c>
    </row>
    <row r="6711" spans="1:2" x14ac:dyDescent="0.25">
      <c r="A6711">
        <f ca="1">37314.0500138476*((RANDBETWEEN(1587,2416)))</f>
        <v>59889050.272225462</v>
      </c>
      <c r="B6711">
        <v>243058580.11524943</v>
      </c>
    </row>
    <row r="6712" spans="1:2" x14ac:dyDescent="0.25">
      <c r="A6712">
        <f ca="1">30047.2228542878*((RANDBETWEEN(1587,2416)))</f>
        <v>64631576.359573111</v>
      </c>
      <c r="B6712">
        <v>259581670.08724573</v>
      </c>
    </row>
    <row r="6713" spans="1:2" x14ac:dyDescent="0.25">
      <c r="A6713">
        <f ca="1">37977.2587872662*((RANDBETWEEN(1587,2416)))</f>
        <v>69612315.357058927</v>
      </c>
      <c r="B6713">
        <v>249354997.32545891</v>
      </c>
    </row>
    <row r="6714" spans="1:2" x14ac:dyDescent="0.25">
      <c r="A6714">
        <f ca="1">30743.4798267484*((RANDBETWEEN(1587,2416)))</f>
        <v>71140412.319095805</v>
      </c>
      <c r="B6714">
        <v>223410840.53939381</v>
      </c>
    </row>
    <row r="6715" spans="1:2" x14ac:dyDescent="0.25">
      <c r="A6715">
        <f ca="1">30812.3275879119*((RANDBETWEEN(1587,2416)))</f>
        <v>61563030.520647906</v>
      </c>
      <c r="B6715">
        <v>251174788.86012268</v>
      </c>
    </row>
    <row r="6716" spans="1:2" x14ac:dyDescent="0.25">
      <c r="A6716">
        <f ca="1">36038.3053148807*((RANDBETWEEN(1587,2416)))</f>
        <v>68905239.76205191</v>
      </c>
      <c r="B6716">
        <v>213086748.89031968</v>
      </c>
    </row>
    <row r="6717" spans="1:2" x14ac:dyDescent="0.25">
      <c r="A6717">
        <f ca="1">30253.9790679389*((RANDBETWEEN(1587,2416)))</f>
        <v>49858557.503963359</v>
      </c>
      <c r="B6717">
        <v>261942319.6586051</v>
      </c>
    </row>
    <row r="6718" spans="1:2" x14ac:dyDescent="0.25">
      <c r="A6718">
        <f ca="1">31443.3395275428*((RANDBETWEEN(1587,2416)))</f>
        <v>69238233.639649332</v>
      </c>
      <c r="B6718">
        <v>244654126.0378775</v>
      </c>
    </row>
    <row r="6719" spans="1:2" x14ac:dyDescent="0.25">
      <c r="A6719">
        <f ca="1">35827.9522834872*((RANDBETWEEN(1587,2416)))</f>
        <v>73483130.133432165</v>
      </c>
      <c r="B6719">
        <v>236364012.15533847</v>
      </c>
    </row>
    <row r="6720" spans="1:2" x14ac:dyDescent="0.25">
      <c r="A6720">
        <f ca="1">36630.6116720752*((RANDBETWEEN(1587,2416)))</f>
        <v>87766945.566292271</v>
      </c>
      <c r="B6720">
        <v>229687780.58372161</v>
      </c>
    </row>
    <row r="6721" spans="1:2" x14ac:dyDescent="0.25">
      <c r="A6721">
        <f ca="1">38972.1253252088*((RANDBETWEEN(1587,2416)))</f>
        <v>79814912.666027695</v>
      </c>
      <c r="B6721">
        <v>225995333.09354094</v>
      </c>
    </row>
    <row r="6722" spans="1:2" x14ac:dyDescent="0.25">
      <c r="A6722">
        <f ca="1">37718.6636078025*((RANDBETWEEN(1587,2416)))</f>
        <v>72532990.11780414</v>
      </c>
      <c r="B6722">
        <v>266935210.88904548</v>
      </c>
    </row>
    <row r="6723" spans="1:2" x14ac:dyDescent="0.25">
      <c r="A6723">
        <f ca="1">28972.5220743977*((RANDBETWEEN(1587,2416)))</f>
        <v>51281364.071683966</v>
      </c>
      <c r="B6723">
        <v>232947372.9635818</v>
      </c>
    </row>
    <row r="6724" spans="1:2" x14ac:dyDescent="0.25">
      <c r="A6724">
        <f ca="1">34155.0847120056*((RANDBETWEEN(1587,2416)))</f>
        <v>82347909.240645409</v>
      </c>
      <c r="B6724">
        <v>250618782.39329162</v>
      </c>
    </row>
    <row r="6725" spans="1:2" x14ac:dyDescent="0.25">
      <c r="A6725">
        <f ca="1">35176.9613165139*((RANDBETWEEN(1587,2416)))</f>
        <v>81751258.099578291</v>
      </c>
      <c r="B6725">
        <v>210659040.49865729</v>
      </c>
    </row>
    <row r="6726" spans="1:2" x14ac:dyDescent="0.25">
      <c r="A6726">
        <f ca="1">30007.8274160561*((RANDBETWEEN(1587,2416)))</f>
        <v>48312602.139850259</v>
      </c>
      <c r="B6726">
        <v>229230977.1661891</v>
      </c>
    </row>
    <row r="6727" spans="1:2" x14ac:dyDescent="0.25">
      <c r="A6727">
        <f ca="1">33340.839225182*((RANDBETWEEN(1587,2416)))</f>
        <v>57612970.181114502</v>
      </c>
      <c r="B6727">
        <v>258520852.67609733</v>
      </c>
    </row>
    <row r="6728" spans="1:2" x14ac:dyDescent="0.25">
      <c r="A6728">
        <f ca="1">32637.6738404332*((RANDBETWEEN(1587,2416)))</f>
        <v>62435870.056748725</v>
      </c>
      <c r="B6728">
        <v>210582715.54357389</v>
      </c>
    </row>
    <row r="6729" spans="1:2" x14ac:dyDescent="0.25">
      <c r="A6729">
        <f ca="1">37169.7560443722*((RANDBETWEEN(1587,2416)))</f>
        <v>84040818.416325435</v>
      </c>
      <c r="B6729">
        <v>234815441.37524474</v>
      </c>
    </row>
    <row r="6730" spans="1:2" x14ac:dyDescent="0.25">
      <c r="A6730">
        <f ca="1">36473.7494510712*((RANDBETWEEN(1587,2416)))</f>
        <v>72582761.40763168</v>
      </c>
      <c r="B6730">
        <v>231933007.55420002</v>
      </c>
    </row>
    <row r="6731" spans="1:2" x14ac:dyDescent="0.25">
      <c r="A6731">
        <f ca="1">30456.9102625799*((RANDBETWEEN(1587,2416)))</f>
        <v>72243791.142839596</v>
      </c>
      <c r="B6731">
        <v>236848168.41854757</v>
      </c>
    </row>
    <row r="6732" spans="1:2" x14ac:dyDescent="0.25">
      <c r="A6732">
        <f ca="1">29078.1682324292*((RANDBETWEEN(1587,2416)))</f>
        <v>67112412.280446678</v>
      </c>
      <c r="B6732">
        <v>246397710.65178466</v>
      </c>
    </row>
    <row r="6733" spans="1:2" x14ac:dyDescent="0.25">
      <c r="A6733">
        <f ca="1">30766.5959186996*((RANDBETWEEN(1587,2416)))</f>
        <v>70547804.441578284</v>
      </c>
      <c r="B6733">
        <v>259226541.52672619</v>
      </c>
    </row>
    <row r="6734" spans="1:2" x14ac:dyDescent="0.25">
      <c r="A6734">
        <f ca="1">29716.9769608662*((RANDBETWEEN(1587,2416)))</f>
        <v>67665556.539892346</v>
      </c>
      <c r="B6734">
        <v>258723433.75368002</v>
      </c>
    </row>
    <row r="6735" spans="1:2" x14ac:dyDescent="0.25">
      <c r="A6735">
        <f ca="1">40818.2871284055*((RANDBETWEEN(1587,2416)))</f>
        <v>90167596.266647801</v>
      </c>
      <c r="B6735">
        <v>234528276.56088975</v>
      </c>
    </row>
    <row r="6736" spans="1:2" x14ac:dyDescent="0.25">
      <c r="A6736">
        <f ca="1">31479.9436903903*((RANDBETWEEN(1587,2416)))</f>
        <v>74166747.334559634</v>
      </c>
      <c r="B6736">
        <v>213165549.73568463</v>
      </c>
    </row>
    <row r="6737" spans="1:2" x14ac:dyDescent="0.25">
      <c r="A6737">
        <f ca="1">40837.6613201498*((RANDBETWEEN(1587,2416)))</f>
        <v>73181089.085708499</v>
      </c>
      <c r="B6737">
        <v>263500995.42184311</v>
      </c>
    </row>
    <row r="6738" spans="1:2" x14ac:dyDescent="0.25">
      <c r="A6738">
        <f ca="1">31324.7552006478*((RANDBETWEEN(1587,2416)))</f>
        <v>66753053.332580492</v>
      </c>
      <c r="B6738">
        <v>212630836.01532611</v>
      </c>
    </row>
    <row r="6739" spans="1:2" x14ac:dyDescent="0.25">
      <c r="A6739">
        <f ca="1">41695.3495876509*((RANDBETWEEN(1587,2416)))</f>
        <v>98234243.628505424</v>
      </c>
      <c r="B6739">
        <v>248528858.17028302</v>
      </c>
    </row>
    <row r="6740" spans="1:2" x14ac:dyDescent="0.25">
      <c r="A6740">
        <f ca="1">36801.6341504668*((RANDBETWEEN(1587,2416)))</f>
        <v>71321566.983604819</v>
      </c>
      <c r="B6740">
        <v>242246333.84437552</v>
      </c>
    </row>
    <row r="6741" spans="1:2" x14ac:dyDescent="0.25">
      <c r="A6741">
        <f ca="1">30591.490176328*((RANDBETWEEN(1587,2416)))</f>
        <v>58093239.844846867</v>
      </c>
      <c r="B6741">
        <v>245038928.13917622</v>
      </c>
    </row>
    <row r="6742" spans="1:2" x14ac:dyDescent="0.25">
      <c r="A6742">
        <f ca="1">34779.9741038975*((RANDBETWEEN(1587,2416)))</f>
        <v>79576580.749717593</v>
      </c>
      <c r="B6742">
        <v>232716258.37140349</v>
      </c>
    </row>
    <row r="6743" spans="1:2" x14ac:dyDescent="0.25">
      <c r="A6743">
        <f ca="1">37723.0250768445*((RANDBETWEEN(1587,2416)))</f>
        <v>89252677.331814125</v>
      </c>
      <c r="B6743">
        <v>254645070.06069148</v>
      </c>
    </row>
    <row r="6744" spans="1:2" x14ac:dyDescent="0.25">
      <c r="A6744">
        <f ca="1">32869.6225536227*((RANDBETWEEN(1587,2416)))</f>
        <v>73266388.672024906</v>
      </c>
      <c r="B6744">
        <v>213264272.5159944</v>
      </c>
    </row>
    <row r="6745" spans="1:2" x14ac:dyDescent="0.25">
      <c r="A6745">
        <f ca="1">40354.4155437007*((RANDBETWEEN(1587,2416)))</f>
        <v>86923411.081131384</v>
      </c>
      <c r="B6745">
        <v>239837560.68904641</v>
      </c>
    </row>
    <row r="6746" spans="1:2" x14ac:dyDescent="0.25">
      <c r="A6746">
        <f ca="1">36387.0049814943*((RANDBETWEEN(1587,2416)))</f>
        <v>84636173.586955786</v>
      </c>
      <c r="B6746">
        <v>253953968.7878688</v>
      </c>
    </row>
    <row r="6747" spans="1:2" x14ac:dyDescent="0.25">
      <c r="A6747">
        <f ca="1">34083.4146148102*((RANDBETWEEN(1587,2416)))</f>
        <v>60941145.331280589</v>
      </c>
      <c r="B6747">
        <v>255944162.21275795</v>
      </c>
    </row>
    <row r="6748" spans="1:2" x14ac:dyDescent="0.25">
      <c r="A6748">
        <f ca="1">32450.5167100377*((RANDBETWEEN(1587,2416)))</f>
        <v>75090495.667027324</v>
      </c>
      <c r="B6748">
        <v>236717431.61091909</v>
      </c>
    </row>
    <row r="6749" spans="1:2" x14ac:dyDescent="0.25">
      <c r="A6749">
        <f ca="1">32985.1732563135*((RANDBETWEEN(1587,2416)))</f>
        <v>64782880.275399759</v>
      </c>
      <c r="B6749">
        <v>247035261.46682957</v>
      </c>
    </row>
    <row r="6750" spans="1:2" x14ac:dyDescent="0.25">
      <c r="A6750">
        <f ca="1">33195.8554527201*((RANDBETWEEN(1587,2416)))</f>
        <v>78840156.700210288</v>
      </c>
      <c r="B6750">
        <v>221986888.69419864</v>
      </c>
    </row>
    <row r="6751" spans="1:2" x14ac:dyDescent="0.25">
      <c r="A6751">
        <f ca="1">31889.5003390711*((RANDBETWEEN(1587,2416)))</f>
        <v>55264504.087610148</v>
      </c>
      <c r="B6751">
        <v>208303324.70067674</v>
      </c>
    </row>
    <row r="6752" spans="1:2" x14ac:dyDescent="0.25">
      <c r="A6752">
        <f ca="1">38878.5628313474*((RANDBETWEEN(1587,2416)))</f>
        <v>91442379.779329136</v>
      </c>
      <c r="B6752">
        <v>221735004.74809623</v>
      </c>
    </row>
    <row r="6753" spans="1:2" x14ac:dyDescent="0.25">
      <c r="A6753">
        <f ca="1">32114.7856525216*((RANDBETWEEN(1587,2416)))</f>
        <v>56875285.390615746</v>
      </c>
      <c r="B6753">
        <v>231072764.63872647</v>
      </c>
    </row>
    <row r="6754" spans="1:2" x14ac:dyDescent="0.25">
      <c r="A6754">
        <f ca="1">32364.2698648187*((RANDBETWEEN(1587,2416)))</f>
        <v>52527209.990600817</v>
      </c>
      <c r="B6754">
        <v>237355205.58553672</v>
      </c>
    </row>
    <row r="6755" spans="1:2" x14ac:dyDescent="0.25">
      <c r="A6755">
        <f ca="1">34128.9992554825*((RANDBETWEEN(1587,2416)))</f>
        <v>61910004.649445295</v>
      </c>
      <c r="B6755">
        <v>242495581.98103637</v>
      </c>
    </row>
    <row r="6756" spans="1:2" x14ac:dyDescent="0.25">
      <c r="A6756">
        <f ca="1">37016.0313866772*((RANDBETWEEN(1587,2416)))</f>
        <v>86136305.036797851</v>
      </c>
      <c r="B6756">
        <v>258026981.13209173</v>
      </c>
    </row>
    <row r="6757" spans="1:2" x14ac:dyDescent="0.25">
      <c r="A6757">
        <f ca="1">31836.8850581759*((RANDBETWEEN(1587,2416)))</f>
        <v>54727605.415004447</v>
      </c>
      <c r="B6757">
        <v>220280251.6433869</v>
      </c>
    </row>
    <row r="6758" spans="1:2" x14ac:dyDescent="0.25">
      <c r="A6758">
        <f ca="1">39487.6002197123*((RANDBETWEEN(1587,2416)))</f>
        <v>82568572.059418365</v>
      </c>
      <c r="B6758">
        <v>255417925.50207075</v>
      </c>
    </row>
    <row r="6759" spans="1:2" x14ac:dyDescent="0.25">
      <c r="A6759">
        <f ca="1">38557.2196785452*((RANDBETWEEN(1587,2416)))</f>
        <v>73412946.267949969</v>
      </c>
      <c r="B6759">
        <v>244890204.44954935</v>
      </c>
    </row>
    <row r="6760" spans="1:2" x14ac:dyDescent="0.25">
      <c r="A6760">
        <f ca="1">30581.719783199*((RANDBETWEEN(1587,2416)))</f>
        <v>69298177.028728992</v>
      </c>
      <c r="B6760">
        <v>235512412.52053601</v>
      </c>
    </row>
    <row r="6761" spans="1:2" x14ac:dyDescent="0.25">
      <c r="A6761">
        <f ca="1">36152.5646983155*((RANDBETWEEN(1587,2416)))</f>
        <v>62616242.057482436</v>
      </c>
      <c r="B6761">
        <v>258177580.67040485</v>
      </c>
    </row>
    <row r="6762" spans="1:2" x14ac:dyDescent="0.25">
      <c r="A6762">
        <f ca="1">31985.5836700703*((RANDBETWEEN(1587,2416)))</f>
        <v>51752674.378173783</v>
      </c>
      <c r="B6762">
        <v>235186310.63423702</v>
      </c>
    </row>
    <row r="6763" spans="1:2" x14ac:dyDescent="0.25">
      <c r="A6763">
        <f ca="1">30836.0255712688*((RANDBETWEEN(1587,2416)))</f>
        <v>53623848.468436398</v>
      </c>
      <c r="B6763">
        <v>255417019.17962298</v>
      </c>
    </row>
    <row r="6764" spans="1:2" x14ac:dyDescent="0.25">
      <c r="A6764">
        <f ca="1">38605.6306058727*((RANDBETWEEN(1587,2416)))</f>
        <v>76554965.491445601</v>
      </c>
      <c r="B6764">
        <v>233680131.92505097</v>
      </c>
    </row>
    <row r="6765" spans="1:2" x14ac:dyDescent="0.25">
      <c r="A6765">
        <f ca="1">37045.9802188685*((RANDBETWEEN(1587,2416)))</f>
        <v>66386396.552212417</v>
      </c>
      <c r="B6765">
        <v>207990511.63732684</v>
      </c>
    </row>
    <row r="6766" spans="1:2" x14ac:dyDescent="0.25">
      <c r="A6766">
        <f ca="1">30933.0862920458*((RANDBETWEEN(1587,2416)))</f>
        <v>68795183.913509965</v>
      </c>
      <c r="B6766">
        <v>251617225.06449005</v>
      </c>
    </row>
    <row r="6767" spans="1:2" x14ac:dyDescent="0.25">
      <c r="A6767">
        <f ca="1">33091.7505008898*((RANDBETWEEN(1587,2416)))</f>
        <v>74125521.121993184</v>
      </c>
      <c r="B6767">
        <v>239687819.46231788</v>
      </c>
    </row>
    <row r="6768" spans="1:2" x14ac:dyDescent="0.25">
      <c r="A6768">
        <f ca="1">37033.8835402561*((RANDBETWEEN(1587,2416)))</f>
        <v>65031499.496689752</v>
      </c>
      <c r="B6768">
        <v>257739369.27567899</v>
      </c>
    </row>
    <row r="6769" spans="1:2" x14ac:dyDescent="0.25">
      <c r="A6769">
        <f ca="1">29808.5557121331*((RANDBETWEEN(1587,2416)))</f>
        <v>65221119.898147136</v>
      </c>
      <c r="B6769">
        <v>266206851.94211751</v>
      </c>
    </row>
    <row r="6770" spans="1:2" x14ac:dyDescent="0.25">
      <c r="A6770">
        <f ca="1">35338.3303098678*((RANDBETWEEN(1587,2416)))</f>
        <v>57742831.726323977</v>
      </c>
      <c r="B6770">
        <v>214010481.3371903</v>
      </c>
    </row>
    <row r="6771" spans="1:2" x14ac:dyDescent="0.25">
      <c r="A6771">
        <f ca="1">42384.7266455795*((RANDBETWEEN(1587,2416)))</f>
        <v>74809042.529447898</v>
      </c>
      <c r="B6771">
        <v>267010340.35996279</v>
      </c>
    </row>
    <row r="6772" spans="1:2" x14ac:dyDescent="0.25">
      <c r="A6772">
        <f ca="1">32287.2216341058*((RANDBETWEEN(1587,2416)))</f>
        <v>60280242.790875569</v>
      </c>
      <c r="B6772">
        <v>255633872.0746969</v>
      </c>
    </row>
    <row r="6773" spans="1:2" x14ac:dyDescent="0.25">
      <c r="A6773">
        <f ca="1">39721.1651561449*((RANDBETWEEN(1587,2416)))</f>
        <v>78886234.000103727</v>
      </c>
      <c r="B6773">
        <v>256901760.5882948</v>
      </c>
    </row>
    <row r="6774" spans="1:2" x14ac:dyDescent="0.25">
      <c r="A6774">
        <f ca="1">31408.7290668807*((RANDBETWEEN(1587,2416)))</f>
        <v>67905672.242596135</v>
      </c>
      <c r="B6774">
        <v>251532116.08677313</v>
      </c>
    </row>
    <row r="6775" spans="1:2" x14ac:dyDescent="0.25">
      <c r="A6775">
        <f ca="1">29730.9473106834*((RANDBETWEEN(1587,2416)))</f>
        <v>49174986.851870388</v>
      </c>
      <c r="B6775">
        <v>204449670.2685793</v>
      </c>
    </row>
    <row r="6776" spans="1:2" x14ac:dyDescent="0.25">
      <c r="A6776">
        <f ca="1">30805.021047681*((RANDBETWEEN(1587,2416)))</f>
        <v>69742567.651949719</v>
      </c>
      <c r="B6776">
        <v>230930275.5794692</v>
      </c>
    </row>
    <row r="6777" spans="1:2" x14ac:dyDescent="0.25">
      <c r="A6777">
        <f ca="1">35580.1028900427*((RANDBETWEEN(1587,2416)))</f>
        <v>62087279.543124504</v>
      </c>
      <c r="B6777">
        <v>251472026.64870107</v>
      </c>
    </row>
    <row r="6778" spans="1:2" x14ac:dyDescent="0.25">
      <c r="A6778">
        <f ca="1">39891.1565412806*((RANDBETWEEN(1587,2416)))</f>
        <v>63905632.779131487</v>
      </c>
      <c r="B6778">
        <v>257242004.25699732</v>
      </c>
    </row>
    <row r="6779" spans="1:2" x14ac:dyDescent="0.25">
      <c r="A6779">
        <f ca="1">29535.1826094017*((RANDBETWEEN(1587,2416)))</f>
        <v>63914135.166745305</v>
      </c>
      <c r="B6779">
        <v>261396898.71691877</v>
      </c>
    </row>
    <row r="6780" spans="1:2" x14ac:dyDescent="0.25">
      <c r="A6780">
        <f ca="1">30500.3519579049*((RANDBETWEEN(1587,2416)))</f>
        <v>56212148.65841879</v>
      </c>
      <c r="B6780">
        <v>238605860.44300637</v>
      </c>
    </row>
    <row r="6781" spans="1:2" x14ac:dyDescent="0.25">
      <c r="A6781">
        <f ca="1">33820.703444444*((RANDBETWEEN(1587,2416)))</f>
        <v>80256529.273665652</v>
      </c>
      <c r="B6781">
        <v>216444422.97692671</v>
      </c>
    </row>
    <row r="6782" spans="1:2" x14ac:dyDescent="0.25">
      <c r="A6782">
        <f ca="1">41238.5404233591*((RANDBETWEEN(1587,2416)))</f>
        <v>95714652.322616532</v>
      </c>
      <c r="B6782">
        <v>259850926.73251921</v>
      </c>
    </row>
    <row r="6783" spans="1:2" x14ac:dyDescent="0.25">
      <c r="A6783">
        <f ca="1">30720.3394221749*((RANDBETWEEN(1587,2416)))</f>
        <v>73575212.916108802</v>
      </c>
      <c r="B6783">
        <v>221571031.23756889</v>
      </c>
    </row>
    <row r="6784" spans="1:2" x14ac:dyDescent="0.25">
      <c r="A6784">
        <f ca="1">31776.5951091966*((RANDBETWEEN(1587,2416)))</f>
        <v>68859881.601629093</v>
      </c>
      <c r="B6784">
        <v>216104874.34457994</v>
      </c>
    </row>
    <row r="6785" spans="1:2" x14ac:dyDescent="0.25">
      <c r="A6785">
        <f ca="1">34320.5950074247*((RANDBETWEEN(1587,2416)))</f>
        <v>60301285.428045198</v>
      </c>
      <c r="B6785">
        <v>218960100.19233027</v>
      </c>
    </row>
    <row r="6786" spans="1:2" x14ac:dyDescent="0.25">
      <c r="A6786">
        <f ca="1">33099.0667244185*((RANDBETWEEN(1587,2416)))</f>
        <v>57261385.43324396</v>
      </c>
      <c r="B6786">
        <v>261314767.4299106</v>
      </c>
    </row>
    <row r="6787" spans="1:2" x14ac:dyDescent="0.25">
      <c r="A6787">
        <f ca="1">29782.3909153485*((RANDBETWEEN(1587,2416)))</f>
        <v>65759519.141089551</v>
      </c>
      <c r="B6787">
        <v>267324049.16884294</v>
      </c>
    </row>
    <row r="6788" spans="1:2" x14ac:dyDescent="0.25">
      <c r="A6788">
        <f ca="1">32629.8805959148*((RANDBETWEEN(1587,2416)))</f>
        <v>62584110.98296468</v>
      </c>
      <c r="B6788">
        <v>239226211.75380746</v>
      </c>
    </row>
    <row r="6789" spans="1:2" x14ac:dyDescent="0.25">
      <c r="A6789">
        <f ca="1">30227.6114294773*((RANDBETWEEN(1587,2416)))</f>
        <v>59457711.681781851</v>
      </c>
      <c r="B6789">
        <v>217680132.28659385</v>
      </c>
    </row>
    <row r="6790" spans="1:2" x14ac:dyDescent="0.25">
      <c r="A6790">
        <f ca="1">30498.2140090505*((RANDBETWEEN(1587,2416)))</f>
        <v>66486106.539730035</v>
      </c>
      <c r="B6790">
        <v>266654914.37103665</v>
      </c>
    </row>
    <row r="6791" spans="1:2" x14ac:dyDescent="0.25">
      <c r="A6791">
        <f ca="1">37553.101315537*((RANDBETWEEN(1587,2416)))</f>
        <v>79011725.167889923</v>
      </c>
      <c r="B6791">
        <v>240295733.28007931</v>
      </c>
    </row>
    <row r="6792" spans="1:2" x14ac:dyDescent="0.25">
      <c r="A6792">
        <f ca="1">32203.7580402907*((RANDBETWEEN(1587,2416)))</f>
        <v>65727870.160233364</v>
      </c>
      <c r="B6792">
        <v>223006967.21381143</v>
      </c>
    </row>
    <row r="6793" spans="1:2" x14ac:dyDescent="0.25">
      <c r="A6793">
        <f ca="1">32349.876928544*((RANDBETWEEN(1587,2416)))</f>
        <v>59232624.65616408</v>
      </c>
      <c r="B6793">
        <v>257812372.95924574</v>
      </c>
    </row>
    <row r="6794" spans="1:2" x14ac:dyDescent="0.25">
      <c r="A6794">
        <f ca="1">33106.4777533234*((RANDBETWEEN(1587,2416)))</f>
        <v>79323120.696962893</v>
      </c>
      <c r="B6794">
        <v>252034295.66275275</v>
      </c>
    </row>
    <row r="6795" spans="1:2" x14ac:dyDescent="0.25">
      <c r="A6795">
        <f ca="1">36669.8902768025*((RANDBETWEEN(1587,2416)))</f>
        <v>68829384.049558327</v>
      </c>
      <c r="B6795">
        <v>220227916.34677425</v>
      </c>
    </row>
    <row r="6796" spans="1:2" x14ac:dyDescent="0.25">
      <c r="A6796">
        <f ca="1">32009.4847315175*((RANDBETWEEN(1587,2416)))</f>
        <v>67572022.268233538</v>
      </c>
      <c r="B6796">
        <v>257938399.08400142</v>
      </c>
    </row>
    <row r="6797" spans="1:2" x14ac:dyDescent="0.25">
      <c r="A6797">
        <f ca="1">41004.9802160105*((RANDBETWEEN(1587,2416)))</f>
        <v>80410766.203596517</v>
      </c>
      <c r="B6797">
        <v>249233051.45665306</v>
      </c>
    </row>
    <row r="6798" spans="1:2" x14ac:dyDescent="0.25">
      <c r="A6798">
        <f ca="1">33975.7461213894*((RANDBETWEEN(1587,2416)))</f>
        <v>59185749.743460335</v>
      </c>
      <c r="B6798">
        <v>204886524.36458713</v>
      </c>
    </row>
    <row r="6799" spans="1:2" x14ac:dyDescent="0.25">
      <c r="A6799">
        <f ca="1">39069.6268838217*((RANDBETWEEN(1587,2416)))</f>
        <v>94235940.043777972</v>
      </c>
      <c r="B6799">
        <v>254877546.36529687</v>
      </c>
    </row>
    <row r="6800" spans="1:2" x14ac:dyDescent="0.25">
      <c r="A6800">
        <f ca="1">34314.7216453988*((RANDBETWEEN(1587,2416)))</f>
        <v>58060509.024014749</v>
      </c>
      <c r="B6800">
        <v>236176254.43427479</v>
      </c>
    </row>
    <row r="6801" spans="1:2" x14ac:dyDescent="0.25">
      <c r="A6801">
        <f ca="1">31537.6024670322*((RANDBETWEEN(1587,2416)))</f>
        <v>53361623.374218404</v>
      </c>
      <c r="B6801">
        <v>235532888.48483866</v>
      </c>
    </row>
    <row r="6802" spans="1:2" x14ac:dyDescent="0.25">
      <c r="A6802">
        <f ca="1">30910.6559906429*((RANDBETWEEN(1587,2416)))</f>
        <v>55330074.223250836</v>
      </c>
      <c r="B6802">
        <v>231133113.75355619</v>
      </c>
    </row>
    <row r="6803" spans="1:2" x14ac:dyDescent="0.25">
      <c r="A6803">
        <f ca="1">32122.1826817476*((RANDBETWEEN(1587,2416)))</f>
        <v>66685651.247307956</v>
      </c>
      <c r="B6803">
        <v>224547312.90346634</v>
      </c>
    </row>
    <row r="6804" spans="1:2" x14ac:dyDescent="0.25">
      <c r="A6804">
        <f ca="1">38091.9577502493*((RANDBETWEEN(1587,2416)))</f>
        <v>61480419.808902331</v>
      </c>
      <c r="B6804">
        <v>211238984.65550646</v>
      </c>
    </row>
    <row r="6805" spans="1:2" x14ac:dyDescent="0.25">
      <c r="A6805">
        <f ca="1">32146.4731050024*((RANDBETWEEN(1587,2416)))</f>
        <v>56127742.041334279</v>
      </c>
      <c r="B6805">
        <v>208499652.25280771</v>
      </c>
    </row>
    <row r="6806" spans="1:2" x14ac:dyDescent="0.25">
      <c r="A6806">
        <f ca="1">32554.0345675454*((RANDBETWEEN(1587,2416)))</f>
        <v>61592233.401795879</v>
      </c>
      <c r="B6806">
        <v>252191268.88205504</v>
      </c>
    </row>
    <row r="6807" spans="1:2" x14ac:dyDescent="0.25">
      <c r="A6807">
        <f ca="1">36696.2430020209*((RANDBETWEEN(1587,2416)))</f>
        <v>67888049.553738639</v>
      </c>
      <c r="B6807">
        <v>240268329.16596586</v>
      </c>
    </row>
    <row r="6808" spans="1:2" x14ac:dyDescent="0.25">
      <c r="A6808">
        <f ca="1">31618.5459117202*((RANDBETWEEN(1587,2416)))</f>
        <v>71110109.755458653</v>
      </c>
      <c r="B6808">
        <v>210594564.17247084</v>
      </c>
    </row>
    <row r="6809" spans="1:2" x14ac:dyDescent="0.25">
      <c r="A6809">
        <f ca="1">30876.6289445299*((RANDBETWEEN(1587,2416)))</f>
        <v>67866830.420076773</v>
      </c>
      <c r="B6809">
        <v>259101396.50139219</v>
      </c>
    </row>
    <row r="6810" spans="1:2" x14ac:dyDescent="0.25">
      <c r="A6810">
        <f ca="1">34278.1190826755*((RANDBETWEEN(1587,2416)))</f>
        <v>72532499.978941381</v>
      </c>
      <c r="B6810">
        <v>244609370.26252314</v>
      </c>
    </row>
    <row r="6811" spans="1:2" x14ac:dyDescent="0.25">
      <c r="A6811">
        <f ca="1">35770.6979096368*((RANDBETWEEN(1587,2416)))</f>
        <v>69967485.111249477</v>
      </c>
      <c r="B6811">
        <v>210727251.18670729</v>
      </c>
    </row>
    <row r="6812" spans="1:2" x14ac:dyDescent="0.25">
      <c r="A6812">
        <f ca="1">31329.0603572692*((RANDBETWEEN(1587,2416)))</f>
        <v>71492915.735288277</v>
      </c>
      <c r="B6812">
        <v>234767511.46557063</v>
      </c>
    </row>
    <row r="6813" spans="1:2" x14ac:dyDescent="0.25">
      <c r="A6813">
        <f ca="1">32009.581153328*((RANDBETWEEN(1587,2416)))</f>
        <v>70421078.537321642</v>
      </c>
      <c r="B6813">
        <v>227406075.82908878</v>
      </c>
    </row>
    <row r="6814" spans="1:2" x14ac:dyDescent="0.25">
      <c r="A6814">
        <f ca="1">31636.9806234868*((RANDBETWEEN(1587,2416)))</f>
        <v>74726548.232675821</v>
      </c>
      <c r="B6814">
        <v>266537911.06302887</v>
      </c>
    </row>
    <row r="6815" spans="1:2" x14ac:dyDescent="0.25">
      <c r="A6815">
        <f ca="1">32984.9249480794*((RANDBETWEEN(1587,2416)))</f>
        <v>56602131.21090433</v>
      </c>
      <c r="B6815">
        <v>209802288.51690668</v>
      </c>
    </row>
    <row r="6816" spans="1:2" x14ac:dyDescent="0.25">
      <c r="A6816">
        <f ca="1">39923.6395356281*((RANDBETWEEN(1587,2416)))</f>
        <v>95257803.932008743</v>
      </c>
      <c r="B6816">
        <v>239422782.37884891</v>
      </c>
    </row>
    <row r="6817" spans="1:2" x14ac:dyDescent="0.25">
      <c r="A6817">
        <f ca="1">30585.0046445101*((RANDBETWEEN(1587,2416)))</f>
        <v>55511783.429785796</v>
      </c>
      <c r="B6817">
        <v>262955705.34577113</v>
      </c>
    </row>
    <row r="6818" spans="1:2" x14ac:dyDescent="0.25">
      <c r="A6818">
        <f ca="1">33083.6771731522*((RANDBETWEEN(1587,2416)))</f>
        <v>68913299.551675946</v>
      </c>
      <c r="B6818">
        <v>260356582.01272568</v>
      </c>
    </row>
    <row r="6819" spans="1:2" x14ac:dyDescent="0.25">
      <c r="A6819">
        <f ca="1">37260.0551583586*((RANDBETWEEN(1587,2416)))</f>
        <v>71613826.014365211</v>
      </c>
      <c r="B6819">
        <v>250297838.80491579</v>
      </c>
    </row>
    <row r="6820" spans="1:2" x14ac:dyDescent="0.25">
      <c r="A6820">
        <f ca="1">33011.1413520383*((RANDBETWEEN(1587,2416)))</f>
        <v>72624510.974484295</v>
      </c>
      <c r="B6820">
        <v>204101215.10666394</v>
      </c>
    </row>
    <row r="6821" spans="1:2" x14ac:dyDescent="0.25">
      <c r="A6821">
        <f ca="1">31767.4295941008*((RANDBETWEEN(1587,2416)))</f>
        <v>61184069.398238227</v>
      </c>
      <c r="B6821">
        <v>206606616.07795954</v>
      </c>
    </row>
    <row r="6822" spans="1:2" x14ac:dyDescent="0.25">
      <c r="A6822">
        <f ca="1">34923.4972723036*((RANDBETWEEN(1587,2416)))</f>
        <v>64364005.472855568</v>
      </c>
      <c r="B6822">
        <v>246403172.31372017</v>
      </c>
    </row>
    <row r="6823" spans="1:2" x14ac:dyDescent="0.25">
      <c r="A6823">
        <f ca="1">34455.9435468831*((RANDBETWEEN(1587,2416)))</f>
        <v>63536759.900452383</v>
      </c>
      <c r="B6823">
        <v>261933597.23721433</v>
      </c>
    </row>
    <row r="6824" spans="1:2" x14ac:dyDescent="0.25">
      <c r="A6824">
        <f ca="1">30162.3476001117*((RANDBETWEEN(1587,2416)))</f>
        <v>56886187.573810674</v>
      </c>
      <c r="B6824">
        <v>229339792.04511026</v>
      </c>
    </row>
    <row r="6825" spans="1:2" x14ac:dyDescent="0.25">
      <c r="A6825">
        <f ca="1">30620.8255298239*((RANDBETWEEN(1587,2416)))</f>
        <v>50646845.426328748</v>
      </c>
      <c r="B6825">
        <v>209324198.34430552</v>
      </c>
    </row>
    <row r="6826" spans="1:2" x14ac:dyDescent="0.25">
      <c r="A6826">
        <f ca="1">28700.2862884571*((RANDBETWEEN(1587,2416)))</f>
        <v>47326772.089665793</v>
      </c>
      <c r="B6826">
        <v>219584084.55343279</v>
      </c>
    </row>
    <row r="6827" spans="1:2" x14ac:dyDescent="0.25">
      <c r="A6827">
        <f ca="1">32928.920507546*((RANDBETWEEN(1587,2416)))</f>
        <v>60095279.926271513</v>
      </c>
      <c r="B6827">
        <v>230295246.63601667</v>
      </c>
    </row>
    <row r="6828" spans="1:2" x14ac:dyDescent="0.25">
      <c r="A6828">
        <f ca="1">34440.362009428*((RANDBETWEEN(1587,2416)))</f>
        <v>59065220.846169092</v>
      </c>
      <c r="B6828">
        <v>259459710.19026735</v>
      </c>
    </row>
    <row r="6829" spans="1:2" x14ac:dyDescent="0.25">
      <c r="A6829">
        <f ca="1">30443.9806793933*((RANDBETWEEN(1587,2416)))</f>
        <v>68681620.412711352</v>
      </c>
      <c r="B6829">
        <v>214672250.76030385</v>
      </c>
    </row>
    <row r="6830" spans="1:2" x14ac:dyDescent="0.25">
      <c r="A6830">
        <f ca="1">30644.2429530006*((RANDBETWEEN(1587,2416)))</f>
        <v>63801313.828147173</v>
      </c>
      <c r="B6830">
        <v>255490101.36586782</v>
      </c>
    </row>
    <row r="6831" spans="1:2" x14ac:dyDescent="0.25">
      <c r="A6831">
        <f ca="1">35876.5079325415*((RANDBETWEEN(1587,2416)))</f>
        <v>72183533.96027343</v>
      </c>
      <c r="B6831">
        <v>236554060.26471311</v>
      </c>
    </row>
    <row r="6832" spans="1:2" x14ac:dyDescent="0.25">
      <c r="A6832">
        <f ca="1">39181.5835283822*((RANDBETWEEN(1587,2416)))</f>
        <v>86395391.680082858</v>
      </c>
      <c r="B6832">
        <v>223018339.90488458</v>
      </c>
    </row>
    <row r="6833" spans="1:2" x14ac:dyDescent="0.25">
      <c r="A6833">
        <f ca="1">30795.5628761859*((RANDBETWEEN(1587,2416)))</f>
        <v>60390098.800200619</v>
      </c>
      <c r="B6833">
        <v>234827685.46360752</v>
      </c>
    </row>
    <row r="6834" spans="1:2" x14ac:dyDescent="0.25">
      <c r="A6834">
        <f ca="1">29599.6949764525*((RANDBETWEEN(1587,2416)))</f>
        <v>47270712.877394713</v>
      </c>
      <c r="B6834">
        <v>236034557.57739884</v>
      </c>
    </row>
    <row r="6835" spans="1:2" x14ac:dyDescent="0.25">
      <c r="A6835">
        <f ca="1">34336.5502395769*((RANDBETWEEN(1587,2416)))</f>
        <v>62458184.885790303</v>
      </c>
      <c r="B6835">
        <v>205423597.57370925</v>
      </c>
    </row>
    <row r="6836" spans="1:2" x14ac:dyDescent="0.25">
      <c r="A6836">
        <f ca="1">29678.8931132474*((RANDBETWEEN(1587,2416)))</f>
        <v>55529209.01488588</v>
      </c>
      <c r="B6836">
        <v>205099650.31213546</v>
      </c>
    </row>
    <row r="6837" spans="1:2" x14ac:dyDescent="0.25">
      <c r="A6837">
        <f ca="1">32316.5654006187*((RANDBETWEEN(1587,2416)))</f>
        <v>64471547.974234313</v>
      </c>
      <c r="B6837">
        <v>209308737.15640578</v>
      </c>
    </row>
    <row r="6838" spans="1:2" x14ac:dyDescent="0.25">
      <c r="A6838">
        <f ca="1">31563.6847854622*((RANDBETWEEN(1587,2416)))</f>
        <v>61896385.864291325</v>
      </c>
      <c r="B6838">
        <v>220668988.74957305</v>
      </c>
    </row>
    <row r="6839" spans="1:2" x14ac:dyDescent="0.25">
      <c r="A6839">
        <f ca="1">32410.7961596893*((RANDBETWEEN(1587,2416)))</f>
        <v>55778980.190825351</v>
      </c>
      <c r="B6839">
        <v>265207674.80242142</v>
      </c>
    </row>
    <row r="6840" spans="1:2" x14ac:dyDescent="0.25">
      <c r="A6840">
        <f ca="1">32845.8010790373*((RANDBETWEEN(1587,2416)))</f>
        <v>52717510.731854834</v>
      </c>
      <c r="B6840">
        <v>225495673.16924667</v>
      </c>
    </row>
    <row r="6841" spans="1:2" x14ac:dyDescent="0.25">
      <c r="A6841">
        <f ca="1">38070.9513981959*((RANDBETWEEN(1587,2416)))</f>
        <v>77017534.678550318</v>
      </c>
      <c r="B6841">
        <v>217117610.04706544</v>
      </c>
    </row>
    <row r="6842" spans="1:2" x14ac:dyDescent="0.25">
      <c r="A6842">
        <f ca="1">31467.9356416048*((RANDBETWEEN(1587,2416)))</f>
        <v>66712023.560202122</v>
      </c>
      <c r="B6842">
        <v>266421780.95751089</v>
      </c>
    </row>
    <row r="6843" spans="1:2" x14ac:dyDescent="0.25">
      <c r="A6843">
        <f ca="1">29436.6034247516*((RANDBETWEEN(1587,2416)))</f>
        <v>64937147.155002028</v>
      </c>
      <c r="B6843">
        <v>217727115.70451811</v>
      </c>
    </row>
    <row r="6844" spans="1:2" x14ac:dyDescent="0.25">
      <c r="A6844">
        <f ca="1">29543.7238686175*((RANDBETWEEN(1587,2416)))</f>
        <v>54980870.119497113</v>
      </c>
      <c r="B6844">
        <v>206359875.49414665</v>
      </c>
    </row>
    <row r="6845" spans="1:2" x14ac:dyDescent="0.25">
      <c r="A6845">
        <f ca="1">38794.5483701524*((RANDBETWEEN(1587,2416)))</f>
        <v>86822199.252400994</v>
      </c>
      <c r="B6845">
        <v>253693530.68132702</v>
      </c>
    </row>
    <row r="6846" spans="1:2" x14ac:dyDescent="0.25">
      <c r="A6846">
        <f ca="1">31313.8306829245*((RANDBETWEEN(1587,2416)))</f>
        <v>69986411.57633628</v>
      </c>
      <c r="B6846">
        <v>257056505.18336028</v>
      </c>
    </row>
    <row r="6847" spans="1:2" x14ac:dyDescent="0.25">
      <c r="A6847">
        <f ca="1">38771.0956268646*((RANDBETWEEN(1587,2416)))</f>
        <v>88204242.551117077</v>
      </c>
      <c r="B6847">
        <v>223038802.78550458</v>
      </c>
    </row>
    <row r="6848" spans="1:2" x14ac:dyDescent="0.25">
      <c r="A6848">
        <f ca="1">32230.6201049936*((RANDBETWEEN(1587,2416)))</f>
        <v>67426457.259646595</v>
      </c>
      <c r="B6848">
        <v>205141344.4566938</v>
      </c>
    </row>
    <row r="6849" spans="1:2" x14ac:dyDescent="0.25">
      <c r="A6849">
        <f ca="1">33562.4706368805*((RANDBETWEEN(1587,2416)))</f>
        <v>65748879.977648921</v>
      </c>
      <c r="B6849">
        <v>264157290.74254072</v>
      </c>
    </row>
    <row r="6850" spans="1:2" x14ac:dyDescent="0.25">
      <c r="A6850">
        <f ca="1">39453.1164980708*((RANDBETWEEN(1587,2416)))</f>
        <v>85258184.752331063</v>
      </c>
      <c r="B6850">
        <v>252506844.03276414</v>
      </c>
    </row>
    <row r="6851" spans="1:2" x14ac:dyDescent="0.25">
      <c r="A6851">
        <f ca="1">32833.0998164548*((RANDBETWEEN(1587,2416)))</f>
        <v>58672749.372004792</v>
      </c>
      <c r="B6851">
        <v>229289947.10156059</v>
      </c>
    </row>
    <row r="6852" spans="1:2" x14ac:dyDescent="0.25">
      <c r="A6852">
        <f ca="1">34349.7088205387*((RANDBETWEEN(1587,2416)))</f>
        <v>74744966.393492296</v>
      </c>
      <c r="B6852">
        <v>229417387.80808225</v>
      </c>
    </row>
    <row r="6853" spans="1:2" x14ac:dyDescent="0.25">
      <c r="A6853">
        <f ca="1">35970.5131777297*((RANDBETWEEN(1587,2416)))</f>
        <v>65826039.11524532</v>
      </c>
      <c r="B6853">
        <v>246386198.53759533</v>
      </c>
    </row>
    <row r="6854" spans="1:2" x14ac:dyDescent="0.25">
      <c r="A6854">
        <f ca="1">39248.6693495779*((RANDBETWEEN(1587,2416)))</f>
        <v>91213907.568419069</v>
      </c>
      <c r="B6854">
        <v>235942297.41757753</v>
      </c>
    </row>
    <row r="6855" spans="1:2" x14ac:dyDescent="0.25">
      <c r="A6855">
        <f ca="1">31401.3618547567*((RANDBETWEEN(1587,2416)))</f>
        <v>55611811.844774142</v>
      </c>
      <c r="B6855">
        <v>224721640.59071541</v>
      </c>
    </row>
    <row r="6856" spans="1:2" x14ac:dyDescent="0.25">
      <c r="A6856">
        <f ca="1">28774.1511838901*((RANDBETWEEN(1587,2416)))</f>
        <v>63590874.116397224</v>
      </c>
      <c r="B6856">
        <v>229979324.6210025</v>
      </c>
    </row>
    <row r="6857" spans="1:2" x14ac:dyDescent="0.25">
      <c r="A6857">
        <f ca="1">33275.3874379546*((RANDBETWEEN(1587,2416)))</f>
        <v>61725843.697405748</v>
      </c>
      <c r="B6857">
        <v>254230796.20367879</v>
      </c>
    </row>
    <row r="6858" spans="1:2" x14ac:dyDescent="0.25">
      <c r="A6858">
        <f ca="1">35697.2068998218*((RANDBETWEEN(1587,2416)))</f>
        <v>63683817.109282121</v>
      </c>
      <c r="B6858">
        <v>229412279.89607874</v>
      </c>
    </row>
    <row r="6859" spans="1:2" x14ac:dyDescent="0.25">
      <c r="A6859">
        <f ca="1">32980.2192579494*((RANDBETWEEN(1587,2416)))</f>
        <v>53164113.443814471</v>
      </c>
      <c r="B6859">
        <v>252494640.70072249</v>
      </c>
    </row>
    <row r="6860" spans="1:2" x14ac:dyDescent="0.25">
      <c r="A6860">
        <f ca="1">32835.7951786652*((RANDBETWEEN(1587,2416)))</f>
        <v>55591001.237480126</v>
      </c>
      <c r="B6860">
        <v>221356088.87629145</v>
      </c>
    </row>
    <row r="6861" spans="1:2" x14ac:dyDescent="0.25">
      <c r="A6861">
        <f ca="1">32572.1239786479*((RANDBETWEEN(1587,2416)))</f>
        <v>74492447.539167762</v>
      </c>
      <c r="B6861">
        <v>246954997.37790087</v>
      </c>
    </row>
    <row r="6862" spans="1:2" x14ac:dyDescent="0.25">
      <c r="A6862">
        <f ca="1">42195.7736565279*((RANDBETWEEN(1587,2416)))</f>
        <v>69285460.344018847</v>
      </c>
      <c r="B6862">
        <v>254513407.99328011</v>
      </c>
    </row>
    <row r="6863" spans="1:2" x14ac:dyDescent="0.25">
      <c r="A6863">
        <f ca="1">31602.8210172208*((RANDBETWEEN(1587,2416)))</f>
        <v>73444956.044021249</v>
      </c>
      <c r="B6863">
        <v>257753640.50321162</v>
      </c>
    </row>
    <row r="6864" spans="1:2" x14ac:dyDescent="0.25">
      <c r="A6864">
        <f ca="1">31108.4744059765*((RANDBETWEEN(1587,2416)))</f>
        <v>55248650.545014277</v>
      </c>
      <c r="B6864">
        <v>205902145.41821593</v>
      </c>
    </row>
    <row r="6865" spans="1:2" x14ac:dyDescent="0.25">
      <c r="A6865">
        <f ca="1">39227.2857940488*((RANDBETWEEN(1587,2416)))</f>
        <v>92301803.473396838</v>
      </c>
      <c r="B6865">
        <v>211708798.66801918</v>
      </c>
    </row>
    <row r="6866" spans="1:2" x14ac:dyDescent="0.25">
      <c r="A6866">
        <f ca="1">35050.3410710762*((RANDBETWEEN(1587,2416)))</f>
        <v>70381084.870720968</v>
      </c>
      <c r="B6866">
        <v>251577987.52832565</v>
      </c>
    </row>
    <row r="6867" spans="1:2" x14ac:dyDescent="0.25">
      <c r="A6867">
        <f ca="1">34856.1980801044*((RANDBETWEEN(1587,2416)))</f>
        <v>79890405.999599248</v>
      </c>
      <c r="B6867">
        <v>253879704.17836326</v>
      </c>
    </row>
    <row r="6868" spans="1:2" x14ac:dyDescent="0.25">
      <c r="A6868">
        <f ca="1">30914.1088069022*((RANDBETWEEN(1587,2416)))</f>
        <v>72091701.737695858</v>
      </c>
      <c r="B6868">
        <v>264349700.83538526</v>
      </c>
    </row>
    <row r="6869" spans="1:2" x14ac:dyDescent="0.25">
      <c r="A6869">
        <f ca="1">40073.2967985122*((RANDBETWEEN(1587,2416)))</f>
        <v>78904321.396270558</v>
      </c>
      <c r="B6869">
        <v>248513106.12353536</v>
      </c>
    </row>
    <row r="6870" spans="1:2" x14ac:dyDescent="0.25">
      <c r="A6870">
        <f ca="1">42321.2097181137*((RANDBETWEEN(1587,2416)))</f>
        <v>84346170.968200669</v>
      </c>
      <c r="B6870">
        <v>239487815.91499355</v>
      </c>
    </row>
    <row r="6871" spans="1:2" x14ac:dyDescent="0.25">
      <c r="A6871">
        <f ca="1">30072.6747539372*((RANDBETWEEN(1587,2416)))</f>
        <v>49018459.848917678</v>
      </c>
      <c r="B6871">
        <v>218058440.90051761</v>
      </c>
    </row>
    <row r="6872" spans="1:2" x14ac:dyDescent="0.25">
      <c r="A6872">
        <f ca="1">33582.3892422881*((RANDBETWEEN(1587,2416)))</f>
        <v>76836506.586355135</v>
      </c>
      <c r="B6872">
        <v>258830677.2379806</v>
      </c>
    </row>
    <row r="6873" spans="1:2" x14ac:dyDescent="0.25">
      <c r="A6873">
        <f ca="1">35255.495279851*((RANDBETWEEN(1587,2416)))</f>
        <v>75023693.955522835</v>
      </c>
      <c r="B6873">
        <v>267266775.8979362</v>
      </c>
    </row>
    <row r="6874" spans="1:2" x14ac:dyDescent="0.25">
      <c r="A6874">
        <f ca="1">35979.00371136*((RANDBETWEEN(1587,2416)))</f>
        <v>71382343.363338336</v>
      </c>
      <c r="B6874">
        <v>234581213.19679499</v>
      </c>
    </row>
    <row r="6875" spans="1:2" x14ac:dyDescent="0.25">
      <c r="A6875">
        <f ca="1">37500.9151053426*((RANDBETWEEN(1587,2416)))</f>
        <v>89777190.762190178</v>
      </c>
      <c r="B6875">
        <v>209222605.9598217</v>
      </c>
    </row>
    <row r="6876" spans="1:2" x14ac:dyDescent="0.25">
      <c r="A6876">
        <f ca="1">38648.4763959062*((RANDBETWEEN(1587,2416)))</f>
        <v>73470753.628617674</v>
      </c>
      <c r="B6876">
        <v>218591325.41727528</v>
      </c>
    </row>
    <row r="6877" spans="1:2" x14ac:dyDescent="0.25">
      <c r="A6877">
        <f ca="1">32628.3830298924*((RANDBETWEEN(1587,2416)))</f>
        <v>57164927.068371512</v>
      </c>
      <c r="B6877">
        <v>238457749.13936305</v>
      </c>
    </row>
    <row r="6878" spans="1:2" x14ac:dyDescent="0.25">
      <c r="A6878">
        <f ca="1">30580.4254759168*((RANDBETWEEN(1587,2416)))</f>
        <v>65228047.540130608</v>
      </c>
      <c r="B6878">
        <v>219372978.77875558</v>
      </c>
    </row>
    <row r="6879" spans="1:2" x14ac:dyDescent="0.25">
      <c r="A6879">
        <f ca="1">32726.201303007*((RANDBETWEEN(1587,2416)))</f>
        <v>68888653.74282971</v>
      </c>
      <c r="B6879">
        <v>209784580.20707887</v>
      </c>
    </row>
    <row r="6880" spans="1:2" x14ac:dyDescent="0.25">
      <c r="A6880">
        <f ca="1">34231.3599247135*((RANDBETWEEN(1587,2416)))</f>
        <v>71954318.56174776</v>
      </c>
      <c r="B6880">
        <v>250556398.60986847</v>
      </c>
    </row>
    <row r="6881" spans="1:2" x14ac:dyDescent="0.25">
      <c r="A6881">
        <f ca="1">31148.1507142987*((RANDBETWEEN(1587,2416)))</f>
        <v>71703042.944315523</v>
      </c>
      <c r="B6881">
        <v>220871488.90695831</v>
      </c>
    </row>
    <row r="6882" spans="1:2" x14ac:dyDescent="0.25">
      <c r="A6882">
        <f ca="1">33859.9165322372*((RANDBETWEEN(1587,2416)))</f>
        <v>71884602.797939524</v>
      </c>
      <c r="B6882">
        <v>254035957.27167434</v>
      </c>
    </row>
    <row r="6883" spans="1:2" x14ac:dyDescent="0.25">
      <c r="A6883">
        <f ca="1">28054.1064853*((RANDBETWEEN(1587,2416)))</f>
        <v>46120951.061833143</v>
      </c>
      <c r="B6883">
        <v>258886083.26975316</v>
      </c>
    </row>
    <row r="6884" spans="1:2" x14ac:dyDescent="0.25">
      <c r="A6884">
        <f ca="1">38091.6797927172*((RANDBETWEEN(1587,2416)))</f>
        <v>72374191.606162623</v>
      </c>
      <c r="B6884">
        <v>255180286.33391303</v>
      </c>
    </row>
    <row r="6885" spans="1:2" x14ac:dyDescent="0.25">
      <c r="A6885">
        <f ca="1">36036.6648310471*((RANDBETWEEN(1587,2416)))</f>
        <v>81875302.496139064</v>
      </c>
      <c r="B6885">
        <v>205770887.58762443</v>
      </c>
    </row>
    <row r="6886" spans="1:2" x14ac:dyDescent="0.25">
      <c r="A6886">
        <f ca="1">31921.9593640598*((RANDBETWEEN(1587,2416)))</f>
        <v>67961851.486083299</v>
      </c>
      <c r="B6886">
        <v>208406453.32374841</v>
      </c>
    </row>
    <row r="6887" spans="1:2" x14ac:dyDescent="0.25">
      <c r="A6887">
        <f ca="1">38590.0288968105*((RANDBETWEEN(1587,2416)))</f>
        <v>77450187.995898768</v>
      </c>
      <c r="B6887">
        <v>257187872.73912793</v>
      </c>
    </row>
    <row r="6888" spans="1:2" x14ac:dyDescent="0.25">
      <c r="A6888">
        <f ca="1">29486.4227493375*((RANDBETWEEN(1587,2416)))</f>
        <v>55640879.727999903</v>
      </c>
      <c r="B6888">
        <v>262491544.99654484</v>
      </c>
    </row>
    <row r="6889" spans="1:2" x14ac:dyDescent="0.25">
      <c r="A6889">
        <f ca="1">33009.8280422503*((RANDBETWEEN(1587,2416)))</f>
        <v>63708968.121543124</v>
      </c>
      <c r="B6889">
        <v>223686324.20693713</v>
      </c>
    </row>
    <row r="6890" spans="1:2" x14ac:dyDescent="0.25">
      <c r="A6890">
        <f ca="1">31488.5058361343*((RANDBETWEEN(1587,2416)))</f>
        <v>73210776.069012135</v>
      </c>
      <c r="B6890">
        <v>231735024.37409338</v>
      </c>
    </row>
    <row r="6891" spans="1:2" x14ac:dyDescent="0.25">
      <c r="A6891">
        <f ca="1">30981.0877988906*((RANDBETWEEN(1587,2416)))</f>
        <v>52822754.697108425</v>
      </c>
      <c r="B6891">
        <v>216337112.51254481</v>
      </c>
    </row>
    <row r="6892" spans="1:2" x14ac:dyDescent="0.25">
      <c r="A6892">
        <f ca="1">35461.954517388*((RANDBETWEEN(1587,2416)))</f>
        <v>70285593.853463039</v>
      </c>
      <c r="B6892">
        <v>237746914.23454291</v>
      </c>
    </row>
    <row r="6893" spans="1:2" x14ac:dyDescent="0.25">
      <c r="A6893">
        <f ca="1">39991.1037110681*((RANDBETWEEN(1587,2416)))</f>
        <v>88300356.994038284</v>
      </c>
      <c r="B6893">
        <v>229532119.31906632</v>
      </c>
    </row>
    <row r="6894" spans="1:2" x14ac:dyDescent="0.25">
      <c r="A6894">
        <f ca="1">37014.738920947*((RANDBETWEEN(1587,2416)))</f>
        <v>82320779.360186189</v>
      </c>
      <c r="B6894">
        <v>246572038.25951439</v>
      </c>
    </row>
    <row r="6895" spans="1:2" x14ac:dyDescent="0.25">
      <c r="A6895">
        <f ca="1">41537.4278131258*((RANDBETWEEN(1587,2416)))</f>
        <v>86439387.279114708</v>
      </c>
      <c r="B6895">
        <v>222585018.03591737</v>
      </c>
    </row>
    <row r="6896" spans="1:2" x14ac:dyDescent="0.25">
      <c r="A6896">
        <f ca="1">38763.0680482189*((RANDBETWEEN(1587,2416)))</f>
        <v>89232582.646999881</v>
      </c>
      <c r="B6896">
        <v>264526525.90004611</v>
      </c>
    </row>
    <row r="6897" spans="1:2" x14ac:dyDescent="0.25">
      <c r="A6897">
        <f ca="1">31747.9554428073*((RANDBETWEEN(1587,2416)))</f>
        <v>72290094.543272287</v>
      </c>
      <c r="B6897">
        <v>249684725.42888692</v>
      </c>
    </row>
    <row r="6898" spans="1:2" x14ac:dyDescent="0.25">
      <c r="A6898">
        <f ca="1">30879.0465917838*((RANDBETWEEN(1587,2416)))</f>
        <v>66853135.871211886</v>
      </c>
      <c r="B6898">
        <v>223294955.17519721</v>
      </c>
    </row>
    <row r="6899" spans="1:2" x14ac:dyDescent="0.25">
      <c r="A6899">
        <f ca="1">36471.3543036*((RANDBETWEEN(1587,2416)))</f>
        <v>58390638.240063593</v>
      </c>
      <c r="B6899">
        <v>235794105.95325512</v>
      </c>
    </row>
    <row r="6900" spans="1:2" x14ac:dyDescent="0.25">
      <c r="A6900">
        <f ca="1">41882.0062205635*((RANDBETWEEN(1587,2416)))</f>
        <v>86193168.801919743</v>
      </c>
      <c r="B6900">
        <v>227767674.65585521</v>
      </c>
    </row>
    <row r="6901" spans="1:2" x14ac:dyDescent="0.25">
      <c r="A6901">
        <f ca="1">40496.5198280496*((RANDBETWEEN(1587,2416)))</f>
        <v>94032919.040731251</v>
      </c>
      <c r="B6901">
        <v>256761683.72925335</v>
      </c>
    </row>
    <row r="6902" spans="1:2" x14ac:dyDescent="0.25">
      <c r="A6902">
        <f ca="1">32097.4891265467*((RANDBETWEEN(1587,2416)))</f>
        <v>61755569.079475887</v>
      </c>
      <c r="B6902">
        <v>267259764.55209613</v>
      </c>
    </row>
    <row r="6903" spans="1:2" x14ac:dyDescent="0.25">
      <c r="A6903">
        <f ca="1">39404.1746177395*((RANDBETWEEN(1587,2416)))</f>
        <v>87950117.746794626</v>
      </c>
      <c r="B6903">
        <v>232902178.74766469</v>
      </c>
    </row>
    <row r="6904" spans="1:2" x14ac:dyDescent="0.25">
      <c r="A6904">
        <f ca="1">33048.6041673218*((RANDBETWEEN(1587,2416)))</f>
        <v>62957590.938748069</v>
      </c>
      <c r="B6904">
        <v>257333670.6790306</v>
      </c>
    </row>
    <row r="6905" spans="1:2" x14ac:dyDescent="0.25">
      <c r="A6905">
        <f ca="1">40079.0809007299*((RANDBETWEEN(1587,2416)))</f>
        <v>70539182.385284707</v>
      </c>
      <c r="B6905">
        <v>219906717.44163328</v>
      </c>
    </row>
    <row r="6906" spans="1:2" x14ac:dyDescent="0.25">
      <c r="A6906">
        <f ca="1">36242.1170819762*((RANDBETWEEN(1587,2416)))</f>
        <v>77485646.321265101</v>
      </c>
      <c r="B6906">
        <v>240588843.17495301</v>
      </c>
    </row>
    <row r="6907" spans="1:2" x14ac:dyDescent="0.25">
      <c r="A6907">
        <f ca="1">33650.411288526*((RANDBETWEEN(1587,2416)))</f>
        <v>66055757.359376587</v>
      </c>
      <c r="B6907">
        <v>224784340.82538667</v>
      </c>
    </row>
    <row r="6908" spans="1:2" x14ac:dyDescent="0.25">
      <c r="A6908">
        <f ca="1">31825.4979920668*((RANDBETWEEN(1587,2416)))</f>
        <v>74821745.779349133</v>
      </c>
      <c r="B6908">
        <v>255006259.50137851</v>
      </c>
    </row>
    <row r="6909" spans="1:2" x14ac:dyDescent="0.25">
      <c r="A6909">
        <f ca="1">39093.9396073334*((RANDBETWEEN(1587,2416)))</f>
        <v>69782682.199090093</v>
      </c>
      <c r="B6909">
        <v>257910253.76625177</v>
      </c>
    </row>
    <row r="6910" spans="1:2" x14ac:dyDescent="0.25">
      <c r="A6910">
        <f ca="1">31333.6854232774*((RANDBETWEEN(1587,2416)))</f>
        <v>62824039.273671128</v>
      </c>
      <c r="B6910">
        <v>218803217.73040506</v>
      </c>
    </row>
    <row r="6911" spans="1:2" x14ac:dyDescent="0.25">
      <c r="A6911">
        <f ca="1">35968.0785746129*((RANDBETWEEN(1587,2416)))</f>
        <v>65318030.691496953</v>
      </c>
      <c r="B6911">
        <v>230559278.29302827</v>
      </c>
    </row>
    <row r="6912" spans="1:2" x14ac:dyDescent="0.25">
      <c r="A6912">
        <f ca="1">27662.2722383656*((RANDBETWEEN(1587,2416)))</f>
        <v>64923352.943444006</v>
      </c>
      <c r="B6912">
        <v>243950123.98834077</v>
      </c>
    </row>
    <row r="6913" spans="1:2" x14ac:dyDescent="0.25">
      <c r="A6913">
        <f ca="1">31186.0672136936*((RANDBETWEEN(1587,2416)))</f>
        <v>71665582.457067832</v>
      </c>
      <c r="B6913">
        <v>258661463.19830662</v>
      </c>
    </row>
    <row r="6914" spans="1:2" x14ac:dyDescent="0.25">
      <c r="A6914">
        <f ca="1">31266.7773262191*((RANDBETWEEN(1587,2416)))</f>
        <v>54341658.992968813</v>
      </c>
      <c r="B6914">
        <v>239744761.73655194</v>
      </c>
    </row>
    <row r="6915" spans="1:2" x14ac:dyDescent="0.25">
      <c r="A6915">
        <f ca="1">34715.9876419638*((RANDBETWEEN(1587,2416)))</f>
        <v>55719160.165351823</v>
      </c>
      <c r="B6915">
        <v>215425409.44783622</v>
      </c>
    </row>
    <row r="6916" spans="1:2" x14ac:dyDescent="0.25">
      <c r="A6916">
        <f ca="1">36091.7528199954*((RANDBETWEEN(1587,2416)))</f>
        <v>73013615.954850599</v>
      </c>
      <c r="B6916">
        <v>215528913.61298722</v>
      </c>
    </row>
    <row r="6917" spans="1:2" x14ac:dyDescent="0.25">
      <c r="A6917">
        <f ca="1">39282.0265414891*((RANDBETWEEN(1587,2416)))</f>
        <v>66504470.934741177</v>
      </c>
      <c r="B6917">
        <v>210361812.62905204</v>
      </c>
    </row>
    <row r="6918" spans="1:2" x14ac:dyDescent="0.25">
      <c r="A6918">
        <f ca="1">41310.4583158291*((RANDBETWEEN(1587,2416)))</f>
        <v>66592458.805116519</v>
      </c>
      <c r="B6918">
        <v>267594410.53540608</v>
      </c>
    </row>
    <row r="6919" spans="1:2" x14ac:dyDescent="0.25">
      <c r="A6919">
        <f ca="1">37989.325067508*((RANDBETWEEN(1587,2416)))</f>
        <v>86235767.903243259</v>
      </c>
      <c r="B6919">
        <v>264787944.27093631</v>
      </c>
    </row>
    <row r="6920" spans="1:2" x14ac:dyDescent="0.25">
      <c r="A6920">
        <f ca="1">39574.5190417418*((RANDBETWEEN(1587,2416)))</f>
        <v>69215833.804006398</v>
      </c>
      <c r="B6920">
        <v>208249018.22971117</v>
      </c>
    </row>
    <row r="6921" spans="1:2" x14ac:dyDescent="0.25">
      <c r="A6921">
        <f ca="1">35025.3847406648*((RANDBETWEEN(1587,2416)))</f>
        <v>59262950.981204852</v>
      </c>
      <c r="B6921">
        <v>231580441.51278013</v>
      </c>
    </row>
    <row r="6922" spans="1:2" x14ac:dyDescent="0.25">
      <c r="A6922">
        <f ca="1">43527.2300535809*((RANDBETWEEN(1587,2416)))</f>
        <v>95672851.657770783</v>
      </c>
      <c r="B6922">
        <v>210981882.84751353</v>
      </c>
    </row>
    <row r="6923" spans="1:2" x14ac:dyDescent="0.25">
      <c r="A6923">
        <f ca="1">29883.87914363*((RANDBETWEEN(1587,2416)))</f>
        <v>68493850.997200012</v>
      </c>
      <c r="B6923">
        <v>238221031.6033406</v>
      </c>
    </row>
    <row r="6924" spans="1:2" x14ac:dyDescent="0.25">
      <c r="A6924">
        <f ca="1">31469.6769365923*((RANDBETWEEN(1587,2416)))</f>
        <v>64324019.658394702</v>
      </c>
      <c r="B6924">
        <v>258996655.47751352</v>
      </c>
    </row>
    <row r="6925" spans="1:2" x14ac:dyDescent="0.25">
      <c r="A6925">
        <f ca="1">30262.8149550533*((RANDBETWEEN(1587,2416)))</f>
        <v>70603147.290139392</v>
      </c>
      <c r="B6925">
        <v>220826704.35058722</v>
      </c>
    </row>
    <row r="6926" spans="1:2" x14ac:dyDescent="0.25">
      <c r="A6926">
        <f ca="1">36549.0623891648*((RANDBETWEEN(1587,2416)))</f>
        <v>58990186.696112044</v>
      </c>
      <c r="B6926">
        <v>219328303.84565401</v>
      </c>
    </row>
    <row r="6927" spans="1:2" x14ac:dyDescent="0.25">
      <c r="A6927">
        <f ca="1">31844.160703643*((RANDBETWEEN(1587,2416)))</f>
        <v>61650295.122252904</v>
      </c>
      <c r="B6927">
        <v>257875189.74721211</v>
      </c>
    </row>
    <row r="6928" spans="1:2" x14ac:dyDescent="0.25">
      <c r="A6928">
        <f ca="1">36865.2050708031*((RANDBETWEEN(1587,2416)))</f>
        <v>72034610.708349288</v>
      </c>
      <c r="B6928">
        <v>243695477.12695801</v>
      </c>
    </row>
    <row r="6929" spans="1:2" x14ac:dyDescent="0.25">
      <c r="A6929">
        <f ca="1">37156.6387045173*((RANDBETWEEN(1587,2416)))</f>
        <v>72455445.47380881</v>
      </c>
      <c r="B6929">
        <v>208928436.10543308</v>
      </c>
    </row>
    <row r="6930" spans="1:2" x14ac:dyDescent="0.25">
      <c r="A6930">
        <f ca="1">34705.6714073253*((RANDBETWEEN(1587,2416)))</f>
        <v>75207189.93967399</v>
      </c>
      <c r="B6930">
        <v>233244784.67578757</v>
      </c>
    </row>
    <row r="6931" spans="1:2" x14ac:dyDescent="0.25">
      <c r="A6931">
        <f ca="1">32848.8474815184*((RANDBETWEEN(1587,2416)))</f>
        <v>59719204.721400417</v>
      </c>
      <c r="B6931">
        <v>231374641.88545185</v>
      </c>
    </row>
    <row r="6932" spans="1:2" x14ac:dyDescent="0.25">
      <c r="A6932">
        <f ca="1">36633.4785112248*((RANDBETWEEN(1587,2416)))</f>
        <v>66709564.368940316</v>
      </c>
      <c r="B6932">
        <v>224902055.88020724</v>
      </c>
    </row>
    <row r="6933" spans="1:2" x14ac:dyDescent="0.25">
      <c r="A6933">
        <f ca="1">37351.7565153187*((RANDBETWEEN(1587,2416)))</f>
        <v>85199356.611441895</v>
      </c>
      <c r="B6933">
        <v>235305319.16837317</v>
      </c>
    </row>
    <row r="6934" spans="1:2" x14ac:dyDescent="0.25">
      <c r="A6934">
        <f ca="1">29023.9681628037*((RANDBETWEEN(1587,2416)))</f>
        <v>59789374.415375635</v>
      </c>
      <c r="B6934">
        <v>213001075.87815768</v>
      </c>
    </row>
    <row r="6935" spans="1:2" x14ac:dyDescent="0.25">
      <c r="A6935">
        <f ca="1">39274.709627303*((RANDBETWEEN(1587,2416)))</f>
        <v>88446646.080686301</v>
      </c>
      <c r="B6935">
        <v>247583021.44451934</v>
      </c>
    </row>
    <row r="6936" spans="1:2" x14ac:dyDescent="0.25">
      <c r="A6936">
        <f ca="1">40469.4440115566*((RANDBETWEEN(1587,2416)))</f>
        <v>71145282.572316423</v>
      </c>
      <c r="B6936">
        <v>260178378.74799997</v>
      </c>
    </row>
    <row r="6937" spans="1:2" x14ac:dyDescent="0.25">
      <c r="A6937">
        <f ca="1">42809.4883302039*((RANDBETWEEN(1587,2416)))</f>
        <v>80010933.689151078</v>
      </c>
      <c r="B6937">
        <v>233398511.75008413</v>
      </c>
    </row>
    <row r="6938" spans="1:2" x14ac:dyDescent="0.25">
      <c r="A6938">
        <f ca="1">29840.3929219754*((RANDBETWEEN(1587,2416)))</f>
        <v>68065936.255025879</v>
      </c>
      <c r="B6938">
        <v>262985465.09030616</v>
      </c>
    </row>
    <row r="6939" spans="1:2" x14ac:dyDescent="0.25">
      <c r="A6939">
        <f ca="1">39237.9431421911*((RANDBETWEEN(1587,2416)))</f>
        <v>66037458.308307655</v>
      </c>
      <c r="B6939">
        <v>235472223.33915997</v>
      </c>
    </row>
    <row r="6940" spans="1:2" x14ac:dyDescent="0.25">
      <c r="A6940">
        <f ca="1">35181.199599738*((RANDBETWEEN(1587,2416)))</f>
        <v>63959420.872323722</v>
      </c>
      <c r="B6940">
        <v>247051859.06423837</v>
      </c>
    </row>
    <row r="6941" spans="1:2" x14ac:dyDescent="0.25">
      <c r="A6941">
        <f ca="1">34591.2048633892*((RANDBETWEEN(1587,2416)))</f>
        <v>83503168.540221527</v>
      </c>
      <c r="B6941">
        <v>255521429.72248495</v>
      </c>
    </row>
    <row r="6942" spans="1:2" x14ac:dyDescent="0.25">
      <c r="A6942">
        <f ca="1">30088.5457463058*((RANDBETWEEN(1587,2416)))</f>
        <v>59093903.845744655</v>
      </c>
      <c r="B6942">
        <v>261312723.07157421</v>
      </c>
    </row>
    <row r="6943" spans="1:2" x14ac:dyDescent="0.25">
      <c r="A6943">
        <f ca="1">38313.4404850782*((RANDBETWEEN(1587,2416)))</f>
        <v>76895075.053551883</v>
      </c>
      <c r="B6943">
        <v>235102076.90149051</v>
      </c>
    </row>
    <row r="6944" spans="1:2" x14ac:dyDescent="0.25">
      <c r="A6944">
        <f ca="1">32678.4805621301*((RANDBETWEEN(1587,2416)))</f>
        <v>75814074.904141828</v>
      </c>
      <c r="B6944">
        <v>250303461.37652886</v>
      </c>
    </row>
    <row r="6945" spans="1:2" x14ac:dyDescent="0.25">
      <c r="A6945">
        <f ca="1">33475.1583316091*((RANDBETWEEN(1587,2416)))</f>
        <v>66883366.346555077</v>
      </c>
      <c r="B6945">
        <v>210828472.34564251</v>
      </c>
    </row>
    <row r="6946" spans="1:2" x14ac:dyDescent="0.25">
      <c r="A6946">
        <f ca="1">33056.0966938402*((RANDBETWEEN(1587,2416)))</f>
        <v>69483915.250452012</v>
      </c>
      <c r="B6946">
        <v>243986502.3222762</v>
      </c>
    </row>
    <row r="6947" spans="1:2" x14ac:dyDescent="0.25">
      <c r="A6947">
        <f ca="1">40715.0471784874*((RANDBETWEEN(1587,2416)))</f>
        <v>71658483.034137875</v>
      </c>
      <c r="B6947">
        <v>207898873.79252666</v>
      </c>
    </row>
    <row r="6948" spans="1:2" x14ac:dyDescent="0.25">
      <c r="A6948">
        <f ca="1">39936.7459678822*((RANDBETWEEN(1587,2416)))</f>
        <v>72365383.693802506</v>
      </c>
      <c r="B6948">
        <v>209457752.23396453</v>
      </c>
    </row>
    <row r="6949" spans="1:2" x14ac:dyDescent="0.25">
      <c r="A6949">
        <f ca="1">31535.0447326626*((RANDBETWEEN(1587,2416)))</f>
        <v>51149842.556378707</v>
      </c>
      <c r="B6949">
        <v>252529858.10066658</v>
      </c>
    </row>
    <row r="6950" spans="1:2" x14ac:dyDescent="0.25">
      <c r="A6950">
        <f ca="1">37574.7420379847*((RANDBETWEEN(1587,2416)))</f>
        <v>80710545.897591159</v>
      </c>
      <c r="B6950">
        <v>210792426.32716075</v>
      </c>
    </row>
    <row r="6951" spans="1:2" x14ac:dyDescent="0.25">
      <c r="A6951">
        <f ca="1">34647.7977877103*((RANDBETWEEN(1587,2416)))</f>
        <v>79932469.496247724</v>
      </c>
      <c r="B6951">
        <v>254045373.10902372</v>
      </c>
    </row>
    <row r="6952" spans="1:2" x14ac:dyDescent="0.25">
      <c r="A6952">
        <f ca="1">38428.8978572241*((RANDBETWEEN(1587,2416)))</f>
        <v>88886040.743759304</v>
      </c>
      <c r="B6952">
        <v>212359048.93915284</v>
      </c>
    </row>
    <row r="6953" spans="1:2" x14ac:dyDescent="0.25">
      <c r="A6953">
        <f ca="1">33604.3388449434*((RANDBETWEEN(1587,2416)))</f>
        <v>61529544.425091282</v>
      </c>
      <c r="B6953">
        <v>248731969.32443732</v>
      </c>
    </row>
    <row r="6954" spans="1:2" x14ac:dyDescent="0.25">
      <c r="A6954">
        <f ca="1">34355.1361943347*((RANDBETWEEN(1587,2416)))</f>
        <v>55311769.272878878</v>
      </c>
      <c r="B6954">
        <v>209687136.73672315</v>
      </c>
    </row>
    <row r="6955" spans="1:2" x14ac:dyDescent="0.25">
      <c r="A6955">
        <f ca="1">31315.7084229453*((RANDBETWEEN(1587,2416)))</f>
        <v>61660629.884779252</v>
      </c>
      <c r="B6955">
        <v>232991698.42945552</v>
      </c>
    </row>
    <row r="6956" spans="1:2" x14ac:dyDescent="0.25">
      <c r="A6956">
        <f ca="1">35712.3896268822*((RANDBETWEEN(1587,2416)))</f>
        <v>79745766.036827892</v>
      </c>
      <c r="B6956">
        <v>259957637.66449583</v>
      </c>
    </row>
    <row r="6957" spans="1:2" x14ac:dyDescent="0.25">
      <c r="A6957">
        <f ca="1">37090.6883567579*((RANDBETWEEN(1587,2416)))</f>
        <v>79930433.408813357</v>
      </c>
      <c r="B6957">
        <v>208688873.50250036</v>
      </c>
    </row>
    <row r="6958" spans="1:2" x14ac:dyDescent="0.25">
      <c r="A6958">
        <f ca="1">39038.2549659223*((RANDBETWEEN(1587,2416)))</f>
        <v>94160270.977804512</v>
      </c>
      <c r="B6958">
        <v>255008622.69941053</v>
      </c>
    </row>
    <row r="6959" spans="1:2" x14ac:dyDescent="0.25">
      <c r="A6959">
        <f ca="1">30432.6972726767*((RANDBETWEEN(1587,2416)))</f>
        <v>64060827.758984506</v>
      </c>
      <c r="B6959">
        <v>247827088.34616411</v>
      </c>
    </row>
    <row r="6960" spans="1:2" x14ac:dyDescent="0.25">
      <c r="A6960">
        <f ca="1">36617.0363813286*((RANDBETWEEN(1587,2416)))</f>
        <v>84182566.640674368</v>
      </c>
      <c r="B6960">
        <v>210116114.49792147</v>
      </c>
    </row>
    <row r="6961" spans="1:2" x14ac:dyDescent="0.25">
      <c r="A6961">
        <f ca="1">33094.7142234164*((RANDBETWEEN(1587,2416)))</f>
        <v>66421091.446396641</v>
      </c>
      <c r="B6961">
        <v>206293751.0970386</v>
      </c>
    </row>
    <row r="6962" spans="1:2" x14ac:dyDescent="0.25">
      <c r="A6962">
        <f ca="1">38071.3084228647*((RANDBETWEEN(1587,2416)))</f>
        <v>77855825.724758387</v>
      </c>
      <c r="B6962">
        <v>213978153.23167345</v>
      </c>
    </row>
    <row r="6963" spans="1:2" x14ac:dyDescent="0.25">
      <c r="A6963">
        <f ca="1">32912.7503678621*((RANDBETWEEN(1587,2416)))</f>
        <v>67109098.000070885</v>
      </c>
      <c r="B6963">
        <v>241721508.98745531</v>
      </c>
    </row>
    <row r="6964" spans="1:2" x14ac:dyDescent="0.25">
      <c r="A6964">
        <f ca="1">32806.1562856413*((RANDBETWEEN(1587,2416)))</f>
        <v>77356916.521542102</v>
      </c>
      <c r="B6964">
        <v>255550767.20781049</v>
      </c>
    </row>
    <row r="6965" spans="1:2" x14ac:dyDescent="0.25">
      <c r="A6965">
        <f ca="1">35579.4496265435*((RANDBETWEEN(1587,2416)))</f>
        <v>77847835.782877102</v>
      </c>
      <c r="B6965">
        <v>222152532.0170525</v>
      </c>
    </row>
    <row r="6966" spans="1:2" x14ac:dyDescent="0.25">
      <c r="A6966">
        <f ca="1">31738.5559891076*((RANDBETWEEN(1587,2416)))</f>
        <v>62683648.078487441</v>
      </c>
      <c r="B6966">
        <v>240852841.46143115</v>
      </c>
    </row>
    <row r="6967" spans="1:2" x14ac:dyDescent="0.25">
      <c r="A6967">
        <f ca="1">36949.5949537876*((RANDBETWEEN(1587,2416)))</f>
        <v>63848900.080145001</v>
      </c>
      <c r="B6967">
        <v>206112743.53714171</v>
      </c>
    </row>
    <row r="6968" spans="1:2" x14ac:dyDescent="0.25">
      <c r="A6968">
        <f ca="1">32905.7320218443*((RANDBETWEEN(1587,2416)))</f>
        <v>70714418.11494346</v>
      </c>
      <c r="B6968">
        <v>204462596.26680717</v>
      </c>
    </row>
    <row r="6969" spans="1:2" x14ac:dyDescent="0.25">
      <c r="A6969">
        <f ca="1">30410.1185667697*((RANDBETWEEN(1587,2416)))</f>
        <v>59117270.493800387</v>
      </c>
      <c r="B6969">
        <v>234314390.52089876</v>
      </c>
    </row>
    <row r="6970" spans="1:2" x14ac:dyDescent="0.25">
      <c r="A6970">
        <f ca="1">31969.2829355975*((RANDBETWEEN(1587,2416)))</f>
        <v>64961582.925134063</v>
      </c>
      <c r="B6970">
        <v>205966350.51939401</v>
      </c>
    </row>
    <row r="6971" spans="1:2" x14ac:dyDescent="0.25">
      <c r="A6971">
        <f ca="1">30806.3249200472*((RANDBETWEEN(1587,2416)))</f>
        <v>69468262.694706395</v>
      </c>
      <c r="B6971">
        <v>210514802.05243757</v>
      </c>
    </row>
    <row r="6972" spans="1:2" x14ac:dyDescent="0.25">
      <c r="A6972">
        <f ca="1">31663.9516907064*((RANDBETWEEN(1587,2416)))</f>
        <v>75866828.250932589</v>
      </c>
      <c r="B6972">
        <v>219267867.77508751</v>
      </c>
    </row>
    <row r="6973" spans="1:2" x14ac:dyDescent="0.25">
      <c r="A6973">
        <f ca="1">32198.244399543*((RANDBETWEEN(1587,2416)))</f>
        <v>68163683.39383249</v>
      </c>
      <c r="B6973">
        <v>240682239.70997149</v>
      </c>
    </row>
    <row r="6974" spans="1:2" x14ac:dyDescent="0.25">
      <c r="A6974">
        <f ca="1">39201.5737141929*((RANDBETWEEN(1587,2416)))</f>
        <v>67740319.378125429</v>
      </c>
      <c r="B6974">
        <v>254650106.36090812</v>
      </c>
    </row>
    <row r="6975" spans="1:2" x14ac:dyDescent="0.25">
      <c r="A6975">
        <f ca="1">39207.3792841493*((RANDBETWEEN(1587,2416)))</f>
        <v>73357006.640643358</v>
      </c>
      <c r="B6975">
        <v>261418006.36549187</v>
      </c>
    </row>
    <row r="6976" spans="1:2" x14ac:dyDescent="0.25">
      <c r="A6976">
        <f ca="1">28636.8980299292*((RANDBETWEEN(1587,2416)))</f>
        <v>55841951.158361875</v>
      </c>
      <c r="B6976">
        <v>203747470.68984273</v>
      </c>
    </row>
    <row r="6977" spans="1:2" x14ac:dyDescent="0.25">
      <c r="A6977">
        <f ca="1">30632.6303617167*((RANDBETWEEN(1587,2416)))</f>
        <v>50574472.727194279</v>
      </c>
      <c r="B6977">
        <v>245695915.17473817</v>
      </c>
    </row>
    <row r="6978" spans="1:2" x14ac:dyDescent="0.25">
      <c r="A6978">
        <f ca="1">34346.1458997579*((RANDBETWEEN(1587,2416)))</f>
        <v>63849485.227649875</v>
      </c>
      <c r="B6978">
        <v>207964805.94808513</v>
      </c>
    </row>
    <row r="6979" spans="1:2" x14ac:dyDescent="0.25">
      <c r="A6979">
        <f ca="1">31670.9199891882*((RANDBETWEEN(1587,2416)))</f>
        <v>70024404.096095175</v>
      </c>
      <c r="B6979">
        <v>225669911.5695734</v>
      </c>
    </row>
    <row r="6980" spans="1:2" x14ac:dyDescent="0.25">
      <c r="A6980">
        <f ca="1">35597.8778087279*((RANDBETWEEN(1587,2416)))</f>
        <v>75182717.932033285</v>
      </c>
      <c r="B6980">
        <v>220180838.4981308</v>
      </c>
    </row>
    <row r="6981" spans="1:2" x14ac:dyDescent="0.25">
      <c r="A6981">
        <f ca="1">36032.5402789505*((RANDBETWEEN(1587,2416)))</f>
        <v>57760162.067157574</v>
      </c>
      <c r="B6981">
        <v>266128268.15208772</v>
      </c>
    </row>
    <row r="6982" spans="1:2" x14ac:dyDescent="0.25">
      <c r="A6982">
        <f ca="1">43479.5719675085*((RANDBETWEEN(1587,2416)))</f>
        <v>81654636.154980928</v>
      </c>
      <c r="B6982">
        <v>233934625.12124422</v>
      </c>
    </row>
    <row r="6983" spans="1:2" x14ac:dyDescent="0.25">
      <c r="A6983">
        <f ca="1">35399.2267163773*((RANDBETWEEN(1587,2416)))</f>
        <v>70055069.67171073</v>
      </c>
      <c r="B6983">
        <v>223785448.05209732</v>
      </c>
    </row>
    <row r="6984" spans="1:2" x14ac:dyDescent="0.25">
      <c r="A6984">
        <f ca="1">29970.1532513539*((RANDBETWEEN(1587,2416)))</f>
        <v>65874396.846475974</v>
      </c>
      <c r="B6984">
        <v>215072260.48608574</v>
      </c>
    </row>
    <row r="6985" spans="1:2" x14ac:dyDescent="0.25">
      <c r="A6985">
        <f ca="1">38841.7692400507*((RANDBETWEEN(1587,2416)))</f>
        <v>63156716.784322478</v>
      </c>
      <c r="B6985">
        <v>220853862.12640935</v>
      </c>
    </row>
    <row r="6986" spans="1:2" x14ac:dyDescent="0.25">
      <c r="A6986">
        <f ca="1">31718.8838527299*((RANDBETWEEN(1587,2416)))</f>
        <v>70415922.153060317</v>
      </c>
      <c r="B6986">
        <v>250660138.45209822</v>
      </c>
    </row>
    <row r="6987" spans="1:2" x14ac:dyDescent="0.25">
      <c r="A6987">
        <f ca="1">31040.9900532948*((RANDBETWEEN(1587,2416)))</f>
        <v>66986456.535010159</v>
      </c>
      <c r="B6987">
        <v>216949149.69337431</v>
      </c>
    </row>
    <row r="6988" spans="1:2" x14ac:dyDescent="0.25">
      <c r="A6988">
        <f ca="1">33061.9887609597*((RANDBETWEEN(1587,2416)))</f>
        <v>76670751.936665639</v>
      </c>
      <c r="B6988">
        <v>260944088.24586368</v>
      </c>
    </row>
    <row r="6989" spans="1:2" x14ac:dyDescent="0.25">
      <c r="A6989">
        <f ca="1">33557.3580645699*((RANDBETWEEN(1587,2416)))</f>
        <v>55839443.819444381</v>
      </c>
      <c r="B6989">
        <v>258932288.98908716</v>
      </c>
    </row>
    <row r="6990" spans="1:2" x14ac:dyDescent="0.25">
      <c r="A6990">
        <f ca="1">40201.7847726374*((RANDBETWEEN(1587,2416)))</f>
        <v>83579510.542313054</v>
      </c>
      <c r="B6990">
        <v>250147039.64822394</v>
      </c>
    </row>
    <row r="6991" spans="1:2" x14ac:dyDescent="0.25">
      <c r="A6991">
        <f ca="1">29633.0712023085*((RANDBETWEEN(1587,2416)))</f>
        <v>47768510.778121293</v>
      </c>
      <c r="B6991">
        <v>204053725.95065966</v>
      </c>
    </row>
    <row r="6992" spans="1:2" x14ac:dyDescent="0.25">
      <c r="A6992">
        <f ca="1">32694.5063773905*((RANDBETWEEN(1587,2416)))</f>
        <v>71143245.87720181</v>
      </c>
      <c r="B6992">
        <v>257936797.53205681</v>
      </c>
    </row>
    <row r="6993" spans="1:2" x14ac:dyDescent="0.25">
      <c r="A6993">
        <f ca="1">31009.1280348672*((RANDBETWEEN(1587,2416)))</f>
        <v>61925228.685629785</v>
      </c>
      <c r="B6993">
        <v>226978608.69148016</v>
      </c>
    </row>
    <row r="6994" spans="1:2" x14ac:dyDescent="0.25">
      <c r="A6994">
        <f ca="1">40139.0167861005*((RANDBETWEEN(1587,2416)))</f>
        <v>76464826.977521375</v>
      </c>
      <c r="B6994">
        <v>224921644.19450012</v>
      </c>
    </row>
    <row r="6995" spans="1:2" x14ac:dyDescent="0.25">
      <c r="A6995">
        <f ca="1">44046.1371024526*((RANDBETWEEN(1587,2416)))</f>
        <v>82454368.655791283</v>
      </c>
      <c r="B6995">
        <v>204502753.69170755</v>
      </c>
    </row>
    <row r="6996" spans="1:2" x14ac:dyDescent="0.25">
      <c r="A6996">
        <f ca="1">38375.4242190103*((RANDBETWEEN(1587,2416)))</f>
        <v>85231817.190421805</v>
      </c>
      <c r="B6996">
        <v>254775817.62527204</v>
      </c>
    </row>
    <row r="6997" spans="1:2" x14ac:dyDescent="0.25">
      <c r="A6997">
        <f ca="1">32409.0895106397*((RANDBETWEEN(1587,2416)))</f>
        <v>66082133.512194298</v>
      </c>
      <c r="B6997">
        <v>234818435.59801441</v>
      </c>
    </row>
    <row r="6998" spans="1:2" x14ac:dyDescent="0.25">
      <c r="A6998">
        <f ca="1">31443.2519451923*((RANDBETWEEN(1587,2416)))</f>
        <v>64458666.4876443</v>
      </c>
      <c r="B6998">
        <v>215840181.00615615</v>
      </c>
    </row>
    <row r="6999" spans="1:2" x14ac:dyDescent="0.25">
      <c r="A6999">
        <f ca="1">31290.9779987937*((RANDBETWEEN(1587,2416)))</f>
        <v>61799681.547617465</v>
      </c>
      <c r="B6999">
        <v>230019599.62822449</v>
      </c>
    </row>
    <row r="7000" spans="1:2" x14ac:dyDescent="0.25">
      <c r="A7000">
        <f ca="1">31111.771866711*((RANDBETWEEN(1587,2416)))</f>
        <v>58272348.706349671</v>
      </c>
      <c r="B7000">
        <v>254820940.91146201</v>
      </c>
    </row>
    <row r="7001" spans="1:2" x14ac:dyDescent="0.25">
      <c r="A7001">
        <f ca="1">38002.2767560266*((RANDBETWEEN(1587,2416)))</f>
        <v>66237968.385754414</v>
      </c>
      <c r="B7001">
        <v>256243603.43422079</v>
      </c>
    </row>
    <row r="7002" spans="1:2" x14ac:dyDescent="0.25">
      <c r="A7002">
        <f ca="1">31958.8230393115*((RANDBETWEEN(1587,2416)))</f>
        <v>65419710.761470705</v>
      </c>
      <c r="B7002">
        <v>241104534.18537825</v>
      </c>
    </row>
    <row r="7003" spans="1:2" x14ac:dyDescent="0.25">
      <c r="A7003">
        <f ca="1">30918.4363791564*((RANDBETWEEN(1587,2416)))</f>
        <v>61929628.067450188</v>
      </c>
      <c r="B7003">
        <v>235902329.30076432</v>
      </c>
    </row>
    <row r="7004" spans="1:2" x14ac:dyDescent="0.25">
      <c r="A7004">
        <f ca="1">38636.3587673216*((RANDBETWEEN(1587,2416)))</f>
        <v>82604535.044533536</v>
      </c>
      <c r="B7004">
        <v>230616952.88367051</v>
      </c>
    </row>
    <row r="7005" spans="1:2" x14ac:dyDescent="0.25">
      <c r="A7005">
        <f ca="1">30673.0557915429*((RANDBETWEEN(1587,2416)))</f>
        <v>71345527.771128818</v>
      </c>
      <c r="B7005">
        <v>220074080.89707497</v>
      </c>
    </row>
    <row r="7006" spans="1:2" x14ac:dyDescent="0.25">
      <c r="A7006">
        <f ca="1">31142.0369836975*((RANDBETWEEN(1587,2416)))</f>
        <v>70287577.472205177</v>
      </c>
      <c r="B7006">
        <v>263112778.81346655</v>
      </c>
    </row>
    <row r="7007" spans="1:2" x14ac:dyDescent="0.25">
      <c r="A7007">
        <f ca="1">42523.0936942388*((RANDBETWEEN(1587,2416)))</f>
        <v>89936343.163315088</v>
      </c>
      <c r="B7007">
        <v>229842458.90090197</v>
      </c>
    </row>
    <row r="7008" spans="1:2" x14ac:dyDescent="0.25">
      <c r="A7008">
        <f ca="1">32593.8843850773*((RANDBETWEEN(1587,2416)))</f>
        <v>76237095.576695681</v>
      </c>
      <c r="B7008">
        <v>225895144.60224038</v>
      </c>
    </row>
    <row r="7009" spans="1:2" x14ac:dyDescent="0.25">
      <c r="A7009">
        <f ca="1">35169.9695979806*((RANDBETWEEN(1587,2416)))</f>
        <v>58839359.137421526</v>
      </c>
      <c r="B7009">
        <v>233314293.48715261</v>
      </c>
    </row>
    <row r="7010" spans="1:2" x14ac:dyDescent="0.25">
      <c r="A7010">
        <f ca="1">39989.0506100412*((RANDBETWEEN(1587,2416)))</f>
        <v>65582043.000467569</v>
      </c>
      <c r="B7010">
        <v>265800272.922562</v>
      </c>
    </row>
    <row r="7011" spans="1:2" x14ac:dyDescent="0.25">
      <c r="A7011">
        <f ca="1">33544.3729163452*((RANDBETWEEN(1587,2416)))</f>
        <v>78326110.759666011</v>
      </c>
      <c r="B7011">
        <v>247247374.5496355</v>
      </c>
    </row>
    <row r="7012" spans="1:2" x14ac:dyDescent="0.25">
      <c r="A7012">
        <f ca="1">30070.0843984102*((RANDBETWEEN(1587,2416)))</f>
        <v>50337321.2829386</v>
      </c>
      <c r="B7012">
        <v>250510706.44297993</v>
      </c>
    </row>
    <row r="7013" spans="1:2" x14ac:dyDescent="0.25">
      <c r="A7013">
        <f ca="1">36437.4290384817*((RANDBETWEEN(1587,2416)))</f>
        <v>60959818.781379849</v>
      </c>
      <c r="B7013">
        <v>226675865.57711923</v>
      </c>
    </row>
    <row r="7014" spans="1:2" x14ac:dyDescent="0.25">
      <c r="A7014">
        <f ca="1">31895.5477835607*((RANDBETWEEN(1587,2416)))</f>
        <v>65545350.695217177</v>
      </c>
      <c r="B7014">
        <v>260731046.55327687</v>
      </c>
    </row>
    <row r="7015" spans="1:2" x14ac:dyDescent="0.25">
      <c r="A7015">
        <f ca="1">31877.0303151463*((RANDBETWEEN(1587,2416)))</f>
        <v>62128332.084220171</v>
      </c>
      <c r="B7015">
        <v>235838656.48925036</v>
      </c>
    </row>
    <row r="7016" spans="1:2" x14ac:dyDescent="0.25">
      <c r="A7016">
        <f ca="1">33175.3104038936*((RANDBETWEEN(1587,2416)))</f>
        <v>55104190.580867305</v>
      </c>
      <c r="B7016">
        <v>250368679.75307536</v>
      </c>
    </row>
    <row r="7017" spans="1:2" x14ac:dyDescent="0.25">
      <c r="A7017">
        <f ca="1">32800.4939948893*((RANDBETWEEN(1587,2416)))</f>
        <v>78589983.611754775</v>
      </c>
      <c r="B7017">
        <v>266925043.09061307</v>
      </c>
    </row>
    <row r="7018" spans="1:2" x14ac:dyDescent="0.25">
      <c r="A7018">
        <f ca="1">43030.1374441971*((RANDBETWEEN(1587,2416)))</f>
        <v>89502685.883930072</v>
      </c>
      <c r="B7018">
        <v>241580351.73663899</v>
      </c>
    </row>
    <row r="7019" spans="1:2" x14ac:dyDescent="0.25">
      <c r="A7019">
        <f ca="1">38009.8994880318*((RANDBETWEEN(1587,2416)))</f>
        <v>75753729.679647371</v>
      </c>
      <c r="B7019">
        <v>259513236.82158875</v>
      </c>
    </row>
    <row r="7020" spans="1:2" x14ac:dyDescent="0.25">
      <c r="A7020">
        <f ca="1">32764.7237584884*((RANDBETWEEN(1587,2416)))</f>
        <v>76702218.318621352</v>
      </c>
      <c r="B7020">
        <v>217260614.69216466</v>
      </c>
    </row>
    <row r="7021" spans="1:2" x14ac:dyDescent="0.25">
      <c r="A7021">
        <f ca="1">33532.8835323324*((RANDBETWEEN(1587,2416)))</f>
        <v>53853810.952925816</v>
      </c>
      <c r="B7021">
        <v>208815506.61043409</v>
      </c>
    </row>
    <row r="7022" spans="1:2" x14ac:dyDescent="0.25">
      <c r="A7022">
        <f ca="1">36233.4043047334*((RANDBETWEEN(1587,2416)))</f>
        <v>79822189.68332763</v>
      </c>
      <c r="B7022">
        <v>256390134.5731152</v>
      </c>
    </row>
    <row r="7023" spans="1:2" x14ac:dyDescent="0.25">
      <c r="A7023">
        <f ca="1">30717.162519263*((RANDBETWEEN(1587,2416)))</f>
        <v>52219176.282747015</v>
      </c>
      <c r="B7023">
        <v>243633114.75866193</v>
      </c>
    </row>
    <row r="7024" spans="1:2" x14ac:dyDescent="0.25">
      <c r="A7024">
        <f ca="1">30046.1710305479*((RANDBETWEEN(1587,2416)))</f>
        <v>56066155.143002346</v>
      </c>
      <c r="B7024">
        <v>241382464.6937325</v>
      </c>
    </row>
    <row r="7025" spans="1:2" x14ac:dyDescent="0.25">
      <c r="A7025">
        <f ca="1">35722.5801173148*((RANDBETWEEN(1587,2416)))</f>
        <v>76482044.03117092</v>
      </c>
      <c r="B7025">
        <v>210505739.19193357</v>
      </c>
    </row>
    <row r="7026" spans="1:2" x14ac:dyDescent="0.25">
      <c r="A7026">
        <f ca="1">32544.0690210692*((RANDBETWEEN(1587,2416)))</f>
        <v>61052673.483525909</v>
      </c>
      <c r="B7026">
        <v>264606476.74084529</v>
      </c>
    </row>
    <row r="7027" spans="1:2" x14ac:dyDescent="0.25">
      <c r="A7027">
        <f ca="1">29645.4126130158*((RANDBETWEEN(1587,2416)))</f>
        <v>53361742.703428403</v>
      </c>
      <c r="B7027">
        <v>228378876.93472886</v>
      </c>
    </row>
    <row r="7028" spans="1:2" x14ac:dyDescent="0.25">
      <c r="A7028">
        <f ca="1">32733.1258309239*((RANDBETWEEN(1587,2416)))</f>
        <v>71914677.450539738</v>
      </c>
      <c r="B7028">
        <v>253568591.07423693</v>
      </c>
    </row>
    <row r="7029" spans="1:2" x14ac:dyDescent="0.25">
      <c r="A7029">
        <f ca="1">31882.617012631*((RANDBETWEEN(1587,2416)))</f>
        <v>52765731.15590433</v>
      </c>
      <c r="B7029">
        <v>211601008.63471037</v>
      </c>
    </row>
    <row r="7030" spans="1:2" x14ac:dyDescent="0.25">
      <c r="A7030">
        <f ca="1">33114.6989387205*((RANDBETWEEN(1587,2416)))</f>
        <v>53844500.474359594</v>
      </c>
      <c r="B7030">
        <v>228932762.48742139</v>
      </c>
    </row>
    <row r="7031" spans="1:2" x14ac:dyDescent="0.25">
      <c r="A7031">
        <f ca="1">32286.2765380032*((RANDBETWEEN(1587,2416)))</f>
        <v>75291596.886623561</v>
      </c>
      <c r="B7031">
        <v>267414881.72197467</v>
      </c>
    </row>
    <row r="7032" spans="1:2" x14ac:dyDescent="0.25">
      <c r="A7032">
        <f ca="1">31210.1896151914*((RANDBETWEEN(1587,2416)))</f>
        <v>65010824.968443654</v>
      </c>
      <c r="B7032">
        <v>231682426.25580671</v>
      </c>
    </row>
    <row r="7033" spans="1:2" x14ac:dyDescent="0.25">
      <c r="A7033">
        <f ca="1">30899.0581483947*((RANDBETWEEN(1587,2416)))</f>
        <v>61087437.95937638</v>
      </c>
      <c r="B7033">
        <v>219584443.07498321</v>
      </c>
    </row>
    <row r="7034" spans="1:2" x14ac:dyDescent="0.25">
      <c r="A7034">
        <f ca="1">33344.9229673498*((RANDBETWEEN(1587,2416)))</f>
        <v>57253232.734939538</v>
      </c>
      <c r="B7034">
        <v>228689947.13332987</v>
      </c>
    </row>
    <row r="7035" spans="1:2" x14ac:dyDescent="0.25">
      <c r="A7035">
        <f ca="1">31503.551293074*((RANDBETWEEN(1587,2416)))</f>
        <v>60707343.341753602</v>
      </c>
      <c r="B7035">
        <v>234479819.33851165</v>
      </c>
    </row>
    <row r="7036" spans="1:2" x14ac:dyDescent="0.25">
      <c r="A7036">
        <f ca="1">36279.9343424474*((RANDBETWEEN(1587,2416)))</f>
        <v>69802593.674868882</v>
      </c>
      <c r="B7036">
        <v>221642003.09335351</v>
      </c>
    </row>
    <row r="7037" spans="1:2" x14ac:dyDescent="0.25">
      <c r="A7037">
        <f ca="1">36558.3275196156*((RANDBETWEEN(1587,2416)))</f>
        <v>76772487.791192725</v>
      </c>
      <c r="B7037">
        <v>249066130.30545551</v>
      </c>
    </row>
    <row r="7038" spans="1:2" x14ac:dyDescent="0.25">
      <c r="A7038">
        <f ca="1">31690.9121539229*((RANDBETWEEN(1587,2416)))</f>
        <v>52733677.824127764</v>
      </c>
      <c r="B7038">
        <v>216322130.51366842</v>
      </c>
    </row>
    <row r="7039" spans="1:2" x14ac:dyDescent="0.25">
      <c r="A7039">
        <f ca="1">35235.1771635179*((RANDBETWEEN(1587,2416)))</f>
        <v>63493789.248659261</v>
      </c>
      <c r="B7039">
        <v>239288636.07597107</v>
      </c>
    </row>
    <row r="7040" spans="1:2" x14ac:dyDescent="0.25">
      <c r="A7040">
        <f ca="1">30843.226414947*((RANDBETWEEN(1587,2416)))</f>
        <v>71895560.77324152</v>
      </c>
      <c r="B7040">
        <v>205931970.28268483</v>
      </c>
    </row>
    <row r="7041" spans="1:2" x14ac:dyDescent="0.25">
      <c r="A7041">
        <f ca="1">42820.3472529427*((RANDBETWEEN(1587,2416)))</f>
        <v>69583064.286031961</v>
      </c>
      <c r="B7041">
        <v>211147320.98654547</v>
      </c>
    </row>
    <row r="7042" spans="1:2" x14ac:dyDescent="0.25">
      <c r="A7042">
        <f ca="1">32557.9124028463*((RANDBETWEEN(1587,2416)))</f>
        <v>74915756.438949257</v>
      </c>
      <c r="B7042">
        <v>230459703.28726599</v>
      </c>
    </row>
    <row r="7043" spans="1:2" x14ac:dyDescent="0.25">
      <c r="A7043">
        <f ca="1">37227.9589586217*((RANDBETWEEN(1587,2416)))</f>
        <v>77173558.921222731</v>
      </c>
      <c r="B7043">
        <v>217539023.66320315</v>
      </c>
    </row>
    <row r="7044" spans="1:2" x14ac:dyDescent="0.25">
      <c r="A7044">
        <f ca="1">34115.131888405*((RANDBETWEEN(1587,2416)))</f>
        <v>57722803.155181266</v>
      </c>
      <c r="B7044">
        <v>260083053.2045595</v>
      </c>
    </row>
    <row r="7045" spans="1:2" x14ac:dyDescent="0.25">
      <c r="A7045">
        <f ca="1">41055.9044893957*((RANDBETWEEN(1587,2416)))</f>
        <v>92704232.33705546</v>
      </c>
      <c r="B7045">
        <v>210078852.25529182</v>
      </c>
    </row>
    <row r="7046" spans="1:2" x14ac:dyDescent="0.25">
      <c r="A7046">
        <f ca="1">40312.7263813655*((RANDBETWEEN(1587,2416)))</f>
        <v>88042994.416902244</v>
      </c>
      <c r="B7046">
        <v>260547251.03164855</v>
      </c>
    </row>
    <row r="7047" spans="1:2" x14ac:dyDescent="0.25">
      <c r="A7047">
        <f ca="1">40654.7506675894*((RANDBETWEEN(1587,2416)))</f>
        <v>88058189.945998713</v>
      </c>
      <c r="B7047">
        <v>246594117.97300056</v>
      </c>
    </row>
    <row r="7048" spans="1:2" x14ac:dyDescent="0.25">
      <c r="A7048">
        <f ca="1">31006.8308436948*((RANDBETWEEN(1587,2416)))</f>
        <v>67625898.070098415</v>
      </c>
      <c r="B7048">
        <v>233023122.93804932</v>
      </c>
    </row>
    <row r="7049" spans="1:2" x14ac:dyDescent="0.25">
      <c r="A7049">
        <f ca="1">33875.1306701744*((RANDBETWEEN(1587,2416)))</f>
        <v>68156762.908390939</v>
      </c>
      <c r="B7049">
        <v>229707738.04643652</v>
      </c>
    </row>
    <row r="7050" spans="1:2" x14ac:dyDescent="0.25">
      <c r="A7050">
        <f ca="1">38908.6919436731*((RANDBETWEEN(1587,2416)))</f>
        <v>87972552.48464489</v>
      </c>
      <c r="B7050">
        <v>254489766.90373236</v>
      </c>
    </row>
    <row r="7051" spans="1:2" x14ac:dyDescent="0.25">
      <c r="A7051">
        <f ca="1">30855.640053247*((RANDBETWEEN(1587,2416)))</f>
        <v>58995983.781808294</v>
      </c>
      <c r="B7051">
        <v>215770136.38186598</v>
      </c>
    </row>
    <row r="7052" spans="1:2" x14ac:dyDescent="0.25">
      <c r="A7052">
        <f ca="1">33451.5904338157*((RANDBETWEEN(1587,2416)))</f>
        <v>68676115.160623699</v>
      </c>
      <c r="B7052">
        <v>217161852.48813617</v>
      </c>
    </row>
    <row r="7053" spans="1:2" x14ac:dyDescent="0.25">
      <c r="A7053">
        <f ca="1">35338.0559955379*((RANDBETWEEN(1587,2416)))</f>
        <v>70499421.711098045</v>
      </c>
      <c r="B7053">
        <v>207306043.65858528</v>
      </c>
    </row>
    <row r="7054" spans="1:2" x14ac:dyDescent="0.25">
      <c r="A7054">
        <f ca="1">35426.1012416501*((RANDBETWEEN(1587,2416)))</f>
        <v>60366076.515771799</v>
      </c>
      <c r="B7054">
        <v>267034409.59427637</v>
      </c>
    </row>
    <row r="7055" spans="1:2" x14ac:dyDescent="0.25">
      <c r="A7055">
        <f ca="1">31676.8783936894*((RANDBETWEEN(1587,2416)))</f>
        <v>51126481.727414764</v>
      </c>
      <c r="B7055">
        <v>258493539.82717901</v>
      </c>
    </row>
    <row r="7056" spans="1:2" x14ac:dyDescent="0.25">
      <c r="A7056">
        <f ca="1">31201.5323420883*((RANDBETWEEN(1587,2416)))</f>
        <v>55226712.245496288</v>
      </c>
      <c r="B7056">
        <v>206132783.86618385</v>
      </c>
    </row>
    <row r="7057" spans="1:2" x14ac:dyDescent="0.25">
      <c r="A7057">
        <f ca="1">34059.8346332969*((RANDBETWEEN(1587,2416)))</f>
        <v>74148259.996687412</v>
      </c>
      <c r="B7057">
        <v>219688216.53990418</v>
      </c>
    </row>
    <row r="7058" spans="1:2" x14ac:dyDescent="0.25">
      <c r="A7058">
        <f ca="1">36382.3318015055*((RANDBETWEEN(1587,2416)))</f>
        <v>80404953.281327099</v>
      </c>
      <c r="B7058">
        <v>220929338.97351879</v>
      </c>
    </row>
    <row r="7059" spans="1:2" x14ac:dyDescent="0.25">
      <c r="A7059">
        <f ca="1">38754.792638993*((RANDBETWEEN(1587,2416)))</f>
        <v>89988628.507741749</v>
      </c>
      <c r="B7059">
        <v>204949078.24702513</v>
      </c>
    </row>
    <row r="7060" spans="1:2" x14ac:dyDescent="0.25">
      <c r="A7060">
        <f ca="1">35991.1320139733*((RANDBETWEEN(1587,2416)))</f>
        <v>58881491.974860318</v>
      </c>
      <c r="B7060">
        <v>224667940.66564432</v>
      </c>
    </row>
    <row r="7061" spans="1:2" x14ac:dyDescent="0.25">
      <c r="A7061">
        <f ca="1">33700.1663852583*((RANDBETWEEN(1587,2416)))</f>
        <v>74511067.877806067</v>
      </c>
      <c r="B7061">
        <v>256289122.67035511</v>
      </c>
    </row>
    <row r="7062" spans="1:2" x14ac:dyDescent="0.25">
      <c r="A7062">
        <f ca="1">29129.269544853*((RANDBETWEEN(1587,2416)))</f>
        <v>69240273.708115608</v>
      </c>
      <c r="B7062">
        <v>257282305.48219827</v>
      </c>
    </row>
    <row r="7063" spans="1:2" x14ac:dyDescent="0.25">
      <c r="A7063">
        <f ca="1">31413.0526038025*((RANDBETWEEN(1587,2416)))</f>
        <v>68983063.517950177</v>
      </c>
      <c r="B7063">
        <v>257661047.82582474</v>
      </c>
    </row>
    <row r="7064" spans="1:2" x14ac:dyDescent="0.25">
      <c r="A7064">
        <f ca="1">32596.4828215382*((RANDBETWEEN(1587,2416)))</f>
        <v>52219565.480104275</v>
      </c>
      <c r="B7064">
        <v>221400249.14773822</v>
      </c>
    </row>
    <row r="7065" spans="1:2" x14ac:dyDescent="0.25">
      <c r="A7065">
        <f ca="1">33092.7533606009*((RANDBETWEEN(1587,2416)))</f>
        <v>63074787.905305319</v>
      </c>
      <c r="B7065">
        <v>224648541.79396963</v>
      </c>
    </row>
    <row r="7066" spans="1:2" x14ac:dyDescent="0.25">
      <c r="A7066">
        <f ca="1">34844.1845618151*((RANDBETWEEN(1587,2416)))</f>
        <v>75367971.207206115</v>
      </c>
      <c r="B7066">
        <v>210130709.68494821</v>
      </c>
    </row>
    <row r="7067" spans="1:2" x14ac:dyDescent="0.25">
      <c r="A7067">
        <f ca="1">38822.6047793792*((RANDBETWEEN(1587,2416)))</f>
        <v>86225005.21500127</v>
      </c>
      <c r="B7067">
        <v>238102286.18369827</v>
      </c>
    </row>
    <row r="7068" spans="1:2" x14ac:dyDescent="0.25">
      <c r="A7068">
        <f ca="1">33250.1193651472*((RANDBETWEEN(1587,2416)))</f>
        <v>60880968.557584614</v>
      </c>
      <c r="B7068">
        <v>210473934.39075339</v>
      </c>
    </row>
    <row r="7069" spans="1:2" x14ac:dyDescent="0.25">
      <c r="A7069">
        <f ca="1">30454.9732354284*((RANDBETWEEN(1587,2416)))</f>
        <v>54240307.332298025</v>
      </c>
      <c r="B7069">
        <v>245154896.20567265</v>
      </c>
    </row>
    <row r="7070" spans="1:2" x14ac:dyDescent="0.25">
      <c r="A7070">
        <f ca="1">40593.4882977831*((RANDBETWEEN(1587,2416)))</f>
        <v>67263410.109426573</v>
      </c>
      <c r="B7070">
        <v>266185772.03014004</v>
      </c>
    </row>
    <row r="7071" spans="1:2" x14ac:dyDescent="0.25">
      <c r="A7071">
        <f ca="1">37818.9037335781*((RANDBETWEEN(1587,2416)))</f>
        <v>76053815.408225492</v>
      </c>
      <c r="B7071">
        <v>264141554.81886551</v>
      </c>
    </row>
    <row r="7072" spans="1:2" x14ac:dyDescent="0.25">
      <c r="A7072">
        <f ca="1">41451.6458392351*((RANDBETWEEN(1587,2416)))</f>
        <v>94799914.034330785</v>
      </c>
      <c r="B7072">
        <v>267581163.88434064</v>
      </c>
    </row>
    <row r="7073" spans="1:2" x14ac:dyDescent="0.25">
      <c r="A7073">
        <f ca="1">41001.1188280262*((RANDBETWEEN(1587,2416)))</f>
        <v>70152914.314752907</v>
      </c>
      <c r="B7073">
        <v>254764971.71893942</v>
      </c>
    </row>
    <row r="7074" spans="1:2" x14ac:dyDescent="0.25">
      <c r="A7074">
        <f ca="1">32018.1090168187*((RANDBETWEEN(1587,2416)))</f>
        <v>63427873.962317854</v>
      </c>
      <c r="B7074">
        <v>237249528.29752341</v>
      </c>
    </row>
    <row r="7075" spans="1:2" x14ac:dyDescent="0.25">
      <c r="A7075">
        <f ca="1">33503.3036938987*((RANDBETWEEN(1587,2416)))</f>
        <v>72065606.245576188</v>
      </c>
      <c r="B7075">
        <v>260243578.90668494</v>
      </c>
    </row>
    <row r="7076" spans="1:2" x14ac:dyDescent="0.25">
      <c r="A7076">
        <f ca="1">35165.5114037057*((RANDBETWEEN(1587,2416)))</f>
        <v>77610283.66797854</v>
      </c>
      <c r="B7076">
        <v>241153154.48742777</v>
      </c>
    </row>
    <row r="7077" spans="1:2" x14ac:dyDescent="0.25">
      <c r="A7077">
        <f ca="1">27845.6641957151*((RANDBETWEEN(1587,2416)))</f>
        <v>49620973.596764356</v>
      </c>
      <c r="B7077">
        <v>235595800.6765894</v>
      </c>
    </row>
    <row r="7078" spans="1:2" x14ac:dyDescent="0.25">
      <c r="A7078">
        <f ca="1">34242.8695609041*((RANDBETWEEN(1587,2416)))</f>
        <v>68348767.643564582</v>
      </c>
      <c r="B7078">
        <v>266877162.79107153</v>
      </c>
    </row>
    <row r="7079" spans="1:2" x14ac:dyDescent="0.25">
      <c r="A7079">
        <f ca="1">36783.3872294773*((RANDBETWEEN(1587,2416)))</f>
        <v>88390479.512433961</v>
      </c>
      <c r="B7079">
        <v>211994971.05950055</v>
      </c>
    </row>
    <row r="7080" spans="1:2" x14ac:dyDescent="0.25">
      <c r="A7080">
        <f ca="1">28377.4213339687*((RANDBETWEEN(1587,2416)))</f>
        <v>61437117.18804232</v>
      </c>
      <c r="B7080">
        <v>249532730.13399065</v>
      </c>
    </row>
    <row r="7081" spans="1:2" x14ac:dyDescent="0.25">
      <c r="A7081">
        <f ca="1">29772.6561089839*((RANDBETWEEN(1587,2416)))</f>
        <v>49154655.235932387</v>
      </c>
      <c r="B7081">
        <v>231418047.79866245</v>
      </c>
    </row>
    <row r="7082" spans="1:2" x14ac:dyDescent="0.25">
      <c r="A7082">
        <f ca="1">38503.0346653683*((RANDBETWEEN(1587,2416)))</f>
        <v>87940931.175701246</v>
      </c>
      <c r="B7082">
        <v>258537172.09436196</v>
      </c>
    </row>
    <row r="7083" spans="1:2" x14ac:dyDescent="0.25">
      <c r="A7083">
        <f ca="1">35360.3023457194*((RANDBETWEEN(1587,2416)))</f>
        <v>79985003.906017244</v>
      </c>
      <c r="B7083">
        <v>254031520.04910192</v>
      </c>
    </row>
    <row r="7084" spans="1:2" x14ac:dyDescent="0.25">
      <c r="A7084">
        <f ca="1">32332.3887760591*((RANDBETWEEN(1587,2416)))</f>
        <v>62918828.558210976</v>
      </c>
      <c r="B7084">
        <v>232066031.75265613</v>
      </c>
    </row>
    <row r="7085" spans="1:2" x14ac:dyDescent="0.25">
      <c r="A7085">
        <f ca="1">30581.9201491507*((RANDBETWEEN(1587,2416)))</f>
        <v>56851789.557271108</v>
      </c>
      <c r="B7085">
        <v>204030127.41983944</v>
      </c>
    </row>
    <row r="7086" spans="1:2" x14ac:dyDescent="0.25">
      <c r="A7086">
        <f ca="1">36113.9005139103*((RANDBETWEEN(1587,2416)))</f>
        <v>75730849.377669826</v>
      </c>
      <c r="B7086">
        <v>245186774.20649353</v>
      </c>
    </row>
    <row r="7087" spans="1:2" x14ac:dyDescent="0.25">
      <c r="A7087">
        <f ca="1">29474.7464107822*((RANDBETWEEN(1587,2416)))</f>
        <v>65050765.328596346</v>
      </c>
      <c r="B7087">
        <v>206405659.35395557</v>
      </c>
    </row>
    <row r="7088" spans="1:2" x14ac:dyDescent="0.25">
      <c r="A7088">
        <f ca="1">38786.790454746*((RANDBETWEEN(1587,2416)))</f>
        <v>70087730.351726025</v>
      </c>
      <c r="B7088">
        <v>228686189.16955149</v>
      </c>
    </row>
    <row r="7089" spans="1:2" x14ac:dyDescent="0.25">
      <c r="A7089">
        <f ca="1">37824.8829667363*((RANDBETWEEN(1587,2416)))</f>
        <v>74704143.85930416</v>
      </c>
      <c r="B7089">
        <v>260040753.08790603</v>
      </c>
    </row>
    <row r="7090" spans="1:2" x14ac:dyDescent="0.25">
      <c r="A7090">
        <f ca="1">29836.0742102751*((RANDBETWEEN(1587,2416)))</f>
        <v>59582640.197919346</v>
      </c>
      <c r="B7090">
        <v>245634352.93279311</v>
      </c>
    </row>
    <row r="7091" spans="1:2" x14ac:dyDescent="0.25">
      <c r="A7091">
        <f ca="1">35419.6796305395*((RANDBETWEEN(1587,2416)))</f>
        <v>62905351.023838185</v>
      </c>
      <c r="B7091">
        <v>209162185.98171943</v>
      </c>
    </row>
    <row r="7092" spans="1:2" x14ac:dyDescent="0.25">
      <c r="A7092">
        <f ca="1">39221.5245779246*((RANDBETWEEN(1587,2416)))</f>
        <v>76207422.254907563</v>
      </c>
      <c r="B7092">
        <v>260286693.87205416</v>
      </c>
    </row>
    <row r="7093" spans="1:2" x14ac:dyDescent="0.25">
      <c r="A7093">
        <f ca="1">30649.5583918455*((RANDBETWEEN(1587,2416)))</f>
        <v>71811915.312093973</v>
      </c>
      <c r="B7093">
        <v>222957200.98900941</v>
      </c>
    </row>
    <row r="7094" spans="1:2" x14ac:dyDescent="0.25">
      <c r="A7094">
        <f ca="1">36383.2060288374*((RANDBETWEEN(1587,2416)))</f>
        <v>68291277.716127753</v>
      </c>
      <c r="B7094">
        <v>237660359.37209526</v>
      </c>
    </row>
    <row r="7095" spans="1:2" x14ac:dyDescent="0.25">
      <c r="A7095">
        <f ca="1">39988.5626672953*((RANDBETWEEN(1587,2416)))</f>
        <v>71339595.798454747</v>
      </c>
      <c r="B7095">
        <v>235349944.52734175</v>
      </c>
    </row>
    <row r="7096" spans="1:2" x14ac:dyDescent="0.25">
      <c r="A7096">
        <f ca="1">39348.5228463396*((RANDBETWEEN(1587,2416)))</f>
        <v>83654959.57131803</v>
      </c>
      <c r="B7096">
        <v>210683473.95546797</v>
      </c>
    </row>
    <row r="7097" spans="1:2" x14ac:dyDescent="0.25">
      <c r="A7097">
        <f ca="1">30765.8465402039*((RANDBETWEEN(1587,2416)))</f>
        <v>54394016.683080517</v>
      </c>
      <c r="B7097">
        <v>210790927.05817252</v>
      </c>
    </row>
    <row r="7098" spans="1:2" x14ac:dyDescent="0.25">
      <c r="A7098">
        <f ca="1">38471.241852052*((RANDBETWEEN(1587,2416)))</f>
        <v>81289734.033385888</v>
      </c>
      <c r="B7098">
        <v>212314405.59663561</v>
      </c>
    </row>
    <row r="7099" spans="1:2" x14ac:dyDescent="0.25">
      <c r="A7099">
        <f ca="1">41531.9077650666*((RANDBETWEEN(1587,2416)))</f>
        <v>72140923.787920654</v>
      </c>
      <c r="B7099">
        <v>210621152.56015825</v>
      </c>
    </row>
    <row r="7100" spans="1:2" x14ac:dyDescent="0.25">
      <c r="A7100">
        <f ca="1">40628.0418667776*((RANDBETWEEN(1587,2416)))</f>
        <v>92063142.87011826</v>
      </c>
      <c r="B7100">
        <v>258543335.21608162</v>
      </c>
    </row>
    <row r="7101" spans="1:2" x14ac:dyDescent="0.25">
      <c r="A7101">
        <f ca="1">40185.7290335698*((RANDBETWEEN(1587,2416)))</f>
        <v>79165886.196132451</v>
      </c>
      <c r="B7101">
        <v>253281474.66846877</v>
      </c>
    </row>
    <row r="7102" spans="1:2" x14ac:dyDescent="0.25">
      <c r="A7102">
        <f ca="1">37469.5611150961*((RANDBETWEEN(1587,2416)))</f>
        <v>79323060.880658463</v>
      </c>
      <c r="B7102">
        <v>226790717.29080993</v>
      </c>
    </row>
    <row r="7103" spans="1:2" x14ac:dyDescent="0.25">
      <c r="A7103">
        <f ca="1">39760.2551247184*((RANDBETWEEN(1587,2416)))</f>
        <v>91090744.490729794</v>
      </c>
      <c r="B7103">
        <v>212916780.53548151</v>
      </c>
    </row>
    <row r="7104" spans="1:2" x14ac:dyDescent="0.25">
      <c r="A7104">
        <f ca="1">33396.3481415437*((RANDBETWEEN(1587,2416)))</f>
        <v>65456842.357425645</v>
      </c>
      <c r="B7104">
        <v>237160340.70388442</v>
      </c>
    </row>
    <row r="7105" spans="1:2" x14ac:dyDescent="0.25">
      <c r="A7105">
        <f ca="1">28377.2962808145*((RANDBETWEEN(1587,2416)))</f>
        <v>66771778.148756549</v>
      </c>
      <c r="B7105">
        <v>249049977.52377546</v>
      </c>
    </row>
    <row r="7106" spans="1:2" x14ac:dyDescent="0.25">
      <c r="A7106">
        <f ca="1">31883.8153965877*((RANDBETWEEN(1587,2416)))</f>
        <v>60802435.961292706</v>
      </c>
      <c r="B7106">
        <v>204840315.57890087</v>
      </c>
    </row>
    <row r="7107" spans="1:2" x14ac:dyDescent="0.25">
      <c r="A7107">
        <f ca="1">28365.4741633418*((RANDBETWEEN(1587,2416)))</f>
        <v>61496347.986125007</v>
      </c>
      <c r="B7107">
        <v>209155840.4610444</v>
      </c>
    </row>
    <row r="7108" spans="1:2" x14ac:dyDescent="0.25">
      <c r="A7108">
        <f ca="1">40184.024064583*((RANDBETWEEN(1587,2416)))</f>
        <v>81613752.87516804</v>
      </c>
      <c r="B7108">
        <v>266691574.38546497</v>
      </c>
    </row>
    <row r="7109" spans="1:2" x14ac:dyDescent="0.25">
      <c r="A7109">
        <f ca="1">29340.0273783243*((RANDBETWEEN(1587,2416)))</f>
        <v>54836511.170088142</v>
      </c>
      <c r="B7109">
        <v>209345817.2817899</v>
      </c>
    </row>
    <row r="7110" spans="1:2" x14ac:dyDescent="0.25">
      <c r="A7110">
        <f ca="1">30163.0334634972*((RANDBETWEEN(1587,2416)))</f>
        <v>63915467.909150645</v>
      </c>
      <c r="B7110">
        <v>250314445.51077676</v>
      </c>
    </row>
    <row r="7111" spans="1:2" x14ac:dyDescent="0.25">
      <c r="A7111">
        <f ca="1">34544.6212446987*((RANDBETWEEN(1587,2416)))</f>
        <v>80661690.606371418</v>
      </c>
      <c r="B7111">
        <v>204582902.10762793</v>
      </c>
    </row>
    <row r="7112" spans="1:2" x14ac:dyDescent="0.25">
      <c r="A7112">
        <f ca="1">35061.1496529367*((RANDBETWEEN(1587,2416)))</f>
        <v>81587295.242383763</v>
      </c>
      <c r="B7112">
        <v>218863510.16860321</v>
      </c>
    </row>
    <row r="7113" spans="1:2" x14ac:dyDescent="0.25">
      <c r="A7113">
        <f ca="1">31011.897211077*((RANDBETWEEN(1587,2416)))</f>
        <v>58333378.654035859</v>
      </c>
      <c r="B7113">
        <v>226472367.77758196</v>
      </c>
    </row>
    <row r="7114" spans="1:2" x14ac:dyDescent="0.25">
      <c r="A7114">
        <f ca="1">32109.899144646*((RANDBETWEEN(1587,2416)))</f>
        <v>74205976.923276827</v>
      </c>
      <c r="B7114">
        <v>267634588.19133455</v>
      </c>
    </row>
    <row r="7115" spans="1:2" x14ac:dyDescent="0.25">
      <c r="A7115">
        <f ca="1">31105.5571367116*((RANDBETWEEN(1587,2416)))</f>
        <v>69738659.100507319</v>
      </c>
      <c r="B7115">
        <v>241589063.64989567</v>
      </c>
    </row>
    <row r="7116" spans="1:2" x14ac:dyDescent="0.25">
      <c r="A7116">
        <f ca="1">30602.7114018375*((RANDBETWEEN(1587,2416)))</f>
        <v>61266628.226478681</v>
      </c>
      <c r="B7116">
        <v>222709790.9010908</v>
      </c>
    </row>
    <row r="7117" spans="1:2" x14ac:dyDescent="0.25">
      <c r="A7117">
        <f ca="1">35137.6973931097*((RANDBETWEEN(1587,2416)))</f>
        <v>84084509.861711621</v>
      </c>
      <c r="B7117">
        <v>213120537.72393838</v>
      </c>
    </row>
    <row r="7118" spans="1:2" x14ac:dyDescent="0.25">
      <c r="A7118">
        <f ca="1">39128.2131267276*((RANDBETWEEN(1587,2416)))</f>
        <v>85847299.600040346</v>
      </c>
      <c r="B7118">
        <v>215076383.84145319</v>
      </c>
    </row>
    <row r="7119" spans="1:2" x14ac:dyDescent="0.25">
      <c r="A7119">
        <f ca="1">39454.7621715187*((RANDBETWEEN(1587,2416)))</f>
        <v>91061591.091865078</v>
      </c>
      <c r="B7119">
        <v>204667403.03310609</v>
      </c>
    </row>
    <row r="7120" spans="1:2" x14ac:dyDescent="0.25">
      <c r="A7120">
        <f ca="1">32183.2389315741*((RANDBETWEEN(1587,2416)))</f>
        <v>68711215.118910596</v>
      </c>
      <c r="B7120">
        <v>219292182.38098511</v>
      </c>
    </row>
    <row r="7121" spans="1:2" x14ac:dyDescent="0.25">
      <c r="A7121">
        <f ca="1">32138.9467674574*((RANDBETWEEN(1587,2416)))</f>
        <v>60806887.284029454</v>
      </c>
      <c r="B7121">
        <v>221272296.69378507</v>
      </c>
    </row>
    <row r="7122" spans="1:2" x14ac:dyDescent="0.25">
      <c r="A7122">
        <f ca="1">32080.7888099489*((RANDBETWEEN(1587,2416)))</f>
        <v>54601502.554532953</v>
      </c>
      <c r="B7122">
        <v>214304054.77317595</v>
      </c>
    </row>
    <row r="7123" spans="1:2" x14ac:dyDescent="0.25">
      <c r="A7123">
        <f ca="1">31327.4146395233*((RANDBETWEEN(1587,2416)))</f>
        <v>65286332.108766578</v>
      </c>
      <c r="B7123">
        <v>261656094.78989181</v>
      </c>
    </row>
    <row r="7124" spans="1:2" x14ac:dyDescent="0.25">
      <c r="A7124">
        <f ca="1">39257.0714568354*((RANDBETWEEN(1587,2416)))</f>
        <v>93706629.567466184</v>
      </c>
      <c r="B7124">
        <v>259710445.32888806</v>
      </c>
    </row>
    <row r="7125" spans="1:2" x14ac:dyDescent="0.25">
      <c r="A7125">
        <f ca="1">37284.051571512*((RANDBETWEEN(1587,2416)))</f>
        <v>66552032.055148914</v>
      </c>
      <c r="B7125">
        <v>255276489.42778772</v>
      </c>
    </row>
    <row r="7126" spans="1:2" x14ac:dyDescent="0.25">
      <c r="A7126">
        <f ca="1">43114.6248714762*((RANDBETWEEN(1587,2416)))</f>
        <v>96533645.087235272</v>
      </c>
      <c r="B7126">
        <v>219620998.03750625</v>
      </c>
    </row>
    <row r="7127" spans="1:2" x14ac:dyDescent="0.25">
      <c r="A7127">
        <f ca="1">40325.8620902497*((RANDBETWEEN(1587,2416)))</f>
        <v>66174739.690099828</v>
      </c>
      <c r="B7127">
        <v>218832481.40313476</v>
      </c>
    </row>
    <row r="7128" spans="1:2" x14ac:dyDescent="0.25">
      <c r="A7128">
        <f ca="1">30717.0460443947*((RANDBETWEEN(1587,2416)))</f>
        <v>50283804.374674112</v>
      </c>
      <c r="B7128">
        <v>267203541.49917102</v>
      </c>
    </row>
    <row r="7129" spans="1:2" x14ac:dyDescent="0.25">
      <c r="A7129">
        <f ca="1">40706.8189097127*((RANDBETWEEN(1587,2416)))</f>
        <v>92200944.830499157</v>
      </c>
      <c r="B7129">
        <v>261896238.29649645</v>
      </c>
    </row>
    <row r="7130" spans="1:2" x14ac:dyDescent="0.25">
      <c r="A7130">
        <f ca="1">31006.5553030307*((RANDBETWEEN(1587,2416)))</f>
        <v>50788737.586364344</v>
      </c>
      <c r="B7130">
        <v>212371760.00686091</v>
      </c>
    </row>
    <row r="7131" spans="1:2" x14ac:dyDescent="0.25">
      <c r="A7131">
        <f ca="1">36057.8675422935*((RANDBETWEEN(1587,2416)))</f>
        <v>73449876.183651909</v>
      </c>
      <c r="B7131">
        <v>216135732.95239997</v>
      </c>
    </row>
    <row r="7132" spans="1:2" x14ac:dyDescent="0.25">
      <c r="A7132">
        <f ca="1">28830.3528133049*((RANDBETWEEN(1587,2416)))</f>
        <v>54316384.700266436</v>
      </c>
      <c r="B7132">
        <v>244027570.19017264</v>
      </c>
    </row>
    <row r="7133" spans="1:2" x14ac:dyDescent="0.25">
      <c r="A7133">
        <f ca="1">30403.4560096881*((RANDBETWEEN(1587,2416)))</f>
        <v>55334289.93763236</v>
      </c>
      <c r="B7133">
        <v>214527048.34699655</v>
      </c>
    </row>
    <row r="7134" spans="1:2" x14ac:dyDescent="0.25">
      <c r="A7134">
        <f ca="1">35047.5292165453*((RANDBETWEEN(1587,2416)))</f>
        <v>57372805.32748469</v>
      </c>
      <c r="B7134">
        <v>259617560.15268749</v>
      </c>
    </row>
    <row r="7135" spans="1:2" x14ac:dyDescent="0.25">
      <c r="A7135">
        <f ca="1">30826.0523047288*((RANDBETWEEN(1587,2416)))</f>
        <v>53483200.748704486</v>
      </c>
      <c r="B7135">
        <v>243431174.6963082</v>
      </c>
    </row>
    <row r="7136" spans="1:2" x14ac:dyDescent="0.25">
      <c r="A7136">
        <f ca="1">32998.0300349854*((RANDBETWEEN(1587,2416)))</f>
        <v>71638723.20595327</v>
      </c>
      <c r="B7136">
        <v>243094289.13816538</v>
      </c>
    </row>
    <row r="7137" spans="1:2" x14ac:dyDescent="0.25">
      <c r="A7137">
        <f ca="1">34867.2934015086*((RANDBETWEEN(1587,2416)))</f>
        <v>58263247.273920842</v>
      </c>
      <c r="B7137">
        <v>208797229.41037786</v>
      </c>
    </row>
    <row r="7138" spans="1:2" x14ac:dyDescent="0.25">
      <c r="A7138">
        <f ca="1">30373.767632273*((RANDBETWEEN(1587,2416)))</f>
        <v>68492846.0107757</v>
      </c>
      <c r="B7138">
        <v>240004206.68548575</v>
      </c>
    </row>
    <row r="7139" spans="1:2" x14ac:dyDescent="0.25">
      <c r="A7139">
        <f ca="1">32462.9009327692*((RANDBETWEEN(1587,2416)))</f>
        <v>58011203.966858491</v>
      </c>
      <c r="B7139">
        <v>221814690.48648706</v>
      </c>
    </row>
    <row r="7140" spans="1:2" x14ac:dyDescent="0.25">
      <c r="A7140">
        <f ca="1">35240.8143944841*((RANDBETWEEN(1587,2416)))</f>
        <v>80842428.22094658</v>
      </c>
      <c r="B7140">
        <v>227957128.81151181</v>
      </c>
    </row>
    <row r="7141" spans="1:2" x14ac:dyDescent="0.25">
      <c r="A7141">
        <f ca="1">34239.4294654848*((RANDBETWEEN(1587,2416)))</f>
        <v>80805053.538544014</v>
      </c>
      <c r="B7141">
        <v>210312534.01102811</v>
      </c>
    </row>
    <row r="7142" spans="1:2" x14ac:dyDescent="0.25">
      <c r="A7142">
        <f ca="1">32849.4178128022*((RANDBETWEEN(1587,2416)))</f>
        <v>70921893.057839915</v>
      </c>
      <c r="B7142">
        <v>266490829.68428019</v>
      </c>
    </row>
    <row r="7143" spans="1:2" x14ac:dyDescent="0.25">
      <c r="A7143">
        <f ca="1">30550.3185229223*((RANDBETWEEN(1587,2416)))</f>
        <v>51416186.074078284</v>
      </c>
      <c r="B7143">
        <v>217089100.38991976</v>
      </c>
    </row>
    <row r="7144" spans="1:2" x14ac:dyDescent="0.25">
      <c r="A7144">
        <f ca="1">39883.3955600874*((RANDBETWEEN(1587,2416)))</f>
        <v>90894258.481439203</v>
      </c>
      <c r="B7144">
        <v>258095571.61857426</v>
      </c>
    </row>
    <row r="7145" spans="1:2" x14ac:dyDescent="0.25">
      <c r="A7145">
        <f ca="1">33758.5012289487*((RANDBETWEEN(1587,2416)))</f>
        <v>54047360.467546888</v>
      </c>
      <c r="B7145">
        <v>255493602.87627953</v>
      </c>
    </row>
    <row r="7146" spans="1:2" x14ac:dyDescent="0.25">
      <c r="A7146">
        <f ca="1">38080.2661239221*((RANDBETWEEN(1587,2416)))</f>
        <v>67402071.039342031</v>
      </c>
      <c r="B7146">
        <v>232264818.74375185</v>
      </c>
    </row>
    <row r="7147" spans="1:2" x14ac:dyDescent="0.25">
      <c r="A7147">
        <f ca="1">32440.2601915625*((RANDBETWEEN(1587,2416)))</f>
        <v>62155538.527033828</v>
      </c>
      <c r="B7147">
        <v>223677941.3574886</v>
      </c>
    </row>
    <row r="7148" spans="1:2" x14ac:dyDescent="0.25">
      <c r="A7148">
        <f ca="1">32387.177535369*((RANDBETWEEN(1587,2416)))</f>
        <v>58685565.694088563</v>
      </c>
      <c r="B7148">
        <v>232827422.34930718</v>
      </c>
    </row>
    <row r="7149" spans="1:2" x14ac:dyDescent="0.25">
      <c r="A7149">
        <f ca="1">37039.6062965018*((RANDBETWEEN(1587,2416)))</f>
        <v>73301380.86077708</v>
      </c>
      <c r="B7149">
        <v>250369940.70214918</v>
      </c>
    </row>
    <row r="7150" spans="1:2" x14ac:dyDescent="0.25">
      <c r="A7150">
        <f ca="1">31276.1404668876*((RANDBETWEEN(1587,2416)))</f>
        <v>69370479.555556744</v>
      </c>
      <c r="B7150">
        <v>208837268.44950867</v>
      </c>
    </row>
    <row r="7151" spans="1:2" x14ac:dyDescent="0.25">
      <c r="A7151">
        <f ca="1">33027.2953612609*((RANDBETWEEN(1587,2416)))</f>
        <v>64139007.591568664</v>
      </c>
      <c r="B7151">
        <v>267020565.36326537</v>
      </c>
    </row>
    <row r="7152" spans="1:2" x14ac:dyDescent="0.25">
      <c r="A7152">
        <f ca="1">27732.8497144939*((RANDBETWEEN(1587,2416)))</f>
        <v>53690797.04726021</v>
      </c>
      <c r="B7152">
        <v>232272216.4167555</v>
      </c>
    </row>
    <row r="7153" spans="1:2" x14ac:dyDescent="0.25">
      <c r="A7153">
        <f ca="1">32606.3383743957*((RANDBETWEEN(1587,2416)))</f>
        <v>59376142.179774478</v>
      </c>
      <c r="B7153">
        <v>265423078.175264</v>
      </c>
    </row>
    <row r="7154" spans="1:2" x14ac:dyDescent="0.25">
      <c r="A7154">
        <f ca="1">32662.3330125479*((RANDBETWEEN(1587,2416)))</f>
        <v>77507716.238776088</v>
      </c>
      <c r="B7154">
        <v>206453828.88375717</v>
      </c>
    </row>
    <row r="7155" spans="1:2" x14ac:dyDescent="0.25">
      <c r="A7155">
        <f ca="1">38680.0462993391*((RANDBETWEEN(1587,2416)))</f>
        <v>71287325.329681918</v>
      </c>
      <c r="B7155">
        <v>242068918.90952626</v>
      </c>
    </row>
    <row r="7156" spans="1:2" x14ac:dyDescent="0.25">
      <c r="A7156">
        <f ca="1">32633.790015054*((RANDBETWEEN(1587,2416)))</f>
        <v>73393393.743856385</v>
      </c>
      <c r="B7156">
        <v>223096214.26112679</v>
      </c>
    </row>
    <row r="7157" spans="1:2" x14ac:dyDescent="0.25">
      <c r="A7157">
        <f ca="1">32528.839931176*((RANDBETWEEN(1587,2416)))</f>
        <v>65968487.380424865</v>
      </c>
      <c r="B7157">
        <v>253505828.07649389</v>
      </c>
    </row>
    <row r="7158" spans="1:2" x14ac:dyDescent="0.25">
      <c r="A7158">
        <f ca="1">38524.5788732302*((RANDBETWEEN(1587,2416)))</f>
        <v>79360632.47885412</v>
      </c>
      <c r="B7158">
        <v>243474629.33315787</v>
      </c>
    </row>
    <row r="7159" spans="1:2" x14ac:dyDescent="0.25">
      <c r="A7159">
        <f ca="1">34853.8199969638*((RANDBETWEEN(1587,2416)))</f>
        <v>70230447.293881983</v>
      </c>
      <c r="B7159">
        <v>267068034.78495547</v>
      </c>
    </row>
    <row r="7160" spans="1:2" x14ac:dyDescent="0.25">
      <c r="A7160">
        <f ca="1">33571.0358355815*((RANDBETWEEN(1587,2416)))</f>
        <v>62139987.331661433</v>
      </c>
      <c r="B7160">
        <v>243104305.01215148</v>
      </c>
    </row>
    <row r="7161" spans="1:2" x14ac:dyDescent="0.25">
      <c r="A7161">
        <f ca="1">32845.7681128437*((RANDBETWEEN(1587,2416)))</f>
        <v>56199109.241075486</v>
      </c>
      <c r="B7161">
        <v>213927373.35293272</v>
      </c>
    </row>
    <row r="7162" spans="1:2" x14ac:dyDescent="0.25">
      <c r="A7162">
        <f ca="1">31600.9196556722*((RANDBETWEEN(1587,2416)))</f>
        <v>69332417.724544853</v>
      </c>
      <c r="B7162">
        <v>226624271.65754288</v>
      </c>
    </row>
    <row r="7163" spans="1:2" x14ac:dyDescent="0.25">
      <c r="A7163">
        <f ca="1">39520.9242636344*((RANDBETWEEN(1587,2416)))</f>
        <v>88724474.971859202</v>
      </c>
      <c r="B7163">
        <v>232929036.67720574</v>
      </c>
    </row>
    <row r="7164" spans="1:2" x14ac:dyDescent="0.25">
      <c r="A7164">
        <f ca="1">28255.5422926991*((RANDBETWEEN(1587,2416)))</f>
        <v>67728534.875599757</v>
      </c>
      <c r="B7164">
        <v>203978133.48792392</v>
      </c>
    </row>
    <row r="7165" spans="1:2" x14ac:dyDescent="0.25">
      <c r="A7165">
        <f ca="1">29783.9380670623*((RANDBETWEEN(1587,2416)))</f>
        <v>70707068.971205905</v>
      </c>
      <c r="B7165">
        <v>267319053.76936597</v>
      </c>
    </row>
    <row r="7166" spans="1:2" x14ac:dyDescent="0.25">
      <c r="A7166">
        <f ca="1">39739.5294634685*((RANDBETWEEN(1587,2416)))</f>
        <v>78565049.749277398</v>
      </c>
      <c r="B7166">
        <v>250693372.72919387</v>
      </c>
    </row>
    <row r="7167" spans="1:2" x14ac:dyDescent="0.25">
      <c r="A7167">
        <f ca="1">36215.0376217004*((RANDBETWEEN(1587,2416)))</f>
        <v>84489682.77142705</v>
      </c>
      <c r="B7167">
        <v>247813114.09998301</v>
      </c>
    </row>
    <row r="7168" spans="1:2" x14ac:dyDescent="0.25">
      <c r="A7168">
        <f ca="1">33109.7190145482*((RANDBETWEEN(1587,2416)))</f>
        <v>61385419.052972406</v>
      </c>
      <c r="B7168">
        <v>205011728.32401234</v>
      </c>
    </row>
    <row r="7169" spans="1:2" x14ac:dyDescent="0.25">
      <c r="A7169">
        <f ca="1">34714.9045327749*((RANDBETWEEN(1587,2416)))</f>
        <v>76581079.399301484</v>
      </c>
      <c r="B7169">
        <v>221700216.41122127</v>
      </c>
    </row>
    <row r="7170" spans="1:2" x14ac:dyDescent="0.25">
      <c r="A7170">
        <f ca="1">37801.143121466*((RANDBETWEEN(1587,2416)))</f>
        <v>72540393.650093198</v>
      </c>
      <c r="B7170">
        <v>211563061.88614416</v>
      </c>
    </row>
    <row r="7171" spans="1:2" x14ac:dyDescent="0.25">
      <c r="A7171">
        <f ca="1">31648.3914610055*((RANDBETWEEN(1587,2416)))</f>
        <v>73044487.492000714</v>
      </c>
      <c r="B7171">
        <v>259819455.95252115</v>
      </c>
    </row>
    <row r="7172" spans="1:2" x14ac:dyDescent="0.25">
      <c r="A7172">
        <f ca="1">30054.6803181037*((RANDBETWEEN(1587,2416)))</f>
        <v>56562908.358671099</v>
      </c>
      <c r="B7172">
        <v>257905828.13310626</v>
      </c>
    </row>
    <row r="7173" spans="1:2" x14ac:dyDescent="0.25">
      <c r="A7173">
        <f ca="1">38323.6776587091*((RANDBETWEEN(1587,2416)))</f>
        <v>91287000.18304497</v>
      </c>
      <c r="B7173">
        <v>233784628.83691111</v>
      </c>
    </row>
    <row r="7174" spans="1:2" x14ac:dyDescent="0.25">
      <c r="A7174">
        <f ca="1">30667.9538953811*((RANDBETWEEN(1587,2416)))</f>
        <v>59189151.018085495</v>
      </c>
      <c r="B7174">
        <v>234538703.4397704</v>
      </c>
    </row>
    <row r="7175" spans="1:2" x14ac:dyDescent="0.25">
      <c r="A7175">
        <f ca="1">31186.3169238198*((RANDBETWEEN(1587,2416)))</f>
        <v>68204475.11239396</v>
      </c>
      <c r="B7175">
        <v>207505185.95623395</v>
      </c>
    </row>
    <row r="7176" spans="1:2" x14ac:dyDescent="0.25">
      <c r="A7176">
        <f ca="1">33157.3231300729*((RANDBETWEEN(1587,2416)))</f>
        <v>76261843.199167579</v>
      </c>
      <c r="B7176">
        <v>218929533.20841432</v>
      </c>
    </row>
    <row r="7177" spans="1:2" x14ac:dyDescent="0.25">
      <c r="A7177">
        <f ca="1">29627.4938862912*((RANDBETWEEN(1587,2416)))</f>
        <v>63402836.91666308</v>
      </c>
      <c r="B7177">
        <v>225447970.32435933</v>
      </c>
    </row>
    <row r="7178" spans="1:2" x14ac:dyDescent="0.25">
      <c r="A7178">
        <f ca="1">29140.391542389*((RANDBETWEEN(1587,2416)))</f>
        <v>55104480.406657666</v>
      </c>
      <c r="B7178">
        <v>260730395.10427979</v>
      </c>
    </row>
    <row r="7179" spans="1:2" x14ac:dyDescent="0.25">
      <c r="A7179">
        <f ca="1">30827.8419873684*((RANDBETWEEN(1587,2416)))</f>
        <v>52006569.432690516</v>
      </c>
      <c r="B7179">
        <v>260324627.2828446</v>
      </c>
    </row>
    <row r="7180" spans="1:2" x14ac:dyDescent="0.25">
      <c r="A7180">
        <f ca="1">36518.2378814928*((RANDBETWEEN(1587,2416)))</f>
        <v>67303112.41559124</v>
      </c>
      <c r="B7180">
        <v>227157106.98445582</v>
      </c>
    </row>
    <row r="7181" spans="1:2" x14ac:dyDescent="0.25">
      <c r="A7181">
        <f ca="1">40291.6836207958*((RANDBETWEEN(1587,2416)))</f>
        <v>66440986.290692218</v>
      </c>
      <c r="B7181">
        <v>219330252.93090311</v>
      </c>
    </row>
    <row r="7182" spans="1:2" x14ac:dyDescent="0.25">
      <c r="A7182">
        <f ca="1">39025.3765666854*((RANDBETWEEN(1587,2416)))</f>
        <v>73406733.321935266</v>
      </c>
      <c r="B7182">
        <v>250998065.71128634</v>
      </c>
    </row>
    <row r="7183" spans="1:2" x14ac:dyDescent="0.25">
      <c r="A7183">
        <f ca="1">31620.9275143917*((RANDBETWEEN(1587,2416)))</f>
        <v>58308990.336538225</v>
      </c>
      <c r="B7183">
        <v>249411619.50119257</v>
      </c>
    </row>
    <row r="7184" spans="1:2" x14ac:dyDescent="0.25">
      <c r="A7184">
        <f ca="1">38658.5886059089*((RANDBETWEEN(1587,2416)))</f>
        <v>71441071.743719712</v>
      </c>
      <c r="B7184">
        <v>215645778.64368725</v>
      </c>
    </row>
    <row r="7185" spans="1:2" x14ac:dyDescent="0.25">
      <c r="A7185">
        <f ca="1">34268.3149859969*((RANDBETWEEN(1587,2416)))</f>
        <v>65589554.88319812</v>
      </c>
      <c r="B7185">
        <v>219805498.24678814</v>
      </c>
    </row>
    <row r="7186" spans="1:2" x14ac:dyDescent="0.25">
      <c r="A7186">
        <f ca="1">30663.3980566155*((RANDBETWEEN(1587,2416)))</f>
        <v>73990779.510613322</v>
      </c>
      <c r="B7186">
        <v>252866258.05621755</v>
      </c>
    </row>
    <row r="7187" spans="1:2" x14ac:dyDescent="0.25">
      <c r="A7187">
        <f ca="1">32194.2250302303*((RANDBETWEEN(1587,2416)))</f>
        <v>62424602.333616577</v>
      </c>
      <c r="B7187">
        <v>263330621.58322844</v>
      </c>
    </row>
    <row r="7188" spans="1:2" x14ac:dyDescent="0.25">
      <c r="A7188">
        <f ca="1">36418.8775887827*((RANDBETWEEN(1587,2416)))</f>
        <v>69924244.970462799</v>
      </c>
      <c r="B7188">
        <v>249785907.9022997</v>
      </c>
    </row>
    <row r="7189" spans="1:2" x14ac:dyDescent="0.25">
      <c r="A7189">
        <f ca="1">31828.2521146217*((RANDBETWEEN(1587,2416)))</f>
        <v>58977751.168393925</v>
      </c>
      <c r="B7189">
        <v>243780097.66956666</v>
      </c>
    </row>
    <row r="7190" spans="1:2" x14ac:dyDescent="0.25">
      <c r="A7190">
        <f ca="1">41384.7395779883*((RANDBETWEEN(1587,2416)))</f>
        <v>72795756.917681441</v>
      </c>
      <c r="B7190">
        <v>208976479.96312457</v>
      </c>
    </row>
    <row r="7191" spans="1:2" x14ac:dyDescent="0.25">
      <c r="A7191">
        <f ca="1">35558.2577377574*((RANDBETWEEN(1587,2416)))</f>
        <v>72894428.362402663</v>
      </c>
      <c r="B7191">
        <v>242034506.92994526</v>
      </c>
    </row>
    <row r="7192" spans="1:2" x14ac:dyDescent="0.25">
      <c r="A7192">
        <f ca="1">31458.7516725699*((RANDBETWEEN(1587,2416)))</f>
        <v>62256869.560015902</v>
      </c>
      <c r="B7192">
        <v>219149888.1373539</v>
      </c>
    </row>
    <row r="7193" spans="1:2" x14ac:dyDescent="0.25">
      <c r="A7193">
        <f ca="1">35742.6525797452*((RANDBETWEEN(1587,2416)))</f>
        <v>86282763.327504873</v>
      </c>
      <c r="B7193">
        <v>224700774.34696928</v>
      </c>
    </row>
    <row r="7194" spans="1:2" x14ac:dyDescent="0.25">
      <c r="A7194">
        <f ca="1">29458.1535394536*((RANDBETWEEN(1587,2416)))</f>
        <v>69904198.349123389</v>
      </c>
      <c r="B7194">
        <v>224387539.56151322</v>
      </c>
    </row>
    <row r="7195" spans="1:2" x14ac:dyDescent="0.25">
      <c r="A7195">
        <f ca="1">38516.3939232484*((RANDBETWEEN(1587,2416)))</f>
        <v>79228222.300121859</v>
      </c>
      <c r="B7195">
        <v>255846828.50604847</v>
      </c>
    </row>
    <row r="7196" spans="1:2" x14ac:dyDescent="0.25">
      <c r="A7196">
        <f ca="1">30783.2728177406*((RANDBETWEEN(1587,2416)))</f>
        <v>49838118.691922106</v>
      </c>
      <c r="B7196">
        <v>210501407.51371288</v>
      </c>
    </row>
    <row r="7197" spans="1:2" x14ac:dyDescent="0.25">
      <c r="A7197">
        <f ca="1">30380.9972876115*((RANDBETWEEN(1587,2416)))</f>
        <v>62827902.390780628</v>
      </c>
      <c r="B7197">
        <v>238622883.61885399</v>
      </c>
    </row>
    <row r="7198" spans="1:2" x14ac:dyDescent="0.25">
      <c r="A7198">
        <f ca="1">32088.9238858244*((RANDBETWEEN(1587,2416)))</f>
        <v>74061236.328482762</v>
      </c>
      <c r="B7198">
        <v>251092938.19927961</v>
      </c>
    </row>
    <row r="7199" spans="1:2" x14ac:dyDescent="0.25">
      <c r="A7199">
        <f ca="1">30836.7705190408*((RANDBETWEEN(1587,2416)))</f>
        <v>68611814.404865727</v>
      </c>
      <c r="B7199">
        <v>213261450.93081111</v>
      </c>
    </row>
    <row r="7200" spans="1:2" x14ac:dyDescent="0.25">
      <c r="A7200">
        <f ca="1">33201.8166216819*((RANDBETWEEN(1587,2416)))</f>
        <v>53421722.944286168</v>
      </c>
      <c r="B7200">
        <v>220109733.19078058</v>
      </c>
    </row>
    <row r="7201" spans="1:2" x14ac:dyDescent="0.25">
      <c r="A7201">
        <f ca="1">32904.3085585006*((RANDBETWEEN(1587,2416)))</f>
        <v>59458085.565210544</v>
      </c>
      <c r="B7201">
        <v>233730388.5042415</v>
      </c>
    </row>
    <row r="7202" spans="1:2" x14ac:dyDescent="0.25">
      <c r="A7202">
        <f ca="1">28814.6407537518*((RANDBETWEEN(1587,2416)))</f>
        <v>57225876.536951102</v>
      </c>
      <c r="B7202">
        <v>207784016.21204859</v>
      </c>
    </row>
    <row r="7203" spans="1:2" x14ac:dyDescent="0.25">
      <c r="A7203">
        <f ca="1">31922.3043581402*((RANDBETWEEN(1587,2416)))</f>
        <v>53086792.14758718</v>
      </c>
      <c r="B7203">
        <v>245864275.38739827</v>
      </c>
    </row>
    <row r="7204" spans="1:2" x14ac:dyDescent="0.25">
      <c r="A7204">
        <f ca="1">40474.8507615846*((RANDBETWEEN(1587,2416)))</f>
        <v>93577854.960783511</v>
      </c>
      <c r="B7204">
        <v>218363842.95448741</v>
      </c>
    </row>
    <row r="7205" spans="1:2" x14ac:dyDescent="0.25">
      <c r="A7205">
        <f ca="1">39247.9176272655*((RANDBETWEEN(1587,2416)))</f>
        <v>75748481.020622507</v>
      </c>
      <c r="B7205">
        <v>240175023.81410521</v>
      </c>
    </row>
    <row r="7206" spans="1:2" x14ac:dyDescent="0.25">
      <c r="A7206">
        <f ca="1">40428.3887822428*((RANDBETWEEN(1587,2416)))</f>
        <v>84131477.055847242</v>
      </c>
      <c r="B7206">
        <v>264470503.15341121</v>
      </c>
    </row>
    <row r="7207" spans="1:2" x14ac:dyDescent="0.25">
      <c r="A7207">
        <f ca="1">32286.4687884776*((RANDBETWEEN(1587,2416)))</f>
        <v>59019664.945337057</v>
      </c>
      <c r="B7207">
        <v>236978413.35915056</v>
      </c>
    </row>
    <row r="7208" spans="1:2" x14ac:dyDescent="0.25">
      <c r="A7208">
        <f ca="1">32554.8043398975*((RANDBETWEEN(1587,2416)))</f>
        <v>56059373.073303536</v>
      </c>
      <c r="B7208">
        <v>236300526.28404593</v>
      </c>
    </row>
    <row r="7209" spans="1:2" x14ac:dyDescent="0.25">
      <c r="A7209">
        <f ca="1">36975.9632261879*((RANDBETWEEN(1587,2416)))</f>
        <v>68183676.18909052</v>
      </c>
      <c r="B7209">
        <v>233016688.06167805</v>
      </c>
    </row>
    <row r="7210" spans="1:2" x14ac:dyDescent="0.25">
      <c r="A7210">
        <f ca="1">39542.1129649172*((RANDBETWEEN(1587,2416)))</f>
        <v>80982247.35215044</v>
      </c>
      <c r="B7210">
        <v>263865541.35066038</v>
      </c>
    </row>
    <row r="7211" spans="1:2" x14ac:dyDescent="0.25">
      <c r="A7211">
        <f ca="1">33180.2709267074*((RANDBETWEEN(1587,2416)))</f>
        <v>68019555.399750143</v>
      </c>
      <c r="B7211">
        <v>217318181.46326721</v>
      </c>
    </row>
    <row r="7212" spans="1:2" x14ac:dyDescent="0.25">
      <c r="A7212">
        <f ca="1">36100.4050334982*((RANDBETWEEN(1587,2416)))</f>
        <v>76568959.076049611</v>
      </c>
      <c r="B7212">
        <v>265046032.83471656</v>
      </c>
    </row>
    <row r="7213" spans="1:2" x14ac:dyDescent="0.25">
      <c r="A7213">
        <f ca="1">29893.5600753676*((RANDBETWEEN(1587,2416)))</f>
        <v>71923905.541334435</v>
      </c>
      <c r="B7213">
        <v>226031081.69979343</v>
      </c>
    </row>
    <row r="7214" spans="1:2" x14ac:dyDescent="0.25">
      <c r="A7214">
        <f ca="1">37305.6176827009*((RANDBETWEEN(1587,2416)))</f>
        <v>76774961.190998614</v>
      </c>
      <c r="B7214">
        <v>207219208.86486781</v>
      </c>
    </row>
    <row r="7215" spans="1:2" x14ac:dyDescent="0.25">
      <c r="A7215">
        <f ca="1">38092.4376358797*((RANDBETWEEN(1587,2416)))</f>
        <v>65747547.3595284</v>
      </c>
      <c r="B7215">
        <v>210017162.4436276</v>
      </c>
    </row>
    <row r="7216" spans="1:2" x14ac:dyDescent="0.25">
      <c r="A7216">
        <f ca="1">35200.3989654406*((RANDBETWEEN(1587,2416)))</f>
        <v>82122530.7863729</v>
      </c>
      <c r="B7216">
        <v>226818665.43981564</v>
      </c>
    </row>
    <row r="7217" spans="1:2" x14ac:dyDescent="0.25">
      <c r="A7217">
        <f ca="1">36812.46490925*((RANDBETWEEN(1587,2416)))</f>
        <v>64090501.407004178</v>
      </c>
      <c r="B7217">
        <v>241665045.23618951</v>
      </c>
    </row>
    <row r="7218" spans="1:2" x14ac:dyDescent="0.25">
      <c r="A7218">
        <f ca="1">38025.1631357477*((RANDBETWEEN(1587,2416)))</f>
        <v>87762076.517305702</v>
      </c>
      <c r="B7218">
        <v>219743308.89677083</v>
      </c>
    </row>
    <row r="7219" spans="1:2" x14ac:dyDescent="0.25">
      <c r="A7219">
        <f ca="1">31634.1484476898*((RANDBETWEEN(1587,2416)))</f>
        <v>70639053.48369129</v>
      </c>
      <c r="B7219">
        <v>247333307.07874918</v>
      </c>
    </row>
    <row r="7220" spans="1:2" x14ac:dyDescent="0.25">
      <c r="A7220">
        <f ca="1">37575.9905271408*((RANDBETWEEN(1587,2416)))</f>
        <v>71356806.01104036</v>
      </c>
      <c r="B7220">
        <v>211580571.37511519</v>
      </c>
    </row>
    <row r="7221" spans="1:2" x14ac:dyDescent="0.25">
      <c r="A7221">
        <f ca="1">32504.8249510076*((RANDBETWEEN(1587,2416)))</f>
        <v>59548839.310245946</v>
      </c>
      <c r="B7221">
        <v>238331931.68967962</v>
      </c>
    </row>
    <row r="7222" spans="1:2" x14ac:dyDescent="0.25">
      <c r="A7222">
        <f ca="1">32401.7116803286*((RANDBETWEEN(1587,2416)))</f>
        <v>59651551.203484893</v>
      </c>
      <c r="B7222">
        <v>259729486.41284537</v>
      </c>
    </row>
    <row r="7223" spans="1:2" x14ac:dyDescent="0.25">
      <c r="A7223">
        <f ca="1">37662.9594027664*((RANDBETWEEN(1587,2416)))</f>
        <v>89939147.05380623</v>
      </c>
      <c r="B7223">
        <v>244465453.22206822</v>
      </c>
    </row>
    <row r="7224" spans="1:2" x14ac:dyDescent="0.25">
      <c r="A7224">
        <f ca="1">35956.3556996545*((RANDBETWEEN(1587,2416)))</f>
        <v>74142005.452687606</v>
      </c>
      <c r="B7224">
        <v>245766336.55517828</v>
      </c>
    </row>
    <row r="7225" spans="1:2" x14ac:dyDescent="0.25">
      <c r="A7225">
        <f ca="1">29751.3278832492*((RANDBETWEEN(1587,2416)))</f>
        <v>54296173.386929847</v>
      </c>
      <c r="B7225">
        <v>223924926.67637271</v>
      </c>
    </row>
    <row r="7226" spans="1:2" x14ac:dyDescent="0.25">
      <c r="A7226">
        <f ca="1">40063.9601203753*((RANDBETWEEN(1587,2416)))</f>
        <v>91185573.233974174</v>
      </c>
      <c r="B7226">
        <v>221882839.68972567</v>
      </c>
    </row>
    <row r="7227" spans="1:2" x14ac:dyDescent="0.25">
      <c r="A7227">
        <f ca="1">30842.6997526101*((RANDBETWEEN(1587,2416)))</f>
        <v>59557253.222290099</v>
      </c>
      <c r="B7227">
        <v>215825542.7539202</v>
      </c>
    </row>
    <row r="7228" spans="1:2" x14ac:dyDescent="0.25">
      <c r="A7228">
        <f ca="1">32116.2482237082*((RANDBETWEEN(1587,2416)))</f>
        <v>51289648.413261943</v>
      </c>
      <c r="B7228">
        <v>234986858.50922611</v>
      </c>
    </row>
    <row r="7229" spans="1:2" x14ac:dyDescent="0.25">
      <c r="A7229">
        <f ca="1">37626.3862420308*((RANDBETWEEN(1587,2416)))</f>
        <v>78977784.722022608</v>
      </c>
      <c r="B7229">
        <v>209534642.0531393</v>
      </c>
    </row>
    <row r="7230" spans="1:2" x14ac:dyDescent="0.25">
      <c r="A7230">
        <f ca="1">32120.7720787538*((RANDBETWEEN(1587,2416)))</f>
        <v>56982249.667709209</v>
      </c>
      <c r="B7230">
        <v>231408509.90517411</v>
      </c>
    </row>
    <row r="7231" spans="1:2" x14ac:dyDescent="0.25">
      <c r="A7231">
        <f ca="1">33326.9127178784*((RANDBETWEEN(1587,2416)))</f>
        <v>59255250.812387802</v>
      </c>
      <c r="B7231">
        <v>228816688.01595724</v>
      </c>
    </row>
    <row r="7232" spans="1:2" x14ac:dyDescent="0.25">
      <c r="A7232">
        <f ca="1">30858.0424202687*((RANDBETWEEN(1587,2416)))</f>
        <v>71374652.118081391</v>
      </c>
      <c r="B7232">
        <v>225307984.17411429</v>
      </c>
    </row>
    <row r="7233" spans="1:2" x14ac:dyDescent="0.25">
      <c r="A7233">
        <f ca="1">31450.9341609985*((RANDBETWEEN(1587,2416)))</f>
        <v>66204216.408901751</v>
      </c>
      <c r="B7233">
        <v>243287532.7720758</v>
      </c>
    </row>
    <row r="7234" spans="1:2" x14ac:dyDescent="0.25">
      <c r="A7234">
        <f ca="1">38844.7280650138*((RANDBETWEEN(1587,2416)))</f>
        <v>83477320.61171484</v>
      </c>
      <c r="B7234">
        <v>233483007.1844939</v>
      </c>
    </row>
    <row r="7235" spans="1:2" x14ac:dyDescent="0.25">
      <c r="A7235">
        <f ca="1">30682.3932341368*((RANDBETWEEN(1587,2416)))</f>
        <v>50902090.375432946</v>
      </c>
      <c r="B7235">
        <v>231234340.04463136</v>
      </c>
    </row>
    <row r="7236" spans="1:2" x14ac:dyDescent="0.25">
      <c r="A7236">
        <f ca="1">34724.0009899192*((RANDBETWEEN(1587,2416)))</f>
        <v>82330606.347098425</v>
      </c>
      <c r="B7236">
        <v>267631432.96508238</v>
      </c>
    </row>
    <row r="7237" spans="1:2" x14ac:dyDescent="0.25">
      <c r="A7237">
        <f ca="1">36131.8982324577*((RANDBETWEEN(1587,2416)))</f>
        <v>58316883.74718675</v>
      </c>
      <c r="B7237">
        <v>228832513.03949419</v>
      </c>
    </row>
    <row r="7238" spans="1:2" x14ac:dyDescent="0.25">
      <c r="A7238">
        <f ca="1">37675.0151207943*((RANDBETWEEN(1587,2416)))</f>
        <v>70037853.10955666</v>
      </c>
      <c r="B7238">
        <v>241781503.78969702</v>
      </c>
    </row>
    <row r="7239" spans="1:2" x14ac:dyDescent="0.25">
      <c r="A7239">
        <f ca="1">31914.1376645226*((RANDBETWEEN(1587,2416)))</f>
        <v>59073068.817031257</v>
      </c>
      <c r="B7239">
        <v>217151693.36519367</v>
      </c>
    </row>
    <row r="7240" spans="1:2" x14ac:dyDescent="0.25">
      <c r="A7240">
        <f ca="1">32209.224002555*((RANDBETWEEN(1587,2416)))</f>
        <v>77302137.60613209</v>
      </c>
      <c r="B7240">
        <v>245765330.27975518</v>
      </c>
    </row>
    <row r="7241" spans="1:2" x14ac:dyDescent="0.25">
      <c r="A7241">
        <f ca="1">32696.8617126661*((RANDBETWEEN(1587,2416)))</f>
        <v>57611870.337717623</v>
      </c>
      <c r="B7241">
        <v>243008425.91014212</v>
      </c>
    </row>
    <row r="7242" spans="1:2" x14ac:dyDescent="0.25">
      <c r="A7242">
        <f ca="1">32023.0561163539*((RANDBETWEEN(1587,2416)))</f>
        <v>59883114.937581867</v>
      </c>
      <c r="B7242">
        <v>231140489.45904255</v>
      </c>
    </row>
    <row r="7243" spans="1:2" x14ac:dyDescent="0.25">
      <c r="A7243">
        <f ca="1">30993.5709971236*((RANDBETWEEN(1587,2416)))</f>
        <v>74074634.683125496</v>
      </c>
      <c r="B7243">
        <v>253207587.60430393</v>
      </c>
    </row>
    <row r="7244" spans="1:2" x14ac:dyDescent="0.25">
      <c r="A7244">
        <f ca="1">32789.5663557424*((RANDBETWEEN(1587,2416)))</f>
        <v>65972607.507753722</v>
      </c>
      <c r="B7244">
        <v>241948255.73491931</v>
      </c>
    </row>
    <row r="7245" spans="1:2" x14ac:dyDescent="0.25">
      <c r="A7245">
        <f ca="1">29506.0284199898*((RANDBETWEEN(1587,2416)))</f>
        <v>69044106.502776057</v>
      </c>
      <c r="B7245">
        <v>205391216.76170006</v>
      </c>
    </row>
    <row r="7246" spans="1:2" x14ac:dyDescent="0.25">
      <c r="A7246">
        <f ca="1">36862.3893770158*((RANDBETWEEN(1587,2416)))</f>
        <v>76636907.514815807</v>
      </c>
      <c r="B7246">
        <v>217046471.14486104</v>
      </c>
    </row>
    <row r="7247" spans="1:2" x14ac:dyDescent="0.25">
      <c r="A7247">
        <f ca="1">36869.8710659046*((RANDBETWEEN(1587,2416)))</f>
        <v>75841324.782565773</v>
      </c>
      <c r="B7247">
        <v>258265513.7737866</v>
      </c>
    </row>
    <row r="7248" spans="1:2" x14ac:dyDescent="0.25">
      <c r="A7248">
        <f ca="1">34680.2473662614*((RANDBETWEEN(1587,2416)))</f>
        <v>82885791.205364838</v>
      </c>
      <c r="B7248">
        <v>240218160.61437577</v>
      </c>
    </row>
    <row r="7249" spans="1:2" x14ac:dyDescent="0.25">
      <c r="A7249">
        <f ca="1">38567.3981129945*((RANDBETWEEN(1587,2416)))</f>
        <v>75360695.912791282</v>
      </c>
      <c r="B7249">
        <v>234916985.20225221</v>
      </c>
    </row>
    <row r="7250" spans="1:2" x14ac:dyDescent="0.25">
      <c r="A7250">
        <f ca="1">32220.4813159292*((RANDBETWEEN(1587,2416)))</f>
        <v>58609055.513675198</v>
      </c>
      <c r="B7250">
        <v>226601110.58692682</v>
      </c>
    </row>
    <row r="7251" spans="1:2" x14ac:dyDescent="0.25">
      <c r="A7251">
        <f ca="1">36813.3418389786*((RANDBETWEEN(1587,2416)))</f>
        <v>78375604.77518554</v>
      </c>
      <c r="B7251">
        <v>247768180.67216381</v>
      </c>
    </row>
    <row r="7252" spans="1:2" x14ac:dyDescent="0.25">
      <c r="A7252">
        <f ca="1">37802.8236276504*((RANDBETWEEN(1587,2416)))</f>
        <v>64869645.345048055</v>
      </c>
      <c r="B7252">
        <v>224778899.46004099</v>
      </c>
    </row>
    <row r="7253" spans="1:2" x14ac:dyDescent="0.25">
      <c r="A7253">
        <f ca="1">32028.1632165556*((RANDBETWEEN(1587,2416)))</f>
        <v>62679115.414799288</v>
      </c>
      <c r="B7253">
        <v>249789564.86384493</v>
      </c>
    </row>
    <row r="7254" spans="1:2" x14ac:dyDescent="0.25">
      <c r="A7254">
        <f ca="1">31546.2039780378*((RANDBETWEEN(1587,2416)))</f>
        <v>71830706.457992047</v>
      </c>
      <c r="B7254">
        <v>248134069.79633403</v>
      </c>
    </row>
    <row r="7255" spans="1:2" x14ac:dyDescent="0.25">
      <c r="A7255">
        <f ca="1">30420.4019239386*((RANDBETWEEN(1587,2416)))</f>
        <v>60932065.053648986</v>
      </c>
      <c r="B7255">
        <v>238236260.84069806</v>
      </c>
    </row>
    <row r="7256" spans="1:2" x14ac:dyDescent="0.25">
      <c r="A7256">
        <f ca="1">32552.4503338106*((RANDBETWEEN(1587,2416)))</f>
        <v>73438327.953076661</v>
      </c>
      <c r="B7256">
        <v>209763671.75183582</v>
      </c>
    </row>
    <row r="7257" spans="1:2" x14ac:dyDescent="0.25">
      <c r="A7257">
        <f ca="1">33623.9541130773*((RANDBETWEEN(1587,2416)))</f>
        <v>73468339.737073988</v>
      </c>
      <c r="B7257">
        <v>260190682.55716273</v>
      </c>
    </row>
    <row r="7258" spans="1:2" x14ac:dyDescent="0.25">
      <c r="A7258">
        <f ca="1">27902.1322274822*((RANDBETWEEN(1587,2416)))</f>
        <v>47322016.257809751</v>
      </c>
      <c r="B7258">
        <v>228781617.75951108</v>
      </c>
    </row>
    <row r="7259" spans="1:2" x14ac:dyDescent="0.25">
      <c r="A7259">
        <f ca="1">35871.9369193398*((RANDBETWEEN(1587,2416)))</f>
        <v>61627987.627425842</v>
      </c>
      <c r="B7259">
        <v>214207963.32892942</v>
      </c>
    </row>
    <row r="7260" spans="1:2" x14ac:dyDescent="0.25">
      <c r="A7260">
        <f ca="1">37555.3287658108*((RANDBETWEEN(1587,2416)))</f>
        <v>65308716.723745033</v>
      </c>
      <c r="B7260">
        <v>215108847.68688712</v>
      </c>
    </row>
    <row r="7261" spans="1:2" x14ac:dyDescent="0.25">
      <c r="A7261">
        <f ca="1">39993.8269090516*((RANDBETWEEN(1587,2416)))</f>
        <v>67069647.726479568</v>
      </c>
      <c r="B7261">
        <v>236590933.51471853</v>
      </c>
    </row>
    <row r="7262" spans="1:2" x14ac:dyDescent="0.25">
      <c r="A7262">
        <f ca="1">37053.4354401505*((RANDBETWEEN(1587,2416)))</f>
        <v>60693527.250966452</v>
      </c>
      <c r="B7262">
        <v>235222608.89394349</v>
      </c>
    </row>
    <row r="7263" spans="1:2" x14ac:dyDescent="0.25">
      <c r="A7263">
        <f ca="1">30972.9378647083*((RANDBETWEEN(1587,2416)))</f>
        <v>67180302.228552312</v>
      </c>
      <c r="B7263">
        <v>258002791.46923351</v>
      </c>
    </row>
    <row r="7264" spans="1:2" x14ac:dyDescent="0.25">
      <c r="A7264">
        <f ca="1">32094.4974618964*((RANDBETWEEN(1587,2416)))</f>
        <v>60241371.735979483</v>
      </c>
      <c r="B7264">
        <v>219180482.44450158</v>
      </c>
    </row>
    <row r="7265" spans="1:2" x14ac:dyDescent="0.25">
      <c r="A7265">
        <f ca="1">29451.1266770568*((RANDBETWEEN(1587,2416)))</f>
        <v>50066915.350996599</v>
      </c>
      <c r="B7265">
        <v>239901003.79455423</v>
      </c>
    </row>
    <row r="7266" spans="1:2" x14ac:dyDescent="0.25">
      <c r="A7266">
        <f ca="1">32384.1188465114*((RANDBETWEEN(1587,2416)))</f>
        <v>57870420.378715865</v>
      </c>
      <c r="B7266">
        <v>235989857.37372303</v>
      </c>
    </row>
    <row r="7267" spans="1:2" x14ac:dyDescent="0.25">
      <c r="A7267">
        <f ca="1">39554.2578940049*((RANDBETWEEN(1587,2416)))</f>
        <v>87177584.398386836</v>
      </c>
      <c r="B7267">
        <v>242132773.47251201</v>
      </c>
    </row>
    <row r="7268" spans="1:2" x14ac:dyDescent="0.25">
      <c r="A7268">
        <f ca="1">33645.2428906244*((RANDBETWEEN(1587,2416)))</f>
        <v>70150331.426951766</v>
      </c>
      <c r="B7268">
        <v>222827949.42713535</v>
      </c>
    </row>
    <row r="7269" spans="1:2" x14ac:dyDescent="0.25">
      <c r="A7269">
        <f ca="1">37384.6641953191*((RANDBETWEEN(1587,2416)))</f>
        <v>86994113.582507461</v>
      </c>
      <c r="B7269">
        <v>233976003.87768376</v>
      </c>
    </row>
    <row r="7270" spans="1:2" x14ac:dyDescent="0.25">
      <c r="A7270">
        <f ca="1">31298.4126394985*((RANDBETWEEN(1587,2416)))</f>
        <v>69670266.535523668</v>
      </c>
      <c r="B7270">
        <v>230913505.80309302</v>
      </c>
    </row>
    <row r="7271" spans="1:2" x14ac:dyDescent="0.25">
      <c r="A7271">
        <f ca="1">39674.5834990312*((RANDBETWEEN(1587,2416)))</f>
        <v>91291216.631270736</v>
      </c>
      <c r="B7271">
        <v>255455556.73685899</v>
      </c>
    </row>
    <row r="7272" spans="1:2" x14ac:dyDescent="0.25">
      <c r="A7272">
        <f ca="1">36675.1330898054*((RANDBETWEEN(1587,2416)))</f>
        <v>84719557.437450439</v>
      </c>
      <c r="B7272">
        <v>231539856.59255603</v>
      </c>
    </row>
    <row r="7273" spans="1:2" x14ac:dyDescent="0.25">
      <c r="A7273">
        <f ca="1">29595.9938129385*((RANDBETWEEN(1587,2416)))</f>
        <v>52029757.123145916</v>
      </c>
      <c r="B7273">
        <v>230224000.41684714</v>
      </c>
    </row>
    <row r="7274" spans="1:2" x14ac:dyDescent="0.25">
      <c r="A7274">
        <f ca="1">34480.8377115535*((RANDBETWEEN(1587,2416)))</f>
        <v>54755570.285946898</v>
      </c>
      <c r="B7274">
        <v>214525042.54888582</v>
      </c>
    </row>
    <row r="7275" spans="1:2" x14ac:dyDescent="0.25">
      <c r="A7275">
        <f ca="1">40986.2186912759*((RANDBETWEEN(1587,2416)))</f>
        <v>72586593.302249625</v>
      </c>
      <c r="B7275">
        <v>246230396.69414467</v>
      </c>
    </row>
    <row r="7276" spans="1:2" x14ac:dyDescent="0.25">
      <c r="A7276">
        <f ca="1">32890.2475534129*((RANDBETWEEN(1587,2416)))</f>
        <v>68313044.168438688</v>
      </c>
      <c r="B7276">
        <v>204873130.33696365</v>
      </c>
    </row>
    <row r="7277" spans="1:2" x14ac:dyDescent="0.25">
      <c r="A7277">
        <f ca="1">33969.1508055663*((RANDBETWEEN(1587,2416)))</f>
        <v>73780995.549690008</v>
      </c>
      <c r="B7277">
        <v>237842420.44585067</v>
      </c>
    </row>
    <row r="7278" spans="1:2" x14ac:dyDescent="0.25">
      <c r="A7278">
        <f ca="1">29990.3194967486*((RANDBETWEEN(1587,2416)))</f>
        <v>56801665.12684188</v>
      </c>
      <c r="B7278">
        <v>217771373.77444136</v>
      </c>
    </row>
    <row r="7279" spans="1:2" x14ac:dyDescent="0.25">
      <c r="A7279">
        <f ca="1">31222.6693615375*((RANDBETWEEN(1587,2416)))</f>
        <v>54202554.01162912</v>
      </c>
      <c r="B7279">
        <v>240403458.25166965</v>
      </c>
    </row>
    <row r="7280" spans="1:2" x14ac:dyDescent="0.25">
      <c r="A7280">
        <f ca="1">31730.3880832817*((RANDBETWEEN(1587,2416)))</f>
        <v>58796409.118320972</v>
      </c>
      <c r="B7280">
        <v>230237840.22543347</v>
      </c>
    </row>
    <row r="7281" spans="1:2" x14ac:dyDescent="0.25">
      <c r="A7281">
        <f ca="1">31987.3571835571*((RANDBETWEEN(1587,2416)))</f>
        <v>73315022.664712802</v>
      </c>
      <c r="B7281">
        <v>207825937.98818547</v>
      </c>
    </row>
    <row r="7282" spans="1:2" x14ac:dyDescent="0.25">
      <c r="A7282">
        <f ca="1">33232.5684436541*((RANDBETWEEN(1587,2416)))</f>
        <v>70120719.416110203</v>
      </c>
      <c r="B7282">
        <v>247523850.67067856</v>
      </c>
    </row>
    <row r="7283" spans="1:2" x14ac:dyDescent="0.25">
      <c r="A7283">
        <f ca="1">39290.3609651082*((RANDBETWEEN(1587,2416)))</f>
        <v>89817765.166237265</v>
      </c>
      <c r="B7283">
        <v>212119445.91823077</v>
      </c>
    </row>
    <row r="7284" spans="1:2" x14ac:dyDescent="0.25">
      <c r="A7284">
        <f ca="1">31378.9142078956*((RANDBETWEEN(1587,2416)))</f>
        <v>56764455.802083217</v>
      </c>
      <c r="B7284">
        <v>224523336.84953588</v>
      </c>
    </row>
    <row r="7285" spans="1:2" x14ac:dyDescent="0.25">
      <c r="A7285">
        <f ca="1">29297.6575860378*((RANDBETWEEN(1587,2416)))</f>
        <v>50684947.623845465</v>
      </c>
      <c r="B7285">
        <v>231453822.41483533</v>
      </c>
    </row>
    <row r="7286" spans="1:2" x14ac:dyDescent="0.25">
      <c r="A7286">
        <f ca="1">32543.183734465*((RANDBETWEEN(1587,2416)))</f>
        <v>68047797.188766241</v>
      </c>
      <c r="B7286">
        <v>237335480.52856427</v>
      </c>
    </row>
    <row r="7287" spans="1:2" x14ac:dyDescent="0.25">
      <c r="A7287">
        <f ca="1">31453.6998064786*((RANDBETWEEN(1587,2416)))</f>
        <v>66272945.492250361</v>
      </c>
      <c r="B7287">
        <v>236553854.16364354</v>
      </c>
    </row>
    <row r="7288" spans="1:2" x14ac:dyDescent="0.25">
      <c r="A7288">
        <f ca="1">40465.5006337678*((RANDBETWEEN(1587,2416)))</f>
        <v>93596702.965905026</v>
      </c>
      <c r="B7288">
        <v>243425302.31561658</v>
      </c>
    </row>
    <row r="7289" spans="1:2" x14ac:dyDescent="0.25">
      <c r="A7289">
        <f ca="1">35034.4055474524*((RANDBETWEEN(1587,2416)))</f>
        <v>61100003.274756923</v>
      </c>
      <c r="B7289">
        <v>249933242.88156021</v>
      </c>
    </row>
    <row r="7290" spans="1:2" x14ac:dyDescent="0.25">
      <c r="A7290">
        <f ca="1">35982.2913689481*((RANDBETWEEN(1587,2416)))</f>
        <v>60882036.996260159</v>
      </c>
      <c r="B7290">
        <v>260417899.52320924</v>
      </c>
    </row>
    <row r="7291" spans="1:2" x14ac:dyDescent="0.25">
      <c r="A7291">
        <f ca="1">31548.6436642065*((RANDBETWEEN(1587,2416)))</f>
        <v>51929067.471283838</v>
      </c>
      <c r="B7291">
        <v>222788539.42064109</v>
      </c>
    </row>
    <row r="7292" spans="1:2" x14ac:dyDescent="0.25">
      <c r="A7292">
        <f ca="1">37718.9376811295*((RANDBETWEEN(1587,2416)))</f>
        <v>79473801.694139883</v>
      </c>
      <c r="B7292">
        <v>227181929.35819623</v>
      </c>
    </row>
    <row r="7293" spans="1:2" x14ac:dyDescent="0.25">
      <c r="A7293">
        <f ca="1">30599.2791501466*((RANDBETWEEN(1587,2416)))</f>
        <v>60402977.042389326</v>
      </c>
      <c r="B7293">
        <v>232947588.26588318</v>
      </c>
    </row>
    <row r="7294" spans="1:2" x14ac:dyDescent="0.25">
      <c r="A7294">
        <f ca="1">30894.128794494*((RANDBETWEEN(1587,2416)))</f>
        <v>69017483.726899579</v>
      </c>
      <c r="B7294">
        <v>242983374.45470285</v>
      </c>
    </row>
    <row r="7295" spans="1:2" x14ac:dyDescent="0.25">
      <c r="A7295">
        <f ca="1">30403.3069702324*((RANDBETWEEN(1587,2416)))</f>
        <v>50743119.333317861</v>
      </c>
      <c r="B7295">
        <v>256889346.4779</v>
      </c>
    </row>
    <row r="7296" spans="1:2" x14ac:dyDescent="0.25">
      <c r="A7296">
        <f ca="1">38742.9105477504*((RANDBETWEEN(1587,2416)))</f>
        <v>73379072.577439338</v>
      </c>
      <c r="B7296">
        <v>224785044.4765335</v>
      </c>
    </row>
    <row r="7297" spans="1:2" x14ac:dyDescent="0.25">
      <c r="A7297">
        <f ca="1">34785.6830029891*((RANDBETWEEN(1587,2416)))</f>
        <v>65884083.607661381</v>
      </c>
      <c r="B7297">
        <v>218425215.86321634</v>
      </c>
    </row>
    <row r="7298" spans="1:2" x14ac:dyDescent="0.25">
      <c r="A7298">
        <f ca="1">33775.2800458147*((RANDBETWEEN(1587,2416)))</f>
        <v>59816020.961137772</v>
      </c>
      <c r="B7298">
        <v>213476909.77470094</v>
      </c>
    </row>
    <row r="7299" spans="1:2" x14ac:dyDescent="0.25">
      <c r="A7299">
        <f ca="1">41418.3538530521*((RANDBETWEEN(1587,2416)))</f>
        <v>70866803.442572132</v>
      </c>
      <c r="B7299">
        <v>210065966.23239157</v>
      </c>
    </row>
    <row r="7300" spans="1:2" x14ac:dyDescent="0.25">
      <c r="A7300">
        <f ca="1">31826.5473246383*((RANDBETWEEN(1587,2416)))</f>
        <v>52354670.349029951</v>
      </c>
      <c r="B7300">
        <v>232594751.72284627</v>
      </c>
    </row>
    <row r="7301" spans="1:2" x14ac:dyDescent="0.25">
      <c r="A7301">
        <f ca="1">28829.3534681175*((RANDBETWEEN(1587,2416)))</f>
        <v>49672976.025566421</v>
      </c>
      <c r="B7301">
        <v>243171556.4980405</v>
      </c>
    </row>
    <row r="7302" spans="1:2" x14ac:dyDescent="0.25">
      <c r="A7302">
        <f ca="1">40612.7579598352*((RANDBETWEEN(1587,2416)))</f>
        <v>80860001.098031849</v>
      </c>
      <c r="B7302">
        <v>262594472.17966965</v>
      </c>
    </row>
    <row r="7303" spans="1:2" x14ac:dyDescent="0.25">
      <c r="A7303">
        <f ca="1">31321.0045713414*((RANDBETWEEN(1587,2416)))</f>
        <v>59259340.648977898</v>
      </c>
      <c r="B7303">
        <v>229693820.00800493</v>
      </c>
    </row>
    <row r="7304" spans="1:2" x14ac:dyDescent="0.25">
      <c r="A7304">
        <f ca="1">33481.8138278908*((RANDBETWEEN(1587,2416)))</f>
        <v>61807428.326286443</v>
      </c>
      <c r="B7304">
        <v>262889738.32782489</v>
      </c>
    </row>
    <row r="7305" spans="1:2" x14ac:dyDescent="0.25">
      <c r="A7305">
        <f ca="1">32864.3936704784*((RANDBETWEEN(1587,2416)))</f>
        <v>64808584.318183474</v>
      </c>
      <c r="B7305">
        <v>239216403.66035572</v>
      </c>
    </row>
    <row r="7306" spans="1:2" x14ac:dyDescent="0.25">
      <c r="A7306">
        <f ca="1">29163.2551197766*((RANDBETWEEN(1587,2416)))</f>
        <v>60922039.945213325</v>
      </c>
      <c r="B7306">
        <v>264467109.16830373</v>
      </c>
    </row>
    <row r="7307" spans="1:2" x14ac:dyDescent="0.25">
      <c r="A7307">
        <f ca="1">40391.6168890357*((RANDBETWEEN(1587,2416)))</f>
        <v>74118616.991380453</v>
      </c>
      <c r="B7307">
        <v>250577405.32976916</v>
      </c>
    </row>
    <row r="7308" spans="1:2" x14ac:dyDescent="0.25">
      <c r="A7308">
        <f ca="1">29345.8561164889*((RANDBETWEEN(1587,2416)))</f>
        <v>67642198.348506883</v>
      </c>
      <c r="B7308">
        <v>220232387.79991442</v>
      </c>
    </row>
    <row r="7309" spans="1:2" x14ac:dyDescent="0.25">
      <c r="A7309">
        <f ca="1">30592.636452117*((RANDBETWEEN(1587,2416)))</f>
        <v>72963437.938299105</v>
      </c>
      <c r="B7309">
        <v>207687381.72318926</v>
      </c>
    </row>
    <row r="7310" spans="1:2" x14ac:dyDescent="0.25">
      <c r="A7310">
        <f ca="1">31425.2059746605*((RANDBETWEEN(1587,2416)))</f>
        <v>75671895.986982584</v>
      </c>
      <c r="B7310">
        <v>253713826.51077586</v>
      </c>
    </row>
    <row r="7311" spans="1:2" x14ac:dyDescent="0.25">
      <c r="A7311">
        <f ca="1">30002.1658954616*((RANDBETWEEN(1587,2416)))</f>
        <v>70685102.849707603</v>
      </c>
      <c r="B7311">
        <v>225569562.4192822</v>
      </c>
    </row>
    <row r="7312" spans="1:2" x14ac:dyDescent="0.25">
      <c r="A7312">
        <f ca="1">32771.3062543089*((RANDBETWEEN(1587,2416)))</f>
        <v>74030380.828483701</v>
      </c>
      <c r="B7312">
        <v>230832723.70260683</v>
      </c>
    </row>
    <row r="7313" spans="1:2" x14ac:dyDescent="0.25">
      <c r="A7313">
        <f ca="1">37548.7162472975*((RANDBETWEEN(1587,2416)))</f>
        <v>83921380.812709942</v>
      </c>
      <c r="B7313">
        <v>249420075.38531816</v>
      </c>
    </row>
    <row r="7314" spans="1:2" x14ac:dyDescent="0.25">
      <c r="A7314">
        <f ca="1">37271.7185768509*((RANDBETWEEN(1587,2416)))</f>
        <v>81625063.683303371</v>
      </c>
      <c r="B7314">
        <v>216436842.02285007</v>
      </c>
    </row>
    <row r="7315" spans="1:2" x14ac:dyDescent="0.25">
      <c r="A7315">
        <f ca="1">33857.5033328302*((RANDBETWEEN(1587,2416)))</f>
        <v>70254319.415622666</v>
      </c>
      <c r="B7315">
        <v>255278508.53964669</v>
      </c>
    </row>
    <row r="7316" spans="1:2" x14ac:dyDescent="0.25">
      <c r="A7316">
        <f ca="1">32613.0644812884*((RANDBETWEEN(1587,2416)))</f>
        <v>65943616.381165124</v>
      </c>
      <c r="B7316">
        <v>210878810.76313788</v>
      </c>
    </row>
    <row r="7317" spans="1:2" x14ac:dyDescent="0.25">
      <c r="A7317">
        <f ca="1">32259.0855894937*((RANDBETWEEN(1587,2416)))</f>
        <v>76712105.531816036</v>
      </c>
      <c r="B7317">
        <v>258180627.53685963</v>
      </c>
    </row>
    <row r="7318" spans="1:2" x14ac:dyDescent="0.25">
      <c r="A7318">
        <f ca="1">33405.0726715021*((RANDBETWEEN(1587,2416)))</f>
        <v>63336017.785167955</v>
      </c>
      <c r="B7318">
        <v>221661426.90608636</v>
      </c>
    </row>
    <row r="7319" spans="1:2" x14ac:dyDescent="0.25">
      <c r="A7319">
        <f ca="1">30605.6645726156*((RANDBETWEEN(1587,2416)))</f>
        <v>63843416.298476107</v>
      </c>
      <c r="B7319">
        <v>206072952.12707296</v>
      </c>
    </row>
    <row r="7320" spans="1:2" x14ac:dyDescent="0.25">
      <c r="A7320">
        <f ca="1">33324.5177845104*((RANDBETWEEN(1587,2416)))</f>
        <v>53352552.973001182</v>
      </c>
      <c r="B7320">
        <v>253166214.69743964</v>
      </c>
    </row>
    <row r="7321" spans="1:2" x14ac:dyDescent="0.25">
      <c r="A7321">
        <f ca="1">31169.8666798086*((RANDBETWEEN(1587,2416)))</f>
        <v>51928997.888561092</v>
      </c>
      <c r="B7321">
        <v>225859719.25276262</v>
      </c>
    </row>
    <row r="7322" spans="1:2" x14ac:dyDescent="0.25">
      <c r="A7322">
        <f ca="1">28305.50992019*((RANDBETWEEN(1587,2416)))</f>
        <v>48911921.142088383</v>
      </c>
      <c r="B7322">
        <v>204586609.65191609</v>
      </c>
    </row>
    <row r="7323" spans="1:2" x14ac:dyDescent="0.25">
      <c r="A7323">
        <f ca="1">40164.9081992644*((RANDBETWEEN(1587,2416)))</f>
        <v>73180462.739059821</v>
      </c>
      <c r="B7323">
        <v>204297476.44241199</v>
      </c>
    </row>
    <row r="7324" spans="1:2" x14ac:dyDescent="0.25">
      <c r="A7324">
        <f ca="1">33905.3255315829*((RANDBETWEEN(1587,2416)))</f>
        <v>68488757.573797494</v>
      </c>
      <c r="B7324">
        <v>240826576.64349592</v>
      </c>
    </row>
    <row r="7325" spans="1:2" x14ac:dyDescent="0.25">
      <c r="A7325">
        <f ca="1">31181.0416669229*((RANDBETWEEN(1587,2416)))</f>
        <v>71685214.792255804</v>
      </c>
      <c r="B7325">
        <v>220821574.73777497</v>
      </c>
    </row>
    <row r="7326" spans="1:2" x14ac:dyDescent="0.25">
      <c r="A7326">
        <f ca="1">37940.1017727224*((RANDBETWEEN(1587,2416)))</f>
        <v>78573950.771308064</v>
      </c>
      <c r="B7326">
        <v>225550047.5924713</v>
      </c>
    </row>
    <row r="7327" spans="1:2" x14ac:dyDescent="0.25">
      <c r="A7327">
        <f ca="1">33339.3415009744*((RANDBETWEEN(1587,2416)))</f>
        <v>54376465.988089174</v>
      </c>
      <c r="B7327">
        <v>228655477.48763213</v>
      </c>
    </row>
    <row r="7328" spans="1:2" x14ac:dyDescent="0.25">
      <c r="A7328">
        <f ca="1">34750.3428218219*((RANDBETWEEN(1587,2416)))</f>
        <v>81489553.917172432</v>
      </c>
      <c r="B7328">
        <v>228029566.53151199</v>
      </c>
    </row>
    <row r="7329" spans="1:2" x14ac:dyDescent="0.25">
      <c r="A7329">
        <f ca="1">35608.2396556679*((RANDBETWEEN(1587,2416)))</f>
        <v>74100746.723444968</v>
      </c>
      <c r="B7329">
        <v>241420168.62231404</v>
      </c>
    </row>
    <row r="7330" spans="1:2" x14ac:dyDescent="0.25">
      <c r="A7330">
        <f ca="1">30136.6660200512*((RANDBETWEEN(1587,2416)))</f>
        <v>68018455.207255602</v>
      </c>
      <c r="B7330">
        <v>209788332.84109941</v>
      </c>
    </row>
    <row r="7331" spans="1:2" x14ac:dyDescent="0.25">
      <c r="A7331">
        <f ca="1">30723.6448260608*((RANDBETWEEN(1587,2416)))</f>
        <v>70234252.072374985</v>
      </c>
      <c r="B7331">
        <v>237331708.66789711</v>
      </c>
    </row>
    <row r="7332" spans="1:2" x14ac:dyDescent="0.25">
      <c r="A7332">
        <f ca="1">33061.6305893118*((RANDBETWEEN(1587,2416)))</f>
        <v>73529066.430629402</v>
      </c>
      <c r="B7332">
        <v>220550590.66895637</v>
      </c>
    </row>
    <row r="7333" spans="1:2" x14ac:dyDescent="0.25">
      <c r="A7333">
        <f ca="1">29896.8122538276*((RANDBETWEEN(1587,2416)))</f>
        <v>63889487.786429584</v>
      </c>
      <c r="B7333">
        <v>253223500.44892886</v>
      </c>
    </row>
    <row r="7334" spans="1:2" x14ac:dyDescent="0.25">
      <c r="A7334">
        <f ca="1">32331.987938089*((RANDBETWEEN(1587,2416)))</f>
        <v>57874258.409179375</v>
      </c>
      <c r="B7334">
        <v>223487254.39238805</v>
      </c>
    </row>
    <row r="7335" spans="1:2" x14ac:dyDescent="0.25">
      <c r="A7335">
        <f ca="1">39070.9328043496*((RANDBETWEEN(1587,2416)))</f>
        <v>69897898.786981478</v>
      </c>
      <c r="B7335">
        <v>217313948.47025517</v>
      </c>
    </row>
    <row r="7336" spans="1:2" x14ac:dyDescent="0.25">
      <c r="A7336">
        <f ca="1">29940.6664822718*((RANDBETWEEN(1587,2416)))</f>
        <v>64432314.269849002</v>
      </c>
      <c r="B7336">
        <v>238864103.22583407</v>
      </c>
    </row>
    <row r="7337" spans="1:2" x14ac:dyDescent="0.25">
      <c r="A7337">
        <f ca="1">37315.6200266199*((RANDBETWEEN(1587,2416)))</f>
        <v>71869884.171269909</v>
      </c>
      <c r="B7337">
        <v>239879569.28016469</v>
      </c>
    </row>
    <row r="7338" spans="1:2" x14ac:dyDescent="0.25">
      <c r="A7338">
        <f ca="1">29262.8369836943*((RANDBETWEEN(1587,2416)))</f>
        <v>54370351.115704015</v>
      </c>
      <c r="B7338">
        <v>215663395.36511412</v>
      </c>
    </row>
    <row r="7339" spans="1:2" x14ac:dyDescent="0.25">
      <c r="A7339">
        <f ca="1">34043.0760147131*((RANDBETWEEN(1587,2416)))</f>
        <v>58588133.821321331</v>
      </c>
      <c r="B7339">
        <v>264710166.25322732</v>
      </c>
    </row>
    <row r="7340" spans="1:2" x14ac:dyDescent="0.25">
      <c r="A7340">
        <f ca="1">33451.3888303225*((RANDBETWEEN(1587,2416)))</f>
        <v>69144020.712276652</v>
      </c>
      <c r="B7340">
        <v>265339019.50792271</v>
      </c>
    </row>
    <row r="7341" spans="1:2" x14ac:dyDescent="0.25">
      <c r="A7341">
        <f ca="1">31323.2366105578*((RANDBETWEEN(1587,2416)))</f>
        <v>71918151.257840812</v>
      </c>
      <c r="B7341">
        <v>207839869.54027978</v>
      </c>
    </row>
    <row r="7342" spans="1:2" x14ac:dyDescent="0.25">
      <c r="A7342">
        <f ca="1">36723.3157322343*((RANDBETWEEN(1587,2416)))</f>
        <v>62172573.53467261</v>
      </c>
      <c r="B7342">
        <v>215680378.58833039</v>
      </c>
    </row>
    <row r="7343" spans="1:2" x14ac:dyDescent="0.25">
      <c r="A7343">
        <f ca="1">32770.2795784506*((RANDBETWEEN(1587,2416)))</f>
        <v>69866236.061256677</v>
      </c>
      <c r="B7343">
        <v>265468392.22569305</v>
      </c>
    </row>
    <row r="7344" spans="1:2" x14ac:dyDescent="0.25">
      <c r="A7344">
        <f ca="1">33145.63989088*((RANDBETWEEN(1587,2416)))</f>
        <v>74577689.754479915</v>
      </c>
      <c r="B7344">
        <v>218835512.85840416</v>
      </c>
    </row>
    <row r="7345" spans="1:2" x14ac:dyDescent="0.25">
      <c r="A7345">
        <f ca="1">31546.7576834662*((RANDBETWEEN(1587,2416)))</f>
        <v>55963948.130469091</v>
      </c>
      <c r="B7345">
        <v>251743022.9084006</v>
      </c>
    </row>
    <row r="7346" spans="1:2" x14ac:dyDescent="0.25">
      <c r="A7346">
        <f ca="1">27343.7773576274*((RANDBETWEEN(1587,2416)))</f>
        <v>47906297.930563226</v>
      </c>
      <c r="B7346">
        <v>205720136.91808665</v>
      </c>
    </row>
    <row r="7347" spans="1:2" x14ac:dyDescent="0.25">
      <c r="A7347">
        <f ca="1">40651.6179627742*((RANDBETWEEN(1587,2416)))</f>
        <v>90978321.000688583</v>
      </c>
      <c r="B7347">
        <v>229446801.5841921</v>
      </c>
    </row>
    <row r="7348" spans="1:2" x14ac:dyDescent="0.25">
      <c r="A7348">
        <f ca="1">32208.0994914624*((RANDBETWEEN(1587,2416)))</f>
        <v>70374697.388845354</v>
      </c>
      <c r="B7348">
        <v>254343101.86855108</v>
      </c>
    </row>
    <row r="7349" spans="1:2" x14ac:dyDescent="0.25">
      <c r="A7349">
        <f ca="1">32833.8926291897*((RANDBETWEEN(1587,2416)))</f>
        <v>74992610.765069187</v>
      </c>
      <c r="B7349">
        <v>222275830.83067724</v>
      </c>
    </row>
    <row r="7350" spans="1:2" x14ac:dyDescent="0.25">
      <c r="A7350">
        <f ca="1">32826.9131996745*((RANDBETWEEN(1587,2416)))</f>
        <v>58825828.453816675</v>
      </c>
      <c r="B7350">
        <v>211429790.29472104</v>
      </c>
    </row>
    <row r="7351" spans="1:2" x14ac:dyDescent="0.25">
      <c r="A7351">
        <f ca="1">34985.9042782352*((RANDBETWEEN(1587,2416)))</f>
        <v>60105783.550008021</v>
      </c>
      <c r="B7351">
        <v>212137154.92309412</v>
      </c>
    </row>
    <row r="7352" spans="1:2" x14ac:dyDescent="0.25">
      <c r="A7352">
        <f ca="1">36031.3200659308*((RANDBETWEEN(1587,2416)))</f>
        <v>86835481.358893186</v>
      </c>
      <c r="B7352">
        <v>259701997.80932701</v>
      </c>
    </row>
    <row r="7353" spans="1:2" x14ac:dyDescent="0.25">
      <c r="A7353">
        <f ca="1">39266.5816263492*((RANDBETWEEN(1587,2416)))</f>
        <v>92669132.6381841</v>
      </c>
      <c r="B7353">
        <v>246990525.02180001</v>
      </c>
    </row>
    <row r="7354" spans="1:2" x14ac:dyDescent="0.25">
      <c r="A7354">
        <f ca="1">39154.5094789928*((RANDBETWEEN(1587,2416)))</f>
        <v>74119486.443733349</v>
      </c>
      <c r="B7354">
        <v>219952744.05908632</v>
      </c>
    </row>
    <row r="7355" spans="1:2" x14ac:dyDescent="0.25">
      <c r="A7355">
        <f ca="1">38998.4251981349*((RANDBETWEEN(1587,2416)))</f>
        <v>87902450.396596</v>
      </c>
      <c r="B7355">
        <v>237192694.93521965</v>
      </c>
    </row>
    <row r="7356" spans="1:2" x14ac:dyDescent="0.25">
      <c r="A7356">
        <f ca="1">33801.5354915449*((RANDBETWEEN(1587,2416)))</f>
        <v>56651373.483829327</v>
      </c>
      <c r="B7356">
        <v>236772868.72817907</v>
      </c>
    </row>
    <row r="7357" spans="1:2" x14ac:dyDescent="0.25">
      <c r="A7357">
        <f ca="1">40285.7775248331*((RANDBETWEEN(1587,2416)))</f>
        <v>65021244.925080687</v>
      </c>
      <c r="B7357">
        <v>227162418.77017805</v>
      </c>
    </row>
    <row r="7358" spans="1:2" x14ac:dyDescent="0.25">
      <c r="A7358">
        <f ca="1">30718.5530498023*((RANDBETWEEN(1587,2416)))</f>
        <v>66505667.352821879</v>
      </c>
      <c r="B7358">
        <v>243802026.20044038</v>
      </c>
    </row>
    <row r="7359" spans="1:2" x14ac:dyDescent="0.25">
      <c r="A7359">
        <f ca="1">38006.4258712469*((RANDBETWEEN(1587,2416)))</f>
        <v>79813494.329618379</v>
      </c>
      <c r="B7359">
        <v>232210381.61802432</v>
      </c>
    </row>
    <row r="7360" spans="1:2" x14ac:dyDescent="0.25">
      <c r="A7360">
        <f ca="1">33837.4590226085*((RANDBETWEEN(1587,2416)))</f>
        <v>66659794.274538912</v>
      </c>
      <c r="B7360">
        <v>253930085.15330338</v>
      </c>
    </row>
    <row r="7361" spans="1:2" x14ac:dyDescent="0.25">
      <c r="A7361">
        <f ca="1">36864.5211311599*((RANDBETWEEN(1587,2416)))</f>
        <v>61195105.077725492</v>
      </c>
      <c r="B7361">
        <v>242317299.32233417</v>
      </c>
    </row>
    <row r="7362" spans="1:2" x14ac:dyDescent="0.25">
      <c r="A7362">
        <f ca="1">32829.9780867002*((RANDBETWEEN(1587,2416)))</f>
        <v>56467562.309124388</v>
      </c>
      <c r="B7362">
        <v>211195973.17145145</v>
      </c>
    </row>
    <row r="7363" spans="1:2" x14ac:dyDescent="0.25">
      <c r="A7363">
        <f ca="1">35273.2196888843*((RANDBETWEEN(1587,2416)))</f>
        <v>73262477.293812782</v>
      </c>
      <c r="B7363">
        <v>230869641.7098605</v>
      </c>
    </row>
    <row r="7364" spans="1:2" x14ac:dyDescent="0.25">
      <c r="A7364">
        <f ca="1">41593.4024928784*((RANDBETWEEN(1587,2416)))</f>
        <v>97494935.443307057</v>
      </c>
      <c r="B7364">
        <v>243296778.8215664</v>
      </c>
    </row>
    <row r="7365" spans="1:2" x14ac:dyDescent="0.25">
      <c r="A7365">
        <f ca="1">32534.6050861498*((RANDBETWEEN(1587,2416)))</f>
        <v>59928742.568687961</v>
      </c>
      <c r="B7365">
        <v>246650965.12481368</v>
      </c>
    </row>
    <row r="7366" spans="1:2" x14ac:dyDescent="0.25">
      <c r="A7366">
        <f ca="1">36152.6238088731*((RANDBETWEEN(1587,2416)))</f>
        <v>67930780.13687259</v>
      </c>
      <c r="B7366">
        <v>237249557.26711553</v>
      </c>
    </row>
    <row r="7367" spans="1:2" x14ac:dyDescent="0.25">
      <c r="A7367">
        <f ca="1">32052.6958357784*((RANDBETWEEN(1587,2416)))</f>
        <v>70227456.576190427</v>
      </c>
      <c r="B7367">
        <v>208106718.90341401</v>
      </c>
    </row>
    <row r="7368" spans="1:2" x14ac:dyDescent="0.25">
      <c r="A7368">
        <f ca="1">40847.8689684942*((RANDBETWEEN(1587,2416)))</f>
        <v>83901522.861287028</v>
      </c>
      <c r="B7368">
        <v>234592183.02426544</v>
      </c>
    </row>
    <row r="7369" spans="1:2" x14ac:dyDescent="0.25">
      <c r="A7369">
        <f ca="1">32513.1921923979*((RANDBETWEEN(1587,2416)))</f>
        <v>62295276.240634471</v>
      </c>
      <c r="B7369">
        <v>261441110.84098369</v>
      </c>
    </row>
    <row r="7370" spans="1:2" x14ac:dyDescent="0.25">
      <c r="A7370">
        <f ca="1">30220.2301568163*((RANDBETWEEN(1587,2416)))</f>
        <v>52613420.703017153</v>
      </c>
      <c r="B7370">
        <v>217895279.28927243</v>
      </c>
    </row>
    <row r="7371" spans="1:2" x14ac:dyDescent="0.25">
      <c r="A7371">
        <f ca="1">30139.6614122371*((RANDBETWEEN(1587,2416)))</f>
        <v>59646389.934817292</v>
      </c>
      <c r="B7371">
        <v>227693458.30170852</v>
      </c>
    </row>
    <row r="7372" spans="1:2" x14ac:dyDescent="0.25">
      <c r="A7372">
        <f ca="1">30214.6724799195*((RANDBETWEEN(1587,2416)))</f>
        <v>62846518.758232482</v>
      </c>
      <c r="B7372">
        <v>231950108.22282392</v>
      </c>
    </row>
    <row r="7373" spans="1:2" x14ac:dyDescent="0.25">
      <c r="A7373">
        <f ca="1">41338.4750905247*((RANDBETWEEN(1587,2416)))</f>
        <v>75360040.090026483</v>
      </c>
      <c r="B7373">
        <v>267120244.85758853</v>
      </c>
    </row>
    <row r="7374" spans="1:2" x14ac:dyDescent="0.25">
      <c r="A7374">
        <f ca="1">37890.7883600016*((RANDBETWEEN(1587,2416)))</f>
        <v>65513173.074442692</v>
      </c>
      <c r="B7374">
        <v>256577581.61289859</v>
      </c>
    </row>
    <row r="7375" spans="1:2" x14ac:dyDescent="0.25">
      <c r="A7375">
        <f ca="1">33238.3475260838*((RANDBETWEEN(1587,2416)))</f>
        <v>71130063.705819413</v>
      </c>
      <c r="B7375">
        <v>251978936.03439763</v>
      </c>
    </row>
    <row r="7376" spans="1:2" x14ac:dyDescent="0.25">
      <c r="A7376">
        <f ca="1">32202.8786624631*((RANDBETWEEN(1587,2416)))</f>
        <v>71844622.295955166</v>
      </c>
      <c r="B7376">
        <v>219710251.88801497</v>
      </c>
    </row>
    <row r="7377" spans="1:2" x14ac:dyDescent="0.25">
      <c r="A7377">
        <f ca="1">32647.042942496*((RANDBETWEEN(1587,2416)))</f>
        <v>57622030.793505505</v>
      </c>
      <c r="B7377">
        <v>222634195.34818396</v>
      </c>
    </row>
    <row r="7378" spans="1:2" x14ac:dyDescent="0.25">
      <c r="A7378">
        <f ca="1">31654.775917221*((RANDBETWEEN(1587,2416)))</f>
        <v>62803075.41976665</v>
      </c>
      <c r="B7378">
        <v>243830565.35394114</v>
      </c>
    </row>
    <row r="7379" spans="1:2" x14ac:dyDescent="0.25">
      <c r="A7379">
        <f ca="1">32910.7065237598*((RANDBETWEEN(1587,2416)))</f>
        <v>55981111.79691536</v>
      </c>
      <c r="B7379">
        <v>261322703.39827234</v>
      </c>
    </row>
    <row r="7380" spans="1:2" x14ac:dyDescent="0.25">
      <c r="A7380">
        <f ca="1">31107.867808623*((RANDBETWEEN(1587,2416)))</f>
        <v>58638330.819254413</v>
      </c>
      <c r="B7380">
        <v>265214114.07719982</v>
      </c>
    </row>
    <row r="7381" spans="1:2" x14ac:dyDescent="0.25">
      <c r="A7381">
        <f ca="1">31673.6091440065*((RANDBETWEEN(1587,2416)))</f>
        <v>57962704.733531937</v>
      </c>
      <c r="B7381">
        <v>219155837.05548313</v>
      </c>
    </row>
    <row r="7382" spans="1:2" x14ac:dyDescent="0.25">
      <c r="A7382">
        <f ca="1">31188.6654649665*((RANDBETWEEN(1587,2416)))</f>
        <v>70735893.274543926</v>
      </c>
      <c r="B7382">
        <v>250147729.51240724</v>
      </c>
    </row>
    <row r="7383" spans="1:2" x14ac:dyDescent="0.25">
      <c r="A7383">
        <f ca="1">32145.096394572*((RANDBETWEEN(1587,2416)))</f>
        <v>54743099.159956075</v>
      </c>
      <c r="B7383">
        <v>242753236.03638962</v>
      </c>
    </row>
    <row r="7384" spans="1:2" x14ac:dyDescent="0.25">
      <c r="A7384">
        <f ca="1">30965.4188515259*((RANDBETWEEN(1587,2416)))</f>
        <v>72954526.814194947</v>
      </c>
      <c r="B7384">
        <v>212774015.9624249</v>
      </c>
    </row>
    <row r="7385" spans="1:2" x14ac:dyDescent="0.25">
      <c r="A7385">
        <f ca="1">39466.1677027692*((RANDBETWEEN(1587,2416)))</f>
        <v>69894583.001604244</v>
      </c>
      <c r="B7385">
        <v>246920093.82690021</v>
      </c>
    </row>
    <row r="7386" spans="1:2" x14ac:dyDescent="0.25">
      <c r="A7386">
        <f ca="1">29416.701720499*((RANDBETWEEN(1587,2416)))</f>
        <v>70217667.006831005</v>
      </c>
      <c r="B7386">
        <v>205183043.57390022</v>
      </c>
    </row>
    <row r="7387" spans="1:2" x14ac:dyDescent="0.25">
      <c r="A7387">
        <f ca="1">39020.4274547755*((RANDBETWEEN(1587,2416)))</f>
        <v>93336862.471822917</v>
      </c>
      <c r="B7387">
        <v>222273088.26251003</v>
      </c>
    </row>
    <row r="7388" spans="1:2" x14ac:dyDescent="0.25">
      <c r="A7388">
        <f ca="1">30782.9007468973*((RANDBETWEEN(1587,2416)))</f>
        <v>70277362.405166462</v>
      </c>
      <c r="B7388">
        <v>227271595.48965642</v>
      </c>
    </row>
    <row r="7389" spans="1:2" x14ac:dyDescent="0.25">
      <c r="A7389">
        <f ca="1">31943.8131771443*((RANDBETWEEN(1587,2416)))</f>
        <v>57850245.663808405</v>
      </c>
      <c r="B7389">
        <v>244215846.63693225</v>
      </c>
    </row>
    <row r="7390" spans="1:2" x14ac:dyDescent="0.25">
      <c r="A7390">
        <f ca="1">33022.2599949359*((RANDBETWEEN(1587,2416)))</f>
        <v>67464477.169653997</v>
      </c>
      <c r="B7390">
        <v>206483369.00163782</v>
      </c>
    </row>
    <row r="7391" spans="1:2" x14ac:dyDescent="0.25">
      <c r="A7391">
        <f ca="1">31716.6907194687*((RANDBETWEEN(1587,2416)))</f>
        <v>53791507.460218906</v>
      </c>
      <c r="B7391">
        <v>208048625.77332348</v>
      </c>
    </row>
    <row r="7392" spans="1:2" x14ac:dyDescent="0.25">
      <c r="A7392">
        <f ca="1">36590.4830074622*((RANDBETWEEN(1587,2416)))</f>
        <v>84853330.094304815</v>
      </c>
      <c r="B7392">
        <v>219723660.13892877</v>
      </c>
    </row>
    <row r="7393" spans="1:2" x14ac:dyDescent="0.25">
      <c r="A7393">
        <f ca="1">36373.9703160793*((RANDBETWEEN(1587,2416)))</f>
        <v>62344985.121759959</v>
      </c>
      <c r="B7393">
        <v>261252674.75456741</v>
      </c>
    </row>
    <row r="7394" spans="1:2" x14ac:dyDescent="0.25">
      <c r="A7394">
        <f ca="1">32675.572909097*((RANDBETWEEN(1587,2416)))</f>
        <v>74532981.80565019</v>
      </c>
      <c r="B7394">
        <v>217474928.04677239</v>
      </c>
    </row>
    <row r="7395" spans="1:2" x14ac:dyDescent="0.25">
      <c r="A7395">
        <f ca="1">37920.9515518676*((RANDBETWEEN(1587,2416)))</f>
        <v>69129894.679054573</v>
      </c>
      <c r="B7395">
        <v>233440807.9318043</v>
      </c>
    </row>
    <row r="7396" spans="1:2" x14ac:dyDescent="0.25">
      <c r="A7396">
        <f ca="1">42356.6810907402*((RANDBETWEEN(1587,2416)))</f>
        <v>77089159.585147202</v>
      </c>
      <c r="B7396">
        <v>223932115.52274901</v>
      </c>
    </row>
    <row r="7397" spans="1:2" x14ac:dyDescent="0.25">
      <c r="A7397">
        <f ca="1">30908.4670944925*((RANDBETWEEN(1587,2416)))</f>
        <v>54769803.691440687</v>
      </c>
      <c r="B7397">
        <v>225538284.45546573</v>
      </c>
    </row>
    <row r="7398" spans="1:2" x14ac:dyDescent="0.25">
      <c r="A7398">
        <f ca="1">41120.8526285373*((RANDBETWEEN(1587,2416)))</f>
        <v>93961148.256207839</v>
      </c>
      <c r="B7398">
        <v>258851625.55260408</v>
      </c>
    </row>
    <row r="7399" spans="1:2" x14ac:dyDescent="0.25">
      <c r="A7399">
        <f ca="1">32160.300209125*((RANDBETWEEN(1587,2416)))</f>
        <v>77152560.201690942</v>
      </c>
      <c r="B7399">
        <v>218998108.27041256</v>
      </c>
    </row>
    <row r="7400" spans="1:2" x14ac:dyDescent="0.25">
      <c r="A7400">
        <f ca="1">34573.1247784871*((RANDBETWEEN(1587,2416)))</f>
        <v>82940926.343590543</v>
      </c>
      <c r="B7400">
        <v>250401602.55046144</v>
      </c>
    </row>
    <row r="7401" spans="1:2" x14ac:dyDescent="0.25">
      <c r="A7401">
        <f ca="1">31370.578769877*((RANDBETWEEN(1587,2416)))</f>
        <v>65784103.680431969</v>
      </c>
      <c r="B7401">
        <v>218511521.19780111</v>
      </c>
    </row>
    <row r="7402" spans="1:2" x14ac:dyDescent="0.25">
      <c r="A7402">
        <f ca="1">28632.6566207771*((RANDBETWEEN(1587,2416)))</f>
        <v>48331924.375871778</v>
      </c>
      <c r="B7402">
        <v>253439202.27041572</v>
      </c>
    </row>
    <row r="7403" spans="1:2" x14ac:dyDescent="0.25">
      <c r="A7403">
        <f ca="1">31930.6777518665*((RANDBETWEEN(1587,2416)))</f>
        <v>63605910.081718035</v>
      </c>
      <c r="B7403">
        <v>263489358.65826768</v>
      </c>
    </row>
    <row r="7404" spans="1:2" x14ac:dyDescent="0.25">
      <c r="A7404">
        <f ca="1">31622.1024253558*((RANDBETWEEN(1587,2416)))</f>
        <v>61188768.193063498</v>
      </c>
      <c r="B7404">
        <v>266369398.36374262</v>
      </c>
    </row>
    <row r="7405" spans="1:2" x14ac:dyDescent="0.25">
      <c r="A7405">
        <f ca="1">38660.4031780064*((RANDBETWEEN(1587,2416)))</f>
        <v>74923861.358976454</v>
      </c>
      <c r="B7405">
        <v>263382336.14184454</v>
      </c>
    </row>
    <row r="7406" spans="1:2" x14ac:dyDescent="0.25">
      <c r="A7406">
        <f ca="1">35519.4427981928*((RANDBETWEEN(1587,2416)))</f>
        <v>64183633.136334337</v>
      </c>
      <c r="B7406">
        <v>253282610.24449658</v>
      </c>
    </row>
    <row r="7407" spans="1:2" x14ac:dyDescent="0.25">
      <c r="A7407">
        <f ca="1">42168.3982827776*((RANDBETWEEN(1587,2416)))</f>
        <v>95890937.695036292</v>
      </c>
      <c r="B7407">
        <v>241852920.56428248</v>
      </c>
    </row>
    <row r="7408" spans="1:2" x14ac:dyDescent="0.25">
      <c r="A7408">
        <f ca="1">31852.280553729*((RANDBETWEEN(1587,2416)))</f>
        <v>72145415.45419614</v>
      </c>
      <c r="B7408">
        <v>215536140.16516882</v>
      </c>
    </row>
    <row r="7409" spans="1:2" x14ac:dyDescent="0.25">
      <c r="A7409">
        <f ca="1">32504.2156353382*((RANDBETWEEN(1587,2416)))</f>
        <v>56589839.42112384</v>
      </c>
      <c r="B7409">
        <v>263856542.86274341</v>
      </c>
    </row>
    <row r="7410" spans="1:2" x14ac:dyDescent="0.25">
      <c r="A7410">
        <f ca="1">39853.1577528589*((RANDBETWEEN(1587,2416)))</f>
        <v>84408988.120555207</v>
      </c>
      <c r="B7410">
        <v>267654293.41670936</v>
      </c>
    </row>
    <row r="7411" spans="1:2" x14ac:dyDescent="0.25">
      <c r="A7411">
        <f ca="1">35267.9943887208*((RANDBETWEEN(1587,2416)))</f>
        <v>66585973.40590483</v>
      </c>
      <c r="B7411">
        <v>220086028.14184445</v>
      </c>
    </row>
    <row r="7412" spans="1:2" x14ac:dyDescent="0.25">
      <c r="A7412">
        <f ca="1">38809.0514729705*((RANDBETWEEN(1587,2416)))</f>
        <v>78045002.512143597</v>
      </c>
      <c r="B7412">
        <v>253348323.32620418</v>
      </c>
    </row>
    <row r="7413" spans="1:2" x14ac:dyDescent="0.25">
      <c r="A7413">
        <f ca="1">37299.3996074118*((RANDBETWEEN(1587,2416)))</f>
        <v>85452924.500580415</v>
      </c>
      <c r="B7413">
        <v>252170565.75947198</v>
      </c>
    </row>
    <row r="7414" spans="1:2" x14ac:dyDescent="0.25">
      <c r="A7414">
        <f ca="1">30799.7695181064*((RANDBETWEEN(1587,2416)))</f>
        <v>66558301.928628013</v>
      </c>
      <c r="B7414">
        <v>210429565.24066815</v>
      </c>
    </row>
    <row r="7415" spans="1:2" x14ac:dyDescent="0.25">
      <c r="A7415">
        <f ca="1">30601.4470010468*((RANDBETWEEN(1587,2416)))</f>
        <v>72494827.945479855</v>
      </c>
      <c r="B7415">
        <v>213878817.3169747</v>
      </c>
    </row>
    <row r="7416" spans="1:2" x14ac:dyDescent="0.25">
      <c r="A7416">
        <f ca="1">29723.1763938432*((RANDBETWEEN(1587,2416)))</f>
        <v>64083168.305125937</v>
      </c>
      <c r="B7416">
        <v>233157113.06730419</v>
      </c>
    </row>
    <row r="7417" spans="1:2" x14ac:dyDescent="0.25">
      <c r="A7417">
        <f ca="1">38090.1156892818*((RANDBETWEEN(1587,2416)))</f>
        <v>71114245.991889134</v>
      </c>
      <c r="B7417">
        <v>261375827.96404496</v>
      </c>
    </row>
    <row r="7418" spans="1:2" x14ac:dyDescent="0.25">
      <c r="A7418">
        <f ca="1">29371.2243634314*((RANDBETWEEN(1587,2416)))</f>
        <v>54836075.886526458</v>
      </c>
      <c r="B7418">
        <v>233547262.23526272</v>
      </c>
    </row>
    <row r="7419" spans="1:2" x14ac:dyDescent="0.25">
      <c r="A7419">
        <f ca="1">31742.437942634*((RANDBETWEEN(1587,2416)))</f>
        <v>70214272.729106337</v>
      </c>
      <c r="B7419">
        <v>217174061.85627681</v>
      </c>
    </row>
    <row r="7420" spans="1:2" x14ac:dyDescent="0.25">
      <c r="A7420">
        <f ca="1">30951.6393175991*((RANDBETWEEN(1587,2416)))</f>
        <v>73788708.133156329</v>
      </c>
      <c r="B7420">
        <v>223882970.87212965</v>
      </c>
    </row>
    <row r="7421" spans="1:2" x14ac:dyDescent="0.25">
      <c r="A7421">
        <f ca="1">30244.5469509876*((RANDBETWEEN(1587,2416)))</f>
        <v>70439549.848850116</v>
      </c>
      <c r="B7421">
        <v>235821937.38908148</v>
      </c>
    </row>
    <row r="7422" spans="1:2" x14ac:dyDescent="0.25">
      <c r="A7422">
        <f ca="1">41962.8107790924*((RANDBETWEEN(1587,2416)))</f>
        <v>72301922.972376198</v>
      </c>
      <c r="B7422">
        <v>244725488.30461821</v>
      </c>
    </row>
    <row r="7423" spans="1:2" x14ac:dyDescent="0.25">
      <c r="A7423">
        <f ca="1">31119.0769305839*((RANDBETWEEN(1587,2416)))</f>
        <v>58815055.398803584</v>
      </c>
      <c r="B7423">
        <v>220297811.50799966</v>
      </c>
    </row>
    <row r="7424" spans="1:2" x14ac:dyDescent="0.25">
      <c r="A7424">
        <f ca="1">29437.3457500349*((RANDBETWEEN(1587,2416)))</f>
        <v>64850472.68732699</v>
      </c>
      <c r="B7424">
        <v>206325306.35116053</v>
      </c>
    </row>
    <row r="7425" spans="1:2" x14ac:dyDescent="0.25">
      <c r="A7425">
        <f ca="1">29433.8469642049*((RANDBETWEEN(1587,2416)))</f>
        <v>65166537.17874974</v>
      </c>
      <c r="B7425">
        <v>207573007.59691867</v>
      </c>
    </row>
    <row r="7426" spans="1:2" x14ac:dyDescent="0.25">
      <c r="A7426">
        <f ca="1">31595.4356322*((RANDBETWEEN(1587,2416)))</f>
        <v>60758022.720720671</v>
      </c>
      <c r="B7426">
        <v>217174444.93282211</v>
      </c>
    </row>
    <row r="7427" spans="1:2" x14ac:dyDescent="0.25">
      <c r="A7427">
        <f ca="1">36338.4503892876*((RANDBETWEEN(1587,2416)))</f>
        <v>58577582.027531639</v>
      </c>
      <c r="B7427">
        <v>252723831.74155095</v>
      </c>
    </row>
    <row r="7428" spans="1:2" x14ac:dyDescent="0.25">
      <c r="A7428">
        <f ca="1">31519.0118131802*((RANDBETWEEN(1587,2416)))</f>
        <v>55158270.673065312</v>
      </c>
      <c r="B7428">
        <v>239960401.66373694</v>
      </c>
    </row>
    <row r="7429" spans="1:2" x14ac:dyDescent="0.25">
      <c r="A7429">
        <f ca="1">37908.7692469453*((RANDBETWEEN(1587,2416)))</f>
        <v>82413664.342858985</v>
      </c>
      <c r="B7429">
        <v>243637849.39372265</v>
      </c>
    </row>
    <row r="7430" spans="1:2" x14ac:dyDescent="0.25">
      <c r="A7430">
        <f ca="1">31131.313293585*((RANDBETWEEN(1587,2416)))</f>
        <v>73936869.072264403</v>
      </c>
      <c r="B7430">
        <v>214713670.28593451</v>
      </c>
    </row>
    <row r="7431" spans="1:2" x14ac:dyDescent="0.25">
      <c r="A7431">
        <f ca="1">43038.3293669829*((RANDBETWEEN(1587,2416)))</f>
        <v>73552504.888173789</v>
      </c>
      <c r="B7431">
        <v>251716374.15077925</v>
      </c>
    </row>
    <row r="7432" spans="1:2" x14ac:dyDescent="0.25">
      <c r="A7432">
        <f ca="1">36350.9879171307*((RANDBETWEEN(1587,2416)))</f>
        <v>85024960.738168672</v>
      </c>
      <c r="B7432">
        <v>251553540.64157617</v>
      </c>
    </row>
    <row r="7433" spans="1:2" x14ac:dyDescent="0.25">
      <c r="A7433">
        <f ca="1">37719.8452261825*((RANDBETWEEN(1587,2416)))</f>
        <v>60012273.754856333</v>
      </c>
      <c r="B7433">
        <v>210016613.08384204</v>
      </c>
    </row>
    <row r="7434" spans="1:2" x14ac:dyDescent="0.25">
      <c r="A7434">
        <f ca="1">34452.5891179246*((RANDBETWEEN(1587,2416)))</f>
        <v>67664885.027603954</v>
      </c>
      <c r="B7434">
        <v>211155599.19196972</v>
      </c>
    </row>
    <row r="7435" spans="1:2" x14ac:dyDescent="0.25">
      <c r="A7435">
        <f ca="1">35123.8899600654*((RANDBETWEEN(1587,2416)))</f>
        <v>79520486.869588166</v>
      </c>
      <c r="B7435">
        <v>224267038.49692526</v>
      </c>
    </row>
    <row r="7436" spans="1:2" x14ac:dyDescent="0.25">
      <c r="A7436">
        <f ca="1">39373.9865260554*((RANDBETWEEN(1587,2416)))</f>
        <v>73314362.911515132</v>
      </c>
      <c r="B7436">
        <v>266411631.66819921</v>
      </c>
    </row>
    <row r="7437" spans="1:2" x14ac:dyDescent="0.25">
      <c r="A7437">
        <f ca="1">29660.7685244666*((RANDBETWEEN(1587,2416)))</f>
        <v>50838557.250935726</v>
      </c>
      <c r="B7437">
        <v>216643147.8320877</v>
      </c>
    </row>
    <row r="7438" spans="1:2" x14ac:dyDescent="0.25">
      <c r="A7438">
        <f ca="1">31728.6927839451*((RANDBETWEEN(1587,2416)))</f>
        <v>65329378.442142993</v>
      </c>
      <c r="B7438">
        <v>238308924.29664841</v>
      </c>
    </row>
    <row r="7439" spans="1:2" x14ac:dyDescent="0.25">
      <c r="A7439">
        <f ca="1">35263.498338538*((RANDBETWEEN(1587,2416)))</f>
        <v>65625370.408019133</v>
      </c>
      <c r="B7439">
        <v>266156480.99896279</v>
      </c>
    </row>
    <row r="7440" spans="1:2" x14ac:dyDescent="0.25">
      <c r="A7440">
        <f ca="1">39460.3579543869*((RANDBETWEEN(1587,2416)))</f>
        <v>70121056.0849455</v>
      </c>
      <c r="B7440">
        <v>205205315.38626495</v>
      </c>
    </row>
    <row r="7441" spans="1:2" x14ac:dyDescent="0.25">
      <c r="A7441">
        <f ca="1">32553.3372505928*((RANDBETWEEN(1587,2416)))</f>
        <v>74384375.617604554</v>
      </c>
      <c r="B7441">
        <v>245644370.51537389</v>
      </c>
    </row>
    <row r="7442" spans="1:2" x14ac:dyDescent="0.25">
      <c r="A7442">
        <f ca="1">30246.7331628687*((RANDBETWEEN(1587,2416)))</f>
        <v>63790360.240490042</v>
      </c>
      <c r="B7442">
        <v>243286281.49796197</v>
      </c>
    </row>
    <row r="7443" spans="1:2" x14ac:dyDescent="0.25">
      <c r="A7443">
        <f ca="1">38135.5004448671*((RANDBETWEEN(1587,2416)))</f>
        <v>68186274.795422405</v>
      </c>
      <c r="B7443">
        <v>209917318.69365826</v>
      </c>
    </row>
    <row r="7444" spans="1:2" x14ac:dyDescent="0.25">
      <c r="A7444">
        <f ca="1">31122.3530662422*((RANDBETWEEN(1587,2416)))</f>
        <v>71114576.756363362</v>
      </c>
      <c r="B7444">
        <v>205101606.8920427</v>
      </c>
    </row>
    <row r="7445" spans="1:2" x14ac:dyDescent="0.25">
      <c r="A7445">
        <f ca="1">33501.7837833802*((RANDBETWEEN(1587,2416)))</f>
        <v>79298722.215260893</v>
      </c>
      <c r="B7445">
        <v>209838855.32346755</v>
      </c>
    </row>
    <row r="7446" spans="1:2" x14ac:dyDescent="0.25">
      <c r="A7446">
        <f ca="1">40003.6747658716*((RANDBETWEEN(1587,2416)))</f>
        <v>91168374.791421458</v>
      </c>
      <c r="B7446">
        <v>246338536.56596041</v>
      </c>
    </row>
    <row r="7447" spans="1:2" x14ac:dyDescent="0.25">
      <c r="A7447">
        <f ca="1">28204.3610022855*((RANDBETWEEN(1587,2416)))</f>
        <v>58608662.162749186</v>
      </c>
      <c r="B7447">
        <v>205284966.40526554</v>
      </c>
    </row>
    <row r="7448" spans="1:2" x14ac:dyDescent="0.25">
      <c r="A7448">
        <f ca="1">33369.5216724076*((RANDBETWEEN(1587,2416)))</f>
        <v>80120221.535450682</v>
      </c>
      <c r="B7448">
        <v>254525907.62480646</v>
      </c>
    </row>
    <row r="7449" spans="1:2" x14ac:dyDescent="0.25">
      <c r="A7449">
        <f ca="1">32125.2896995102*((RANDBETWEEN(1587,2416)))</f>
        <v>55094871.834660031</v>
      </c>
      <c r="B7449">
        <v>216597858.35302386</v>
      </c>
    </row>
    <row r="7450" spans="1:2" x14ac:dyDescent="0.25">
      <c r="A7450">
        <f ca="1">31384.5666185063*((RANDBETWEEN(1587,2416)))</f>
        <v>57276834.078773975</v>
      </c>
      <c r="B7450">
        <v>223731066.83225411</v>
      </c>
    </row>
    <row r="7451" spans="1:2" x14ac:dyDescent="0.25">
      <c r="A7451">
        <f ca="1">35230.9530375831*((RANDBETWEEN(1587,2416)))</f>
        <v>62570172.59474767</v>
      </c>
      <c r="B7451">
        <v>208329341.87302935</v>
      </c>
    </row>
    <row r="7452" spans="1:2" x14ac:dyDescent="0.25">
      <c r="A7452">
        <f ca="1">38720.9855495856*((RANDBETWEEN(1587,2416)))</f>
        <v>71362776.36788626</v>
      </c>
      <c r="B7452">
        <v>258113607.74706593</v>
      </c>
    </row>
    <row r="7453" spans="1:2" x14ac:dyDescent="0.25">
      <c r="A7453">
        <f ca="1">37035.6050576677*((RANDBETWEEN(1587,2416)))</f>
        <v>60664321.084459648</v>
      </c>
      <c r="B7453">
        <v>216912695.54603207</v>
      </c>
    </row>
    <row r="7454" spans="1:2" x14ac:dyDescent="0.25">
      <c r="A7454">
        <f ca="1">31617.6548811669*((RANDBETWEEN(1587,2416)))</f>
        <v>59409573.521712698</v>
      </c>
      <c r="B7454">
        <v>245110491.49237317</v>
      </c>
    </row>
    <row r="7455" spans="1:2" x14ac:dyDescent="0.25">
      <c r="A7455">
        <f ca="1">34551.9483410301*((RANDBETWEEN(1587,2416)))</f>
        <v>56285123.847537957</v>
      </c>
      <c r="B7455">
        <v>238368445.00659603</v>
      </c>
    </row>
    <row r="7456" spans="1:2" x14ac:dyDescent="0.25">
      <c r="A7456">
        <f ca="1">32779.2177616887*((RANDBETWEEN(1587,2416)))</f>
        <v>66640149.70951315</v>
      </c>
      <c r="B7456">
        <v>236339663.87719175</v>
      </c>
    </row>
    <row r="7457" spans="1:2" x14ac:dyDescent="0.25">
      <c r="A7457">
        <f ca="1">37431.3376837402*((RANDBETWEEN(1587,2416)))</f>
        <v>72803951.794874772</v>
      </c>
      <c r="B7457">
        <v>207551404.12277931</v>
      </c>
    </row>
    <row r="7458" spans="1:2" x14ac:dyDescent="0.25">
      <c r="A7458">
        <f ca="1">31464.9554938896*((RANDBETWEEN(1587,2416)))</f>
        <v>53458959.384118438</v>
      </c>
      <c r="B7458">
        <v>218694652.98059052</v>
      </c>
    </row>
    <row r="7459" spans="1:2" x14ac:dyDescent="0.25">
      <c r="A7459">
        <f ca="1">33877.1247830318*((RANDBETWEEN(1587,2416)))</f>
        <v>77985141.250539258</v>
      </c>
      <c r="B7459">
        <v>263082693.81035286</v>
      </c>
    </row>
    <row r="7460" spans="1:2" x14ac:dyDescent="0.25">
      <c r="A7460">
        <f ca="1">32237.7451288886*((RANDBETWEEN(1587,2416)))</f>
        <v>54675215.738595009</v>
      </c>
      <c r="B7460">
        <v>207453992.24073505</v>
      </c>
    </row>
    <row r="7461" spans="1:2" x14ac:dyDescent="0.25">
      <c r="A7461">
        <f ca="1">29077.0430961302*((RANDBETWEEN(1587,2416)))</f>
        <v>66702736.862522729</v>
      </c>
      <c r="B7461">
        <v>250380410.22777581</v>
      </c>
    </row>
    <row r="7462" spans="1:2" x14ac:dyDescent="0.25">
      <c r="A7462">
        <f ca="1">33746.6896305318*((RANDBETWEEN(1587,2416)))</f>
        <v>56795678.648185082</v>
      </c>
      <c r="B7462">
        <v>247461584.36859387</v>
      </c>
    </row>
    <row r="7463" spans="1:2" x14ac:dyDescent="0.25">
      <c r="A7463">
        <f ca="1">38605.210391745*((RANDBETWEEN(1587,2416)))</f>
        <v>90529218.368642107</v>
      </c>
      <c r="B7463">
        <v>225759028.91995555</v>
      </c>
    </row>
    <row r="7464" spans="1:2" x14ac:dyDescent="0.25">
      <c r="A7464">
        <f ca="1">37167.9657339552*((RANDBETWEEN(1587,2416)))</f>
        <v>66716498.492449544</v>
      </c>
      <c r="B7464">
        <v>259807163.42699307</v>
      </c>
    </row>
    <row r="7465" spans="1:2" x14ac:dyDescent="0.25">
      <c r="A7465">
        <f ca="1">40572.9531274968*((RANDBETWEEN(1587,2416)))</f>
        <v>81632781.692523539</v>
      </c>
      <c r="B7465">
        <v>256716931.87558824</v>
      </c>
    </row>
    <row r="7466" spans="1:2" x14ac:dyDescent="0.25">
      <c r="A7466">
        <f ca="1">31171.5249827563*((RANDBETWEEN(1587,2416)))</f>
        <v>66083632.963443346</v>
      </c>
      <c r="B7466">
        <v>206224157.11302692</v>
      </c>
    </row>
    <row r="7467" spans="1:2" x14ac:dyDescent="0.25">
      <c r="A7467">
        <f ca="1">31937.0023619298*((RANDBETWEEN(1587,2416)))</f>
        <v>59849942.426256388</v>
      </c>
      <c r="B7467">
        <v>244536115.56619093</v>
      </c>
    </row>
    <row r="7468" spans="1:2" x14ac:dyDescent="0.25">
      <c r="A7468">
        <f ca="1">29181.2992667446*((RANDBETWEEN(1587,2416)))</f>
        <v>69422310.955585405</v>
      </c>
      <c r="B7468">
        <v>221207914.95408118</v>
      </c>
    </row>
    <row r="7469" spans="1:2" x14ac:dyDescent="0.25">
      <c r="A7469">
        <f ca="1">35432.9001924922*((RANDBETWEEN(1587,2416)))</f>
        <v>71822488.690181702</v>
      </c>
      <c r="B7469">
        <v>217530515.22700435</v>
      </c>
    </row>
    <row r="7470" spans="1:2" x14ac:dyDescent="0.25">
      <c r="A7470">
        <f ca="1">32064.6791061979*((RANDBETWEEN(1587,2416)))</f>
        <v>65123363.264687903</v>
      </c>
      <c r="B7470">
        <v>248019035.34900132</v>
      </c>
    </row>
    <row r="7471" spans="1:2" x14ac:dyDescent="0.25">
      <c r="A7471">
        <f ca="1">31712.2488795402*((RANDBETWEEN(1587,2416)))</f>
        <v>66944557.384709433</v>
      </c>
      <c r="B7471">
        <v>227504509.58921182</v>
      </c>
    </row>
    <row r="7472" spans="1:2" x14ac:dyDescent="0.25">
      <c r="A7472">
        <f ca="1">31205.9199139552*((RANDBETWEEN(1587,2416)))</f>
        <v>50179119.221639976</v>
      </c>
      <c r="B7472">
        <v>264332183.4053089</v>
      </c>
    </row>
    <row r="7473" spans="1:2" x14ac:dyDescent="0.25">
      <c r="A7473">
        <f ca="1">32265.3908829796*((RANDBETWEEN(1587,2416)))</f>
        <v>66757093.736884698</v>
      </c>
      <c r="B7473">
        <v>246286199.50260013</v>
      </c>
    </row>
    <row r="7474" spans="1:2" x14ac:dyDescent="0.25">
      <c r="A7474">
        <f ca="1">32210.118172616*((RANDBETWEEN(1587,2416)))</f>
        <v>57946002.592536241</v>
      </c>
      <c r="B7474">
        <v>255009133.91210493</v>
      </c>
    </row>
    <row r="7475" spans="1:2" x14ac:dyDescent="0.25">
      <c r="A7475">
        <f ca="1">33885.0364059259*((RANDBETWEEN(1587,2416)))</f>
        <v>73937149.437730223</v>
      </c>
      <c r="B7475">
        <v>210847154.93441695</v>
      </c>
    </row>
    <row r="7476" spans="1:2" x14ac:dyDescent="0.25">
      <c r="A7476">
        <f ca="1">37431.7323045915*((RANDBETWEEN(1587,2416)))</f>
        <v>71307450.040246814</v>
      </c>
      <c r="B7476">
        <v>209414391.49352664</v>
      </c>
    </row>
    <row r="7477" spans="1:2" x14ac:dyDescent="0.25">
      <c r="A7477">
        <f ca="1">38487.0269566794*((RANDBETWEEN(1587,2416)))</f>
        <v>80976704.716853395</v>
      </c>
      <c r="B7477">
        <v>240354029.40054697</v>
      </c>
    </row>
    <row r="7478" spans="1:2" x14ac:dyDescent="0.25">
      <c r="A7478">
        <f ca="1">32521.7920739839*((RANDBETWEEN(1587,2416)))</f>
        <v>56067569.535548188</v>
      </c>
      <c r="B7478">
        <v>239409373.6885595</v>
      </c>
    </row>
    <row r="7479" spans="1:2" x14ac:dyDescent="0.25">
      <c r="A7479">
        <f ca="1">30932.0159206883*((RANDBETWEEN(1587,2416)))</f>
        <v>68483483.248403966</v>
      </c>
      <c r="B7479">
        <v>237405250.76855382</v>
      </c>
    </row>
    <row r="7480" spans="1:2" x14ac:dyDescent="0.25">
      <c r="A7480">
        <f ca="1">39990.9296095778*((RANDBETWEEN(1587,2416)))</f>
        <v>72503555.382164463</v>
      </c>
      <c r="B7480">
        <v>217418919.21476379</v>
      </c>
    </row>
    <row r="7481" spans="1:2" x14ac:dyDescent="0.25">
      <c r="A7481">
        <f ca="1">32028.525654836*((RANDBETWEEN(1587,2416)))</f>
        <v>51982297.137798831</v>
      </c>
      <c r="B7481">
        <v>204442834.17025393</v>
      </c>
    </row>
    <row r="7482" spans="1:2" x14ac:dyDescent="0.25">
      <c r="A7482">
        <f ca="1">39032.6451050861*((RANDBETWEEN(1587,2416)))</f>
        <v>64559995.003812388</v>
      </c>
      <c r="B7482">
        <v>219067996.19228593</v>
      </c>
    </row>
    <row r="7483" spans="1:2" x14ac:dyDescent="0.25">
      <c r="A7483">
        <f ca="1">35899.2738674898*((RANDBETWEEN(1587,2416)))</f>
        <v>77434733.732175484</v>
      </c>
      <c r="B7483">
        <v>208876608.83235672</v>
      </c>
    </row>
    <row r="7484" spans="1:2" x14ac:dyDescent="0.25">
      <c r="A7484">
        <f ca="1">39346.4406749808*((RANDBETWEEN(1587,2416)))</f>
        <v>90418120.671105951</v>
      </c>
      <c r="B7484">
        <v>230652058.35867256</v>
      </c>
    </row>
    <row r="7485" spans="1:2" x14ac:dyDescent="0.25">
      <c r="A7485">
        <f ca="1">39163.0377454427*((RANDBETWEEN(1587,2416)))</f>
        <v>78326075.490885407</v>
      </c>
      <c r="B7485">
        <v>237416854.00549453</v>
      </c>
    </row>
    <row r="7486" spans="1:2" x14ac:dyDescent="0.25">
      <c r="A7486">
        <f ca="1">33455.0842032782*((RANDBETWEEN(1587,2416)))</f>
        <v>78284897.035670891</v>
      </c>
      <c r="B7486">
        <v>223242026.57410568</v>
      </c>
    </row>
    <row r="7487" spans="1:2" x14ac:dyDescent="0.25">
      <c r="A7487">
        <f ca="1">32626.6737818267*((RANDBETWEEN(1587,2416)))</f>
        <v>70538868.716309413</v>
      </c>
      <c r="B7487">
        <v>250262620.47681099</v>
      </c>
    </row>
    <row r="7488" spans="1:2" x14ac:dyDescent="0.25">
      <c r="A7488">
        <f ca="1">34477.1007895719*((RANDBETWEEN(1587,2416)))</f>
        <v>63058617.344127059</v>
      </c>
      <c r="B7488">
        <v>226384456.20727754</v>
      </c>
    </row>
    <row r="7489" spans="1:2" x14ac:dyDescent="0.25">
      <c r="A7489">
        <f ca="1">35463.4262296802*((RANDBETWEEN(1587,2416)))</f>
        <v>64259728.328180611</v>
      </c>
      <c r="B7489">
        <v>233807063.59160089</v>
      </c>
    </row>
    <row r="7490" spans="1:2" x14ac:dyDescent="0.25">
      <c r="A7490">
        <f ca="1">41264.5748527881*((RANDBETWEEN(1587,2416)))</f>
        <v>67797696.483130902</v>
      </c>
      <c r="B7490">
        <v>220533807.94652641</v>
      </c>
    </row>
    <row r="7491" spans="1:2" x14ac:dyDescent="0.25">
      <c r="A7491">
        <f ca="1">34414.3635865256*((RANDBETWEEN(1587,2416)))</f>
        <v>56473970.645488463</v>
      </c>
      <c r="B7491">
        <v>241353275.70394075</v>
      </c>
    </row>
    <row r="7492" spans="1:2" x14ac:dyDescent="0.25">
      <c r="A7492">
        <f ca="1">31433.1831112173*((RANDBETWEEN(1587,2416)))</f>
        <v>57365559.17797149</v>
      </c>
      <c r="B7492">
        <v>217468565.73676986</v>
      </c>
    </row>
    <row r="7493" spans="1:2" x14ac:dyDescent="0.25">
      <c r="A7493">
        <f ca="1">31831.4316078502*((RANDBETWEEN(1587,2416)))</f>
        <v>68692229.409740657</v>
      </c>
      <c r="B7493">
        <v>247809533.56300715</v>
      </c>
    </row>
    <row r="7494" spans="1:2" x14ac:dyDescent="0.25">
      <c r="A7494">
        <f ca="1">29272.6008838767*((RANDBETWEEN(1587,2416)))</f>
        <v>68819884.677994192</v>
      </c>
      <c r="B7494">
        <v>229308791.26630175</v>
      </c>
    </row>
    <row r="7495" spans="1:2" x14ac:dyDescent="0.25">
      <c r="A7495">
        <f ca="1">34172.7152324252*((RANDBETWEEN(1587,2416)))</f>
        <v>75829255.100751549</v>
      </c>
      <c r="B7495">
        <v>224547169.77064943</v>
      </c>
    </row>
    <row r="7496" spans="1:2" x14ac:dyDescent="0.25">
      <c r="A7496">
        <f ca="1">30712.4614746215*((RANDBETWEEN(1587,2416)))</f>
        <v>73863469.846464813</v>
      </c>
      <c r="B7496">
        <v>236928004.51491165</v>
      </c>
    </row>
    <row r="7497" spans="1:2" x14ac:dyDescent="0.25">
      <c r="A7497">
        <f ca="1">30844.1011560582*((RANDBETWEEN(1587,2416)))</f>
        <v>62181707.930613294</v>
      </c>
      <c r="B7497">
        <v>212440888.80883634</v>
      </c>
    </row>
    <row r="7498" spans="1:2" x14ac:dyDescent="0.25">
      <c r="A7498">
        <f ca="1">37170.1497944497*((RANDBETWEEN(1587,2416)))</f>
        <v>72072920.45143792</v>
      </c>
      <c r="B7498">
        <v>208050024.49445361</v>
      </c>
    </row>
    <row r="7499" spans="1:2" x14ac:dyDescent="0.25">
      <c r="A7499">
        <f ca="1">38852.0939773163*((RANDBETWEEN(1587,2416)))</f>
        <v>84891825.340436131</v>
      </c>
      <c r="B7499">
        <v>251542105.11773562</v>
      </c>
    </row>
    <row r="7500" spans="1:2" x14ac:dyDescent="0.25">
      <c r="A7500">
        <f ca="1">40712.0286310995*((RANDBETWEEN(1587,2416)))</f>
        <v>72508122.991988167</v>
      </c>
      <c r="B7500">
        <v>257100981.31868061</v>
      </c>
    </row>
    <row r="7501" spans="1:2" x14ac:dyDescent="0.25">
      <c r="A7501">
        <f ca="1">31332.7234168575*((RANDBETWEEN(1587,2416)))</f>
        <v>65704721.005150191</v>
      </c>
      <c r="B7501">
        <v>206333762.23480791</v>
      </c>
    </row>
    <row r="7502" spans="1:2" x14ac:dyDescent="0.25">
      <c r="A7502">
        <f ca="1">36870.9415058783*((RANDBETWEEN(1587,2416)))</f>
        <v>82480296.148649752</v>
      </c>
      <c r="B7502">
        <v>223760974.69356108</v>
      </c>
    </row>
    <row r="7503" spans="1:2" x14ac:dyDescent="0.25">
      <c r="A7503">
        <f ca="1">31545.3583519656*((RANDBETWEEN(1587,2416)))</f>
        <v>65298891.788568705</v>
      </c>
      <c r="B7503">
        <v>211505996.83800778</v>
      </c>
    </row>
    <row r="7504" spans="1:2" x14ac:dyDescent="0.25">
      <c r="A7504">
        <f ca="1">37522.7673011989*((RANDBETWEEN(1587,2416)))</f>
        <v>72268849.822109103</v>
      </c>
      <c r="B7504">
        <v>262969578.11886925</v>
      </c>
    </row>
    <row r="7505" spans="1:2" x14ac:dyDescent="0.25">
      <c r="A7505">
        <f ca="1">33728.5167430669*((RANDBETWEEN(1587,2416)))</f>
        <v>57372206.979956836</v>
      </c>
      <c r="B7505">
        <v>239265647.85230604</v>
      </c>
    </row>
    <row r="7506" spans="1:2" x14ac:dyDescent="0.25">
      <c r="A7506">
        <f ca="1">36413.0140313198*((RANDBETWEEN(1587,2416)))</f>
        <v>74865156.84839341</v>
      </c>
      <c r="B7506">
        <v>264720774.42342472</v>
      </c>
    </row>
    <row r="7507" spans="1:2" x14ac:dyDescent="0.25">
      <c r="A7507">
        <f ca="1">34138.4460308052*((RANDBETWEEN(1587,2416)))</f>
        <v>58991234.741231397</v>
      </c>
      <c r="B7507">
        <v>238559650.96474138</v>
      </c>
    </row>
    <row r="7508" spans="1:2" x14ac:dyDescent="0.25">
      <c r="A7508">
        <f ca="1">32951.8297610382*((RANDBETWEEN(1587,2416)))</f>
        <v>67056973.563712783</v>
      </c>
      <c r="B7508">
        <v>245925485.84500429</v>
      </c>
    </row>
    <row r="7509" spans="1:2" x14ac:dyDescent="0.25">
      <c r="A7509">
        <f ca="1">31304.2012897662*((RANDBETWEEN(1587,2416)))</f>
        <v>62232752.164055228</v>
      </c>
      <c r="B7509">
        <v>215436148.43022063</v>
      </c>
    </row>
    <row r="7510" spans="1:2" x14ac:dyDescent="0.25">
      <c r="A7510">
        <f ca="1">32884.7054170358*((RANDBETWEEN(1587,2416)))</f>
        <v>75470398.932097048</v>
      </c>
      <c r="B7510">
        <v>256516522.46155614</v>
      </c>
    </row>
    <row r="7511" spans="1:2" x14ac:dyDescent="0.25">
      <c r="A7511">
        <f ca="1">38502.4033120513*((RANDBETWEEN(1587,2416)))</f>
        <v>80393018.115563035</v>
      </c>
      <c r="B7511">
        <v>231975979.89884487</v>
      </c>
    </row>
    <row r="7512" spans="1:2" x14ac:dyDescent="0.25">
      <c r="A7512">
        <f ca="1">34309.1307095154*((RANDBETWEEN(1587,2416)))</f>
        <v>80729384.559489846</v>
      </c>
      <c r="B7512">
        <v>233550581.21549213</v>
      </c>
    </row>
    <row r="7513" spans="1:2" x14ac:dyDescent="0.25">
      <c r="A7513">
        <f ca="1">29486.6128454513*((RANDBETWEEN(1587,2416)))</f>
        <v>62924431.812193066</v>
      </c>
      <c r="B7513">
        <v>223759108.35845214</v>
      </c>
    </row>
    <row r="7514" spans="1:2" x14ac:dyDescent="0.25">
      <c r="A7514">
        <f ca="1">30609.8130770062*((RANDBETWEEN(1587,2416)))</f>
        <v>65535609.797870331</v>
      </c>
      <c r="B7514">
        <v>236943274.25713253</v>
      </c>
    </row>
    <row r="7515" spans="1:2" x14ac:dyDescent="0.25">
      <c r="A7515">
        <f ca="1">33283.7525775471*((RANDBETWEEN(1587,2416)))</f>
        <v>57614175.711733982</v>
      </c>
      <c r="B7515">
        <v>233194933.34444046</v>
      </c>
    </row>
    <row r="7516" spans="1:2" x14ac:dyDescent="0.25">
      <c r="A7516">
        <f ca="1">38268.8133264843*((RANDBETWEEN(1587,2416)))</f>
        <v>90352668.26382938</v>
      </c>
      <c r="B7516">
        <v>213037781.53250006</v>
      </c>
    </row>
    <row r="7517" spans="1:2" x14ac:dyDescent="0.25">
      <c r="A7517">
        <f ca="1">30552.9125105709*((RANDBETWEEN(1587,2416)))</f>
        <v>62297388.609054089</v>
      </c>
      <c r="B7517">
        <v>248891964.7562108</v>
      </c>
    </row>
    <row r="7518" spans="1:2" x14ac:dyDescent="0.25">
      <c r="A7518">
        <f ca="1">31525.6679057627*((RANDBETWEEN(1587,2416)))</f>
        <v>72193779.504196674</v>
      </c>
      <c r="B7518">
        <v>216409365.65594384</v>
      </c>
    </row>
    <row r="7519" spans="1:2" x14ac:dyDescent="0.25">
      <c r="A7519">
        <f ca="1">33653.2072508787*((RANDBETWEEN(1587,2416)))</f>
        <v>81272495.510872096</v>
      </c>
      <c r="B7519">
        <v>206167531.47496271</v>
      </c>
    </row>
    <row r="7520" spans="1:2" x14ac:dyDescent="0.25">
      <c r="A7520">
        <f ca="1">32293.5408043717*((RANDBETWEEN(1587,2416)))</f>
        <v>63715156.007025413</v>
      </c>
      <c r="B7520">
        <v>260662588.2262519</v>
      </c>
    </row>
    <row r="7521" spans="1:2" x14ac:dyDescent="0.25">
      <c r="A7521">
        <f ca="1">37977.1975439024*((RANDBETWEEN(1587,2416)))</f>
        <v>70219838.258675516</v>
      </c>
      <c r="B7521">
        <v>256622107.9320603</v>
      </c>
    </row>
    <row r="7522" spans="1:2" x14ac:dyDescent="0.25">
      <c r="A7522">
        <f ca="1">33063.0036641359*((RANDBETWEEN(1587,2416)))</f>
        <v>55413594.141091689</v>
      </c>
      <c r="B7522">
        <v>260866540.34615755</v>
      </c>
    </row>
    <row r="7523" spans="1:2" x14ac:dyDescent="0.25">
      <c r="A7523">
        <f ca="1">38607.4477282142*((RANDBETWEEN(1587,2416)))</f>
        <v>83392087.092942685</v>
      </c>
      <c r="B7523">
        <v>267422096.8902151</v>
      </c>
    </row>
    <row r="7524" spans="1:2" x14ac:dyDescent="0.25">
      <c r="A7524">
        <f ca="1">40185.0798084075*((RANDBETWEEN(1587,2416)))</f>
        <v>70565000.143563524</v>
      </c>
      <c r="B7524">
        <v>263917516.64318556</v>
      </c>
    </row>
    <row r="7525" spans="1:2" x14ac:dyDescent="0.25">
      <c r="A7525">
        <f ca="1">29401.0376924046*((RANDBETWEEN(1587,2416)))</f>
        <v>57537830.764035784</v>
      </c>
      <c r="B7525">
        <v>235240135.18160105</v>
      </c>
    </row>
    <row r="7526" spans="1:2" x14ac:dyDescent="0.25">
      <c r="A7526">
        <f ca="1">37179.4698642339*((RANDBETWEEN(1587,2416)))</f>
        <v>69376890.766660422</v>
      </c>
      <c r="B7526">
        <v>209253754.2452279</v>
      </c>
    </row>
    <row r="7527" spans="1:2" x14ac:dyDescent="0.25">
      <c r="A7527">
        <f ca="1">32222.7625237368*((RANDBETWEEN(1587,2416)))</f>
        <v>76819065.856588557</v>
      </c>
      <c r="B7527">
        <v>216113589.36766529</v>
      </c>
    </row>
    <row r="7528" spans="1:2" x14ac:dyDescent="0.25">
      <c r="A7528">
        <f ca="1">36697.6004937756*((RANDBETWEEN(1587,2416)))</f>
        <v>76110823.424090683</v>
      </c>
      <c r="B7528">
        <v>259289839.2133733</v>
      </c>
    </row>
    <row r="7529" spans="1:2" x14ac:dyDescent="0.25">
      <c r="A7529">
        <f ca="1">33514.2226344387*((RANDBETWEEN(1587,2416)))</f>
        <v>80166020.541577309</v>
      </c>
      <c r="B7529">
        <v>236231921.25182465</v>
      </c>
    </row>
    <row r="7530" spans="1:2" x14ac:dyDescent="0.25">
      <c r="A7530">
        <f ca="1">40552.7522118941*((RANDBETWEEN(1587,2416)))</f>
        <v>77982942.503472313</v>
      </c>
      <c r="B7530">
        <v>221488486.34136808</v>
      </c>
    </row>
    <row r="7531" spans="1:2" x14ac:dyDescent="0.25">
      <c r="A7531">
        <f ca="1">29101.4275895122*((RANDBETWEEN(1587,2416)))</f>
        <v>68213746.269816637</v>
      </c>
      <c r="B7531">
        <v>225521265.87637407</v>
      </c>
    </row>
    <row r="7532" spans="1:2" x14ac:dyDescent="0.25">
      <c r="A7532">
        <f ca="1">31884.0342002719*((RANDBETWEEN(1587,2416)))</f>
        <v>76776754.354254857</v>
      </c>
      <c r="B7532">
        <v>240763287.74982077</v>
      </c>
    </row>
    <row r="7533" spans="1:2" x14ac:dyDescent="0.25">
      <c r="A7533">
        <f ca="1">30533.2081885363*((RANDBETWEEN(1587,2416)))</f>
        <v>53738446.411823884</v>
      </c>
      <c r="B7533">
        <v>204676424.54725379</v>
      </c>
    </row>
    <row r="7534" spans="1:2" x14ac:dyDescent="0.25">
      <c r="A7534">
        <f ca="1">29694.287501431*((RANDBETWEEN(1587,2416)))</f>
        <v>59151020.702850558</v>
      </c>
      <c r="B7534">
        <v>210687754.91217583</v>
      </c>
    </row>
    <row r="7535" spans="1:2" x14ac:dyDescent="0.25">
      <c r="A7535">
        <f ca="1">37615.4070149887*((RANDBETWEEN(1587,2416)))</f>
        <v>89825591.951792911</v>
      </c>
      <c r="B7535">
        <v>265522201.85114542</v>
      </c>
    </row>
    <row r="7536" spans="1:2" x14ac:dyDescent="0.25">
      <c r="A7536">
        <f ca="1">32059.5200442864*((RANDBETWEEN(1587,2416)))</f>
        <v>66779980.252248585</v>
      </c>
      <c r="B7536">
        <v>212024866.18177658</v>
      </c>
    </row>
    <row r="7537" spans="1:2" x14ac:dyDescent="0.25">
      <c r="A7537">
        <f ca="1">32596.9013991218*((RANDBETWEEN(1587,2416)))</f>
        <v>70735276.036094293</v>
      </c>
      <c r="B7537">
        <v>256237637.58991918</v>
      </c>
    </row>
    <row r="7538" spans="1:2" x14ac:dyDescent="0.25">
      <c r="A7538">
        <f ca="1">40074.9747597468*((RANDBETWEEN(1587,2416)))</f>
        <v>84317746.894507214</v>
      </c>
      <c r="B7538">
        <v>235908832.74470511</v>
      </c>
    </row>
    <row r="7539" spans="1:2" x14ac:dyDescent="0.25">
      <c r="A7539">
        <f ca="1">35304.8928366261*((RANDBETWEEN(1587,2416)))</f>
        <v>58712036.787309244</v>
      </c>
      <c r="B7539">
        <v>205868230.09979141</v>
      </c>
    </row>
    <row r="7540" spans="1:2" x14ac:dyDescent="0.25">
      <c r="A7540">
        <f ca="1">39568.9305867191*((RANDBETWEEN(1587,2416)))</f>
        <v>69562179.971452221</v>
      </c>
      <c r="B7540">
        <v>226117604.12812036</v>
      </c>
    </row>
    <row r="7541" spans="1:2" x14ac:dyDescent="0.25">
      <c r="A7541">
        <f ca="1">39661.07873086*((RANDBETWEEN(1587,2416)))</f>
        <v>77577069.997562066</v>
      </c>
      <c r="B7541">
        <v>205915926.41526857</v>
      </c>
    </row>
    <row r="7542" spans="1:2" x14ac:dyDescent="0.25">
      <c r="A7542">
        <f ca="1">36181.1788564664*((RANDBETWEEN(1587,2416)))</f>
        <v>63353244.177672707</v>
      </c>
      <c r="B7542">
        <v>265728767.9807277</v>
      </c>
    </row>
    <row r="7543" spans="1:2" x14ac:dyDescent="0.25">
      <c r="A7543">
        <f ca="1">37411.8605324656*((RANDBETWEEN(1587,2416)))</f>
        <v>79649851.073619232</v>
      </c>
      <c r="B7543">
        <v>233641301.90498823</v>
      </c>
    </row>
    <row r="7544" spans="1:2" x14ac:dyDescent="0.25">
      <c r="A7544">
        <f ca="1">34510.5915488136*((RANDBETWEEN(1587,2416)))</f>
        <v>60220982.252679788</v>
      </c>
      <c r="B7544">
        <v>239364342.42352104</v>
      </c>
    </row>
    <row r="7545" spans="1:2" x14ac:dyDescent="0.25">
      <c r="A7545">
        <f ca="1">30194.1006274461*((RANDBETWEEN(1587,2416)))</f>
        <v>55074039.544461682</v>
      </c>
      <c r="B7545">
        <v>217010395.14282745</v>
      </c>
    </row>
    <row r="7546" spans="1:2" x14ac:dyDescent="0.25">
      <c r="A7546">
        <f ca="1">29936.6660305031*((RANDBETWEEN(1587,2416)))</f>
        <v>57867575.43696256</v>
      </c>
      <c r="B7546">
        <v>263373185.41368183</v>
      </c>
    </row>
    <row r="7547" spans="1:2" x14ac:dyDescent="0.25">
      <c r="A7547">
        <f ca="1">31232.5219969157*((RANDBETWEEN(1587,2416)))</f>
        <v>52002149.124864586</v>
      </c>
      <c r="B7547">
        <v>226056936.77793813</v>
      </c>
    </row>
    <row r="7548" spans="1:2" x14ac:dyDescent="0.25">
      <c r="A7548">
        <f ca="1">34595.1538502946*((RANDBETWEEN(1587,2416)))</f>
        <v>78876950.778671607</v>
      </c>
      <c r="B7548">
        <v>242863137.66902906</v>
      </c>
    </row>
    <row r="7549" spans="1:2" x14ac:dyDescent="0.25">
      <c r="A7549">
        <f ca="1">36739.2813035144*((RANDBETWEEN(1587,2416)))</f>
        <v>61464817.620779544</v>
      </c>
      <c r="B7549">
        <v>209369343.75721648</v>
      </c>
    </row>
    <row r="7550" spans="1:2" x14ac:dyDescent="0.25">
      <c r="A7550">
        <f ca="1">41447.7600969059*((RANDBETWEEN(1587,2416)))</f>
        <v>74647415.934527561</v>
      </c>
      <c r="B7550">
        <v>232675097.55106047</v>
      </c>
    </row>
    <row r="7551" spans="1:2" x14ac:dyDescent="0.25">
      <c r="A7551">
        <f ca="1">39688.2086217729*((RANDBETWEEN(1587,2416)))</f>
        <v>90489115.657642275</v>
      </c>
      <c r="B7551">
        <v>237865456.4993844</v>
      </c>
    </row>
    <row r="7552" spans="1:2" x14ac:dyDescent="0.25">
      <c r="A7552">
        <f ca="1">31005.121115193*((RANDBETWEEN(1587,2416)))</f>
        <v>55127105.342813224</v>
      </c>
      <c r="B7552">
        <v>244025426.95872018</v>
      </c>
    </row>
    <row r="7553" spans="1:2" x14ac:dyDescent="0.25">
      <c r="A7553">
        <f ca="1">30616.7082653587*((RANDBETWEEN(1587,2416)))</f>
        <v>57896195.329793282</v>
      </c>
      <c r="B7553">
        <v>256604258.01954067</v>
      </c>
    </row>
    <row r="7554" spans="1:2" x14ac:dyDescent="0.25">
      <c r="A7554">
        <f ca="1">32859.3369251692*((RANDBETWEEN(1587,2416)))</f>
        <v>72290541.235372186</v>
      </c>
      <c r="B7554">
        <v>218230423.81959096</v>
      </c>
    </row>
    <row r="7555" spans="1:2" x14ac:dyDescent="0.25">
      <c r="A7555">
        <f ca="1">30481.0381811116*((RANDBETWEEN(1587,2416)))</f>
        <v>62547090.347641014</v>
      </c>
      <c r="B7555">
        <v>264834423.00264013</v>
      </c>
    </row>
    <row r="7556" spans="1:2" x14ac:dyDescent="0.25">
      <c r="A7556">
        <f ca="1">35602.0840700226*((RANDBETWEEN(1587,2416)))</f>
        <v>71773801.485165536</v>
      </c>
      <c r="B7556">
        <v>257997362.335504</v>
      </c>
    </row>
    <row r="7557" spans="1:2" x14ac:dyDescent="0.25">
      <c r="A7557">
        <f ca="1">32003.1287921068*((RANDBETWEEN(1587,2416)))</f>
        <v>53381218.825234108</v>
      </c>
      <c r="B7557">
        <v>220450744.72423381</v>
      </c>
    </row>
    <row r="7558" spans="1:2" x14ac:dyDescent="0.25">
      <c r="A7558">
        <f ca="1">40436.8603956282*((RANDBETWEEN(1587,2416)))</f>
        <v>76668287.310111001</v>
      </c>
      <c r="B7558">
        <v>222833851.39871654</v>
      </c>
    </row>
    <row r="7559" spans="1:2" x14ac:dyDescent="0.25">
      <c r="A7559">
        <f ca="1">36878.2502732475*((RANDBETWEEN(1587,2416)))</f>
        <v>82422889.360708073</v>
      </c>
      <c r="B7559">
        <v>259700713.70102835</v>
      </c>
    </row>
    <row r="7560" spans="1:2" x14ac:dyDescent="0.25">
      <c r="A7560">
        <f ca="1">31306.7213366691*((RANDBETWEEN(1587,2416)))</f>
        <v>63208270.378734969</v>
      </c>
      <c r="B7560">
        <v>250721765.41826373</v>
      </c>
    </row>
    <row r="7561" spans="1:2" x14ac:dyDescent="0.25">
      <c r="A7561">
        <f ca="1">29959.7944058367*((RANDBETWEEN(1587,2416)))</f>
        <v>61147940.382312655</v>
      </c>
      <c r="B7561">
        <v>237913701.82087001</v>
      </c>
    </row>
    <row r="7562" spans="1:2" x14ac:dyDescent="0.25">
      <c r="A7562">
        <f ca="1">30212.9038348684*((RANDBETWEEN(1587,2416)))</f>
        <v>58038988.266782254</v>
      </c>
      <c r="B7562">
        <v>224407604.0296928</v>
      </c>
    </row>
    <row r="7563" spans="1:2" x14ac:dyDescent="0.25">
      <c r="A7563">
        <f ca="1">36425.9709128097*((RANDBETWEEN(1587,2416)))</f>
        <v>74053998.865742102</v>
      </c>
      <c r="B7563">
        <v>256288602.32615677</v>
      </c>
    </row>
    <row r="7564" spans="1:2" x14ac:dyDescent="0.25">
      <c r="A7564">
        <f ca="1">37295.0636592393*((RANDBETWEEN(1587,2416)))</f>
        <v>83242582.087422147</v>
      </c>
      <c r="B7564">
        <v>265714403.43476364</v>
      </c>
    </row>
    <row r="7565" spans="1:2" x14ac:dyDescent="0.25">
      <c r="A7565">
        <f ca="1">30641.0716505133*((RANDBETWEEN(1587,2416)))</f>
        <v>49944946.790336676</v>
      </c>
      <c r="B7565">
        <v>265700827.07138672</v>
      </c>
    </row>
    <row r="7566" spans="1:2" x14ac:dyDescent="0.25">
      <c r="A7566">
        <f ca="1">31596.4872978165*((RANDBETWEEN(1587,2416)))</f>
        <v>51533870.782738723</v>
      </c>
      <c r="B7566">
        <v>219034738.48248491</v>
      </c>
    </row>
    <row r="7567" spans="1:2" x14ac:dyDescent="0.25">
      <c r="A7567">
        <f ca="1">30390.5809338363*((RANDBETWEEN(1587,2416)))</f>
        <v>56344137.051332429</v>
      </c>
      <c r="B7567">
        <v>204822318.77648562</v>
      </c>
    </row>
    <row r="7568" spans="1:2" x14ac:dyDescent="0.25">
      <c r="A7568">
        <f ca="1">30950.4424533246*((RANDBETWEEN(1587,2416)))</f>
        <v>73197796.402112648</v>
      </c>
      <c r="B7568">
        <v>264715038.9018414</v>
      </c>
    </row>
    <row r="7569" spans="1:2" x14ac:dyDescent="0.25">
      <c r="A7569">
        <f ca="1">37999.9772662088*((RANDBETWEEN(1587,2416)))</f>
        <v>87399947.712280199</v>
      </c>
      <c r="B7569">
        <v>216742124.7247183</v>
      </c>
    </row>
    <row r="7570" spans="1:2" x14ac:dyDescent="0.25">
      <c r="A7570">
        <f ca="1">42871.8548423736*((RANDBETWEEN(1587,2416)))</f>
        <v>101992142.67000684</v>
      </c>
      <c r="B7570">
        <v>208500607.28943315</v>
      </c>
    </row>
    <row r="7571" spans="1:2" x14ac:dyDescent="0.25">
      <c r="A7571">
        <f ca="1">40950.7021647867*((RANDBETWEEN(1587,2416)))</f>
        <v>87347847.717489988</v>
      </c>
      <c r="B7571">
        <v>204855397.25023234</v>
      </c>
    </row>
    <row r="7572" spans="1:2" x14ac:dyDescent="0.25">
      <c r="A7572">
        <f ca="1">28308.3406361533*((RANDBETWEEN(1587,2416)))</f>
        <v>45208419.995936751</v>
      </c>
      <c r="B7572">
        <v>246706595.70834363</v>
      </c>
    </row>
    <row r="7573" spans="1:2" x14ac:dyDescent="0.25">
      <c r="A7573">
        <f ca="1">37404.5236114223*((RANDBETWEEN(1587,2416)))</f>
        <v>68525087.256125733</v>
      </c>
      <c r="B7573">
        <v>233196398.94210464</v>
      </c>
    </row>
    <row r="7574" spans="1:2" x14ac:dyDescent="0.25">
      <c r="A7574">
        <f ca="1">31517.1204995875*((RANDBETWEEN(1587,2416)))</f>
        <v>64736165.506152697</v>
      </c>
      <c r="B7574">
        <v>212205040.2071006</v>
      </c>
    </row>
    <row r="7575" spans="1:2" x14ac:dyDescent="0.25">
      <c r="A7575">
        <f ca="1">37351.8490624059*((RANDBETWEEN(1587,2416)))</f>
        <v>59277384.462038159</v>
      </c>
      <c r="B7575">
        <v>219142963.25891286</v>
      </c>
    </row>
    <row r="7576" spans="1:2" x14ac:dyDescent="0.25">
      <c r="A7576">
        <f ca="1">33174.2016500644*((RANDBETWEEN(1587,2416)))</f>
        <v>61239576.246018924</v>
      </c>
      <c r="B7576">
        <v>222416244.34161049</v>
      </c>
    </row>
    <row r="7577" spans="1:2" x14ac:dyDescent="0.25">
      <c r="A7577">
        <f ca="1">33113.2371138856*((RANDBETWEEN(1587,2416)))</f>
        <v>64239680.000938155</v>
      </c>
      <c r="B7577">
        <v>220647725.77397257</v>
      </c>
    </row>
    <row r="7578" spans="1:2" x14ac:dyDescent="0.25">
      <c r="A7578">
        <f ca="1">29933.4543254881*((RANDBETWEEN(1587,2416)))</f>
        <v>61423448.275901534</v>
      </c>
      <c r="B7578">
        <v>244228354.66888696</v>
      </c>
    </row>
    <row r="7579" spans="1:2" x14ac:dyDescent="0.25">
      <c r="A7579">
        <f ca="1">31979.4073543743*((RANDBETWEEN(1587,2416)))</f>
        <v>69203437.514866069</v>
      </c>
      <c r="B7579">
        <v>253599252.41835117</v>
      </c>
    </row>
    <row r="7580" spans="1:2" x14ac:dyDescent="0.25">
      <c r="A7580">
        <f ca="1">38229.5627703979*((RANDBETWEEN(1587,2416)))</f>
        <v>70036558.995368913</v>
      </c>
      <c r="B7580">
        <v>208548732.71112749</v>
      </c>
    </row>
    <row r="7581" spans="1:2" x14ac:dyDescent="0.25">
      <c r="A7581">
        <f ca="1">35229.2843194914*((RANDBETWEEN(1587,2416)))</f>
        <v>82049003.180095524</v>
      </c>
      <c r="B7581">
        <v>230637652.0511007</v>
      </c>
    </row>
    <row r="7582" spans="1:2" x14ac:dyDescent="0.25">
      <c r="A7582">
        <f ca="1">30441.9698983478*((RANDBETWEEN(1587,2416)))</f>
        <v>55434827.184891433</v>
      </c>
      <c r="B7582">
        <v>243938654.66236705</v>
      </c>
    </row>
    <row r="7583" spans="1:2" x14ac:dyDescent="0.25">
      <c r="A7583">
        <f ca="1">39471.3904299647*((RANDBETWEEN(1587,2416)))</f>
        <v>63746295.544392996</v>
      </c>
      <c r="B7583">
        <v>265029451.22137156</v>
      </c>
    </row>
    <row r="7584" spans="1:2" x14ac:dyDescent="0.25">
      <c r="A7584">
        <f ca="1">31869.4189874585*((RANDBETWEEN(1587,2416)))</f>
        <v>75052481.715464666</v>
      </c>
      <c r="B7584">
        <v>247296495.32069251</v>
      </c>
    </row>
    <row r="7585" spans="1:2" x14ac:dyDescent="0.25">
      <c r="A7585">
        <f ca="1">31601.7890152689*((RANDBETWEEN(1587,2416)))</f>
        <v>73284548.726408482</v>
      </c>
      <c r="B7585">
        <v>204371530.11375716</v>
      </c>
    </row>
    <row r="7586" spans="1:2" x14ac:dyDescent="0.25">
      <c r="A7586">
        <f ca="1">41141.0548635271*((RANDBETWEEN(1587,2416)))</f>
        <v>66360521.494869173</v>
      </c>
      <c r="B7586">
        <v>214567405.15454811</v>
      </c>
    </row>
    <row r="7587" spans="1:2" x14ac:dyDescent="0.25">
      <c r="A7587">
        <f ca="1">31887.2106974301*((RANDBETWEEN(1587,2416)))</f>
        <v>70438848.43062304</v>
      </c>
      <c r="B7587">
        <v>221297415.84096408</v>
      </c>
    </row>
    <row r="7588" spans="1:2" x14ac:dyDescent="0.25">
      <c r="A7588">
        <f ca="1">32493.1885602998*((RANDBETWEEN(1587,2416)))</f>
        <v>65636240.891805656</v>
      </c>
      <c r="B7588">
        <v>232518760.63581768</v>
      </c>
    </row>
    <row r="7589" spans="1:2" x14ac:dyDescent="0.25">
      <c r="A7589">
        <f ca="1">29364.5890160356*((RANDBETWEEN(1587,2416)))</f>
        <v>66187783.642144337</v>
      </c>
      <c r="B7589">
        <v>218206257.28102869</v>
      </c>
    </row>
    <row r="7590" spans="1:2" x14ac:dyDescent="0.25">
      <c r="A7590">
        <f ca="1">31902.5846739299*((RANDBETWEEN(1587,2416)))</f>
        <v>56658990.380899496</v>
      </c>
      <c r="B7590">
        <v>234387586.32051289</v>
      </c>
    </row>
    <row r="7591" spans="1:2" x14ac:dyDescent="0.25">
      <c r="A7591">
        <f ca="1">39649.0625375341*((RANDBETWEEN(1587,2416)))</f>
        <v>69703051.940985024</v>
      </c>
      <c r="B7591">
        <v>206590767.42107525</v>
      </c>
    </row>
    <row r="7592" spans="1:2" x14ac:dyDescent="0.25">
      <c r="A7592">
        <f ca="1">33396.1284775602*((RANDBETWEEN(1587,2416)))</f>
        <v>65823769.229271129</v>
      </c>
      <c r="B7592">
        <v>241515438.72176984</v>
      </c>
    </row>
    <row r="7593" spans="1:2" x14ac:dyDescent="0.25">
      <c r="A7593">
        <f ca="1">33158.3829396952*((RANDBETWEEN(1587,2416)))</f>
        <v>69599445.790420189</v>
      </c>
      <c r="B7593">
        <v>239150994.56012774</v>
      </c>
    </row>
    <row r="7594" spans="1:2" x14ac:dyDescent="0.25">
      <c r="A7594">
        <f ca="1">33233.5945168859*((RANDBETWEEN(1587,2416)))</f>
        <v>65038144.469545759</v>
      </c>
      <c r="B7594">
        <v>257233111.63092256</v>
      </c>
    </row>
    <row r="7595" spans="1:2" x14ac:dyDescent="0.25">
      <c r="A7595">
        <f ca="1">38405.404839885*((RANDBETWEEN(1587,2416)))</f>
        <v>83992620.384828463</v>
      </c>
      <c r="B7595">
        <v>263746498.79804784</v>
      </c>
    </row>
    <row r="7596" spans="1:2" x14ac:dyDescent="0.25">
      <c r="A7596">
        <f ca="1">40260.2479436313*((RANDBETWEEN(1587,2416)))</f>
        <v>66550189.850822538</v>
      </c>
      <c r="B7596">
        <v>261754688.82336357</v>
      </c>
    </row>
    <row r="7597" spans="1:2" x14ac:dyDescent="0.25">
      <c r="A7597">
        <f ca="1">32415.1825253451*((RANDBETWEEN(1587,2416)))</f>
        <v>75592205.649104834</v>
      </c>
      <c r="B7597">
        <v>218932033.97042152</v>
      </c>
    </row>
    <row r="7598" spans="1:2" x14ac:dyDescent="0.25">
      <c r="A7598">
        <f ca="1">30473.2789773135*((RANDBETWEEN(1587,2416)))</f>
        <v>52932085.583593614</v>
      </c>
      <c r="B7598">
        <v>257190582.03191531</v>
      </c>
    </row>
    <row r="7599" spans="1:2" x14ac:dyDescent="0.25">
      <c r="A7599">
        <f ca="1">34562.4420911296*((RANDBETWEEN(1587,2416)))</f>
        <v>74067313.401290759</v>
      </c>
      <c r="B7599">
        <v>230609743.82866889</v>
      </c>
    </row>
    <row r="7600" spans="1:2" x14ac:dyDescent="0.25">
      <c r="A7600">
        <f ca="1">29686.4116672096*((RANDBETWEEN(1587,2416)))</f>
        <v>70386482.062953949</v>
      </c>
      <c r="B7600">
        <v>267037327.43038863</v>
      </c>
    </row>
    <row r="7601" spans="1:2" x14ac:dyDescent="0.25">
      <c r="A7601">
        <f ca="1">31626.2348261984*((RANDBETWEEN(1587,2416)))</f>
        <v>75966216.052528456</v>
      </c>
      <c r="B7601">
        <v>267771893.77307478</v>
      </c>
    </row>
    <row r="7602" spans="1:2" x14ac:dyDescent="0.25">
      <c r="A7602">
        <f ca="1">31225.3026399658*((RANDBETWEEN(1587,2416)))</f>
        <v>60514636.516253792</v>
      </c>
      <c r="B7602">
        <v>223878766.96588898</v>
      </c>
    </row>
    <row r="7603" spans="1:2" x14ac:dyDescent="0.25">
      <c r="A7603">
        <f ca="1">33632.4655123726*((RANDBETWEEN(1587,2416)))</f>
        <v>55930790.147075638</v>
      </c>
      <c r="B7603">
        <v>245774296.18073994</v>
      </c>
    </row>
    <row r="7604" spans="1:2" x14ac:dyDescent="0.25">
      <c r="A7604">
        <f ca="1">39812.1972719788*((RANDBETWEEN(1587,2416)))</f>
        <v>74926555.265864149</v>
      </c>
      <c r="B7604">
        <v>235047218.75000769</v>
      </c>
    </row>
    <row r="7605" spans="1:2" x14ac:dyDescent="0.25">
      <c r="A7605">
        <f ca="1">32613.2797739196*((RANDBETWEEN(1587,2416)))</f>
        <v>55442575.615663342</v>
      </c>
      <c r="B7605">
        <v>258754250.91432807</v>
      </c>
    </row>
    <row r="7606" spans="1:2" x14ac:dyDescent="0.25">
      <c r="A7606">
        <f ca="1">33462.2604552991*((RANDBETWEEN(1587,2416)))</f>
        <v>70839605.383868337</v>
      </c>
      <c r="B7606">
        <v>213018043.75351959</v>
      </c>
    </row>
    <row r="7607" spans="1:2" x14ac:dyDescent="0.25">
      <c r="A7607">
        <f ca="1">31396.1249106787*((RANDBETWEEN(1587,2416)))</f>
        <v>59558448.955557495</v>
      </c>
      <c r="B7607">
        <v>214385238.07374266</v>
      </c>
    </row>
    <row r="7608" spans="1:2" x14ac:dyDescent="0.25">
      <c r="A7608">
        <f ca="1">35253.6593501476*((RANDBETWEEN(1587,2416)))</f>
        <v>79461748.175232679</v>
      </c>
      <c r="B7608">
        <v>219973820.63604054</v>
      </c>
    </row>
    <row r="7609" spans="1:2" x14ac:dyDescent="0.25">
      <c r="A7609">
        <f ca="1">30320.8454826928*((RANDBETWEEN(1587,2416)))</f>
        <v>59853348.982835516</v>
      </c>
      <c r="B7609">
        <v>237565556.83966741</v>
      </c>
    </row>
    <row r="7610" spans="1:2" x14ac:dyDescent="0.25">
      <c r="A7610">
        <f ca="1">38988.7114340137*((RANDBETWEEN(1587,2416)))</f>
        <v>92520212.232914597</v>
      </c>
      <c r="B7610">
        <v>208150331.3641654</v>
      </c>
    </row>
    <row r="7611" spans="1:2" x14ac:dyDescent="0.25">
      <c r="A7611">
        <f ca="1">38097.2676481644*((RANDBETWEEN(1587,2416)))</f>
        <v>72956267.546234801</v>
      </c>
      <c r="B7611">
        <v>234239402.65354368</v>
      </c>
    </row>
    <row r="7612" spans="1:2" x14ac:dyDescent="0.25">
      <c r="A7612">
        <f ca="1">29889.8834884904*((RANDBETWEEN(1587,2416)))</f>
        <v>55057165.385799304</v>
      </c>
      <c r="B7612">
        <v>218790593.71904477</v>
      </c>
    </row>
    <row r="7613" spans="1:2" x14ac:dyDescent="0.25">
      <c r="A7613">
        <f ca="1">31246.5397530467*((RANDBETWEEN(1587,2416)))</f>
        <v>51213078.65524362</v>
      </c>
      <c r="B7613">
        <v>242749970.82295501</v>
      </c>
    </row>
    <row r="7614" spans="1:2" x14ac:dyDescent="0.25">
      <c r="A7614">
        <f ca="1">31384.9305238378*((RANDBETWEEN(1587,2416)))</f>
        <v>56963648.90076565</v>
      </c>
      <c r="B7614">
        <v>231011557.04208624</v>
      </c>
    </row>
    <row r="7615" spans="1:2" x14ac:dyDescent="0.25">
      <c r="A7615">
        <f ca="1">40360.7926332561*((RANDBETWEEN(1587,2416)))</f>
        <v>79430039.902248159</v>
      </c>
      <c r="B7615">
        <v>263314149.0993768</v>
      </c>
    </row>
    <row r="7616" spans="1:2" x14ac:dyDescent="0.25">
      <c r="A7616">
        <f ca="1">39865.6911841834*((RANDBETWEEN(1587,2416)))</f>
        <v>64502688.336008728</v>
      </c>
      <c r="B7616">
        <v>219911349.37392932</v>
      </c>
    </row>
    <row r="7617" spans="1:2" x14ac:dyDescent="0.25">
      <c r="A7617">
        <f ca="1">33087.8011868648*((RANDBETWEEN(1587,2416)))</f>
        <v>72627723.605168343</v>
      </c>
      <c r="B7617">
        <v>223369150.8729136</v>
      </c>
    </row>
    <row r="7618" spans="1:2" x14ac:dyDescent="0.25">
      <c r="A7618">
        <f ca="1">34382.2284680532*((RANDBETWEEN(1587,2416)))</f>
        <v>82929935.064944267</v>
      </c>
      <c r="B7618">
        <v>204232749.74744228</v>
      </c>
    </row>
    <row r="7619" spans="1:2" x14ac:dyDescent="0.25">
      <c r="A7619">
        <f ca="1">39277.8145667799*((RANDBETWEEN(1587,2416)))</f>
        <v>81580020.85520184</v>
      </c>
      <c r="B7619">
        <v>233453250.96489954</v>
      </c>
    </row>
    <row r="7620" spans="1:2" x14ac:dyDescent="0.25">
      <c r="A7620">
        <f ca="1">38687.420939504*((RANDBETWEEN(1587,2416)))</f>
        <v>75130971.464516729</v>
      </c>
      <c r="B7620">
        <v>263389787.13393518</v>
      </c>
    </row>
    <row r="7621" spans="1:2" x14ac:dyDescent="0.25">
      <c r="A7621">
        <f ca="1">31255.1559632681*((RANDBETWEEN(1587,2416)))</f>
        <v>57947059.155899011</v>
      </c>
      <c r="B7621">
        <v>262134060.41172719</v>
      </c>
    </row>
    <row r="7622" spans="1:2" x14ac:dyDescent="0.25">
      <c r="A7622">
        <f ca="1">31397.8741451137*((RANDBETWEEN(1587,2416)))</f>
        <v>54349720.145191774</v>
      </c>
      <c r="B7622">
        <v>253932640.8158828</v>
      </c>
    </row>
    <row r="7623" spans="1:2" x14ac:dyDescent="0.25">
      <c r="A7623">
        <f ca="1">40661.9547329826*((RANDBETWEEN(1587,2416)))</f>
        <v>66726267.716824405</v>
      </c>
      <c r="B7623">
        <v>209614400.41708437</v>
      </c>
    </row>
    <row r="7624" spans="1:2" x14ac:dyDescent="0.25">
      <c r="A7624">
        <f ca="1">33101.1739519944*((RANDBETWEEN(1587,2416)))</f>
        <v>79707626.876402438</v>
      </c>
      <c r="B7624">
        <v>227153192.48469865</v>
      </c>
    </row>
    <row r="7625" spans="1:2" x14ac:dyDescent="0.25">
      <c r="A7625">
        <f ca="1">30710.7895469694*((RANDBETWEEN(1587,2416)))</f>
        <v>60623098.565717511</v>
      </c>
      <c r="B7625">
        <v>214744461.03431714</v>
      </c>
    </row>
    <row r="7626" spans="1:2" x14ac:dyDescent="0.25">
      <c r="A7626">
        <f ca="1">30125.893724119*((RANDBETWEEN(1587,2416)))</f>
        <v>61125438.366237409</v>
      </c>
      <c r="B7626">
        <v>207047932.71392384</v>
      </c>
    </row>
    <row r="7627" spans="1:2" x14ac:dyDescent="0.25">
      <c r="A7627">
        <f ca="1">38491.3191459998*((RANDBETWEEN(1587,2416)))</f>
        <v>73903332.760319605</v>
      </c>
      <c r="B7627">
        <v>223842860.67844805</v>
      </c>
    </row>
    <row r="7628" spans="1:2" x14ac:dyDescent="0.25">
      <c r="A7628">
        <f ca="1">34375.6259789876*((RANDBETWEEN(1587,2416)))</f>
        <v>75626377.153772697</v>
      </c>
      <c r="B7628">
        <v>223941279.27475259</v>
      </c>
    </row>
    <row r="7629" spans="1:2" x14ac:dyDescent="0.25">
      <c r="A7629">
        <f ca="1">29085.2992671159*((RANDBETWEEN(1587,2416)))</f>
        <v>62533393.424299084</v>
      </c>
      <c r="B7629">
        <v>225615098.05150416</v>
      </c>
    </row>
    <row r="7630" spans="1:2" x14ac:dyDescent="0.25">
      <c r="A7630">
        <f ca="1">42763.8891344087*((RANDBETWEEN(1587,2416)))</f>
        <v>86169236.60583356</v>
      </c>
      <c r="B7630">
        <v>215894752.95178095</v>
      </c>
    </row>
    <row r="7631" spans="1:2" x14ac:dyDescent="0.25">
      <c r="A7631">
        <f ca="1">33681.1402380798*((RANDBETWEEN(1587,2416)))</f>
        <v>67867497.579730764</v>
      </c>
      <c r="B7631">
        <v>236175188.32994092</v>
      </c>
    </row>
    <row r="7632" spans="1:2" x14ac:dyDescent="0.25">
      <c r="A7632">
        <f ca="1">28883.2453097947*((RANDBETWEEN(1587,2416)))</f>
        <v>54098318.465245441</v>
      </c>
      <c r="B7632">
        <v>234765844.00343752</v>
      </c>
    </row>
    <row r="7633" spans="1:2" x14ac:dyDescent="0.25">
      <c r="A7633">
        <f ca="1">37258.4981908473*((RANDBETWEEN(1587,2416)))</f>
        <v>75522975.83284758</v>
      </c>
      <c r="B7633">
        <v>207220752.44553816</v>
      </c>
    </row>
    <row r="7634" spans="1:2" x14ac:dyDescent="0.25">
      <c r="A7634">
        <f ca="1">30199.3897400004*((RANDBETWEEN(1587,2416)))</f>
        <v>53664315.56798064</v>
      </c>
      <c r="B7634">
        <v>235334563.73578829</v>
      </c>
    </row>
    <row r="7635" spans="1:2" x14ac:dyDescent="0.25">
      <c r="A7635">
        <f ca="1">31723.8582350628*((RANDBETWEEN(1587,2416)))</f>
        <v>72679359.216528803</v>
      </c>
      <c r="B7635">
        <v>238864804.83754376</v>
      </c>
    </row>
    <row r="7636" spans="1:2" x14ac:dyDescent="0.25">
      <c r="A7636">
        <f ca="1">32840.7096394807*((RANDBETWEEN(1587,2416)))</f>
        <v>56814427.676301561</v>
      </c>
      <c r="B7636">
        <v>229925238.54866824</v>
      </c>
    </row>
    <row r="7637" spans="1:2" x14ac:dyDescent="0.25">
      <c r="A7637">
        <f ca="1">30391.823812764*((RANDBETWEEN(1587,2416)))</f>
        <v>55586645.753545374</v>
      </c>
      <c r="B7637">
        <v>210025290.91968915</v>
      </c>
    </row>
    <row r="7638" spans="1:2" x14ac:dyDescent="0.25">
      <c r="A7638">
        <f ca="1">39266.5235764822*((RANDBETWEEN(1587,2416)))</f>
        <v>68716416.258843899</v>
      </c>
      <c r="B7638">
        <v>207749607.85817373</v>
      </c>
    </row>
    <row r="7639" spans="1:2" x14ac:dyDescent="0.25">
      <c r="A7639">
        <f ca="1">29230.7924813453*((RANDBETWEEN(1587,2416)))</f>
        <v>57438507.225843489</v>
      </c>
      <c r="B7639">
        <v>233153177.26187956</v>
      </c>
    </row>
    <row r="7640" spans="1:2" x14ac:dyDescent="0.25">
      <c r="A7640">
        <f ca="1">30204.6579959699*((RANDBETWEEN(1587,2416)))</f>
        <v>69319690.100751117</v>
      </c>
      <c r="B7640">
        <v>260076620.05838501</v>
      </c>
    </row>
    <row r="7641" spans="1:2" x14ac:dyDescent="0.25">
      <c r="A7641">
        <f ca="1">32648.7108284595*((RANDBETWEEN(1587,2416)))</f>
        <v>54360103.529385</v>
      </c>
      <c r="B7641">
        <v>254372992.19749525</v>
      </c>
    </row>
    <row r="7642" spans="1:2" x14ac:dyDescent="0.25">
      <c r="A7642">
        <f ca="1">31199.2994833551*((RANDBETWEEN(1587,2416)))</f>
        <v>69200046.254081726</v>
      </c>
      <c r="B7642">
        <v>231086752.51731044</v>
      </c>
    </row>
    <row r="7643" spans="1:2" x14ac:dyDescent="0.25">
      <c r="A7643">
        <f ca="1">30975.8316571683*((RANDBETWEEN(1587,2416)))</f>
        <v>61765808.324393652</v>
      </c>
      <c r="B7643">
        <v>255499291.71874413</v>
      </c>
    </row>
    <row r="7644" spans="1:2" x14ac:dyDescent="0.25">
      <c r="A7644">
        <f ca="1">33708.3893331548*((RANDBETWEEN(1587,2416)))</f>
        <v>75405666.938267291</v>
      </c>
      <c r="B7644">
        <v>247354145.486974</v>
      </c>
    </row>
    <row r="7645" spans="1:2" x14ac:dyDescent="0.25">
      <c r="A7645">
        <f ca="1">32256.6113479425*((RANDBETWEEN(1587,2416)))</f>
        <v>52546019.885798283</v>
      </c>
      <c r="B7645">
        <v>207022624.17286122</v>
      </c>
    </row>
    <row r="7646" spans="1:2" x14ac:dyDescent="0.25">
      <c r="A7646">
        <f ca="1">34615.4051929231*((RANDBETWEEN(1587,2416)))</f>
        <v>74180813.328434274</v>
      </c>
      <c r="B7646">
        <v>263141372.54276693</v>
      </c>
    </row>
    <row r="7647" spans="1:2" x14ac:dyDescent="0.25">
      <c r="A7647">
        <f ca="1">30824.2963368203*((RANDBETWEEN(1587,2416)))</f>
        <v>70248571.351613581</v>
      </c>
      <c r="B7647">
        <v>239999061.493774</v>
      </c>
    </row>
    <row r="7648" spans="1:2" x14ac:dyDescent="0.25">
      <c r="A7648">
        <f ca="1">30775.6376486874*((RANDBETWEEN(1587,2416)))</f>
        <v>53703487.696959518</v>
      </c>
      <c r="B7648">
        <v>255417653.89705211</v>
      </c>
    </row>
    <row r="7649" spans="1:2" x14ac:dyDescent="0.25">
      <c r="A7649">
        <f ca="1">31791.4239480509*((RANDBETWEEN(1587,2416)))</f>
        <v>53091677.993244998</v>
      </c>
      <c r="B7649">
        <v>220365478.71126455</v>
      </c>
    </row>
    <row r="7650" spans="1:2" x14ac:dyDescent="0.25">
      <c r="A7650">
        <f ca="1">31352.3733905478*((RANDBETWEEN(1587,2416)))</f>
        <v>55587758.021441288</v>
      </c>
      <c r="B7650">
        <v>219479963.35474664</v>
      </c>
    </row>
    <row r="7651" spans="1:2" x14ac:dyDescent="0.25">
      <c r="A7651">
        <f ca="1">40036.1093650158*((RANDBETWEEN(1587,2416)))</f>
        <v>91122184.914776057</v>
      </c>
      <c r="B7651">
        <v>267394239.09018889</v>
      </c>
    </row>
    <row r="7652" spans="1:2" x14ac:dyDescent="0.25">
      <c r="A7652">
        <f ca="1">34153.8538745317*((RANDBETWEEN(1587,2416)))</f>
        <v>59086167.202939838</v>
      </c>
      <c r="B7652">
        <v>224479386.60680872</v>
      </c>
    </row>
    <row r="7653" spans="1:2" x14ac:dyDescent="0.25">
      <c r="A7653">
        <f ca="1">28888.4178841863*((RANDBETWEEN(1587,2416)))</f>
        <v>60521235.467370361</v>
      </c>
      <c r="B7653">
        <v>231357638.89178258</v>
      </c>
    </row>
    <row r="7654" spans="1:2" x14ac:dyDescent="0.25">
      <c r="A7654">
        <f ca="1">36730.4786937469*((RANDBETWEEN(1587,2416)))</f>
        <v>77354388.129030988</v>
      </c>
      <c r="B7654">
        <v>263165079.54167742</v>
      </c>
    </row>
    <row r="7655" spans="1:2" x14ac:dyDescent="0.25">
      <c r="A7655">
        <f ca="1">31451.4241162351*((RANDBETWEEN(1587,2416)))</f>
        <v>63060105.353051402</v>
      </c>
      <c r="B7655">
        <v>223087530.86127651</v>
      </c>
    </row>
    <row r="7656" spans="1:2" x14ac:dyDescent="0.25">
      <c r="A7656">
        <f ca="1">39175.8631537152*((RANDBETWEEN(1587,2416)))</f>
        <v>83092005.749029994</v>
      </c>
      <c r="B7656">
        <v>211297239.94273669</v>
      </c>
    </row>
    <row r="7657" spans="1:2" x14ac:dyDescent="0.25">
      <c r="A7657">
        <f ca="1">31252.5963797927*((RANDBETWEEN(1587,2416)))</f>
        <v>66411767.307059564</v>
      </c>
      <c r="B7657">
        <v>228449678.43034643</v>
      </c>
    </row>
    <row r="7658" spans="1:2" x14ac:dyDescent="0.25">
      <c r="A7658">
        <f ca="1">37899.4838603919*((RANDBETWEEN(1587,2416)))</f>
        <v>69393954.948377609</v>
      </c>
      <c r="B7658">
        <v>262625822.15899122</v>
      </c>
    </row>
    <row r="7659" spans="1:2" x14ac:dyDescent="0.25">
      <c r="A7659">
        <f ca="1">40961.6758413535*((RANDBETWEEN(1587,2416)))</f>
        <v>67340995.083185166</v>
      </c>
      <c r="B7659">
        <v>236105432.02832666</v>
      </c>
    </row>
    <row r="7660" spans="1:2" x14ac:dyDescent="0.25">
      <c r="A7660">
        <f ca="1">31921.5417362574*((RANDBETWEEN(1587,2416)))</f>
        <v>74441035.328952223</v>
      </c>
      <c r="B7660">
        <v>258263329.03567466</v>
      </c>
    </row>
    <row r="7661" spans="1:2" x14ac:dyDescent="0.25">
      <c r="A7661">
        <f ca="1">33409.4049389342*((RANDBETWEEN(1587,2416)))</f>
        <v>68222004.885303602</v>
      </c>
      <c r="B7661">
        <v>206937633.73090947</v>
      </c>
    </row>
    <row r="7662" spans="1:2" x14ac:dyDescent="0.25">
      <c r="A7662">
        <f ca="1">35286.3409579546*((RANDBETWEEN(1587,2416)))</f>
        <v>63621272.747192167</v>
      </c>
      <c r="B7662">
        <v>258100569.66075623</v>
      </c>
    </row>
    <row r="7663" spans="1:2" x14ac:dyDescent="0.25">
      <c r="A7663">
        <f ca="1">32451.7859194998*((RANDBETWEEN(1587,2416)))</f>
        <v>56855528.930963688</v>
      </c>
      <c r="B7663">
        <v>205042884.48270774</v>
      </c>
    </row>
    <row r="7664" spans="1:2" x14ac:dyDescent="0.25">
      <c r="A7664">
        <f ca="1">30753.8129435757*((RANDBETWEEN(1587,2416)))</f>
        <v>62860793.65666873</v>
      </c>
      <c r="B7664">
        <v>236170704.60293779</v>
      </c>
    </row>
    <row r="7665" spans="1:2" x14ac:dyDescent="0.25">
      <c r="A7665">
        <f ca="1">39384.6962237124*((RANDBETWEEN(1587,2416)))</f>
        <v>78060467.915397882</v>
      </c>
      <c r="B7665">
        <v>215079858.79962492</v>
      </c>
    </row>
    <row r="7666" spans="1:2" x14ac:dyDescent="0.25">
      <c r="A7666">
        <f ca="1">39563.3181834171*((RANDBETWEEN(1587,2416)))</f>
        <v>88898775.958138153</v>
      </c>
      <c r="B7666">
        <v>244282314.01099211</v>
      </c>
    </row>
    <row r="7667" spans="1:2" x14ac:dyDescent="0.25">
      <c r="A7667">
        <f ca="1">39214.2089581822*((RANDBETWEEN(1587,2416)))</f>
        <v>85565403.946753532</v>
      </c>
      <c r="B7667">
        <v>249682042.20035309</v>
      </c>
    </row>
    <row r="7668" spans="1:2" x14ac:dyDescent="0.25">
      <c r="A7668">
        <f ca="1">34262.5237855875*((RANDBETWEEN(1587,2416)))</f>
        <v>80551193.419916257</v>
      </c>
      <c r="B7668">
        <v>218870384.25510299</v>
      </c>
    </row>
    <row r="7669" spans="1:2" x14ac:dyDescent="0.25">
      <c r="A7669">
        <f ca="1">36666.7350310158*((RANDBETWEEN(1587,2416)))</f>
        <v>71903467.395821929</v>
      </c>
      <c r="B7669">
        <v>233905122.6821391</v>
      </c>
    </row>
    <row r="7670" spans="1:2" x14ac:dyDescent="0.25">
      <c r="A7670">
        <f ca="1">31135.8936210399*((RANDBETWEEN(1587,2416)))</f>
        <v>71674827.115633905</v>
      </c>
      <c r="B7670">
        <v>259484488.81581473</v>
      </c>
    </row>
    <row r="7671" spans="1:2" x14ac:dyDescent="0.25">
      <c r="A7671">
        <f ca="1">35070.9272361147*((RANDBETWEEN(1587,2416)))</f>
        <v>66494478.039673448</v>
      </c>
      <c r="B7671">
        <v>257235210.68299201</v>
      </c>
    </row>
    <row r="7672" spans="1:2" x14ac:dyDescent="0.25">
      <c r="A7672">
        <f ca="1">36054.463277294*((RANDBETWEEN(1587,2416)))</f>
        <v>60968097.401904218</v>
      </c>
      <c r="B7672">
        <v>251387460.17120829</v>
      </c>
    </row>
    <row r="7673" spans="1:2" x14ac:dyDescent="0.25">
      <c r="A7673">
        <f ca="1">38821.9910104847*((RANDBETWEEN(1587,2416)))</f>
        <v>69569007.890788615</v>
      </c>
      <c r="B7673">
        <v>238949897.68434808</v>
      </c>
    </row>
    <row r="7674" spans="1:2" x14ac:dyDescent="0.25">
      <c r="A7674">
        <f ca="1">34364.0525565106*((RANDBETWEEN(1587,2416)))</f>
        <v>66597533.854517475</v>
      </c>
      <c r="B7674">
        <v>234710651.67139721</v>
      </c>
    </row>
    <row r="7675" spans="1:2" x14ac:dyDescent="0.25">
      <c r="A7675">
        <f ca="1">35236.7237971283*((RANDBETWEEN(1587,2416)))</f>
        <v>85026214.522470698</v>
      </c>
      <c r="B7675">
        <v>227229631.06872723</v>
      </c>
    </row>
    <row r="7676" spans="1:2" x14ac:dyDescent="0.25">
      <c r="A7676">
        <f ca="1">35577.4316989097*((RANDBETWEEN(1587,2416)))</f>
        <v>66494219.845262282</v>
      </c>
      <c r="B7676">
        <v>261495507.78837383</v>
      </c>
    </row>
    <row r="7677" spans="1:2" x14ac:dyDescent="0.25">
      <c r="A7677">
        <f ca="1">29132.7121579067*((RANDBETWEEN(1587,2416)))</f>
        <v>61411757.228867248</v>
      </c>
      <c r="B7677">
        <v>249751181.01393357</v>
      </c>
    </row>
    <row r="7678" spans="1:2" x14ac:dyDescent="0.25">
      <c r="A7678">
        <f ca="1">37020.3661607637*((RANDBETWEEN(1587,2416)))</f>
        <v>69376166.185271204</v>
      </c>
      <c r="B7678">
        <v>215402188.23245203</v>
      </c>
    </row>
    <row r="7679" spans="1:2" x14ac:dyDescent="0.25">
      <c r="A7679">
        <f ca="1">31553.3083926985*((RANDBETWEEN(1587,2416)))</f>
        <v>71973096.443745166</v>
      </c>
      <c r="B7679">
        <v>249044803.54790235</v>
      </c>
    </row>
    <row r="7680" spans="1:2" x14ac:dyDescent="0.25">
      <c r="A7680">
        <f ca="1">39294.4085704683*((RANDBETWEEN(1587,2416)))</f>
        <v>80710715.203741923</v>
      </c>
      <c r="B7680">
        <v>225786349.98268306</v>
      </c>
    </row>
    <row r="7681" spans="1:2" x14ac:dyDescent="0.25">
      <c r="A7681">
        <f ca="1">31169.9889226586*((RANDBETWEEN(1587,2416)))</f>
        <v>67046646.17263864</v>
      </c>
      <c r="B7681">
        <v>264343978.64211059</v>
      </c>
    </row>
    <row r="7682" spans="1:2" x14ac:dyDescent="0.25">
      <c r="A7682">
        <f ca="1">35887.3681062183*((RANDBETWEEN(1587,2416)))</f>
        <v>83581680.31938231</v>
      </c>
      <c r="B7682">
        <v>247481980.95875454</v>
      </c>
    </row>
    <row r="7683" spans="1:2" x14ac:dyDescent="0.25">
      <c r="A7683">
        <f ca="1">29264.4255312985*((RANDBETWEEN(1587,2416)))</f>
        <v>59845750.211505473</v>
      </c>
      <c r="B7683">
        <v>238344383.07859898</v>
      </c>
    </row>
    <row r="7684" spans="1:2" x14ac:dyDescent="0.25">
      <c r="A7684">
        <f ca="1">32021.8111255723*((RANDBETWEEN(1587,2416)))</f>
        <v>76339997.723364383</v>
      </c>
      <c r="B7684">
        <v>243322926.1284855</v>
      </c>
    </row>
    <row r="7685" spans="1:2" x14ac:dyDescent="0.25">
      <c r="A7685">
        <f ca="1">30502.3021145595*((RANDBETWEEN(1587,2416)))</f>
        <v>49596743.23827374</v>
      </c>
      <c r="B7685">
        <v>245530105.61608282</v>
      </c>
    </row>
    <row r="7686" spans="1:2" x14ac:dyDescent="0.25">
      <c r="A7686">
        <f ca="1">30289.0514964554*((RANDBETWEEN(1587,2416)))</f>
        <v>60699259.198896572</v>
      </c>
      <c r="B7686">
        <v>207058417.70116532</v>
      </c>
    </row>
    <row r="7687" spans="1:2" x14ac:dyDescent="0.25">
      <c r="A7687">
        <f ca="1">40004.8255212855*((RANDBETWEEN(1587,2416)))</f>
        <v>67128097.224717125</v>
      </c>
      <c r="B7687">
        <v>246094855.72519347</v>
      </c>
    </row>
    <row r="7688" spans="1:2" x14ac:dyDescent="0.25">
      <c r="A7688">
        <f ca="1">28537.9798917718*((RANDBETWEEN(1587,2416)))</f>
        <v>67235480.62501429</v>
      </c>
      <c r="B7688">
        <v>234742245.45678222</v>
      </c>
    </row>
    <row r="7689" spans="1:2" x14ac:dyDescent="0.25">
      <c r="A7689">
        <f ca="1">32444.3020864967*((RANDBETWEEN(1587,2416)))</f>
        <v>78093435.122197598</v>
      </c>
      <c r="B7689">
        <v>211951745.32086927</v>
      </c>
    </row>
    <row r="7690" spans="1:2" x14ac:dyDescent="0.25">
      <c r="A7690">
        <f ca="1">37200.4785603623*((RANDBETWEEN(1587,2416)))</f>
        <v>85821504.038755819</v>
      </c>
      <c r="B7690">
        <v>231321960.5847621</v>
      </c>
    </row>
    <row r="7691" spans="1:2" x14ac:dyDescent="0.25">
      <c r="A7691">
        <f ca="1">29940.3783994747*((RANDBETWEEN(1587,2416)))</f>
        <v>61138252.69172743</v>
      </c>
      <c r="B7691">
        <v>220991975.69576147</v>
      </c>
    </row>
    <row r="7692" spans="1:2" x14ac:dyDescent="0.25">
      <c r="A7692">
        <f ca="1">37251.5908992357*((RANDBETWEEN(1587,2416)))</f>
        <v>82177009.523713872</v>
      </c>
      <c r="B7692">
        <v>247865689.04165024</v>
      </c>
    </row>
    <row r="7693" spans="1:2" x14ac:dyDescent="0.25">
      <c r="A7693">
        <f ca="1">30263.8438583189*((RANDBETWEEN(1587,2416)))</f>
        <v>50903785.369692326</v>
      </c>
      <c r="B7693">
        <v>215354454.37631121</v>
      </c>
    </row>
    <row r="7694" spans="1:2" x14ac:dyDescent="0.25">
      <c r="A7694">
        <f ca="1">38007.161550192*((RANDBETWEEN(1587,2416)))</f>
        <v>68602926.59809655</v>
      </c>
      <c r="B7694">
        <v>216831830.99223211</v>
      </c>
    </row>
    <row r="7695" spans="1:2" x14ac:dyDescent="0.25">
      <c r="A7695">
        <f ca="1">39294.6380195842*((RANDBETWEEN(1587,2416)))</f>
        <v>80907659.682323858</v>
      </c>
      <c r="B7695">
        <v>224952368.44107649</v>
      </c>
    </row>
    <row r="7696" spans="1:2" x14ac:dyDescent="0.25">
      <c r="A7696">
        <f ca="1">31853.1958354461*((RANDBETWEEN(1587,2416)))</f>
        <v>72943818.463171646</v>
      </c>
      <c r="B7696">
        <v>218058190.8563354</v>
      </c>
    </row>
    <row r="7697" spans="1:2" x14ac:dyDescent="0.25">
      <c r="A7697">
        <f ca="1">39368.6905391767*((RANDBETWEEN(1587,2416)))</f>
        <v>82280563.226879343</v>
      </c>
      <c r="B7697">
        <v>259631219.32487208</v>
      </c>
    </row>
    <row r="7698" spans="1:2" x14ac:dyDescent="0.25">
      <c r="A7698">
        <f ca="1">31277.698928771*((RANDBETWEEN(1587,2416)))</f>
        <v>67028108.80435615</v>
      </c>
      <c r="B7698">
        <v>215084163.71251452</v>
      </c>
    </row>
    <row r="7699" spans="1:2" x14ac:dyDescent="0.25">
      <c r="A7699">
        <f ca="1">36861.847828435*((RANDBETWEEN(1587,2416)))</f>
        <v>61633009.569143243</v>
      </c>
      <c r="B7699">
        <v>248142238.56431413</v>
      </c>
    </row>
    <row r="7700" spans="1:2" x14ac:dyDescent="0.25">
      <c r="A7700">
        <f ca="1">31406.7160221778*((RANDBETWEEN(1587,2416)))</f>
        <v>74465323.688583627</v>
      </c>
      <c r="B7700">
        <v>225050313.25327748</v>
      </c>
    </row>
    <row r="7701" spans="1:2" x14ac:dyDescent="0.25">
      <c r="A7701">
        <f ca="1">32978.6053589858*((RANDBETWEEN(1587,2416)))</f>
        <v>58438088.696122915</v>
      </c>
      <c r="B7701">
        <v>230851087.76603043</v>
      </c>
    </row>
    <row r="7702" spans="1:2" x14ac:dyDescent="0.25">
      <c r="A7702">
        <f ca="1">41430.758778715*((RANDBETWEEN(1587,2416)))</f>
        <v>81328579.482617572</v>
      </c>
      <c r="B7702">
        <v>218362137.59113052</v>
      </c>
    </row>
    <row r="7703" spans="1:2" x14ac:dyDescent="0.25">
      <c r="A7703">
        <f ca="1">30314.9790310644*((RANDBETWEEN(1587,2416)))</f>
        <v>62933896.468489617</v>
      </c>
      <c r="B7703">
        <v>238771820.28548023</v>
      </c>
    </row>
    <row r="7704" spans="1:2" x14ac:dyDescent="0.25">
      <c r="A7704">
        <f ca="1">30860.8448775474*((RANDBETWEEN(1587,2416)))</f>
        <v>68264188.869134918</v>
      </c>
      <c r="B7704">
        <v>254528556.27811295</v>
      </c>
    </row>
    <row r="7705" spans="1:2" x14ac:dyDescent="0.25">
      <c r="A7705">
        <f ca="1">29988.6420077877*((RANDBETWEEN(1587,2416)))</f>
        <v>51880350.673472688</v>
      </c>
      <c r="B7705">
        <v>257025489.63798946</v>
      </c>
    </row>
    <row r="7706" spans="1:2" x14ac:dyDescent="0.25">
      <c r="A7706">
        <f ca="1">30846.9695361665*((RANDBETWEEN(1587,2416)))</f>
        <v>50002937.618125863</v>
      </c>
      <c r="B7706">
        <v>266910794.16228706</v>
      </c>
    </row>
    <row r="7707" spans="1:2" x14ac:dyDescent="0.25">
      <c r="A7707">
        <f ca="1">33270.5936748283*((RANDBETWEEN(1587,2416)))</f>
        <v>65077281.227964208</v>
      </c>
      <c r="B7707">
        <v>263255266.96183521</v>
      </c>
    </row>
    <row r="7708" spans="1:2" x14ac:dyDescent="0.25">
      <c r="A7708">
        <f ca="1">32170.7373988417*((RANDBETWEEN(1587,2416)))</f>
        <v>52309619.010516532</v>
      </c>
      <c r="B7708">
        <v>220807734.16278082</v>
      </c>
    </row>
    <row r="7709" spans="1:2" x14ac:dyDescent="0.25">
      <c r="A7709">
        <f ca="1">32920.6893098216*((RANDBETWEEN(1587,2416)))</f>
        <v>74499519.90812622</v>
      </c>
      <c r="B7709">
        <v>243220132.40021467</v>
      </c>
    </row>
    <row r="7710" spans="1:2" x14ac:dyDescent="0.25">
      <c r="A7710">
        <f ca="1">31494.1188591542*((RANDBETWEEN(1587,2416)))</f>
        <v>59681355.238097303</v>
      </c>
      <c r="B7710">
        <v>262467511.45181733</v>
      </c>
    </row>
    <row r="7711" spans="1:2" x14ac:dyDescent="0.25">
      <c r="A7711">
        <f ca="1">35610.2487479493*((RANDBETWEEN(1587,2416)))</f>
        <v>72395635.704580888</v>
      </c>
      <c r="B7711">
        <v>265626292.5547592</v>
      </c>
    </row>
    <row r="7712" spans="1:2" x14ac:dyDescent="0.25">
      <c r="A7712">
        <f ca="1">32397.4610473396*((RANDBETWEEN(1587,2416)))</f>
        <v>65831640.848193981</v>
      </c>
      <c r="B7712">
        <v>215962597.84171808</v>
      </c>
    </row>
    <row r="7713" spans="1:2" x14ac:dyDescent="0.25">
      <c r="A7713">
        <f ca="1">35739.4504822321*((RANDBETWEEN(1587,2416)))</f>
        <v>75124324.913651973</v>
      </c>
      <c r="B7713">
        <v>210940647.49449104</v>
      </c>
    </row>
    <row r="7714" spans="1:2" x14ac:dyDescent="0.25">
      <c r="A7714">
        <f ca="1">38384.6844343778*((RANDBETWEEN(1587,2416)))</f>
        <v>61223571.672832534</v>
      </c>
      <c r="B7714">
        <v>205070430.22274846</v>
      </c>
    </row>
    <row r="7715" spans="1:2" x14ac:dyDescent="0.25">
      <c r="A7715">
        <f ca="1">39091.8441010878*((RANDBETWEEN(1587,2416)))</f>
        <v>81975597.079981208</v>
      </c>
      <c r="B7715">
        <v>244248428.50279146</v>
      </c>
    </row>
    <row r="7716" spans="1:2" x14ac:dyDescent="0.25">
      <c r="A7716">
        <f ca="1">30858.2355599058*((RANDBETWEEN(1587,2416)))</f>
        <v>69060731.183069199</v>
      </c>
      <c r="B7716">
        <v>215572256.9548786</v>
      </c>
    </row>
    <row r="7717" spans="1:2" x14ac:dyDescent="0.25">
      <c r="A7717">
        <f ca="1">29118.5197216426*((RANDBETWEEN(1587,2416)))</f>
        <v>55063120.793626063</v>
      </c>
      <c r="B7717">
        <v>227174010.76639009</v>
      </c>
    </row>
    <row r="7718" spans="1:2" x14ac:dyDescent="0.25">
      <c r="A7718">
        <f ca="1">32489.7987214701*((RANDBETWEEN(1587,2416)))</f>
        <v>63420087.104309626</v>
      </c>
      <c r="B7718">
        <v>250471985.78809011</v>
      </c>
    </row>
    <row r="7719" spans="1:2" x14ac:dyDescent="0.25">
      <c r="A7719">
        <f ca="1">32752.6037219001*((RANDBETWEEN(1587,2416)))</f>
        <v>76575587.501802459</v>
      </c>
      <c r="B7719">
        <v>233760833.53351218</v>
      </c>
    </row>
    <row r="7720" spans="1:2" x14ac:dyDescent="0.25">
      <c r="A7720">
        <f ca="1">31505.3918953713*((RANDBETWEEN(1587,2416)))</f>
        <v>55890565.222388625</v>
      </c>
      <c r="B7720">
        <v>217305657.07186598</v>
      </c>
    </row>
    <row r="7721" spans="1:2" x14ac:dyDescent="0.25">
      <c r="A7721">
        <f ca="1">31161.6764178394*((RANDBETWEEN(1587,2416)))</f>
        <v>64037245.038659915</v>
      </c>
      <c r="B7721">
        <v>241058109.09498608</v>
      </c>
    </row>
    <row r="7722" spans="1:2" x14ac:dyDescent="0.25">
      <c r="A7722">
        <f ca="1">33945.4179922582*((RANDBETWEEN(1587,2416)))</f>
        <v>63579767.899499632</v>
      </c>
      <c r="B7722">
        <v>239862977.58998978</v>
      </c>
    </row>
    <row r="7723" spans="1:2" x14ac:dyDescent="0.25">
      <c r="A7723">
        <f ca="1">38397.5635630185*((RANDBETWEEN(1587,2416)))</f>
        <v>90963828.080790758</v>
      </c>
      <c r="B7723">
        <v>231315427.7449002</v>
      </c>
    </row>
    <row r="7724" spans="1:2" x14ac:dyDescent="0.25">
      <c r="A7724">
        <f ca="1">30787.7055327166*((RANDBETWEEN(1587,2416)))</f>
        <v>53201155.160534278</v>
      </c>
      <c r="B7724">
        <v>247067393.58700511</v>
      </c>
    </row>
    <row r="7725" spans="1:2" x14ac:dyDescent="0.25">
      <c r="A7725">
        <f ca="1">40751.3055979879*((RANDBETWEEN(1587,2416)))</f>
        <v>71722297.852458656</v>
      </c>
      <c r="B7725">
        <v>246768434.98229617</v>
      </c>
    </row>
    <row r="7726" spans="1:2" x14ac:dyDescent="0.25">
      <c r="A7726">
        <f ca="1">39220.2856049101*((RANDBETWEEN(1587,2416)))</f>
        <v>91383265.459440544</v>
      </c>
      <c r="B7726">
        <v>253669827.83954191</v>
      </c>
    </row>
    <row r="7727" spans="1:2" x14ac:dyDescent="0.25">
      <c r="A7727">
        <f ca="1">31561.322373873*((RANDBETWEEN(1587,2416)))</f>
        <v>67604352.524835959</v>
      </c>
      <c r="B7727">
        <v>246835683.47301286</v>
      </c>
    </row>
    <row r="7728" spans="1:2" x14ac:dyDescent="0.25">
      <c r="A7728">
        <f ca="1">32284.7370220266*((RANDBETWEEN(1587,2416)))</f>
        <v>77289660.430731595</v>
      </c>
      <c r="B7728">
        <v>209726520.67631</v>
      </c>
    </row>
    <row r="7729" spans="1:2" x14ac:dyDescent="0.25">
      <c r="A7729">
        <f ca="1">37016.4553042422*((RANDBETWEEN(1587,2416)))</f>
        <v>77882621.96012567</v>
      </c>
      <c r="B7729">
        <v>258821005.74540031</v>
      </c>
    </row>
    <row r="7730" spans="1:2" x14ac:dyDescent="0.25">
      <c r="A7730">
        <f ca="1">36426.5892348205*((RANDBETWEEN(1587,2416)))</f>
        <v>72634618.934232041</v>
      </c>
      <c r="B7730">
        <v>264233176.50884348</v>
      </c>
    </row>
    <row r="7731" spans="1:2" x14ac:dyDescent="0.25">
      <c r="A7731">
        <f ca="1">31041.6108588251*((RANDBETWEEN(1587,2416)))</f>
        <v>73785909.011427283</v>
      </c>
      <c r="B7731">
        <v>251575308.6105966</v>
      </c>
    </row>
    <row r="7732" spans="1:2" x14ac:dyDescent="0.25">
      <c r="A7732">
        <f ca="1">30128.671856726*((RANDBETWEEN(1587,2416)))</f>
        <v>65559989.960235871</v>
      </c>
      <c r="B7732">
        <v>224349404.85678899</v>
      </c>
    </row>
    <row r="7733" spans="1:2" x14ac:dyDescent="0.25">
      <c r="A7733">
        <f ca="1">34081.0143104351*((RANDBETWEEN(1587,2416)))</f>
        <v>63458848.646030158</v>
      </c>
      <c r="B7733">
        <v>234197515.50451276</v>
      </c>
    </row>
    <row r="7734" spans="1:2" x14ac:dyDescent="0.25">
      <c r="A7734">
        <f ca="1">36948.6095283603*((RANDBETWEEN(1587,2416)))</f>
        <v>78183257.762010321</v>
      </c>
      <c r="B7734">
        <v>229312107.09702724</v>
      </c>
    </row>
    <row r="7735" spans="1:2" x14ac:dyDescent="0.25">
      <c r="A7735">
        <f ca="1">31354.4352654931*((RANDBETWEEN(1587,2416)))</f>
        <v>52330552.458108015</v>
      </c>
      <c r="B7735">
        <v>218084362.33886534</v>
      </c>
    </row>
    <row r="7736" spans="1:2" x14ac:dyDescent="0.25">
      <c r="A7736">
        <f ca="1">31262.8063049724*((RANDBETWEEN(1587,2416)))</f>
        <v>75499677.226508394</v>
      </c>
      <c r="B7736">
        <v>249691035.68806326</v>
      </c>
    </row>
    <row r="7737" spans="1:2" x14ac:dyDescent="0.25">
      <c r="A7737">
        <f ca="1">31870.7200635163*((RANDBETWEEN(1587,2416)))</f>
        <v>68840755.337195218</v>
      </c>
      <c r="B7737">
        <v>250186944.14192387</v>
      </c>
    </row>
    <row r="7738" spans="1:2" x14ac:dyDescent="0.25">
      <c r="A7738">
        <f ca="1">29410.1850120994*((RANDBETWEEN(1587,2416)))</f>
        <v>48173883.049818881</v>
      </c>
      <c r="B7738">
        <v>251047755.13053438</v>
      </c>
    </row>
    <row r="7739" spans="1:2" x14ac:dyDescent="0.25">
      <c r="A7739">
        <f ca="1">28065.4525816858*((RANDBETWEEN(1587,2416)))</f>
        <v>62698221.067485981</v>
      </c>
      <c r="B7739">
        <v>250114770.7148183</v>
      </c>
    </row>
    <row r="7740" spans="1:2" x14ac:dyDescent="0.25">
      <c r="A7740">
        <f ca="1">36613.8153479269*((RANDBETWEEN(1587,2416)))</f>
        <v>72495354.388895273</v>
      </c>
      <c r="B7740">
        <v>227535137.18130457</v>
      </c>
    </row>
    <row r="7741" spans="1:2" x14ac:dyDescent="0.25">
      <c r="A7741">
        <f ca="1">31217.314891199*((RANDBETWEEN(1587,2416)))</f>
        <v>73704080.458120748</v>
      </c>
      <c r="B7741">
        <v>214524816.2467823</v>
      </c>
    </row>
    <row r="7742" spans="1:2" x14ac:dyDescent="0.25">
      <c r="A7742">
        <f ca="1">37516.6679250765*((RANDBETWEEN(1587,2416)))</f>
        <v>62765385.438653059</v>
      </c>
      <c r="B7742">
        <v>231884654.76436111</v>
      </c>
    </row>
    <row r="7743" spans="1:2" x14ac:dyDescent="0.25">
      <c r="A7743">
        <f ca="1">38012.2364139682*((RANDBETWEEN(1587,2416)))</f>
        <v>83436858.928660333</v>
      </c>
      <c r="B7743">
        <v>235900027.53107417</v>
      </c>
    </row>
    <row r="7744" spans="1:2" x14ac:dyDescent="0.25">
      <c r="A7744">
        <f ca="1">32430.8112196552*((RANDBETWEEN(1587,2416)))</f>
        <v>72288278.208611414</v>
      </c>
      <c r="B7744">
        <v>215242178.2795682</v>
      </c>
    </row>
    <row r="7745" spans="1:2" x14ac:dyDescent="0.25">
      <c r="A7745">
        <f ca="1">32453.9784398596*((RANDBETWEEN(1587,2416)))</f>
        <v>62441454.518289857</v>
      </c>
      <c r="B7745">
        <v>241229399.03915441</v>
      </c>
    </row>
    <row r="7746" spans="1:2" x14ac:dyDescent="0.25">
      <c r="A7746">
        <f ca="1">29754.4769468681*((RANDBETWEEN(1587,2416)))</f>
        <v>50076784.701578952</v>
      </c>
      <c r="B7746">
        <v>266172062.25613612</v>
      </c>
    </row>
    <row r="7747" spans="1:2" x14ac:dyDescent="0.25">
      <c r="A7747">
        <f ca="1">31558.6136417361*((RANDBETWEEN(1587,2416)))</f>
        <v>63211903.12439736</v>
      </c>
      <c r="B7747">
        <v>230804007.17037475</v>
      </c>
    </row>
    <row r="7748" spans="1:2" x14ac:dyDescent="0.25">
      <c r="A7748">
        <f ca="1">27862.6759608992*((RANDBETWEEN(1587,2416)))</f>
        <v>50570756.86903213</v>
      </c>
      <c r="B7748">
        <v>243697722.09888187</v>
      </c>
    </row>
    <row r="7749" spans="1:2" x14ac:dyDescent="0.25">
      <c r="A7749">
        <f ca="1">38645.8939018074*((RANDBETWEEN(1587,2416)))</f>
        <v>81272314.875501156</v>
      </c>
      <c r="B7749">
        <v>204668857.54912737</v>
      </c>
    </row>
    <row r="7750" spans="1:2" x14ac:dyDescent="0.25">
      <c r="A7750">
        <f ca="1">39165.8479865795*((RANDBETWEEN(1587,2416)))</f>
        <v>94546357.039603025</v>
      </c>
      <c r="B7750">
        <v>215488700.74415228</v>
      </c>
    </row>
    <row r="7751" spans="1:2" x14ac:dyDescent="0.25">
      <c r="A7751">
        <f ca="1">35888.0377779563*((RANDBETWEEN(1587,2416)))</f>
        <v>86418394.969318777</v>
      </c>
      <c r="B7751">
        <v>222267401.91891679</v>
      </c>
    </row>
    <row r="7752" spans="1:2" x14ac:dyDescent="0.25">
      <c r="A7752">
        <f ca="1">30745.8406170082*((RANDBETWEEN(1587,2416)))</f>
        <v>62475548.133760661</v>
      </c>
      <c r="B7752">
        <v>216656591.5850338</v>
      </c>
    </row>
    <row r="7753" spans="1:2" x14ac:dyDescent="0.25">
      <c r="A7753">
        <f ca="1">34469.0693494003*((RANDBETWEEN(1587,2416)))</f>
        <v>56805026.287811741</v>
      </c>
      <c r="B7753">
        <v>238046699.77522737</v>
      </c>
    </row>
    <row r="7754" spans="1:2" x14ac:dyDescent="0.25">
      <c r="A7754">
        <f ca="1">30495.7426879913*((RANDBETWEEN(1587,2416)))</f>
        <v>73433748.392682955</v>
      </c>
      <c r="B7754">
        <v>236551791.52884972</v>
      </c>
    </row>
    <row r="7755" spans="1:2" x14ac:dyDescent="0.25">
      <c r="A7755">
        <f ca="1">27940.7490460461*((RANDBETWEEN(1587,2416)))</f>
        <v>53394771.426994152</v>
      </c>
      <c r="B7755">
        <v>207018009.37363756</v>
      </c>
    </row>
    <row r="7756" spans="1:2" x14ac:dyDescent="0.25">
      <c r="A7756">
        <f ca="1">33098.8545660665*((RANDBETWEEN(1587,2416)))</f>
        <v>58684269.145635895</v>
      </c>
      <c r="B7756">
        <v>226458898.12823853</v>
      </c>
    </row>
    <row r="7757" spans="1:2" x14ac:dyDescent="0.25">
      <c r="A7757">
        <f ca="1">31881.1969562316*((RANDBETWEEN(1587,2416)))</f>
        <v>68895266.622416392</v>
      </c>
      <c r="B7757">
        <v>245734490.44596893</v>
      </c>
    </row>
    <row r="7758" spans="1:2" x14ac:dyDescent="0.25">
      <c r="A7758">
        <f ca="1">31463.9389234612*((RANDBETWEEN(1587,2416)))</f>
        <v>50562549.850002095</v>
      </c>
      <c r="B7758">
        <v>230753669.81883475</v>
      </c>
    </row>
    <row r="7759" spans="1:2" x14ac:dyDescent="0.25">
      <c r="A7759">
        <f ca="1">30804.4878503077*((RANDBETWEEN(1587,2416)))</f>
        <v>51258667.782911949</v>
      </c>
      <c r="B7759">
        <v>253342622.47658002</v>
      </c>
    </row>
    <row r="7760" spans="1:2" x14ac:dyDescent="0.25">
      <c r="A7760">
        <f ca="1">40507.1848144066*((RANDBETWEEN(1587,2416)))</f>
        <v>85672695.882469907</v>
      </c>
      <c r="B7760">
        <v>225313777.04983369</v>
      </c>
    </row>
    <row r="7761" spans="1:2" x14ac:dyDescent="0.25">
      <c r="A7761">
        <f ca="1">29585.7806086709*((RANDBETWEEN(1587,2416)))</f>
        <v>69999956.920115307</v>
      </c>
      <c r="B7761">
        <v>225736934.81220171</v>
      </c>
    </row>
    <row r="7762" spans="1:2" x14ac:dyDescent="0.25">
      <c r="A7762">
        <f ca="1">32845.6278734711*((RANDBETWEEN(1587,2416)))</f>
        <v>59844733.985464372</v>
      </c>
      <c r="B7762">
        <v>225850013.53927594</v>
      </c>
    </row>
    <row r="7763" spans="1:2" x14ac:dyDescent="0.25">
      <c r="A7763">
        <f ca="1">33257.3782559467*((RANDBETWEEN(1587,2416)))</f>
        <v>74829101.07588014</v>
      </c>
      <c r="B7763">
        <v>247065534.65997884</v>
      </c>
    </row>
    <row r="7764" spans="1:2" x14ac:dyDescent="0.25">
      <c r="A7764">
        <f ca="1">37501.5387448642*((RANDBETWEEN(1587,2416)))</f>
        <v>85916025.264483795</v>
      </c>
      <c r="B7764">
        <v>237428924.88980386</v>
      </c>
    </row>
    <row r="7765" spans="1:2" x14ac:dyDescent="0.25">
      <c r="A7765">
        <f ca="1">29398.1570067614*((RANDBETWEEN(1587,2416)))</f>
        <v>47184041.995852068</v>
      </c>
      <c r="B7765">
        <v>258380444.05660793</v>
      </c>
    </row>
    <row r="7766" spans="1:2" x14ac:dyDescent="0.25">
      <c r="A7766">
        <f ca="1">32470.0724429139*((RANDBETWEEN(1587,2416)))</f>
        <v>56822626.775099345</v>
      </c>
      <c r="B7766">
        <v>242699438.20138562</v>
      </c>
    </row>
    <row r="7767" spans="1:2" x14ac:dyDescent="0.25">
      <c r="A7767">
        <f ca="1">34045.8696294908*((RANDBETWEEN(1587,2416)))</f>
        <v>62303941.421968244</v>
      </c>
      <c r="B7767">
        <v>255561503.88463241</v>
      </c>
    </row>
    <row r="7768" spans="1:2" x14ac:dyDescent="0.25">
      <c r="A7768">
        <f ca="1">29802.1071365899*((RANDBETWEEN(1587,2416)))</f>
        <v>47564162.989997506</v>
      </c>
      <c r="B7768">
        <v>219418449.25009269</v>
      </c>
    </row>
    <row r="7769" spans="1:2" x14ac:dyDescent="0.25">
      <c r="A7769">
        <f ca="1">33735.0750978202*((RANDBETWEEN(1587,2416)))</f>
        <v>68347262.148183674</v>
      </c>
      <c r="B7769">
        <v>229601220.59765995</v>
      </c>
    </row>
    <row r="7770" spans="1:2" x14ac:dyDescent="0.25">
      <c r="A7770">
        <f ca="1">32483.9591472502*((RANDBETWEEN(1587,2416)))</f>
        <v>72471712.857515097</v>
      </c>
      <c r="B7770">
        <v>264313573.51411539</v>
      </c>
    </row>
    <row r="7771" spans="1:2" x14ac:dyDescent="0.25">
      <c r="A7771">
        <f ca="1">36163.640106868*((RANDBETWEEN(1587,2416)))</f>
        <v>71929480.172560439</v>
      </c>
      <c r="B7771">
        <v>238706219.52977973</v>
      </c>
    </row>
    <row r="7772" spans="1:2" x14ac:dyDescent="0.25">
      <c r="A7772">
        <f ca="1">30890.029668224*((RANDBETWEEN(1587,2416)))</f>
        <v>62614090.137489989</v>
      </c>
      <c r="B7772">
        <v>232326253.14024109</v>
      </c>
    </row>
    <row r="7773" spans="1:2" x14ac:dyDescent="0.25">
      <c r="A7773">
        <f ca="1">29127.0128970792*((RANDBETWEEN(1587,2416)))</f>
        <v>57438469.433040217</v>
      </c>
      <c r="B7773">
        <v>219200069.09901243</v>
      </c>
    </row>
    <row r="7774" spans="1:2" x14ac:dyDescent="0.25">
      <c r="A7774">
        <f ca="1">35533.1612529984*((RANDBETWEEN(1587,2416)))</f>
        <v>79274482.755439371</v>
      </c>
      <c r="B7774">
        <v>240336343.66976592</v>
      </c>
    </row>
    <row r="7775" spans="1:2" x14ac:dyDescent="0.25">
      <c r="A7775">
        <f ca="1">36577.9043763487*((RANDBETWEEN(1587,2416)))</f>
        <v>61962970.013534784</v>
      </c>
      <c r="B7775">
        <v>239647355.70473483</v>
      </c>
    </row>
    <row r="7776" spans="1:2" x14ac:dyDescent="0.25">
      <c r="A7776">
        <f ca="1">32319.5768695544*((RANDBETWEEN(1587,2416)))</f>
        <v>65026988.661543511</v>
      </c>
      <c r="B7776">
        <v>204298141.32869416</v>
      </c>
    </row>
    <row r="7777" spans="1:2" x14ac:dyDescent="0.25">
      <c r="A7777">
        <f ca="1">35436.3068094869*((RANDBETWEEN(1587,2416)))</f>
        <v>78491419.583013564</v>
      </c>
      <c r="B7777">
        <v>246449866.98264</v>
      </c>
    </row>
    <row r="7778" spans="1:2" x14ac:dyDescent="0.25">
      <c r="A7778">
        <f ca="1">29348.4019210075*((RANDBETWEEN(1587,2416)))</f>
        <v>53531485.103917703</v>
      </c>
      <c r="B7778">
        <v>215859224.22814006</v>
      </c>
    </row>
    <row r="7779" spans="1:2" x14ac:dyDescent="0.25">
      <c r="A7779">
        <f ca="1">31371.8831551337*((RANDBETWEEN(1587,2416)))</f>
        <v>71935728.074721634</v>
      </c>
      <c r="B7779">
        <v>221829128.22308373</v>
      </c>
    </row>
    <row r="7780" spans="1:2" x14ac:dyDescent="0.25">
      <c r="A7780">
        <f ca="1">40084.3426954033*((RANDBETWEEN(1587,2416)))</f>
        <v>79326914.194203213</v>
      </c>
      <c r="B7780">
        <v>217730941.47418493</v>
      </c>
    </row>
    <row r="7781" spans="1:2" x14ac:dyDescent="0.25">
      <c r="A7781">
        <f ca="1">34691.7012496409*((RANDBETWEEN(1587,2416)))</f>
        <v>58108599.593148448</v>
      </c>
      <c r="B7781">
        <v>226964319.96149349</v>
      </c>
    </row>
    <row r="7782" spans="1:2" x14ac:dyDescent="0.25">
      <c r="A7782">
        <f ca="1">37117.2317272318*((RANDBETWEEN(1587,2416)))</f>
        <v>63804521.339111447</v>
      </c>
      <c r="B7782">
        <v>229135366.23426354</v>
      </c>
    </row>
    <row r="7783" spans="1:2" x14ac:dyDescent="0.25">
      <c r="A7783">
        <f ca="1">35290.2771051412*((RANDBETWEEN(1587,2416)))</f>
        <v>72521519.451065138</v>
      </c>
      <c r="B7783">
        <v>223139438.72125208</v>
      </c>
    </row>
    <row r="7784" spans="1:2" x14ac:dyDescent="0.25">
      <c r="A7784">
        <f ca="1">37197.7408328215*((RANDBETWEEN(1587,2416)))</f>
        <v>80979481.793052316</v>
      </c>
      <c r="B7784">
        <v>220045749.31201556</v>
      </c>
    </row>
    <row r="7785" spans="1:2" x14ac:dyDescent="0.25">
      <c r="A7785">
        <f ca="1">29421.7053265571*((RANDBETWEEN(1587,2416)))</f>
        <v>58902254.063767254</v>
      </c>
      <c r="B7785">
        <v>255734754.38794363</v>
      </c>
    </row>
    <row r="7786" spans="1:2" x14ac:dyDescent="0.25">
      <c r="A7786">
        <f ca="1">31574.0749081467*((RANDBETWEEN(1587,2416)))</f>
        <v>65674075.808945194</v>
      </c>
      <c r="B7786">
        <v>252617235.44178206</v>
      </c>
    </row>
    <row r="7787" spans="1:2" x14ac:dyDescent="0.25">
      <c r="A7787">
        <f ca="1">33000.3196224139*((RANDBETWEEN(1587,2416)))</f>
        <v>79068765.815303743</v>
      </c>
      <c r="B7787">
        <v>226427881.90523553</v>
      </c>
    </row>
    <row r="7788" spans="1:2" x14ac:dyDescent="0.25">
      <c r="A7788">
        <f ca="1">27876.7674416735*((RANDBETWEEN(1587,2416)))</f>
        <v>48923726.860137068</v>
      </c>
      <c r="B7788">
        <v>231112715.59106654</v>
      </c>
    </row>
    <row r="7789" spans="1:2" x14ac:dyDescent="0.25">
      <c r="A7789">
        <f ca="1">31466.2683688168*((RANDBETWEEN(1587,2416)))</f>
        <v>68722330.117495984</v>
      </c>
      <c r="B7789">
        <v>218865178.19207516</v>
      </c>
    </row>
    <row r="7790" spans="1:2" x14ac:dyDescent="0.25">
      <c r="A7790">
        <f ca="1">41018.553056759*((RANDBETWEEN(1587,2416)))</f>
        <v>92578874.249104977</v>
      </c>
      <c r="B7790">
        <v>248105674.84227595</v>
      </c>
    </row>
    <row r="7791" spans="1:2" x14ac:dyDescent="0.25">
      <c r="A7791">
        <f ca="1">34757.7904076121*((RANDBETWEEN(1587,2416)))</f>
        <v>59053485.902532905</v>
      </c>
      <c r="B7791">
        <v>253413532.41296721</v>
      </c>
    </row>
    <row r="7792" spans="1:2" x14ac:dyDescent="0.25">
      <c r="A7792">
        <f ca="1">29402.7974932353*((RANDBETWEEN(1587,2416)))</f>
        <v>62245722.293179184</v>
      </c>
      <c r="B7792">
        <v>223432969.61865306</v>
      </c>
    </row>
    <row r="7793" spans="1:2" x14ac:dyDescent="0.25">
      <c r="A7793">
        <f ca="1">39599.4760303489*((RANDBETWEEN(1587,2416)))</f>
        <v>83356897.043884471</v>
      </c>
      <c r="B7793">
        <v>238498292.32319984</v>
      </c>
    </row>
    <row r="7794" spans="1:2" x14ac:dyDescent="0.25">
      <c r="A7794">
        <f ca="1">31029.9775956994*((RANDBETWEEN(1587,2416)))</f>
        <v>60229186.513252512</v>
      </c>
      <c r="B7794">
        <v>255847453.34663102</v>
      </c>
    </row>
    <row r="7795" spans="1:2" x14ac:dyDescent="0.25">
      <c r="A7795">
        <f ca="1">34073.3600235074*((RANDBETWEEN(1587,2416)))</f>
        <v>62320175.482995071</v>
      </c>
      <c r="B7795">
        <v>231221627.18357438</v>
      </c>
    </row>
    <row r="7796" spans="1:2" x14ac:dyDescent="0.25">
      <c r="A7796">
        <f ca="1">32547.5045534244*((RANDBETWEEN(1587,2416)))</f>
        <v>78374390.964646041</v>
      </c>
      <c r="B7796">
        <v>205893999.81540889</v>
      </c>
    </row>
    <row r="7797" spans="1:2" x14ac:dyDescent="0.25">
      <c r="A7797">
        <f ca="1">30229.3091320629*((RANDBETWEEN(1587,2416)))</f>
        <v>60760911.355446331</v>
      </c>
      <c r="B7797">
        <v>259634272.22467592</v>
      </c>
    </row>
    <row r="7798" spans="1:2" x14ac:dyDescent="0.25">
      <c r="A7798">
        <f ca="1">33679.7158541302*((RANDBETWEEN(1587,2416)))</f>
        <v>69919090.11317423</v>
      </c>
      <c r="B7798">
        <v>231063633.74328461</v>
      </c>
    </row>
    <row r="7799" spans="1:2" x14ac:dyDescent="0.25">
      <c r="A7799">
        <f ca="1">32092.0983866321*((RANDBETWEEN(1587,2416)))</f>
        <v>68484537.957072854</v>
      </c>
      <c r="B7799">
        <v>211690681.99083143</v>
      </c>
    </row>
    <row r="7800" spans="1:2" x14ac:dyDescent="0.25">
      <c r="A7800">
        <f ca="1">37129.9245051342*((RANDBETWEEN(1587,2416)))</f>
        <v>75707916.065968558</v>
      </c>
      <c r="B7800">
        <v>266883278.9898347</v>
      </c>
    </row>
    <row r="7801" spans="1:2" x14ac:dyDescent="0.25">
      <c r="A7801">
        <f ca="1">32207.2786132065*((RANDBETWEEN(1587,2416)))</f>
        <v>60807342.021733776</v>
      </c>
      <c r="B7801">
        <v>206051360.29482645</v>
      </c>
    </row>
    <row r="7802" spans="1:2" x14ac:dyDescent="0.25">
      <c r="A7802">
        <f ca="1">30611.9868603699*((RANDBETWEEN(1587,2416)))</f>
        <v>51611809.846583679</v>
      </c>
      <c r="B7802">
        <v>208781843.5436303</v>
      </c>
    </row>
    <row r="7803" spans="1:2" x14ac:dyDescent="0.25">
      <c r="A7803">
        <f ca="1">30498.0615346824*((RANDBETWEEN(1587,2416)))</f>
        <v>69993051.222096056</v>
      </c>
      <c r="B7803">
        <v>238871251.88857862</v>
      </c>
    </row>
    <row r="7804" spans="1:2" x14ac:dyDescent="0.25">
      <c r="A7804">
        <f ca="1">38409.0074642319*((RANDBETWEEN(1587,2416)))</f>
        <v>62837136.211483389</v>
      </c>
      <c r="B7804">
        <v>240839751.39487591</v>
      </c>
    </row>
    <row r="7805" spans="1:2" x14ac:dyDescent="0.25">
      <c r="A7805">
        <f ca="1">39871.6136742214*((RANDBETWEEN(1587,2416)))</f>
        <v>92741373.406238914</v>
      </c>
      <c r="B7805">
        <v>212151290.24764103</v>
      </c>
    </row>
    <row r="7806" spans="1:2" x14ac:dyDescent="0.25">
      <c r="A7806">
        <f ca="1">39195.6754084982*((RANDBETWEEN(1587,2416)))</f>
        <v>93481685.849268109</v>
      </c>
      <c r="B7806">
        <v>230608692.30784333</v>
      </c>
    </row>
    <row r="7807" spans="1:2" x14ac:dyDescent="0.25">
      <c r="A7807">
        <f ca="1">31383.3859254249*((RANDBETWEEN(1587,2416)))</f>
        <v>61856653.659012482</v>
      </c>
      <c r="B7807">
        <v>258400172.64274865</v>
      </c>
    </row>
    <row r="7808" spans="1:2" x14ac:dyDescent="0.25">
      <c r="A7808">
        <f ca="1">31008.0444494653*((RANDBETWEEN(1587,2416)))</f>
        <v>54233069.742114842</v>
      </c>
      <c r="B7808">
        <v>226090620.80523366</v>
      </c>
    </row>
    <row r="7809" spans="1:2" x14ac:dyDescent="0.25">
      <c r="A7809">
        <f ca="1">31702.8926880776*((RANDBETWEEN(1587,2416)))</f>
        <v>66576074.644962966</v>
      </c>
      <c r="B7809">
        <v>263785827.74765328</v>
      </c>
    </row>
    <row r="7810" spans="1:2" x14ac:dyDescent="0.25">
      <c r="A7810">
        <f ca="1">32307.0020395876*((RANDBETWEEN(1587,2416)))</f>
        <v>69460054.385113388</v>
      </c>
      <c r="B7810">
        <v>244741838.1660997</v>
      </c>
    </row>
    <row r="7811" spans="1:2" x14ac:dyDescent="0.25">
      <c r="A7811">
        <f ca="1">32653.0674269684*((RANDBETWEEN(1587,2416)))</f>
        <v>66677563.68586953</v>
      </c>
      <c r="B7811">
        <v>253162150.89543927</v>
      </c>
    </row>
    <row r="7812" spans="1:2" x14ac:dyDescent="0.25">
      <c r="A7812">
        <f ca="1">38788.9662724576*((RANDBETWEEN(1587,2416)))</f>
        <v>88128531.371023566</v>
      </c>
      <c r="B7812">
        <v>250577430.98449513</v>
      </c>
    </row>
    <row r="7813" spans="1:2" x14ac:dyDescent="0.25">
      <c r="A7813">
        <f ca="1">32502.8565349456*((RANDBETWEEN(1587,2416)))</f>
        <v>54539793.265638717</v>
      </c>
      <c r="B7813">
        <v>250080529.33814931</v>
      </c>
    </row>
    <row r="7814" spans="1:2" x14ac:dyDescent="0.25">
      <c r="A7814">
        <f ca="1">29520.3256929277*((RANDBETWEEN(1587,2416)))</f>
        <v>66479773.460473225</v>
      </c>
      <c r="B7814">
        <v>251884347.63171363</v>
      </c>
    </row>
    <row r="7815" spans="1:2" x14ac:dyDescent="0.25">
      <c r="A7815">
        <f ca="1">32942.8920510346*((RANDBETWEEN(1587,2416)))</f>
        <v>62855038.033374056</v>
      </c>
      <c r="B7815">
        <v>216894971.05479747</v>
      </c>
    </row>
    <row r="7816" spans="1:2" x14ac:dyDescent="0.25">
      <c r="A7816">
        <f ca="1">31876.2557248223*((RANDBETWEEN(1587,2416)))</f>
        <v>69458361.224387854</v>
      </c>
      <c r="B7816">
        <v>265872538.47386822</v>
      </c>
    </row>
    <row r="7817" spans="1:2" x14ac:dyDescent="0.25">
      <c r="A7817">
        <f ca="1">37504.3833339725*((RANDBETWEEN(1587,2416)))</f>
        <v>84159836.201434389</v>
      </c>
      <c r="B7817">
        <v>265441419.13434029</v>
      </c>
    </row>
    <row r="7818" spans="1:2" x14ac:dyDescent="0.25">
      <c r="A7818">
        <f ca="1">37899.9639122424*((RANDBETWEEN(1587,2416)))</f>
        <v>71593031.83022581</v>
      </c>
      <c r="B7818">
        <v>235952154.37662977</v>
      </c>
    </row>
    <row r="7819" spans="1:2" x14ac:dyDescent="0.25">
      <c r="A7819">
        <f ca="1">33713.4403398878*((RANDBETWEEN(1587,2416)))</f>
        <v>54784340.552317664</v>
      </c>
      <c r="B7819">
        <v>207146779.91054839</v>
      </c>
    </row>
    <row r="7820" spans="1:2" x14ac:dyDescent="0.25">
      <c r="A7820">
        <f ca="1">37845.9528569208*((RANDBETWEEN(1587,2416)))</f>
        <v>67819947.519602075</v>
      </c>
      <c r="B7820">
        <v>229260301.375337</v>
      </c>
    </row>
    <row r="7821" spans="1:2" x14ac:dyDescent="0.25">
      <c r="A7821">
        <f ca="1">34862.026806894*((RANDBETWEEN(1587,2416)))</f>
        <v>62647062.171988592</v>
      </c>
      <c r="B7821">
        <v>240115835.04373825</v>
      </c>
    </row>
    <row r="7822" spans="1:2" x14ac:dyDescent="0.25">
      <c r="A7822">
        <f ca="1">31638.0791866576*((RANDBETWEEN(1587,2416)))</f>
        <v>51823173.707745112</v>
      </c>
      <c r="B7822">
        <v>254616726.94024324</v>
      </c>
    </row>
    <row r="7823" spans="1:2" x14ac:dyDescent="0.25">
      <c r="A7823">
        <f ca="1">29922.4037391329*((RANDBETWEEN(1587,2416)))</f>
        <v>70407415.998179615</v>
      </c>
      <c r="B7823">
        <v>221622284.96427849</v>
      </c>
    </row>
    <row r="7824" spans="1:2" x14ac:dyDescent="0.25">
      <c r="A7824">
        <f ca="1">31772.1291612137*((RANDBETWEEN(1587,2416)))</f>
        <v>71042480.804473728</v>
      </c>
      <c r="B7824">
        <v>253508693.57012248</v>
      </c>
    </row>
    <row r="7825" spans="1:2" x14ac:dyDescent="0.25">
      <c r="A7825">
        <f ca="1">31272.5432705273*((RANDBETWEEN(1587,2416)))</f>
        <v>58917471.521673389</v>
      </c>
      <c r="B7825">
        <v>215829402.79889148</v>
      </c>
    </row>
    <row r="7826" spans="1:2" x14ac:dyDescent="0.25">
      <c r="A7826">
        <f ca="1">36759.9253148572*((RANDBETWEEN(1587,2416)))</f>
        <v>82820111.734373257</v>
      </c>
      <c r="B7826">
        <v>238793615.86219391</v>
      </c>
    </row>
    <row r="7827" spans="1:2" x14ac:dyDescent="0.25">
      <c r="A7827">
        <f ca="1">29420.3256067846*((RANDBETWEEN(1587,2416)))</f>
        <v>50397017.764422089</v>
      </c>
      <c r="B7827">
        <v>228252464.38715693</v>
      </c>
    </row>
    <row r="7828" spans="1:2" x14ac:dyDescent="0.25">
      <c r="A7828">
        <f ca="1">34110.551618146*((RANDBETWEEN(1587,2416)))</f>
        <v>81524218.367368892</v>
      </c>
      <c r="B7828">
        <v>252619240.33053723</v>
      </c>
    </row>
    <row r="7829" spans="1:2" x14ac:dyDescent="0.25">
      <c r="A7829">
        <f ca="1">27405.8035323442*((RANDBETWEEN(1587,2416)))</f>
        <v>54126461.976379752</v>
      </c>
      <c r="B7829">
        <v>248205995.29967809</v>
      </c>
    </row>
    <row r="7830" spans="1:2" x14ac:dyDescent="0.25">
      <c r="A7830">
        <f ca="1">32266.4426789444*((RANDBETWEEN(1587,2416)))</f>
        <v>55498281.407784335</v>
      </c>
      <c r="B7830">
        <v>264136113.23400345</v>
      </c>
    </row>
    <row r="7831" spans="1:2" x14ac:dyDescent="0.25">
      <c r="A7831">
        <f ca="1">40867.5811009184*((RANDBETWEEN(1587,2416)))</f>
        <v>85617582.406424046</v>
      </c>
      <c r="B7831">
        <v>262816095.68584043</v>
      </c>
    </row>
    <row r="7832" spans="1:2" x14ac:dyDescent="0.25">
      <c r="A7832">
        <f ca="1">39900.8179464261*((RANDBETWEEN(1587,2416)))</f>
        <v>69666828.134460017</v>
      </c>
      <c r="B7832">
        <v>209332397.26808015</v>
      </c>
    </row>
    <row r="7833" spans="1:2" x14ac:dyDescent="0.25">
      <c r="A7833">
        <f ca="1">35003.2400844201*((RANDBETWEEN(1587,2416)))</f>
        <v>58175385.020306163</v>
      </c>
      <c r="B7833">
        <v>207073293.209959</v>
      </c>
    </row>
    <row r="7834" spans="1:2" x14ac:dyDescent="0.25">
      <c r="A7834">
        <f ca="1">30484.487685426*((RANDBETWEEN(1587,2416)))</f>
        <v>51549268.676055424</v>
      </c>
      <c r="B7834">
        <v>245358715.53737068</v>
      </c>
    </row>
    <row r="7835" spans="1:2" x14ac:dyDescent="0.25">
      <c r="A7835">
        <f ca="1">37310.8915264574*((RANDBETWEEN(1587,2416)))</f>
        <v>66189521.567935444</v>
      </c>
      <c r="B7835">
        <v>266103468.47465634</v>
      </c>
    </row>
    <row r="7836" spans="1:2" x14ac:dyDescent="0.25">
      <c r="A7836">
        <f ca="1">37795.6336217552*((RANDBETWEEN(1587,2416)))</f>
        <v>67351819.113967746</v>
      </c>
      <c r="B7836">
        <v>239672953.75788546</v>
      </c>
    </row>
    <row r="7837" spans="1:2" x14ac:dyDescent="0.25">
      <c r="A7837">
        <f ca="1">31514.8253392441*((RANDBETWEEN(1587,2416)))</f>
        <v>75950729.06757839</v>
      </c>
      <c r="B7837">
        <v>234489685.42079425</v>
      </c>
    </row>
    <row r="7838" spans="1:2" x14ac:dyDescent="0.25">
      <c r="A7838">
        <f ca="1">30201.6279205413*((RANDBETWEEN(1587,2416)))</f>
        <v>64873096.773322716</v>
      </c>
      <c r="B7838">
        <v>258092683.89852682</v>
      </c>
    </row>
    <row r="7839" spans="1:2" x14ac:dyDescent="0.25">
      <c r="A7839">
        <f ca="1">32122.8528163713*((RANDBETWEEN(1587,2416)))</f>
        <v>67040393.827766836</v>
      </c>
      <c r="B7839">
        <v>206137916.77727076</v>
      </c>
    </row>
    <row r="7840" spans="1:2" x14ac:dyDescent="0.25">
      <c r="A7840">
        <f ca="1">37087.2521737405*((RANDBETWEEN(1587,2416)))</f>
        <v>78884585.373546064</v>
      </c>
      <c r="B7840">
        <v>263694008.58939099</v>
      </c>
    </row>
    <row r="7841" spans="1:2" x14ac:dyDescent="0.25">
      <c r="A7841">
        <f ca="1">39942.488048708*((RANDBETWEEN(1587,2416)))</f>
        <v>84358534.758871272</v>
      </c>
      <c r="B7841">
        <v>238509008.35558602</v>
      </c>
    </row>
    <row r="7842" spans="1:2" x14ac:dyDescent="0.25">
      <c r="A7842">
        <f ca="1">33036.6908309698*((RANDBETWEEN(1587,2416)))</f>
        <v>63463483.0862929</v>
      </c>
      <c r="B7842">
        <v>220751249.25939503</v>
      </c>
    </row>
    <row r="7843" spans="1:2" x14ac:dyDescent="0.25">
      <c r="A7843">
        <f ca="1">39293.8900607714*((RANDBETWEEN(1587,2416)))</f>
        <v>85739268.112603232</v>
      </c>
      <c r="B7843">
        <v>216708893.08803988</v>
      </c>
    </row>
    <row r="7844" spans="1:2" x14ac:dyDescent="0.25">
      <c r="A7844">
        <f ca="1">30460.1822276038*((RANDBETWEEN(1587,2416)))</f>
        <v>69906118.212350756</v>
      </c>
      <c r="B7844">
        <v>245989140.16019571</v>
      </c>
    </row>
    <row r="7845" spans="1:2" x14ac:dyDescent="0.25">
      <c r="A7845">
        <f ca="1">38961.8992129079*((RANDBETWEEN(1587,2416)))</f>
        <v>83378464.315623119</v>
      </c>
      <c r="B7845">
        <v>261485676.86790758</v>
      </c>
    </row>
    <row r="7846" spans="1:2" x14ac:dyDescent="0.25">
      <c r="A7846">
        <f ca="1">33153.3409528968*((RANDBETWEEN(1587,2416)))</f>
        <v>56526446.324689001</v>
      </c>
      <c r="B7846">
        <v>213376772.33994353</v>
      </c>
    </row>
    <row r="7847" spans="1:2" x14ac:dyDescent="0.25">
      <c r="A7847">
        <f ca="1">37424.5844953043*((RANDBETWEEN(1587,2416)))</f>
        <v>75822208.187486559</v>
      </c>
      <c r="B7847">
        <v>220952740.66374126</v>
      </c>
    </row>
    <row r="7848" spans="1:2" x14ac:dyDescent="0.25">
      <c r="A7848">
        <f ca="1">29526.8361309335*((RANDBETWEEN(1587,2416)))</f>
        <v>56543891.190737583</v>
      </c>
      <c r="B7848">
        <v>238232214.3386488</v>
      </c>
    </row>
    <row r="7849" spans="1:2" x14ac:dyDescent="0.25">
      <c r="A7849">
        <f ca="1">30197.3156905289*((RANDBETWEEN(1587,2416)))</f>
        <v>63565349.528563328</v>
      </c>
      <c r="B7849">
        <v>262636704.95370144</v>
      </c>
    </row>
    <row r="7850" spans="1:2" x14ac:dyDescent="0.25">
      <c r="A7850">
        <f ca="1">36198.2338158163*((RANDBETWEEN(1587,2416)))</f>
        <v>65229217.336100966</v>
      </c>
      <c r="B7850">
        <v>221690739.65711445</v>
      </c>
    </row>
    <row r="7851" spans="1:2" x14ac:dyDescent="0.25">
      <c r="A7851">
        <f ca="1">30199.2783080117*((RANDBETWEEN(1587,2416)))</f>
        <v>55717668.478281565</v>
      </c>
      <c r="B7851">
        <v>252496457.31253329</v>
      </c>
    </row>
    <row r="7852" spans="1:2" x14ac:dyDescent="0.25">
      <c r="A7852">
        <f ca="1">32585.2603493743*((RANDBETWEEN(1587,2416)))</f>
        <v>63085064.036388732</v>
      </c>
      <c r="B7852">
        <v>218850122.14024365</v>
      </c>
    </row>
    <row r="7853" spans="1:2" x14ac:dyDescent="0.25">
      <c r="A7853">
        <f ca="1">39483.5728866947*((RANDBETWEEN(1587,2416)))</f>
        <v>74150149.881212696</v>
      </c>
      <c r="B7853">
        <v>221865021.25995445</v>
      </c>
    </row>
    <row r="7854" spans="1:2" x14ac:dyDescent="0.25">
      <c r="A7854">
        <f ca="1">29097.7759571112*((RANDBETWEEN(1587,2416)))</f>
        <v>64218791.537344322</v>
      </c>
      <c r="B7854">
        <v>248710073.81296805</v>
      </c>
    </row>
    <row r="7855" spans="1:2" x14ac:dyDescent="0.25">
      <c r="A7855">
        <f ca="1">30765.0364090434*((RANDBETWEEN(1587,2416)))</f>
        <v>49624003.727787003</v>
      </c>
      <c r="B7855">
        <v>260133444.78228781</v>
      </c>
    </row>
    <row r="7856" spans="1:2" x14ac:dyDescent="0.25">
      <c r="A7856">
        <f ca="1">31274.5246749365*((RANDBETWEEN(1587,2416)))</f>
        <v>51696789.287669986</v>
      </c>
      <c r="B7856">
        <v>265164804.63300315</v>
      </c>
    </row>
    <row r="7857" spans="1:2" x14ac:dyDescent="0.25">
      <c r="A7857">
        <f ca="1">37446.7570872882*((RANDBETWEEN(1587,2416)))</f>
        <v>87438177.798818067</v>
      </c>
      <c r="B7857">
        <v>251580648.76767287</v>
      </c>
    </row>
    <row r="7858" spans="1:2" x14ac:dyDescent="0.25">
      <c r="A7858">
        <f ca="1">31478.102157341*((RANDBETWEEN(1587,2416)))</f>
        <v>60847171.470140316</v>
      </c>
      <c r="B7858">
        <v>240666311.71717361</v>
      </c>
    </row>
    <row r="7859" spans="1:2" x14ac:dyDescent="0.25">
      <c r="A7859">
        <f ca="1">37494.165173485*((RANDBETWEEN(1587,2416)))</f>
        <v>76300626.128041893</v>
      </c>
      <c r="B7859">
        <v>238789597.88291937</v>
      </c>
    </row>
    <row r="7860" spans="1:2" x14ac:dyDescent="0.25">
      <c r="A7860">
        <f ca="1">39166.7432222443*((RANDBETWEEN(1587,2416)))</f>
        <v>67170964.626148924</v>
      </c>
      <c r="B7860">
        <v>219273511.47742721</v>
      </c>
    </row>
    <row r="7861" spans="1:2" x14ac:dyDescent="0.25">
      <c r="A7861">
        <f ca="1">30867.7690939453*((RANDBETWEEN(1587,2416)))</f>
        <v>51425703.310512878</v>
      </c>
      <c r="B7861">
        <v>258594352.20730335</v>
      </c>
    </row>
    <row r="7862" spans="1:2" x14ac:dyDescent="0.25">
      <c r="A7862">
        <f ca="1">29964.2626279799*((RANDBETWEEN(1587,2416)))</f>
        <v>51538531.720125489</v>
      </c>
      <c r="B7862">
        <v>219721407.26207393</v>
      </c>
    </row>
    <row r="7863" spans="1:2" x14ac:dyDescent="0.25">
      <c r="A7863">
        <f ca="1">32706.7698637075*((RANDBETWEEN(1587,2416)))</f>
        <v>58839478.984809794</v>
      </c>
      <c r="B7863">
        <v>263141436.85229346</v>
      </c>
    </row>
    <row r="7864" spans="1:2" x14ac:dyDescent="0.25">
      <c r="A7864">
        <f ca="1">30835.4912866258*((RANDBETWEEN(1587,2416)))</f>
        <v>74221027.526908264</v>
      </c>
      <c r="B7864">
        <v>242592920.14333463</v>
      </c>
    </row>
    <row r="7865" spans="1:2" x14ac:dyDescent="0.25">
      <c r="A7865">
        <f ca="1">40567.7341716428*((RANDBETWEEN(1587,2416)))</f>
        <v>73184192.445643604</v>
      </c>
      <c r="B7865">
        <v>210473404.13759062</v>
      </c>
    </row>
    <row r="7866" spans="1:2" x14ac:dyDescent="0.25">
      <c r="A7866">
        <f ca="1">37768.1194337265*((RANDBETWEEN(1587,2416)))</f>
        <v>77877862.272344008</v>
      </c>
      <c r="B7866">
        <v>254826075.90413597</v>
      </c>
    </row>
    <row r="7867" spans="1:2" x14ac:dyDescent="0.25">
      <c r="A7867">
        <f ca="1">32661.1768264592*((RANDBETWEEN(1587,2416)))</f>
        <v>77602956.139667064</v>
      </c>
      <c r="B7867">
        <v>257497449.79972407</v>
      </c>
    </row>
    <row r="7868" spans="1:2" x14ac:dyDescent="0.25">
      <c r="A7868">
        <f ca="1">31119.7641052833*((RANDBETWEEN(1587,2416)))</f>
        <v>50569616.671085417</v>
      </c>
      <c r="B7868">
        <v>265412153.91039139</v>
      </c>
    </row>
    <row r="7869" spans="1:2" x14ac:dyDescent="0.25">
      <c r="A7869">
        <f ca="1">35696.3903389817*((RANDBETWEEN(1587,2416)))</f>
        <v>60898041.918302767</v>
      </c>
      <c r="B7869">
        <v>265668441.13441676</v>
      </c>
    </row>
    <row r="7870" spans="1:2" x14ac:dyDescent="0.25">
      <c r="A7870">
        <f ca="1">32193.7588536001*((RANDBETWEEN(1587,2416)))</f>
        <v>68894643.946704134</v>
      </c>
      <c r="B7870">
        <v>245066333.67932731</v>
      </c>
    </row>
    <row r="7871" spans="1:2" x14ac:dyDescent="0.25">
      <c r="A7871">
        <f ca="1">38280.3808116808*((RANDBETWEEN(1587,2416)))</f>
        <v>68751563.937778726</v>
      </c>
      <c r="B7871">
        <v>247967967.62315348</v>
      </c>
    </row>
    <row r="7872" spans="1:2" x14ac:dyDescent="0.25">
      <c r="A7872">
        <f ca="1">34884.7441355501*((RANDBETWEEN(1587,2416)))</f>
        <v>68548522.22635603</v>
      </c>
      <c r="B7872">
        <v>265281172.63480356</v>
      </c>
    </row>
    <row r="7873" spans="1:2" x14ac:dyDescent="0.25">
      <c r="A7873">
        <f ca="1">28576.3864061177*((RANDBETWEEN(1587,2416)))</f>
        <v>63468154.207987368</v>
      </c>
      <c r="B7873">
        <v>243004793.632402</v>
      </c>
    </row>
    <row r="7874" spans="1:2" x14ac:dyDescent="0.25">
      <c r="A7874">
        <f ca="1">37826.1699904354*((RANDBETWEEN(1587,2416)))</f>
        <v>73269291.271473452</v>
      </c>
      <c r="B7874">
        <v>248693673.12032139</v>
      </c>
    </row>
    <row r="7875" spans="1:2" x14ac:dyDescent="0.25">
      <c r="A7875">
        <f ca="1">30419.1140195255*((RANDBETWEEN(1587,2416)))</f>
        <v>56822904.988473684</v>
      </c>
      <c r="B7875">
        <v>256480384.40046439</v>
      </c>
    </row>
    <row r="7876" spans="1:2" x14ac:dyDescent="0.25">
      <c r="A7876">
        <f ca="1">38345.1753280517*((RANDBETWEEN(1587,2416)))</f>
        <v>76920421.708071768</v>
      </c>
      <c r="B7876">
        <v>235683791.19473037</v>
      </c>
    </row>
    <row r="7877" spans="1:2" x14ac:dyDescent="0.25">
      <c r="A7877">
        <f ca="1">40600.0241779935*((RANDBETWEEN(1587,2416)))</f>
        <v>85706651.039744273</v>
      </c>
      <c r="B7877">
        <v>260954695.58977199</v>
      </c>
    </row>
    <row r="7878" spans="1:2" x14ac:dyDescent="0.25">
      <c r="A7878">
        <f ca="1">30784.3734352636*((RANDBETWEEN(1587,2416)))</f>
        <v>67140718.462309867</v>
      </c>
      <c r="B7878">
        <v>229001044.19464731</v>
      </c>
    </row>
    <row r="7879" spans="1:2" x14ac:dyDescent="0.25">
      <c r="A7879">
        <f ca="1">33464.5256225411*((RANDBETWEEN(1587,2416)))</f>
        <v>72182981.767821252</v>
      </c>
      <c r="B7879">
        <v>260513398.67818409</v>
      </c>
    </row>
    <row r="7880" spans="1:2" x14ac:dyDescent="0.25">
      <c r="A7880">
        <f ca="1">33337.2635216664*((RANDBETWEEN(1587,2416)))</f>
        <v>72608559.950189337</v>
      </c>
      <c r="B7880">
        <v>213885278.78020906</v>
      </c>
    </row>
    <row r="7881" spans="1:2" x14ac:dyDescent="0.25">
      <c r="A7881">
        <f ca="1">33521.4139518742*((RANDBETWEEN(1587,2416)))</f>
        <v>65802535.587529115</v>
      </c>
      <c r="B7881">
        <v>224552796.71807492</v>
      </c>
    </row>
    <row r="7882" spans="1:2" x14ac:dyDescent="0.25">
      <c r="A7882">
        <f ca="1">32366.7454707284*((RANDBETWEEN(1587,2416)))</f>
        <v>72598610.090843722</v>
      </c>
      <c r="B7882">
        <v>203739127.45258349</v>
      </c>
    </row>
    <row r="7883" spans="1:2" x14ac:dyDescent="0.25">
      <c r="A7883">
        <f ca="1">31334.4161876861*((RANDBETWEEN(1587,2416)))</f>
        <v>63577530.44481504</v>
      </c>
      <c r="B7883">
        <v>240287433.90326804</v>
      </c>
    </row>
    <row r="7884" spans="1:2" x14ac:dyDescent="0.25">
      <c r="A7884">
        <f ca="1">32309.5761695948*((RANDBETWEEN(1587,2416)))</f>
        <v>56380210.415942967</v>
      </c>
      <c r="B7884">
        <v>260680121.65550277</v>
      </c>
    </row>
    <row r="7885" spans="1:2" x14ac:dyDescent="0.25">
      <c r="A7885">
        <f ca="1">39006.2992999873*((RANDBETWEEN(1587,2416)))</f>
        <v>72551716.69797641</v>
      </c>
      <c r="B7885">
        <v>215170333.35671607</v>
      </c>
    </row>
    <row r="7886" spans="1:2" x14ac:dyDescent="0.25">
      <c r="A7886">
        <f ca="1">40900.9774405875*((RANDBETWEEN(1587,2416)))</f>
        <v>97794237.060444623</v>
      </c>
      <c r="B7886">
        <v>222583608.71511954</v>
      </c>
    </row>
    <row r="7887" spans="1:2" x14ac:dyDescent="0.25">
      <c r="A7887">
        <f ca="1">29812.3048391929*((RANDBETWEEN(1587,2416)))</f>
        <v>69373233.360801905</v>
      </c>
      <c r="B7887">
        <v>220013756.9315179</v>
      </c>
    </row>
    <row r="7888" spans="1:2" x14ac:dyDescent="0.25">
      <c r="A7888">
        <f ca="1">39658.6405806327*((RANDBETWEEN(1587,2416)))</f>
        <v>67697299.471139967</v>
      </c>
      <c r="B7888">
        <v>230147462.9295969</v>
      </c>
    </row>
    <row r="7889" spans="1:2" x14ac:dyDescent="0.25">
      <c r="A7889">
        <f ca="1">38280.3668044557*((RANDBETWEEN(1587,2416)))</f>
        <v>85020694.672696158</v>
      </c>
      <c r="B7889">
        <v>263986083.57681122</v>
      </c>
    </row>
    <row r="7890" spans="1:2" x14ac:dyDescent="0.25">
      <c r="A7890">
        <f ca="1">29982.8770359422*((RANDBETWEEN(1587,2416)))</f>
        <v>59695908.178560905</v>
      </c>
      <c r="B7890">
        <v>253087523.3823919</v>
      </c>
    </row>
    <row r="7891" spans="1:2" x14ac:dyDescent="0.25">
      <c r="A7891">
        <f ca="1">41585.1239753227*((RANDBETWEEN(1587,2416)))</f>
        <v>90738740.514154106</v>
      </c>
      <c r="B7891">
        <v>226711372.75846165</v>
      </c>
    </row>
    <row r="7892" spans="1:2" x14ac:dyDescent="0.25">
      <c r="A7892">
        <f ca="1">34554.7325263766*((RANDBETWEEN(1587,2416)))</f>
        <v>57568184.388943397</v>
      </c>
      <c r="B7892">
        <v>260221429.96126801</v>
      </c>
    </row>
    <row r="7893" spans="1:2" x14ac:dyDescent="0.25">
      <c r="A7893">
        <f ca="1">36982.9019814848*((RANDBETWEEN(1587,2416)))</f>
        <v>88832930.559526473</v>
      </c>
      <c r="B7893">
        <v>237035477.95837072</v>
      </c>
    </row>
    <row r="7894" spans="1:2" x14ac:dyDescent="0.25">
      <c r="A7894">
        <f ca="1">34309.3115422359*((RANDBETWEEN(1587,2416)))</f>
        <v>75652031.950630099</v>
      </c>
      <c r="B7894">
        <v>231044819.0290783</v>
      </c>
    </row>
    <row r="7895" spans="1:2" x14ac:dyDescent="0.25">
      <c r="A7895">
        <f ca="1">34756.6357832443*((RANDBETWEEN(1587,2416)))</f>
        <v>69548028.202271789</v>
      </c>
      <c r="B7895">
        <v>207281021.71727771</v>
      </c>
    </row>
    <row r="7896" spans="1:2" x14ac:dyDescent="0.25">
      <c r="A7896">
        <f ca="1">37282.5872940795*((RANDBETWEEN(1587,2416)))</f>
        <v>64237897.907698929</v>
      </c>
      <c r="B7896">
        <v>242440672.03941977</v>
      </c>
    </row>
    <row r="7897" spans="1:2" x14ac:dyDescent="0.25">
      <c r="A7897">
        <f ca="1">33661.3266022944*((RANDBETWEEN(1587,2416)))</f>
        <v>59883500.025481716</v>
      </c>
      <c r="B7897">
        <v>226611699.64872256</v>
      </c>
    </row>
    <row r="7898" spans="1:2" x14ac:dyDescent="0.25">
      <c r="A7898">
        <f ca="1">39220.444284249*((RANDBETWEEN(1587,2416)))</f>
        <v>88128338.306707457</v>
      </c>
      <c r="B7898">
        <v>228240032.65895534</v>
      </c>
    </row>
    <row r="7899" spans="1:2" x14ac:dyDescent="0.25">
      <c r="A7899">
        <f ca="1">33970.4304213889*((RANDBETWEEN(1587,2416)))</f>
        <v>61078833.897657253</v>
      </c>
      <c r="B7899">
        <v>248631459.99139753</v>
      </c>
    </row>
    <row r="7900" spans="1:2" x14ac:dyDescent="0.25">
      <c r="A7900">
        <f ca="1">31193.5363836654*((RANDBETWEEN(1587,2416)))</f>
        <v>53372140.752451487</v>
      </c>
      <c r="B7900">
        <v>235626633.0422191</v>
      </c>
    </row>
    <row r="7901" spans="1:2" x14ac:dyDescent="0.25">
      <c r="A7901">
        <f ca="1">36714.9416410391*((RANDBETWEEN(1587,2416)))</f>
        <v>82975768.108748302</v>
      </c>
      <c r="B7901">
        <v>257806208.561391</v>
      </c>
    </row>
    <row r="7902" spans="1:2" x14ac:dyDescent="0.25">
      <c r="A7902">
        <f ca="1">33955.0909053152*((RANDBETWEEN(1587,2416)))</f>
        <v>61730355.265862994</v>
      </c>
      <c r="B7902">
        <v>215083290.18738422</v>
      </c>
    </row>
    <row r="7903" spans="1:2" x14ac:dyDescent="0.25">
      <c r="A7903">
        <f ca="1">31475.4815876489*((RANDBETWEEN(1587,2416)))</f>
        <v>74596891.36272794</v>
      </c>
      <c r="B7903">
        <v>266884106.6857163</v>
      </c>
    </row>
    <row r="7904" spans="1:2" x14ac:dyDescent="0.25">
      <c r="A7904">
        <f ca="1">31199.9118243078*((RANDBETWEEN(1587,2416)))</f>
        <v>54475046.045241423</v>
      </c>
      <c r="B7904">
        <v>248753951.38444805</v>
      </c>
    </row>
    <row r="7905" spans="1:2" x14ac:dyDescent="0.25">
      <c r="A7905">
        <f ca="1">31984.8162979761*((RANDBETWEEN(1587,2416)))</f>
        <v>67168114.225749865</v>
      </c>
      <c r="B7905">
        <v>238038322.15364182</v>
      </c>
    </row>
    <row r="7906" spans="1:2" x14ac:dyDescent="0.25">
      <c r="A7906">
        <f ca="1">30083.0166396694*((RANDBETWEEN(1587,2416)))</f>
        <v>50810215.104401655</v>
      </c>
      <c r="B7906">
        <v>242814414.56016102</v>
      </c>
    </row>
    <row r="7907" spans="1:2" x14ac:dyDescent="0.25">
      <c r="A7907">
        <f ca="1">40683.3291212467*((RANDBETWEEN(1587,2416)))</f>
        <v>73026575.772637874</v>
      </c>
      <c r="B7907">
        <v>254050462.04362121</v>
      </c>
    </row>
    <row r="7908" spans="1:2" x14ac:dyDescent="0.25">
      <c r="A7908">
        <f ca="1">27593.4333804292*((RANDBETWEEN(1587,2416)))</f>
        <v>61367795.838074453</v>
      </c>
      <c r="B7908">
        <v>210409532.86256278</v>
      </c>
    </row>
    <row r="7909" spans="1:2" x14ac:dyDescent="0.25">
      <c r="A7909">
        <f ca="1">39421.5396275469*((RANDBETWEEN(1587,2416)))</f>
        <v>74033651.420533031</v>
      </c>
      <c r="B7909">
        <v>224226922.78700167</v>
      </c>
    </row>
    <row r="7910" spans="1:2" x14ac:dyDescent="0.25">
      <c r="A7910">
        <f ca="1">32296.8826675445*((RANDBETWEEN(1587,2416)))</f>
        <v>72700282.884642586</v>
      </c>
      <c r="B7910">
        <v>241062028.01779231</v>
      </c>
    </row>
    <row r="7911" spans="1:2" x14ac:dyDescent="0.25">
      <c r="A7911">
        <f ca="1">41570.6709243838*((RANDBETWEEN(1587,2416)))</f>
        <v>94573276.352973163</v>
      </c>
      <c r="B7911">
        <v>250534435.98358485</v>
      </c>
    </row>
    <row r="7912" spans="1:2" x14ac:dyDescent="0.25">
      <c r="A7912">
        <f ca="1">39299.3681461211*((RANDBETWEEN(1587,2416)))</f>
        <v>79188226.814434037</v>
      </c>
      <c r="B7912">
        <v>203993222.63833699</v>
      </c>
    </row>
    <row r="7913" spans="1:2" x14ac:dyDescent="0.25">
      <c r="A7913">
        <f ca="1">37815.6783784485*((RANDBETWEEN(1587,2416)))</f>
        <v>91022337.856925756</v>
      </c>
      <c r="B7913">
        <v>244909289.32491362</v>
      </c>
    </row>
    <row r="7914" spans="1:2" x14ac:dyDescent="0.25">
      <c r="A7914">
        <f ca="1">33394.5216844171*((RANDBETWEEN(1587,2416)))</f>
        <v>72265744.925078675</v>
      </c>
      <c r="B7914">
        <v>210504276.93636358</v>
      </c>
    </row>
    <row r="7915" spans="1:2" x14ac:dyDescent="0.25">
      <c r="A7915">
        <f ca="1">30661.2918795817*((RANDBETWEEN(1587,2416)))</f>
        <v>50069889.639356926</v>
      </c>
      <c r="B7915">
        <v>240559238.15484905</v>
      </c>
    </row>
    <row r="7916" spans="1:2" x14ac:dyDescent="0.25">
      <c r="A7916">
        <f ca="1">28306.624786653*((RANDBETWEEN(1587,2416)))</f>
        <v>55509291.20662652</v>
      </c>
      <c r="B7916">
        <v>241932481.11377606</v>
      </c>
    </row>
    <row r="7917" spans="1:2" x14ac:dyDescent="0.25">
      <c r="A7917">
        <f ca="1">29313.170908718*((RANDBETWEEN(1587,2416)))</f>
        <v>48894369.075741604</v>
      </c>
      <c r="B7917">
        <v>254551651.31616306</v>
      </c>
    </row>
    <row r="7918" spans="1:2" x14ac:dyDescent="0.25">
      <c r="A7918">
        <f ca="1">39662.5819338608*((RANDBETWEEN(1587,2416)))</f>
        <v>85393538.903602391</v>
      </c>
      <c r="B7918">
        <v>235606849.59782657</v>
      </c>
    </row>
    <row r="7919" spans="1:2" x14ac:dyDescent="0.25">
      <c r="A7919">
        <f ca="1">31476.7253734015*((RANDBETWEEN(1587,2416)))</f>
        <v>51684783.06312526</v>
      </c>
      <c r="B7919">
        <v>215297487.87756312</v>
      </c>
    </row>
    <row r="7920" spans="1:2" x14ac:dyDescent="0.25">
      <c r="A7920">
        <f ca="1">31097.5043329713*((RANDBETWEEN(1587,2416)))</f>
        <v>64527321.490915515</v>
      </c>
      <c r="B7920">
        <v>237509618.67073172</v>
      </c>
    </row>
    <row r="7921" spans="1:2" x14ac:dyDescent="0.25">
      <c r="A7921">
        <f ca="1">37884.8936790675*((RANDBETWEEN(1587,2416)))</f>
        <v>61562952.22848469</v>
      </c>
      <c r="B7921">
        <v>231018956.61752021</v>
      </c>
    </row>
    <row r="7922" spans="1:2" x14ac:dyDescent="0.25">
      <c r="A7922">
        <f ca="1">30351.0343315265*((RANDBETWEEN(1587,2416)))</f>
        <v>58061528.676210292</v>
      </c>
      <c r="B7922">
        <v>264012605.99574006</v>
      </c>
    </row>
    <row r="7923" spans="1:2" x14ac:dyDescent="0.25">
      <c r="A7923">
        <f ca="1">32556.8012341707*((RANDBETWEEN(1587,2416)))</f>
        <v>53100142.812932454</v>
      </c>
      <c r="B7923">
        <v>230075229.90755498</v>
      </c>
    </row>
    <row r="7924" spans="1:2" x14ac:dyDescent="0.25">
      <c r="A7924">
        <f ca="1">32433.5404421447*((RANDBETWEEN(1587,2416)))</f>
        <v>74564709.476490557</v>
      </c>
      <c r="B7924">
        <v>241525477.56760025</v>
      </c>
    </row>
    <row r="7925" spans="1:2" x14ac:dyDescent="0.25">
      <c r="A7925">
        <f ca="1">37194.7557427133*((RANDBETWEEN(1587,2416)))</f>
        <v>70446867.376699045</v>
      </c>
      <c r="B7925">
        <v>239503862.74390674</v>
      </c>
    </row>
    <row r="7926" spans="1:2" x14ac:dyDescent="0.25">
      <c r="A7926">
        <f ca="1">40643.1710911023*((RANDBETWEEN(1587,2416)))</f>
        <v>67914738.893231869</v>
      </c>
      <c r="B7926">
        <v>230962079.39450255</v>
      </c>
    </row>
    <row r="7927" spans="1:2" x14ac:dyDescent="0.25">
      <c r="A7927">
        <f ca="1">40888.7243633986*((RANDBETWEEN(1587,2416)))</f>
        <v>68979278.001053482</v>
      </c>
      <c r="B7927">
        <v>226575526.9362061</v>
      </c>
    </row>
    <row r="7928" spans="1:2" x14ac:dyDescent="0.25">
      <c r="A7928">
        <f ca="1">31115.1839213307*((RANDBETWEEN(1587,2416)))</f>
        <v>70600352.317499354</v>
      </c>
      <c r="B7928">
        <v>266023983.80104649</v>
      </c>
    </row>
    <row r="7929" spans="1:2" x14ac:dyDescent="0.25">
      <c r="A7929">
        <f ca="1">37196.6794282463*((RANDBETWEEN(1587,2416)))</f>
        <v>82055874.818711385</v>
      </c>
      <c r="B7929">
        <v>240722578.93177241</v>
      </c>
    </row>
    <row r="7930" spans="1:2" x14ac:dyDescent="0.25">
      <c r="A7930">
        <f ca="1">28158.2425288104*((RANDBETWEEN(1587,2416)))</f>
        <v>61779184.10820996</v>
      </c>
      <c r="B7930">
        <v>245504107.90070599</v>
      </c>
    </row>
    <row r="7931" spans="1:2" x14ac:dyDescent="0.25">
      <c r="A7931">
        <f ca="1">31409.514908938*((RANDBETWEEN(1587,2416)))</f>
        <v>60934458.923339754</v>
      </c>
      <c r="B7931">
        <v>242528021.76155931</v>
      </c>
    </row>
    <row r="7932" spans="1:2" x14ac:dyDescent="0.25">
      <c r="A7932">
        <f ca="1">38272.8756739396*((RANDBETWEEN(1587,2416)))</f>
        <v>69388723.596852556</v>
      </c>
      <c r="B7932">
        <v>256828182.49527532</v>
      </c>
    </row>
    <row r="7933" spans="1:2" x14ac:dyDescent="0.25">
      <c r="A7933">
        <f ca="1">30999.4007541799*((RANDBETWEEN(1587,2416)))</f>
        <v>53287969.896435201</v>
      </c>
      <c r="B7933">
        <v>245772229.25721803</v>
      </c>
    </row>
    <row r="7934" spans="1:2" x14ac:dyDescent="0.25">
      <c r="A7934">
        <f ca="1">31378.7777790745*((RANDBETWEEN(1587,2416)))</f>
        <v>71167068.002940848</v>
      </c>
      <c r="B7934">
        <v>228823209.34572211</v>
      </c>
    </row>
    <row r="7935" spans="1:2" x14ac:dyDescent="0.25">
      <c r="A7935">
        <f ca="1">34666.1746131586*((RANDBETWEEN(1587,2416)))</f>
        <v>69644344.797835544</v>
      </c>
      <c r="B7935">
        <v>243811373.29357463</v>
      </c>
    </row>
    <row r="7936" spans="1:2" x14ac:dyDescent="0.25">
      <c r="A7936">
        <f ca="1">31427.4455328424*((RANDBETWEEN(1587,2416)))</f>
        <v>74168771.457508147</v>
      </c>
      <c r="B7936">
        <v>234094565.6619921</v>
      </c>
    </row>
    <row r="7937" spans="1:2" x14ac:dyDescent="0.25">
      <c r="A7937">
        <f ca="1">30855.0396133955*((RANDBETWEEN(1587,2416)))</f>
        <v>68590753.060578272</v>
      </c>
      <c r="B7937">
        <v>261314879.27543795</v>
      </c>
    </row>
    <row r="7938" spans="1:2" x14ac:dyDescent="0.25">
      <c r="A7938">
        <f ca="1">36849.6245388096*((RANDBETWEEN(1587,2416)))</f>
        <v>85196331.933727711</v>
      </c>
      <c r="B7938">
        <v>261486415.95817673</v>
      </c>
    </row>
    <row r="7939" spans="1:2" x14ac:dyDescent="0.25">
      <c r="A7939">
        <f ca="1">31166.6870296358*((RANDBETWEEN(1587,2416)))</f>
        <v>74955882.306274205</v>
      </c>
      <c r="B7939">
        <v>206569108.18815893</v>
      </c>
    </row>
    <row r="7940" spans="1:2" x14ac:dyDescent="0.25">
      <c r="A7940">
        <f ca="1">40272.0780909896*((RANDBETWEEN(1587,2416)))</f>
        <v>89122108.815359965</v>
      </c>
      <c r="B7940">
        <v>240676161.56756374</v>
      </c>
    </row>
    <row r="7941" spans="1:2" x14ac:dyDescent="0.25">
      <c r="A7941">
        <f ca="1">32935.1539712291*((RANDBETWEEN(1587,2416)))</f>
        <v>74927475.284546316</v>
      </c>
      <c r="B7941">
        <v>208301022.17157218</v>
      </c>
    </row>
    <row r="7942" spans="1:2" x14ac:dyDescent="0.25">
      <c r="A7942">
        <f ca="1">35453.3261209951*((RANDBETWEEN(1587,2416)))</f>
        <v>73991091.61451681</v>
      </c>
      <c r="B7942">
        <v>233880494.30409425</v>
      </c>
    </row>
    <row r="7943" spans="1:2" x14ac:dyDescent="0.25">
      <c r="A7943">
        <f ca="1">36693.2216801927*((RANDBETWEEN(1587,2416)))</f>
        <v>81165406.356586203</v>
      </c>
      <c r="B7943">
        <v>259932510.68520969</v>
      </c>
    </row>
    <row r="7944" spans="1:2" x14ac:dyDescent="0.25">
      <c r="A7944">
        <f ca="1">34848.4473003805*((RANDBETWEEN(1587,2416)))</f>
        <v>66769625.027529016</v>
      </c>
      <c r="B7944">
        <v>246183469.56021881</v>
      </c>
    </row>
    <row r="7945" spans="1:2" x14ac:dyDescent="0.25">
      <c r="A7945">
        <f ca="1">30024.6662981811*((RANDBETWEEN(1587,2416)))</f>
        <v>56626520.63836956</v>
      </c>
      <c r="B7945">
        <v>205155399.72531325</v>
      </c>
    </row>
    <row r="7946" spans="1:2" x14ac:dyDescent="0.25">
      <c r="A7946">
        <f ca="1">32168.2340220946*((RANDBETWEEN(1587,2416)))</f>
        <v>57838484.771726049</v>
      </c>
      <c r="B7946">
        <v>204677956.52355087</v>
      </c>
    </row>
    <row r="7947" spans="1:2" x14ac:dyDescent="0.25">
      <c r="A7947">
        <f ca="1">36217.4657686507*((RANDBETWEEN(1587,2416)))</f>
        <v>82612039.418292239</v>
      </c>
      <c r="B7947">
        <v>236527621.02289999</v>
      </c>
    </row>
    <row r="7948" spans="1:2" x14ac:dyDescent="0.25">
      <c r="A7948">
        <f ca="1">31360.2438361902*((RANDBETWEEN(1587,2416)))</f>
        <v>74888262.280822277</v>
      </c>
      <c r="B7948">
        <v>238238169.22702843</v>
      </c>
    </row>
    <row r="7949" spans="1:2" x14ac:dyDescent="0.25">
      <c r="A7949">
        <f ca="1">38651.728185256*((RANDBETWEEN(1587,2416)))</f>
        <v>84879195.094822243</v>
      </c>
      <c r="B7949">
        <v>207871601.53806078</v>
      </c>
    </row>
    <row r="7950" spans="1:2" x14ac:dyDescent="0.25">
      <c r="A7950">
        <f ca="1">37982.9550766759*((RANDBETWEEN(1587,2416)))</f>
        <v>61494404.269138336</v>
      </c>
      <c r="B7950">
        <v>205509277.23194098</v>
      </c>
    </row>
    <row r="7951" spans="1:2" x14ac:dyDescent="0.25">
      <c r="A7951">
        <f ca="1">32865.6846358221*((RANDBETWEEN(1587,2416)))</f>
        <v>52749423.840494528</v>
      </c>
      <c r="B7951">
        <v>232304446.9999634</v>
      </c>
    </row>
    <row r="7952" spans="1:2" x14ac:dyDescent="0.25">
      <c r="A7952">
        <f ca="1">32435.9961386583*((RANDBETWEEN(1587,2416)))</f>
        <v>72786375.335149124</v>
      </c>
      <c r="B7952">
        <v>255841737.77007699</v>
      </c>
    </row>
    <row r="7953" spans="1:2" x14ac:dyDescent="0.25">
      <c r="A7953">
        <f ca="1">31580.1748569249*((RANDBETWEEN(1587,2416)))</f>
        <v>52359929.912781417</v>
      </c>
      <c r="B7953">
        <v>229837516.75718957</v>
      </c>
    </row>
    <row r="7954" spans="1:2" x14ac:dyDescent="0.25">
      <c r="A7954">
        <f ca="1">39383.5181391435*((RANDBETWEEN(1587,2416)))</f>
        <v>91054693.93769978</v>
      </c>
      <c r="B7954">
        <v>234776897.88264018</v>
      </c>
    </row>
    <row r="7955" spans="1:2" x14ac:dyDescent="0.25">
      <c r="A7955">
        <f ca="1">34158.1624120131*((RANDBETWEEN(1587,2416)))</f>
        <v>82423645.900187701</v>
      </c>
      <c r="B7955">
        <v>245431705.24398068</v>
      </c>
    </row>
    <row r="7956" spans="1:2" x14ac:dyDescent="0.25">
      <c r="A7956">
        <f ca="1">31749.7843219981*((RANDBETWEEN(1587,2416)))</f>
        <v>59943592.799932376</v>
      </c>
      <c r="B7956">
        <v>248002999.14574942</v>
      </c>
    </row>
    <row r="7957" spans="1:2" x14ac:dyDescent="0.25">
      <c r="A7957">
        <f ca="1">33505.8586597763*((RANDBETWEEN(1587,2416)))</f>
        <v>53709891.431621492</v>
      </c>
      <c r="B7957">
        <v>260951571.34905851</v>
      </c>
    </row>
    <row r="7958" spans="1:2" x14ac:dyDescent="0.25">
      <c r="A7958">
        <f ca="1">31627.1145865556*((RANDBETWEEN(1587,2416)))</f>
        <v>67049482.923497766</v>
      </c>
      <c r="B7958">
        <v>204822580.81985366</v>
      </c>
    </row>
    <row r="7959" spans="1:2" x14ac:dyDescent="0.25">
      <c r="A7959">
        <f ca="1">37005.1722997106*((RANDBETWEEN(1587,2416)))</f>
        <v>65351134.281288981</v>
      </c>
      <c r="B7959">
        <v>240766678.34727764</v>
      </c>
    </row>
    <row r="7960" spans="1:2" x14ac:dyDescent="0.25">
      <c r="A7960">
        <f ca="1">29309.3857095762*((RANDBETWEEN(1587,2416)))</f>
        <v>65477167.675193183</v>
      </c>
      <c r="B7960">
        <v>259504731.92746508</v>
      </c>
    </row>
    <row r="7961" spans="1:2" x14ac:dyDescent="0.25">
      <c r="A7961">
        <f ca="1">38514.6046726481*((RANDBETWEEN(1587,2416)))</f>
        <v>70019551.294874325</v>
      </c>
      <c r="B7961">
        <v>266244425.86933669</v>
      </c>
    </row>
    <row r="7962" spans="1:2" x14ac:dyDescent="0.25">
      <c r="A7962">
        <f ca="1">29783.9396171583*((RANDBETWEEN(1587,2416)))</f>
        <v>47892574.904390611</v>
      </c>
      <c r="B7962">
        <v>222737979.83757222</v>
      </c>
    </row>
    <row r="7963" spans="1:2" x14ac:dyDescent="0.25">
      <c r="A7963">
        <f ca="1">33768.6518868731*((RANDBETWEEN(1587,2416)))</f>
        <v>63755214.762416333</v>
      </c>
      <c r="B7963">
        <v>242877694.94901851</v>
      </c>
    </row>
    <row r="7964" spans="1:2" x14ac:dyDescent="0.25">
      <c r="A7964">
        <f ca="1">31387.446639923*((RANDBETWEEN(1587,2416)))</f>
        <v>52228711.208831839</v>
      </c>
      <c r="B7964">
        <v>205118733.98337454</v>
      </c>
    </row>
    <row r="7965" spans="1:2" x14ac:dyDescent="0.25">
      <c r="A7965">
        <f ca="1">30572.7548990142*((RANDBETWEEN(1587,2416)))</f>
        <v>55153249.837821588</v>
      </c>
      <c r="B7965">
        <v>217592549.07006463</v>
      </c>
    </row>
    <row r="7966" spans="1:2" x14ac:dyDescent="0.25">
      <c r="A7966">
        <f ca="1">32156.7047295722*((RANDBETWEEN(1587,2416)))</f>
        <v>54987965.08756838</v>
      </c>
      <c r="B7966">
        <v>234422512.62788641</v>
      </c>
    </row>
    <row r="7967" spans="1:2" x14ac:dyDescent="0.25">
      <c r="A7967">
        <f ca="1">32025.7641510639*((RANDBETWEEN(1587,2416)))</f>
        <v>51753634.868119217</v>
      </c>
      <c r="B7967">
        <v>235425335.46296057</v>
      </c>
    </row>
    <row r="7968" spans="1:2" x14ac:dyDescent="0.25">
      <c r="A7968">
        <f ca="1">33121.7781192233*((RANDBETWEEN(1587,2416)))</f>
        <v>64256249.551293291</v>
      </c>
      <c r="B7968">
        <v>210168531.71783912</v>
      </c>
    </row>
    <row r="7969" spans="1:2" x14ac:dyDescent="0.25">
      <c r="A7969">
        <f ca="1">38785.5672757934*((RANDBETWEEN(1587,2416)))</f>
        <v>92387221.250939935</v>
      </c>
      <c r="B7969">
        <v>244489558.72427326</v>
      </c>
    </row>
    <row r="7970" spans="1:2" x14ac:dyDescent="0.25">
      <c r="A7970">
        <f ca="1">38273.7627100026*((RANDBETWEEN(1587,2416)))</f>
        <v>78576034.843635425</v>
      </c>
      <c r="B7970">
        <v>236664773.65560514</v>
      </c>
    </row>
    <row r="7971" spans="1:2" x14ac:dyDescent="0.25">
      <c r="A7971">
        <f ca="1">31239.5464112234*((RANDBETWEEN(1587,2416)))</f>
        <v>63010165.111437559</v>
      </c>
      <c r="B7971">
        <v>261907493.94785562</v>
      </c>
    </row>
    <row r="7972" spans="1:2" x14ac:dyDescent="0.25">
      <c r="A7972">
        <f ca="1">39880.2433882654*((RANDBETWEEN(1587,2416)))</f>
        <v>70827312.257559344</v>
      </c>
      <c r="B7972">
        <v>265731825.80452436</v>
      </c>
    </row>
    <row r="7973" spans="1:2" x14ac:dyDescent="0.25">
      <c r="A7973">
        <f ca="1">37147.4425895048*((RANDBETWEEN(1587,2416)))</f>
        <v>60996100.731966816</v>
      </c>
      <c r="B7973">
        <v>259086042.36375445</v>
      </c>
    </row>
    <row r="7974" spans="1:2" x14ac:dyDescent="0.25">
      <c r="A7974">
        <f ca="1">31309.4438612111*((RANDBETWEEN(1587,2416)))</f>
        <v>65499356.557653591</v>
      </c>
      <c r="B7974">
        <v>253639509.01368517</v>
      </c>
    </row>
    <row r="7975" spans="1:2" x14ac:dyDescent="0.25">
      <c r="A7975">
        <f ca="1">33712.563553259*((RANDBETWEEN(1587,2416)))</f>
        <v>80337038.947416112</v>
      </c>
      <c r="B7975">
        <v>243927486.95663846</v>
      </c>
    </row>
    <row r="7976" spans="1:2" x14ac:dyDescent="0.25">
      <c r="A7976">
        <f ca="1">29510.446931837*((RANDBETWEEN(1587,2416)))</f>
        <v>60998093.808107093</v>
      </c>
      <c r="B7976">
        <v>227680417.29033053</v>
      </c>
    </row>
    <row r="7977" spans="1:2" x14ac:dyDescent="0.25">
      <c r="A7977">
        <f ca="1">36550.805292642*((RANDBETWEEN(1587,2416)))</f>
        <v>63890807.651538149</v>
      </c>
      <c r="B7977">
        <v>228107775.57821578</v>
      </c>
    </row>
    <row r="7978" spans="1:2" x14ac:dyDescent="0.25">
      <c r="A7978">
        <f ca="1">28996.8244264168*((RANDBETWEEN(1587,2416)))</f>
        <v>48888645.982938737</v>
      </c>
      <c r="B7978">
        <v>220466733.67236301</v>
      </c>
    </row>
    <row r="7979" spans="1:2" x14ac:dyDescent="0.25">
      <c r="A7979">
        <f ca="1">34847.9938899856*((RANDBETWEEN(1587,2416)))</f>
        <v>83182161.415395677</v>
      </c>
      <c r="B7979">
        <v>242250059.9608497</v>
      </c>
    </row>
    <row r="7980" spans="1:2" x14ac:dyDescent="0.25">
      <c r="A7980">
        <f ca="1">34951.2438955857*((RANDBETWEEN(1587,2416)))</f>
        <v>74516051.985388711</v>
      </c>
      <c r="B7980">
        <v>205276452.54095852</v>
      </c>
    </row>
    <row r="7981" spans="1:2" x14ac:dyDescent="0.25">
      <c r="A7981">
        <f ca="1">30504.7824173425*((RANDBETWEEN(1587,2416)))</f>
        <v>73455516.060960665</v>
      </c>
      <c r="B7981">
        <v>216328086.17711073</v>
      </c>
    </row>
    <row r="7982" spans="1:2" x14ac:dyDescent="0.25">
      <c r="A7982">
        <f ca="1">31141.3452599922*((RANDBETWEEN(1587,2416)))</f>
        <v>55089039.764926203</v>
      </c>
      <c r="B7982">
        <v>253994569.94401509</v>
      </c>
    </row>
    <row r="7983" spans="1:2" x14ac:dyDescent="0.25">
      <c r="A7983">
        <f ca="1">36304.4971792136*((RANDBETWEEN(1587,2416)))</f>
        <v>66364620.843602382</v>
      </c>
      <c r="B7983">
        <v>265791706.5904977</v>
      </c>
    </row>
    <row r="7984" spans="1:2" x14ac:dyDescent="0.25">
      <c r="A7984">
        <f ca="1">30296.2957771753*((RANDBETWEEN(1587,2416)))</f>
        <v>58774813.807720043</v>
      </c>
      <c r="B7984">
        <v>224963865.97648332</v>
      </c>
    </row>
    <row r="7985" spans="1:2" x14ac:dyDescent="0.25">
      <c r="A7985">
        <f ca="1">38309.2757705568*((RANDBETWEEN(1587,2416)))</f>
        <v>83475911.904043257</v>
      </c>
      <c r="B7985">
        <v>251154696.08611301</v>
      </c>
    </row>
    <row r="7986" spans="1:2" x14ac:dyDescent="0.25">
      <c r="A7986">
        <f ca="1">31368.753630925*((RANDBETWEEN(1587,2416)))</f>
        <v>60259375.725006916</v>
      </c>
      <c r="B7986">
        <v>209291618.29543918</v>
      </c>
    </row>
    <row r="7987" spans="1:2" x14ac:dyDescent="0.25">
      <c r="A7987">
        <f ca="1">33495.3401676315*((RANDBETWEEN(1587,2416)))</f>
        <v>62267837.371627033</v>
      </c>
      <c r="B7987">
        <v>215887384.44483304</v>
      </c>
    </row>
    <row r="7988" spans="1:2" x14ac:dyDescent="0.25">
      <c r="A7988">
        <f ca="1">31162.5857873814*((RANDBETWEEN(1587,2416)))</f>
        <v>63883300.864131905</v>
      </c>
      <c r="B7988">
        <v>231216604.00459003</v>
      </c>
    </row>
    <row r="7989" spans="1:2" x14ac:dyDescent="0.25">
      <c r="A7989">
        <f ca="1">30962.7276088745*((RANDBETWEEN(1587,2416)))</f>
        <v>73010111.701726139</v>
      </c>
      <c r="B7989">
        <v>213708575.95940965</v>
      </c>
    </row>
    <row r="7990" spans="1:2" x14ac:dyDescent="0.25">
      <c r="A7990">
        <f ca="1">40140.7839020399*((RANDBETWEEN(1587,2416)))</f>
        <v>90838593.970316291</v>
      </c>
      <c r="B7990">
        <v>226911486.4220981</v>
      </c>
    </row>
    <row r="7991" spans="1:2" x14ac:dyDescent="0.25">
      <c r="A7991">
        <f ca="1">38550.2636682381*((RANDBETWEEN(1587,2416)))</f>
        <v>79606294.474911645</v>
      </c>
      <c r="B7991">
        <v>232404933.45797014</v>
      </c>
    </row>
    <row r="7992" spans="1:2" x14ac:dyDescent="0.25">
      <c r="A7992">
        <f ca="1">31404.4705011268*((RANDBETWEEN(1587,2416)))</f>
        <v>51157882.446335614</v>
      </c>
      <c r="B7992">
        <v>247438113.29817364</v>
      </c>
    </row>
    <row r="7993" spans="1:2" x14ac:dyDescent="0.25">
      <c r="A7993">
        <f ca="1">30743.9301204921*((RANDBETWEEN(1587,2416)))</f>
        <v>70157648.534962907</v>
      </c>
      <c r="B7993">
        <v>239684581.35086575</v>
      </c>
    </row>
    <row r="7994" spans="1:2" x14ac:dyDescent="0.25">
      <c r="A7994">
        <f ca="1">33185.330433824*((RANDBETWEEN(1587,2416)))</f>
        <v>74467881.493500993</v>
      </c>
      <c r="B7994">
        <v>245020537.87340885</v>
      </c>
    </row>
    <row r="7995" spans="1:2" x14ac:dyDescent="0.25">
      <c r="A7995">
        <f ca="1">33028.1677772747*((RANDBETWEEN(1587,2416)))</f>
        <v>60012180.851308145</v>
      </c>
      <c r="B7995">
        <v>247771936.5895817</v>
      </c>
    </row>
    <row r="7996" spans="1:2" x14ac:dyDescent="0.25">
      <c r="A7996">
        <f ca="1">32173.87852404*((RANDBETWEEN(1587,2416)))</f>
        <v>55306897.182824798</v>
      </c>
      <c r="B7996">
        <v>227952904.49137127</v>
      </c>
    </row>
    <row r="7997" spans="1:2" x14ac:dyDescent="0.25">
      <c r="A7997">
        <f ca="1">33170.2022059732*((RANDBETWEEN(1587,2416)))</f>
        <v>69491573.621513918</v>
      </c>
      <c r="B7997">
        <v>216484951.90827709</v>
      </c>
    </row>
    <row r="7998" spans="1:2" x14ac:dyDescent="0.25">
      <c r="A7998">
        <f ca="1">33340.1987782359*((RANDBETWEEN(1587,2416)))</f>
        <v>53577699.436625138</v>
      </c>
      <c r="B7998">
        <v>220021948.60627967</v>
      </c>
    </row>
    <row r="7999" spans="1:2" x14ac:dyDescent="0.25">
      <c r="A7999">
        <f ca="1">34350.6305378097*((RANDBETWEEN(1587,2416)))</f>
        <v>80449176.719550267</v>
      </c>
      <c r="B7999">
        <v>246870424.42305952</v>
      </c>
    </row>
    <row r="8000" spans="1:2" x14ac:dyDescent="0.25">
      <c r="A8000">
        <f ca="1">30818.3903050751*((RANDBETWEEN(1587,2416)))</f>
        <v>72577309.168451801</v>
      </c>
      <c r="B8000">
        <v>254714012.18548921</v>
      </c>
    </row>
    <row r="8001" spans="1:2" x14ac:dyDescent="0.25">
      <c r="A8001">
        <f ca="1">32753.6644883406*((RANDBETWEEN(1587,2416)))</f>
        <v>68520666.109608591</v>
      </c>
      <c r="B8001">
        <v>240972887.37113678</v>
      </c>
    </row>
    <row r="8002" spans="1:2" x14ac:dyDescent="0.25">
      <c r="A8002">
        <f ca="1">33335.4629159104*((RANDBETWEEN(1587,2416)))</f>
        <v>65170830.000604793</v>
      </c>
      <c r="B8002">
        <v>244175784.73768693</v>
      </c>
    </row>
    <row r="8003" spans="1:2" x14ac:dyDescent="0.25">
      <c r="A8003">
        <f ca="1">35122.3580515738*((RANDBETWEEN(1587,2416)))</f>
        <v>60480700.564810082</v>
      </c>
      <c r="B8003">
        <v>265289126.63977319</v>
      </c>
    </row>
    <row r="8004" spans="1:2" x14ac:dyDescent="0.25">
      <c r="A8004">
        <f ca="1">37857.9947439177*((RANDBETWEEN(1587,2416)))</f>
        <v>87338393.874218181</v>
      </c>
      <c r="B8004">
        <v>230556986.94945204</v>
      </c>
    </row>
    <row r="8005" spans="1:2" x14ac:dyDescent="0.25">
      <c r="A8005">
        <f ca="1">36650.5398668123*((RANDBETWEEN(1587,2416)))</f>
        <v>63955192.067587517</v>
      </c>
      <c r="B8005">
        <v>260862355.17459148</v>
      </c>
    </row>
    <row r="8006" spans="1:2" x14ac:dyDescent="0.25">
      <c r="A8006">
        <f ca="1">35759.8311209045*((RANDBETWEEN(1587,2416)))</f>
        <v>70697186.12602827</v>
      </c>
      <c r="B8006">
        <v>245205699.47531858</v>
      </c>
    </row>
    <row r="8007" spans="1:2" x14ac:dyDescent="0.25">
      <c r="A8007">
        <f ca="1">30131.8535895307*((RANDBETWEEN(1587,2416)))</f>
        <v>52188370.4170672</v>
      </c>
      <c r="B8007">
        <v>226843423.36093831</v>
      </c>
    </row>
    <row r="8008" spans="1:2" x14ac:dyDescent="0.25">
      <c r="A8008">
        <f ca="1">27973.3166689019*((RANDBETWEEN(1587,2416)))</f>
        <v>53149301.670913666</v>
      </c>
      <c r="B8008">
        <v>233098091.98317221</v>
      </c>
    </row>
    <row r="8009" spans="1:2" x14ac:dyDescent="0.25">
      <c r="A8009">
        <f ca="1">30951.4951603879*((RANDBETWEEN(1587,2416)))</f>
        <v>72364595.684986904</v>
      </c>
      <c r="B8009">
        <v>215848271.1607542</v>
      </c>
    </row>
    <row r="8010" spans="1:2" x14ac:dyDescent="0.25">
      <c r="A8010">
        <f ca="1">41933.1935241185*((RANDBETWEEN(1587,2416)))</f>
        <v>93846487.106977224</v>
      </c>
      <c r="B8010">
        <v>232544159.82928455</v>
      </c>
    </row>
    <row r="8011" spans="1:2" x14ac:dyDescent="0.25">
      <c r="A8011">
        <f ca="1">32818.92928955*((RANDBETWEEN(1587,2416)))</f>
        <v>52083640.782515824</v>
      </c>
      <c r="B8011">
        <v>238165892.91393572</v>
      </c>
    </row>
    <row r="8012" spans="1:2" x14ac:dyDescent="0.25">
      <c r="A8012">
        <f ca="1">29059.5155213121*((RANDBETWEEN(1587,2416)))</f>
        <v>54573770.149024084</v>
      </c>
      <c r="B8012">
        <v>253532425.47012612</v>
      </c>
    </row>
    <row r="8013" spans="1:2" x14ac:dyDescent="0.25">
      <c r="A8013">
        <f ca="1">32030.0632776653*((RANDBETWEEN(1587,2416)))</f>
        <v>73028544.273076832</v>
      </c>
      <c r="B8013">
        <v>221287732.9558942</v>
      </c>
    </row>
    <row r="8014" spans="1:2" x14ac:dyDescent="0.25">
      <c r="A8014">
        <f ca="1">38337.3296517889*((RANDBETWEEN(1587,2416)))</f>
        <v>67282013.538889587</v>
      </c>
      <c r="B8014">
        <v>237711647.57016841</v>
      </c>
    </row>
    <row r="8015" spans="1:2" x14ac:dyDescent="0.25">
      <c r="A8015">
        <f ca="1">36953.6077473251*((RANDBETWEEN(1587,2416)))</f>
        <v>80632772.104663298</v>
      </c>
      <c r="B8015">
        <v>245982983.31318772</v>
      </c>
    </row>
    <row r="8016" spans="1:2" x14ac:dyDescent="0.25">
      <c r="A8016">
        <f ca="1">38735.4060973906*((RANDBETWEEN(1587,2416)))</f>
        <v>92345208.136179224</v>
      </c>
      <c r="B8016">
        <v>228552037.7504262</v>
      </c>
    </row>
    <row r="8017" spans="1:2" x14ac:dyDescent="0.25">
      <c r="A8017">
        <f ca="1">31277.80739096*((RANDBETWEEN(1587,2416)))</f>
        <v>73784347.635274708</v>
      </c>
      <c r="B8017">
        <v>228188015.99313542</v>
      </c>
    </row>
    <row r="8018" spans="1:2" x14ac:dyDescent="0.25">
      <c r="A8018">
        <f ca="1">31316.3058289249*((RANDBETWEEN(1587,2416)))</f>
        <v>62601295.352020808</v>
      </c>
      <c r="B8018">
        <v>249119922.82327998</v>
      </c>
    </row>
    <row r="8019" spans="1:2" x14ac:dyDescent="0.25">
      <c r="A8019">
        <f ca="1">37654.0768518356*((RANDBETWEEN(1587,2416)))</f>
        <v>79563064.38792868</v>
      </c>
      <c r="B8019">
        <v>263326014.73884204</v>
      </c>
    </row>
    <row r="8020" spans="1:2" x14ac:dyDescent="0.25">
      <c r="A8020">
        <f ca="1">41192.0210517162*((RANDBETWEEN(1587,2416)))</f>
        <v>76905503.303554133</v>
      </c>
      <c r="B8020">
        <v>251100776.99698395</v>
      </c>
    </row>
    <row r="8021" spans="1:2" x14ac:dyDescent="0.25">
      <c r="A8021">
        <f ca="1">39446.726704102*((RANDBETWEEN(1587,2416)))</f>
        <v>64771525.248135418</v>
      </c>
      <c r="B8021">
        <v>228880397.28139129</v>
      </c>
    </row>
    <row r="8022" spans="1:2" x14ac:dyDescent="0.25">
      <c r="A8022">
        <f ca="1">30827.1090802098*((RANDBETWEEN(1587,2416)))</f>
        <v>54625637.290131725</v>
      </c>
      <c r="B8022">
        <v>226958671.84738487</v>
      </c>
    </row>
    <row r="8023" spans="1:2" x14ac:dyDescent="0.25">
      <c r="A8023">
        <f ca="1">30743.5137632281*((RANDBETWEEN(1587,2416)))</f>
        <v>64192456.737620272</v>
      </c>
      <c r="B8023">
        <v>248789828.20286176</v>
      </c>
    </row>
    <row r="8024" spans="1:2" x14ac:dyDescent="0.25">
      <c r="A8024">
        <f ca="1">33940.0233843567*((RANDBETWEEN(1587,2416)))</f>
        <v>78435394.041248277</v>
      </c>
      <c r="B8024">
        <v>259899877.8962754</v>
      </c>
    </row>
    <row r="8025" spans="1:2" x14ac:dyDescent="0.25">
      <c r="A8025">
        <f ca="1">38903.9212892006*((RANDBETWEEN(1587,2416)))</f>
        <v>88000669.956171826</v>
      </c>
      <c r="B8025">
        <v>234520560.54648137</v>
      </c>
    </row>
    <row r="8026" spans="1:2" x14ac:dyDescent="0.25">
      <c r="A8026">
        <f ca="1">32245.2648343794*((RANDBETWEEN(1587,2416)))</f>
        <v>56203496.606323265</v>
      </c>
      <c r="B8026">
        <v>234582881.22218132</v>
      </c>
    </row>
    <row r="8027" spans="1:2" x14ac:dyDescent="0.25">
      <c r="A8027">
        <f ca="1">29073.0488132055*((RANDBETWEEN(1587,2416)))</f>
        <v>50325447.495658785</v>
      </c>
      <c r="B8027">
        <v>242446231.62678692</v>
      </c>
    </row>
    <row r="8028" spans="1:2" x14ac:dyDescent="0.25">
      <c r="A8028">
        <f ca="1">32357.4042403737*((RANDBETWEEN(1587,2416)))</f>
        <v>77140051.709050909</v>
      </c>
      <c r="B8028">
        <v>252753424.7649309</v>
      </c>
    </row>
    <row r="8029" spans="1:2" x14ac:dyDescent="0.25">
      <c r="A8029">
        <f ca="1">35757.2444293548*((RANDBETWEEN(1587,2416)))</f>
        <v>84780426.542000338</v>
      </c>
      <c r="B8029">
        <v>252083852.27855778</v>
      </c>
    </row>
    <row r="8030" spans="1:2" x14ac:dyDescent="0.25">
      <c r="A8030">
        <f ca="1">34870.0375237657*((RANDBETWEEN(1587,2416)))</f>
        <v>74133699.775525883</v>
      </c>
      <c r="B8030">
        <v>224337045.65568632</v>
      </c>
    </row>
    <row r="8031" spans="1:2" x14ac:dyDescent="0.25">
      <c r="A8031">
        <f ca="1">37324.0295750425*((RANDBETWEEN(1587,2416)))</f>
        <v>88420626.063275635</v>
      </c>
      <c r="B8031">
        <v>205486500.29480347</v>
      </c>
    </row>
    <row r="8032" spans="1:2" x14ac:dyDescent="0.25">
      <c r="A8032">
        <f ca="1">38912.1582037857*((RANDBETWEEN(1587,2416)))</f>
        <v>92610936.525009885</v>
      </c>
      <c r="B8032">
        <v>211527974.09186113</v>
      </c>
    </row>
    <row r="8033" spans="1:2" x14ac:dyDescent="0.25">
      <c r="A8033">
        <f ca="1">40609.5403859906*((RANDBETWEEN(1587,2416)))</f>
        <v>83818091.356684566</v>
      </c>
      <c r="B8033">
        <v>215557852.9617534</v>
      </c>
    </row>
    <row r="8034" spans="1:2" x14ac:dyDescent="0.25">
      <c r="A8034">
        <f ca="1">29267.2274178948*((RANDBETWEEN(1587,2416)))</f>
        <v>55344327.047239155</v>
      </c>
      <c r="B8034">
        <v>228261322.39113486</v>
      </c>
    </row>
    <row r="8035" spans="1:2" x14ac:dyDescent="0.25">
      <c r="A8035">
        <f ca="1">29468.9495624941*((RANDBETWEEN(1587,2416)))</f>
        <v>49154207.870240144</v>
      </c>
      <c r="B8035">
        <v>265275711.57126445</v>
      </c>
    </row>
    <row r="8036" spans="1:2" x14ac:dyDescent="0.25">
      <c r="A8036">
        <f ca="1">40164.5984309364*((RANDBETWEEN(1587,2416)))</f>
        <v>69404426.088658154</v>
      </c>
      <c r="B8036">
        <v>226887232.59128222</v>
      </c>
    </row>
    <row r="8037" spans="1:2" x14ac:dyDescent="0.25">
      <c r="A8037">
        <f ca="1">32178.4516231788*((RANDBETWEEN(1587,2416)))</f>
        <v>70342095.248268843</v>
      </c>
      <c r="B8037">
        <v>226221100.95214209</v>
      </c>
    </row>
    <row r="8038" spans="1:2" x14ac:dyDescent="0.25">
      <c r="A8038">
        <f ca="1">35605.3765978205*((RANDBETWEEN(1587,2416)))</f>
        <v>76337927.425727069</v>
      </c>
      <c r="B8038">
        <v>214311181.76008892</v>
      </c>
    </row>
    <row r="8039" spans="1:2" x14ac:dyDescent="0.25">
      <c r="A8039">
        <f ca="1">37509.0692037055*((RANDBETWEEN(1587,2416)))</f>
        <v>67628851.77428098</v>
      </c>
      <c r="B8039">
        <v>208721420.99727795</v>
      </c>
    </row>
    <row r="8040" spans="1:2" x14ac:dyDescent="0.25">
      <c r="A8040">
        <f ca="1">32018.4005374396*((RANDBETWEEN(1587,2416)))</f>
        <v>59586243.40017502</v>
      </c>
      <c r="B8040">
        <v>210535741.59024733</v>
      </c>
    </row>
    <row r="8041" spans="1:2" x14ac:dyDescent="0.25">
      <c r="A8041">
        <f ca="1">33410.9381859856*((RANDBETWEEN(1587,2416)))</f>
        <v>65485438.844531804</v>
      </c>
      <c r="B8041">
        <v>222430158.18244231</v>
      </c>
    </row>
    <row r="8042" spans="1:2" x14ac:dyDescent="0.25">
      <c r="A8042">
        <f ca="1">31322.639887634*((RANDBETWEEN(1587,2416)))</f>
        <v>67124417.279199734</v>
      </c>
      <c r="B8042">
        <v>263657302.54627222</v>
      </c>
    </row>
    <row r="8043" spans="1:2" x14ac:dyDescent="0.25">
      <c r="A8043">
        <f ca="1">36932.5173115898*((RANDBETWEEN(1587,2416)))</f>
        <v>63486997.258622825</v>
      </c>
      <c r="B8043">
        <v>223082041.04867053</v>
      </c>
    </row>
    <row r="8044" spans="1:2" x14ac:dyDescent="0.25">
      <c r="A8044">
        <f ca="1">37910.7879086233*((RANDBETWEEN(1587,2416)))</f>
        <v>78589063.334576085</v>
      </c>
      <c r="B8044">
        <v>266407753.70112586</v>
      </c>
    </row>
    <row r="8045" spans="1:2" x14ac:dyDescent="0.25">
      <c r="A8045">
        <f ca="1">36138.7015549475*((RANDBETWEEN(1587,2416)))</f>
        <v>71771461.288125813</v>
      </c>
      <c r="B8045">
        <v>214170563.56216094</v>
      </c>
    </row>
    <row r="8046" spans="1:2" x14ac:dyDescent="0.25">
      <c r="A8046">
        <f ca="1">33795.9088811399*((RANDBETWEEN(1587,2416)))</f>
        <v>58771085.544302218</v>
      </c>
      <c r="B8046">
        <v>225353406.36065459</v>
      </c>
    </row>
    <row r="8047" spans="1:2" x14ac:dyDescent="0.25">
      <c r="A8047">
        <f ca="1">30701.3006619973*((RANDBETWEEN(1587,2416)))</f>
        <v>66069199.024618275</v>
      </c>
      <c r="B8047">
        <v>211967740.77623436</v>
      </c>
    </row>
    <row r="8048" spans="1:2" x14ac:dyDescent="0.25">
      <c r="A8048">
        <f ca="1">36323.0734794381*((RANDBETWEEN(1587,2416)))</f>
        <v>82380730.651365697</v>
      </c>
      <c r="B8048">
        <v>233590190.08806902</v>
      </c>
    </row>
    <row r="8049" spans="1:2" x14ac:dyDescent="0.25">
      <c r="A8049">
        <f ca="1">30368.8694045957*((RANDBETWEEN(1587,2416)))</f>
        <v>66143397.563209392</v>
      </c>
      <c r="B8049">
        <v>212660660.02661976</v>
      </c>
    </row>
    <row r="8050" spans="1:2" x14ac:dyDescent="0.25">
      <c r="A8050">
        <f ca="1">32269.7628741429*((RANDBETWEEN(1587,2416)))</f>
        <v>59795870.605786778</v>
      </c>
      <c r="B8050">
        <v>213513674.63793415</v>
      </c>
    </row>
    <row r="8051" spans="1:2" x14ac:dyDescent="0.25">
      <c r="A8051">
        <f ca="1">33866.9724226633*((RANDBETWEEN(1587,2416)))</f>
        <v>79350316.386300057</v>
      </c>
      <c r="B8051">
        <v>240175986.23156232</v>
      </c>
    </row>
    <row r="8052" spans="1:2" x14ac:dyDescent="0.25">
      <c r="A8052">
        <f ca="1">31049.5992242543*((RANDBETWEEN(1587,2416)))</f>
        <v>67253431.919734821</v>
      </c>
      <c r="B8052">
        <v>242746565.96644324</v>
      </c>
    </row>
    <row r="8053" spans="1:2" x14ac:dyDescent="0.25">
      <c r="A8053">
        <f ca="1">32566.9382472295*((RANDBETWEEN(1587,2416)))</f>
        <v>63961466.71755866</v>
      </c>
      <c r="B8053">
        <v>231002099.6835548</v>
      </c>
    </row>
    <row r="8054" spans="1:2" x14ac:dyDescent="0.25">
      <c r="A8054">
        <f ca="1">36832.918011907*((RANDBETWEEN(1587,2416)))</f>
        <v>81658579.232397825</v>
      </c>
      <c r="B8054">
        <v>252664951.38735601</v>
      </c>
    </row>
    <row r="8055" spans="1:2" x14ac:dyDescent="0.25">
      <c r="A8055">
        <f ca="1">30434.4061190513*((RANDBETWEEN(1587,2416)))</f>
        <v>71490419.973651394</v>
      </c>
      <c r="B8055">
        <v>259623005.6494717</v>
      </c>
    </row>
    <row r="8056" spans="1:2" x14ac:dyDescent="0.25">
      <c r="A8056">
        <f ca="1">36104.098645383*((RANDBETWEEN(1587,2416)))</f>
        <v>85711130.184139147</v>
      </c>
      <c r="B8056">
        <v>207570186.8236962</v>
      </c>
    </row>
    <row r="8057" spans="1:2" x14ac:dyDescent="0.25">
      <c r="A8057">
        <f ca="1">38811.8510451565*((RANDBETWEEN(1587,2416)))</f>
        <v>64311237.181824327</v>
      </c>
      <c r="B8057">
        <v>255028823.61189488</v>
      </c>
    </row>
    <row r="8058" spans="1:2" x14ac:dyDescent="0.25">
      <c r="A8058">
        <f ca="1">38263.5383527866*((RANDBETWEEN(1587,2416)))</f>
        <v>81310018.999671593</v>
      </c>
      <c r="B8058">
        <v>204290452.99385542</v>
      </c>
    </row>
    <row r="8059" spans="1:2" x14ac:dyDescent="0.25">
      <c r="A8059">
        <f ca="1">35124.6283188855*((RANDBETWEEN(1587,2416)))</f>
        <v>62170592.124427348</v>
      </c>
      <c r="B8059">
        <v>253315436.51698729</v>
      </c>
    </row>
    <row r="8060" spans="1:2" x14ac:dyDescent="0.25">
      <c r="A8060">
        <f ca="1">31153.3035852511*((RANDBETWEEN(1587,2416)))</f>
        <v>63365819.492400773</v>
      </c>
      <c r="B8060">
        <v>226236154.38758898</v>
      </c>
    </row>
    <row r="8061" spans="1:2" x14ac:dyDescent="0.25">
      <c r="A8061">
        <f ca="1">32965.547542268*((RANDBETWEEN(1587,2416)))</f>
        <v>68238683.412494779</v>
      </c>
      <c r="B8061">
        <v>225463958.11520052</v>
      </c>
    </row>
    <row r="8062" spans="1:2" x14ac:dyDescent="0.25">
      <c r="A8062">
        <f ca="1">32088.9447461223*((RANDBETWEEN(1587,2416)))</f>
        <v>75473198.042879581</v>
      </c>
      <c r="B8062">
        <v>215654636.30169195</v>
      </c>
    </row>
    <row r="8063" spans="1:2" x14ac:dyDescent="0.25">
      <c r="A8063">
        <f ca="1">39440.4537959103*((RANDBETWEEN(1587,2416)))</f>
        <v>80419085.289861128</v>
      </c>
      <c r="B8063">
        <v>208321758.72644895</v>
      </c>
    </row>
    <row r="8064" spans="1:2" x14ac:dyDescent="0.25">
      <c r="A8064">
        <f ca="1">37766.8127245915*((RANDBETWEEN(1587,2416)))</f>
        <v>65865321.391687594</v>
      </c>
      <c r="B8064">
        <v>239917334.57681367</v>
      </c>
    </row>
    <row r="8065" spans="1:2" x14ac:dyDescent="0.25">
      <c r="A8065">
        <f ca="1">36134.4736329177*((RANDBETWEEN(1587,2416)))</f>
        <v>62765580.70037809</v>
      </c>
      <c r="B8065">
        <v>205968828.19383562</v>
      </c>
    </row>
    <row r="8066" spans="1:2" x14ac:dyDescent="0.25">
      <c r="A8066">
        <f ca="1">38380.5950830968*((RANDBETWEEN(1587,2416)))</f>
        <v>69238593.529906571</v>
      </c>
      <c r="B8066">
        <v>258265793.19884747</v>
      </c>
    </row>
    <row r="8067" spans="1:2" x14ac:dyDescent="0.25">
      <c r="A8067">
        <f ca="1">34896.3848782348*((RANDBETWEEN(1587,2416)))</f>
        <v>73421993.783805922</v>
      </c>
      <c r="B8067">
        <v>260330675.68054342</v>
      </c>
    </row>
    <row r="8068" spans="1:2" x14ac:dyDescent="0.25">
      <c r="A8068">
        <f ca="1">31423.0951123869*((RANDBETWEEN(1587,2416)))</f>
        <v>50182682.894481875</v>
      </c>
      <c r="B8068">
        <v>261557778.91290155</v>
      </c>
    </row>
    <row r="8069" spans="1:2" x14ac:dyDescent="0.25">
      <c r="A8069">
        <f ca="1">32166.8230882681*((RANDBETWEEN(1587,2416)))</f>
        <v>60666628.34447363</v>
      </c>
      <c r="B8069">
        <v>241507160.99520129</v>
      </c>
    </row>
    <row r="8070" spans="1:2" x14ac:dyDescent="0.25">
      <c r="A8070">
        <f ca="1">32268.8975540849*((RANDBETWEEN(1587,2416)))</f>
        <v>62246703.381829783</v>
      </c>
      <c r="B8070">
        <v>253154966.44959828</v>
      </c>
    </row>
    <row r="8071" spans="1:2" x14ac:dyDescent="0.25">
      <c r="A8071">
        <f ca="1">31215.1381426365*((RANDBETWEEN(1587,2416)))</f>
        <v>55125933.959896117</v>
      </c>
      <c r="B8071">
        <v>234961758.79347828</v>
      </c>
    </row>
    <row r="8072" spans="1:2" x14ac:dyDescent="0.25">
      <c r="A8072">
        <f ca="1">34068.8991854129*((RANDBETWEEN(1587,2416)))</f>
        <v>81867564.742547289</v>
      </c>
      <c r="B8072">
        <v>266475580.09051916</v>
      </c>
    </row>
    <row r="8073" spans="1:2" x14ac:dyDescent="0.25">
      <c r="A8073">
        <f ca="1">32502.2941323325*((RANDBETWEEN(1587,2416)))</f>
        <v>57074028.496375844</v>
      </c>
      <c r="B8073">
        <v>204927045.83495975</v>
      </c>
    </row>
    <row r="8074" spans="1:2" x14ac:dyDescent="0.25">
      <c r="A8074">
        <f ca="1">39869.494606625*((RANDBETWEEN(1587,2416)))</f>
        <v>63751321.875993453</v>
      </c>
      <c r="B8074">
        <v>244644930.67800868</v>
      </c>
    </row>
    <row r="8075" spans="1:2" x14ac:dyDescent="0.25">
      <c r="A8075">
        <f ca="1">30994.8931588391*((RANDBETWEEN(1587,2416)))</f>
        <v>56596674.908040203</v>
      </c>
      <c r="B8075">
        <v>253104342.91703692</v>
      </c>
    </row>
    <row r="8076" spans="1:2" x14ac:dyDescent="0.25">
      <c r="A8076">
        <f ca="1">31733.8382075014*((RANDBETWEEN(1587,2416)))</f>
        <v>56327562.818314999</v>
      </c>
      <c r="B8076">
        <v>238007521.22756845</v>
      </c>
    </row>
    <row r="8077" spans="1:2" x14ac:dyDescent="0.25">
      <c r="A8077">
        <f ca="1">31096.9583316415*((RANDBETWEEN(1587,2416)))</f>
        <v>63562182.829875179</v>
      </c>
      <c r="B8077">
        <v>258698620.13345116</v>
      </c>
    </row>
    <row r="8078" spans="1:2" x14ac:dyDescent="0.25">
      <c r="A8078">
        <f ca="1">40047.7857100363*((RANDBETWEEN(1587,2416)))</f>
        <v>64757269.493128724</v>
      </c>
      <c r="B8078">
        <v>261380766.60370272</v>
      </c>
    </row>
    <row r="8079" spans="1:2" x14ac:dyDescent="0.25">
      <c r="A8079">
        <f ca="1">41386.423182557*((RANDBETWEEN(1587,2416)))</f>
        <v>84966326.793789417</v>
      </c>
      <c r="B8079">
        <v>258449629.92781696</v>
      </c>
    </row>
    <row r="8080" spans="1:2" x14ac:dyDescent="0.25">
      <c r="A8080">
        <f ca="1">32909.7345768676*((RANDBETWEEN(1587,2416)))</f>
        <v>70986297.482303485</v>
      </c>
      <c r="B8080">
        <v>233673860.06950057</v>
      </c>
    </row>
    <row r="8081" spans="1:2" x14ac:dyDescent="0.25">
      <c r="A8081">
        <f ca="1">34868.9956304521*((RANDBETWEEN(1587,2416)))</f>
        <v>64681986.89448861</v>
      </c>
      <c r="B8081">
        <v>260454142.47174489</v>
      </c>
    </row>
    <row r="8082" spans="1:2" x14ac:dyDescent="0.25">
      <c r="A8082">
        <f ca="1">33291.3355000505*((RANDBETWEEN(1587,2416)))</f>
        <v>63486576.798596382</v>
      </c>
      <c r="B8082">
        <v>216254228.83259749</v>
      </c>
    </row>
    <row r="8083" spans="1:2" x14ac:dyDescent="0.25">
      <c r="A8083">
        <f ca="1">32784.5367217949*((RANDBETWEEN(1587,2416)))</f>
        <v>58028629.997576922</v>
      </c>
      <c r="B8083">
        <v>210705457.25637043</v>
      </c>
    </row>
    <row r="8084" spans="1:2" x14ac:dyDescent="0.25">
      <c r="A8084">
        <f ca="1">27762.8461672583*((RANDBETWEEN(1587,2416)))</f>
        <v>47974198.17702233</v>
      </c>
      <c r="B8084">
        <v>210050654.79546922</v>
      </c>
    </row>
    <row r="8085" spans="1:2" x14ac:dyDescent="0.25">
      <c r="A8085">
        <f ca="1">37678.7490571865*((RANDBETWEEN(1587,2416)))</f>
        <v>85493081.610756174</v>
      </c>
      <c r="B8085">
        <v>210307404.27742714</v>
      </c>
    </row>
    <row r="8086" spans="1:2" x14ac:dyDescent="0.25">
      <c r="A8086">
        <f ca="1">29618.6905487054*((RANDBETWEEN(1587,2416)))</f>
        <v>48071134.760548905</v>
      </c>
      <c r="B8086">
        <v>254545073.04161689</v>
      </c>
    </row>
    <row r="8087" spans="1:2" x14ac:dyDescent="0.25">
      <c r="A8087">
        <f ca="1">30964.4140406991*((RANDBETWEEN(1587,2416)))</f>
        <v>71156223.465526477</v>
      </c>
      <c r="B8087">
        <v>222818623.63620308</v>
      </c>
    </row>
    <row r="8088" spans="1:2" x14ac:dyDescent="0.25">
      <c r="A8088">
        <f ca="1">36642.2103171974*((RANDBETWEEN(1587,2416)))</f>
        <v>67018602.67015402</v>
      </c>
      <c r="B8088">
        <v>252782794.0879091</v>
      </c>
    </row>
    <row r="8089" spans="1:2" x14ac:dyDescent="0.25">
      <c r="A8089">
        <f ca="1">38582.8419452821*((RANDBETWEEN(1587,2416)))</f>
        <v>70143606.656522781</v>
      </c>
      <c r="B8089">
        <v>262937374.86821765</v>
      </c>
    </row>
    <row r="8090" spans="1:2" x14ac:dyDescent="0.25">
      <c r="A8090">
        <f ca="1">30604.8587472731*((RANDBETWEEN(1587,2416)))</f>
        <v>56006891.507509746</v>
      </c>
      <c r="B8090">
        <v>234957747.83610815</v>
      </c>
    </row>
    <row r="8091" spans="1:2" x14ac:dyDescent="0.25">
      <c r="A8091">
        <f ca="1">36858.8050953426*((RANDBETWEEN(1587,2416)))</f>
        <v>64724061.747421756</v>
      </c>
      <c r="B8091">
        <v>230158845.26312807</v>
      </c>
    </row>
    <row r="8092" spans="1:2" x14ac:dyDescent="0.25">
      <c r="A8092">
        <f ca="1">31255.0838715111*((RANDBETWEEN(1587,2416)))</f>
        <v>54571376.439658307</v>
      </c>
      <c r="B8092">
        <v>205509187.12194091</v>
      </c>
    </row>
    <row r="8093" spans="1:2" x14ac:dyDescent="0.25">
      <c r="A8093">
        <f ca="1">32476.0728834774*((RANDBETWEEN(1587,2416)))</f>
        <v>69271463.46045725</v>
      </c>
      <c r="B8093">
        <v>215738068.71651503</v>
      </c>
    </row>
    <row r="8094" spans="1:2" x14ac:dyDescent="0.25">
      <c r="A8094">
        <f ca="1">39285.1708809998*((RANDBETWEEN(1587,2416)))</f>
        <v>65684805.713031717</v>
      </c>
      <c r="B8094">
        <v>222036160.8167896</v>
      </c>
    </row>
    <row r="8095" spans="1:2" x14ac:dyDescent="0.25">
      <c r="A8095">
        <f ca="1">39477.9068706897*((RANDBETWEEN(1587,2416)))</f>
        <v>63283084.713715613</v>
      </c>
      <c r="B8095">
        <v>265889597.94301757</v>
      </c>
    </row>
    <row r="8096" spans="1:2" x14ac:dyDescent="0.25">
      <c r="A8096">
        <f ca="1">34277.4322758804*((RANDBETWEEN(1587,2416)))</f>
        <v>70748620.217417136</v>
      </c>
      <c r="B8096">
        <v>265422643.0929144</v>
      </c>
    </row>
    <row r="8097" spans="1:2" x14ac:dyDescent="0.25">
      <c r="A8097">
        <f ca="1">38480.0869987324*((RANDBETWEEN(1587,2416)))</f>
        <v>90697565.056012377</v>
      </c>
      <c r="B8097">
        <v>241033340.69153047</v>
      </c>
    </row>
    <row r="8098" spans="1:2" x14ac:dyDescent="0.25">
      <c r="A8098">
        <f ca="1">32269.9846969839*((RANDBETWEEN(1587,2416)))</f>
        <v>71962065.874274135</v>
      </c>
      <c r="B8098">
        <v>228705064.90595165</v>
      </c>
    </row>
    <row r="8099" spans="1:2" x14ac:dyDescent="0.25">
      <c r="A8099">
        <f ca="1">35704.8622026681*((RANDBETWEEN(1587,2416)))</f>
        <v>76372700.251507089</v>
      </c>
      <c r="B8099">
        <v>208352396.78036451</v>
      </c>
    </row>
    <row r="8100" spans="1:2" x14ac:dyDescent="0.25">
      <c r="A8100">
        <f ca="1">39326.5542935824*((RANDBETWEEN(1587,2416)))</f>
        <v>82861049.896578148</v>
      </c>
      <c r="B8100">
        <v>218750299.46430361</v>
      </c>
    </row>
    <row r="8101" spans="1:2" x14ac:dyDescent="0.25">
      <c r="A8101">
        <f ca="1">32353.1718015408*((RANDBETWEEN(1587,2416)))</f>
        <v>73279934.13048996</v>
      </c>
      <c r="B8101">
        <v>242594215.54217556</v>
      </c>
    </row>
    <row r="8102" spans="1:2" x14ac:dyDescent="0.25">
      <c r="A8102">
        <f ca="1">31957.9325892526*((RANDBETWEEN(1587,2416)))</f>
        <v>58706722.166457064</v>
      </c>
      <c r="B8102">
        <v>236637576.85891503</v>
      </c>
    </row>
    <row r="8103" spans="1:2" x14ac:dyDescent="0.25">
      <c r="A8103">
        <f ca="1">29933.1617454363*((RANDBETWEEN(1587,2416)))</f>
        <v>62829706.503670692</v>
      </c>
      <c r="B8103">
        <v>232233049.34468544</v>
      </c>
    </row>
    <row r="8104" spans="1:2" x14ac:dyDescent="0.25">
      <c r="A8104">
        <f ca="1">33140.6234040353*((RANDBETWEEN(1587,2416)))</f>
        <v>71086637.201655731</v>
      </c>
      <c r="B8104">
        <v>234362703.93074641</v>
      </c>
    </row>
    <row r="8105" spans="1:2" x14ac:dyDescent="0.25">
      <c r="A8105">
        <f ca="1">33134.6206097173*((RANDBETWEEN(1587,2416)))</f>
        <v>57124085.931152649</v>
      </c>
      <c r="B8105">
        <v>224804861.13375649</v>
      </c>
    </row>
    <row r="8106" spans="1:2" x14ac:dyDescent="0.25">
      <c r="A8106">
        <f ca="1">39081.2884094766*((RANDBETWEEN(1587,2416)))</f>
        <v>70776213.309562147</v>
      </c>
      <c r="B8106">
        <v>225167368.1339097</v>
      </c>
    </row>
    <row r="8107" spans="1:2" x14ac:dyDescent="0.25">
      <c r="A8107">
        <f ca="1">30838.2550233743*((RANDBETWEEN(1587,2416)))</f>
        <v>62416628.167309619</v>
      </c>
      <c r="B8107">
        <v>230020995.72862092</v>
      </c>
    </row>
    <row r="8108" spans="1:2" x14ac:dyDescent="0.25">
      <c r="A8108">
        <f ca="1">39646.5601453131*((RANDBETWEEN(1587,2416)))</f>
        <v>69103954.333280787</v>
      </c>
      <c r="B8108">
        <v>254349720.38119471</v>
      </c>
    </row>
    <row r="8109" spans="1:2" x14ac:dyDescent="0.25">
      <c r="A8109">
        <f ca="1">30473.1772529413*((RANDBETWEEN(1587,2416)))</f>
        <v>72221430.089470953</v>
      </c>
      <c r="B8109">
        <v>208343614.6403448</v>
      </c>
    </row>
    <row r="8110" spans="1:2" x14ac:dyDescent="0.25">
      <c r="A8110">
        <f ca="1">33378.0454194256*((RANDBETWEEN(1587,2416)))</f>
        <v>68758773.564016789</v>
      </c>
      <c r="B8110">
        <v>266186921.68197539</v>
      </c>
    </row>
    <row r="8111" spans="1:2" x14ac:dyDescent="0.25">
      <c r="A8111">
        <f ca="1">29261.5928836862*((RANDBETWEEN(1587,2416)))</f>
        <v>54631393.913842201</v>
      </c>
      <c r="B8111">
        <v>259771970.50689942</v>
      </c>
    </row>
    <row r="8112" spans="1:2" x14ac:dyDescent="0.25">
      <c r="A8112">
        <f ca="1">31737.1298720063*((RANDBETWEEN(1587,2416)))</f>
        <v>72297181.848430336</v>
      </c>
      <c r="B8112">
        <v>243799708.06830102</v>
      </c>
    </row>
    <row r="8113" spans="1:2" x14ac:dyDescent="0.25">
      <c r="A8113">
        <f ca="1">32628.4760042332*((RANDBETWEEN(1587,2416)))</f>
        <v>71064820.737220004</v>
      </c>
      <c r="B8113">
        <v>243909285.59299451</v>
      </c>
    </row>
    <row r="8114" spans="1:2" x14ac:dyDescent="0.25">
      <c r="A8114">
        <f ca="1">37089.1038910626*((RANDBETWEEN(1587,2416)))</f>
        <v>77071157.885628045</v>
      </c>
      <c r="B8114">
        <v>260391316.64445841</v>
      </c>
    </row>
    <row r="8115" spans="1:2" x14ac:dyDescent="0.25">
      <c r="A8115">
        <f ca="1">31317.6171076729*((RANDBETWEEN(1587,2416)))</f>
        <v>60161142.463839583</v>
      </c>
      <c r="B8115">
        <v>253661706.05710053</v>
      </c>
    </row>
    <row r="8116" spans="1:2" x14ac:dyDescent="0.25">
      <c r="A8116">
        <f ca="1">38482.9316054847*((RANDBETWEEN(1587,2416)))</f>
        <v>65805813.045378901</v>
      </c>
      <c r="B8116">
        <v>234945703.2026636</v>
      </c>
    </row>
    <row r="8117" spans="1:2" x14ac:dyDescent="0.25">
      <c r="A8117">
        <f ca="1">33284.5795569563*((RANDBETWEEN(1587,2416)))</f>
        <v>76820809.617455184</v>
      </c>
      <c r="B8117">
        <v>221034088.53621197</v>
      </c>
    </row>
    <row r="8118" spans="1:2" x14ac:dyDescent="0.25">
      <c r="A8118">
        <f ca="1">37796.9296302959*((RANDBETWEEN(1587,2416)))</f>
        <v>62327136.960357875</v>
      </c>
      <c r="B8118">
        <v>257813108.04913142</v>
      </c>
    </row>
    <row r="8119" spans="1:2" x14ac:dyDescent="0.25">
      <c r="A8119">
        <f ca="1">31992.8279018573*((RANDBETWEEN(1587,2416)))</f>
        <v>58610860.716202609</v>
      </c>
      <c r="B8119">
        <v>221779584.78544831</v>
      </c>
    </row>
    <row r="8120" spans="1:2" x14ac:dyDescent="0.25">
      <c r="A8120">
        <f ca="1">36464.4812591623*((RANDBETWEEN(1587,2416)))</f>
        <v>72381995.29943715</v>
      </c>
      <c r="B8120">
        <v>264721995.89666522</v>
      </c>
    </row>
    <row r="8121" spans="1:2" x14ac:dyDescent="0.25">
      <c r="A8121">
        <f ca="1">33525.7061020682*((RANDBETWEEN(1587,2416)))</f>
        <v>74024759.073366478</v>
      </c>
      <c r="B8121">
        <v>239831965.76107651</v>
      </c>
    </row>
    <row r="8122" spans="1:2" x14ac:dyDescent="0.25">
      <c r="A8122">
        <f ca="1">29721.69319085*((RANDBETWEEN(1587,2416)))</f>
        <v>71599558.896757647</v>
      </c>
      <c r="B8122">
        <v>203801520.48992461</v>
      </c>
    </row>
    <row r="8123" spans="1:2" x14ac:dyDescent="0.25">
      <c r="A8123">
        <f ca="1">29972.7128959393*((RANDBETWEEN(1587,2416)))</f>
        <v>57937254.02785068</v>
      </c>
      <c r="B8123">
        <v>207766166.43365407</v>
      </c>
    </row>
    <row r="8124" spans="1:2" x14ac:dyDescent="0.25">
      <c r="A8124">
        <f ca="1">30621.9139993892*((RANDBETWEEN(1587,2416)))</f>
        <v>63938556.430724673</v>
      </c>
      <c r="B8124">
        <v>248354769.64331549</v>
      </c>
    </row>
    <row r="8125" spans="1:2" x14ac:dyDescent="0.25">
      <c r="A8125">
        <f ca="1">37520.1250400793*((RANDBETWEEN(1587,2416)))</f>
        <v>84195160.589937985</v>
      </c>
      <c r="B8125">
        <v>253607380.91967508</v>
      </c>
    </row>
    <row r="8126" spans="1:2" x14ac:dyDescent="0.25">
      <c r="A8126">
        <f ca="1">33872.2031161251*((RANDBETWEEN(1587,2416)))</f>
        <v>66965345.560579509</v>
      </c>
      <c r="B8126">
        <v>266929927.67105842</v>
      </c>
    </row>
    <row r="8127" spans="1:2" x14ac:dyDescent="0.25">
      <c r="A8127">
        <f ca="1">35773.5765559245*((RANDBETWEEN(1587,2416)))</f>
        <v>73407379.092757121</v>
      </c>
      <c r="B8127">
        <v>213446406.46814653</v>
      </c>
    </row>
    <row r="8128" spans="1:2" x14ac:dyDescent="0.25">
      <c r="A8128">
        <f ca="1">30913.9149113628*((RANDBETWEEN(1587,2416)))</f>
        <v>49400436.028357826</v>
      </c>
      <c r="B8128">
        <v>251491605.33442998</v>
      </c>
    </row>
    <row r="8129" spans="1:2" x14ac:dyDescent="0.25">
      <c r="A8129">
        <f ca="1">32011.2700986327*((RANDBETWEEN(1587,2416)))</f>
        <v>57108105.855960675</v>
      </c>
      <c r="B8129">
        <v>226463280.94802225</v>
      </c>
    </row>
    <row r="8130" spans="1:2" x14ac:dyDescent="0.25">
      <c r="A8130">
        <f ca="1">31749.4745685919*((RANDBETWEEN(1587,2416)))</f>
        <v>52640628.83472541</v>
      </c>
      <c r="B8130">
        <v>262801454.206884</v>
      </c>
    </row>
    <row r="8131" spans="1:2" x14ac:dyDescent="0.25">
      <c r="A8131">
        <f ca="1">30908.7677036708*((RANDBETWEEN(1587,2416)))</f>
        <v>66175671.653559178</v>
      </c>
      <c r="B8131">
        <v>212612449.34517032</v>
      </c>
    </row>
    <row r="8132" spans="1:2" x14ac:dyDescent="0.25">
      <c r="A8132">
        <f ca="1">30179.2544966537*((RANDBETWEEN(1587,2416)))</f>
        <v>52391185.806190744</v>
      </c>
      <c r="B8132">
        <v>238472456.65883583</v>
      </c>
    </row>
    <row r="8133" spans="1:2" x14ac:dyDescent="0.25">
      <c r="A8133">
        <f ca="1">34333.2891317734*((RANDBETWEEN(1587,2416)))</f>
        <v>80442896.435745135</v>
      </c>
      <c r="B8133">
        <v>217712687.36590472</v>
      </c>
    </row>
    <row r="8134" spans="1:2" x14ac:dyDescent="0.25">
      <c r="A8134">
        <f ca="1">36619.8211290773*((RANDBETWEEN(1587,2416)))</f>
        <v>63132571.626529224</v>
      </c>
      <c r="B8134">
        <v>243610946.42155999</v>
      </c>
    </row>
    <row r="8135" spans="1:2" x14ac:dyDescent="0.25">
      <c r="A8135">
        <f ca="1">36079.1887071135*((RANDBETWEEN(1587,2416)))</f>
        <v>83415084.290846512</v>
      </c>
      <c r="B8135">
        <v>230035857.0970124</v>
      </c>
    </row>
    <row r="8136" spans="1:2" x14ac:dyDescent="0.25">
      <c r="A8136">
        <f ca="1">32571.0692051299*((RANDBETWEEN(1587,2416)))</f>
        <v>62601595.01225961</v>
      </c>
      <c r="B8136">
        <v>248724779.93561402</v>
      </c>
    </row>
    <row r="8137" spans="1:2" x14ac:dyDescent="0.25">
      <c r="A8137">
        <f ca="1">40702.4754529606*((RANDBETWEEN(1587,2416)))</f>
        <v>73020240.962611303</v>
      </c>
      <c r="B8137">
        <v>264870664.38847384</v>
      </c>
    </row>
    <row r="8138" spans="1:2" x14ac:dyDescent="0.25">
      <c r="A8138">
        <f ca="1">31386.1254651013*((RANDBETWEEN(1587,2416)))</f>
        <v>60324133.143924706</v>
      </c>
      <c r="B8138">
        <v>231710804.00127587</v>
      </c>
    </row>
    <row r="8139" spans="1:2" x14ac:dyDescent="0.25">
      <c r="A8139">
        <f ca="1">35957.0875311438*((RANDBETWEEN(1587,2416)))</f>
        <v>62673203.566783614</v>
      </c>
      <c r="B8139">
        <v>223514091.12584507</v>
      </c>
    </row>
    <row r="8140" spans="1:2" x14ac:dyDescent="0.25">
      <c r="A8140">
        <f ca="1">30086.0151182391*((RANDBETWEEN(1587,2416)))</f>
        <v>49852527.050922111</v>
      </c>
      <c r="B8140">
        <v>228013149.99940163</v>
      </c>
    </row>
    <row r="8141" spans="1:2" x14ac:dyDescent="0.25">
      <c r="A8141">
        <f ca="1">29766.1565788717*((RANDBETWEEN(1587,2416)))</f>
        <v>61586177.961685531</v>
      </c>
      <c r="B8141">
        <v>243877297.24069351</v>
      </c>
    </row>
    <row r="8142" spans="1:2" x14ac:dyDescent="0.25">
      <c r="A8142">
        <f ca="1">33377.6178487029*((RANDBETWEEN(1587,2416)))</f>
        <v>61982236.345041208</v>
      </c>
      <c r="B8142">
        <v>255014432.1496053</v>
      </c>
    </row>
    <row r="8143" spans="1:2" x14ac:dyDescent="0.25">
      <c r="A8143">
        <f ca="1">34794.47979697*((RANDBETWEEN(1587,2416)))</f>
        <v>74529775.725109771</v>
      </c>
      <c r="B8143">
        <v>223161268.66283786</v>
      </c>
    </row>
    <row r="8144" spans="1:2" x14ac:dyDescent="0.25">
      <c r="A8144">
        <f ca="1">32366.5411021946*((RANDBETWEEN(1587,2416)))</f>
        <v>67160572.787053883</v>
      </c>
      <c r="B8144">
        <v>234462416.69406974</v>
      </c>
    </row>
    <row r="8145" spans="1:2" x14ac:dyDescent="0.25">
      <c r="A8145">
        <f ca="1">36905.2519749284*((RANDBETWEEN(1587,2416)))</f>
        <v>68164000.397692829</v>
      </c>
      <c r="B8145">
        <v>239606243.7716887</v>
      </c>
    </row>
    <row r="8146" spans="1:2" x14ac:dyDescent="0.25">
      <c r="A8146">
        <f ca="1">33423.945055127*((RANDBETWEEN(1587,2416)))</f>
        <v>78078335.648776561</v>
      </c>
      <c r="B8146">
        <v>214032412.44682768</v>
      </c>
    </row>
    <row r="8147" spans="1:2" x14ac:dyDescent="0.25">
      <c r="A8147">
        <f ca="1">36618.0088418354*((RANDBETWEEN(1587,2416)))</f>
        <v>80706091.487405285</v>
      </c>
      <c r="B8147">
        <v>263432415.20742691</v>
      </c>
    </row>
    <row r="8148" spans="1:2" x14ac:dyDescent="0.25">
      <c r="A8148">
        <f ca="1">36560.7998277504*((RANDBETWEEN(1587,2416)))</f>
        <v>83797353.205204025</v>
      </c>
      <c r="B8148">
        <v>262959602.78893653</v>
      </c>
    </row>
    <row r="8149" spans="1:2" x14ac:dyDescent="0.25">
      <c r="A8149">
        <f ca="1">36108.3344088485*((RANDBETWEEN(1587,2416)))</f>
        <v>64164510.244523697</v>
      </c>
      <c r="B8149">
        <v>216821794.71837717</v>
      </c>
    </row>
    <row r="8150" spans="1:2" x14ac:dyDescent="0.25">
      <c r="A8150">
        <f ca="1">33397.837943767*((RANDBETWEEN(1587,2416)))</f>
        <v>53102562.3305896</v>
      </c>
      <c r="B8150">
        <v>234463693.19323516</v>
      </c>
    </row>
    <row r="8151" spans="1:2" x14ac:dyDescent="0.25">
      <c r="A8151">
        <f ca="1">38672.5953237897*((RANDBETWEEN(1587,2416)))</f>
        <v>66439518.766270623</v>
      </c>
      <c r="B8151">
        <v>203800010.50487304</v>
      </c>
    </row>
    <row r="8152" spans="1:2" x14ac:dyDescent="0.25">
      <c r="A8152">
        <f ca="1">38194.4872800009*((RANDBETWEEN(1587,2416)))</f>
        <v>72607720.319281667</v>
      </c>
      <c r="B8152">
        <v>207721027.02823088</v>
      </c>
    </row>
    <row r="8153" spans="1:2" x14ac:dyDescent="0.25">
      <c r="A8153">
        <f ca="1">32644.6716405344*((RANDBETWEEN(1587,2416)))</f>
        <v>52002961.923371285</v>
      </c>
      <c r="B8153">
        <v>215813967.78247449</v>
      </c>
    </row>
    <row r="8154" spans="1:2" x14ac:dyDescent="0.25">
      <c r="A8154">
        <f ca="1">34228.1421631355*((RANDBETWEEN(1587,2416)))</f>
        <v>78211304.842764616</v>
      </c>
      <c r="B8154">
        <v>265834013.53393498</v>
      </c>
    </row>
    <row r="8155" spans="1:2" x14ac:dyDescent="0.25">
      <c r="A8155">
        <f ca="1">36489.2490359359*((RANDBETWEEN(1587,2416)))</f>
        <v>72066266.845973432</v>
      </c>
      <c r="B8155">
        <v>213340961.97334409</v>
      </c>
    </row>
    <row r="8156" spans="1:2" x14ac:dyDescent="0.25">
      <c r="A8156">
        <f ca="1">31038.7705308249*((RANDBETWEEN(1587,2416)))</f>
        <v>57732113.187334374</v>
      </c>
      <c r="B8156">
        <v>213687939.07450619</v>
      </c>
    </row>
    <row r="8157" spans="1:2" x14ac:dyDescent="0.25">
      <c r="A8157">
        <f ca="1">38546.5704197323*((RANDBETWEEN(1587,2416)))</f>
        <v>71542434.699023083</v>
      </c>
      <c r="B8157">
        <v>261469678.76993063</v>
      </c>
    </row>
    <row r="8158" spans="1:2" x14ac:dyDescent="0.25">
      <c r="A8158">
        <f ca="1">30721.1067859942*((RANDBETWEEN(1587,2416)))</f>
        <v>58800198.388392858</v>
      </c>
      <c r="B8158">
        <v>207789520.19900289</v>
      </c>
    </row>
    <row r="8159" spans="1:2" x14ac:dyDescent="0.25">
      <c r="A8159">
        <f ca="1">30833.6665285568*((RANDBETWEEN(1587,2416)))</f>
        <v>54143918.424145684</v>
      </c>
      <c r="B8159">
        <v>207030411.44246116</v>
      </c>
    </row>
    <row r="8160" spans="1:2" x14ac:dyDescent="0.25">
      <c r="A8160">
        <f ca="1">35631.436404502*((RANDBETWEEN(1587,2416)))</f>
        <v>59326341.613495901</v>
      </c>
      <c r="B8160">
        <v>208041495.63808855</v>
      </c>
    </row>
    <row r="8161" spans="1:2" x14ac:dyDescent="0.25">
      <c r="A8161">
        <f ca="1">39011.7379557112*((RANDBETWEEN(1587,2416)))</f>
        <v>84655471.363893315</v>
      </c>
      <c r="B8161">
        <v>204645123.13829288</v>
      </c>
    </row>
    <row r="8162" spans="1:2" x14ac:dyDescent="0.25">
      <c r="A8162">
        <f ca="1">35588.7585949554*((RANDBETWEEN(1587,2416)))</f>
        <v>69148957.949998364</v>
      </c>
      <c r="B8162">
        <v>248633747.99707684</v>
      </c>
    </row>
    <row r="8163" spans="1:2" x14ac:dyDescent="0.25">
      <c r="A8163">
        <f ca="1">31336.8089979209*((RANDBETWEEN(1587,2416)))</f>
        <v>49794189.497696288</v>
      </c>
      <c r="B8163">
        <v>228714706.45520529</v>
      </c>
    </row>
    <row r="8164" spans="1:2" x14ac:dyDescent="0.25">
      <c r="A8164">
        <f ca="1">32371.174426933*((RANDBETWEEN(1587,2416)))</f>
        <v>71572666.657948941</v>
      </c>
      <c r="B8164">
        <v>235642153.83720756</v>
      </c>
    </row>
    <row r="8165" spans="1:2" x14ac:dyDescent="0.25">
      <c r="A8165">
        <f ca="1">31991.5387609941*((RANDBETWEEN(1587,2416)))</f>
        <v>76267828.40620999</v>
      </c>
      <c r="B8165">
        <v>231127906.65822929</v>
      </c>
    </row>
    <row r="8166" spans="1:2" x14ac:dyDescent="0.25">
      <c r="A8166">
        <f ca="1">37285.2171040818*((RANDBETWEEN(1587,2416)))</f>
        <v>86650844.549886048</v>
      </c>
      <c r="B8166">
        <v>235555309.81483802</v>
      </c>
    </row>
    <row r="8167" spans="1:2" x14ac:dyDescent="0.25">
      <c r="A8167">
        <f ca="1">39727.8484953046*((RANDBETWEEN(1587,2416)))</f>
        <v>74489715.928696081</v>
      </c>
      <c r="B8167">
        <v>207959799.28343856</v>
      </c>
    </row>
    <row r="8168" spans="1:2" x14ac:dyDescent="0.25">
      <c r="A8168">
        <f ca="1">33864.3626551071*((RANDBETWEEN(1587,2416)))</f>
        <v>75517528.720888853</v>
      </c>
      <c r="B8168">
        <v>204158906.86646613</v>
      </c>
    </row>
    <row r="8169" spans="1:2" x14ac:dyDescent="0.25">
      <c r="A8169">
        <f ca="1">39055.1890983416*((RANDBETWEEN(1587,2416)))</f>
        <v>61980585.099068142</v>
      </c>
      <c r="B8169">
        <v>256028385.73060519</v>
      </c>
    </row>
    <row r="8170" spans="1:2" x14ac:dyDescent="0.25">
      <c r="A8170">
        <f ca="1">36328.1790669208*((RANDBETWEEN(1587,2416)))</f>
        <v>72983311.745443806</v>
      </c>
      <c r="B8170">
        <v>238139017.74634904</v>
      </c>
    </row>
    <row r="8171" spans="1:2" x14ac:dyDescent="0.25">
      <c r="A8171">
        <f ca="1">30147.9205414957*((RANDBETWEEN(1587,2416)))</f>
        <v>55653061.319601215</v>
      </c>
      <c r="B8171">
        <v>207558113.31846136</v>
      </c>
    </row>
    <row r="8172" spans="1:2" x14ac:dyDescent="0.25">
      <c r="A8172">
        <f ca="1">35410.4501161672*((RANDBETWEEN(1587,2416)))</f>
        <v>60551869.698645875</v>
      </c>
      <c r="B8172">
        <v>210394222.03951007</v>
      </c>
    </row>
    <row r="8173" spans="1:2" x14ac:dyDescent="0.25">
      <c r="A8173">
        <f ca="1">29525.2608400061*((RANDBETWEEN(1587,2416)))</f>
        <v>58223814.376492061</v>
      </c>
      <c r="B8173">
        <v>257347566.50763512</v>
      </c>
    </row>
    <row r="8174" spans="1:2" x14ac:dyDescent="0.25">
      <c r="A8174">
        <f ca="1">35597.1672773351*((RANDBETWEEN(1587,2416)))</f>
        <v>85041632.625553489</v>
      </c>
      <c r="B8174">
        <v>229795656.16445068</v>
      </c>
    </row>
    <row r="8175" spans="1:2" x14ac:dyDescent="0.25">
      <c r="A8175">
        <f ca="1">33858.8070985353*((RANDBETWEEN(1587,2416)))</f>
        <v>63959286.609133124</v>
      </c>
      <c r="B8175">
        <v>210897022.21098959</v>
      </c>
    </row>
    <row r="8176" spans="1:2" x14ac:dyDescent="0.25">
      <c r="A8176">
        <f ca="1">31985.2989702813*((RANDBETWEEN(1587,2416)))</f>
        <v>74461776.00281477</v>
      </c>
      <c r="B8176">
        <v>234720165.18831569</v>
      </c>
    </row>
    <row r="8177" spans="1:2" x14ac:dyDescent="0.25">
      <c r="A8177">
        <f ca="1">39107.8444847231*((RANDBETWEEN(1587,2416)))</f>
        <v>92802914.962247923</v>
      </c>
      <c r="B8177">
        <v>228499282.32034272</v>
      </c>
    </row>
    <row r="8178" spans="1:2" x14ac:dyDescent="0.25">
      <c r="A8178">
        <f ca="1">31519.9395492736*((RANDBETWEEN(1587,2416)))</f>
        <v>63890917.466377504</v>
      </c>
      <c r="B8178">
        <v>207137140.42374474</v>
      </c>
    </row>
    <row r="8179" spans="1:2" x14ac:dyDescent="0.25">
      <c r="A8179">
        <f ca="1">33421.8965330877*((RANDBETWEEN(1587,2416)))</f>
        <v>55045863.589995421</v>
      </c>
      <c r="B8179">
        <v>217733130.4154402</v>
      </c>
    </row>
    <row r="8180" spans="1:2" x14ac:dyDescent="0.25">
      <c r="A8180">
        <f ca="1">31227.6505936497*((RANDBETWEEN(1587,2416)))</f>
        <v>64547553.777073942</v>
      </c>
      <c r="B8180">
        <v>227837540.4662621</v>
      </c>
    </row>
    <row r="8181" spans="1:2" x14ac:dyDescent="0.25">
      <c r="A8181">
        <f ca="1">28356.405458301*((RANDBETWEEN(1587,2416)))</f>
        <v>49595353.146568522</v>
      </c>
      <c r="B8181">
        <v>263244970.95333692</v>
      </c>
    </row>
    <row r="8182" spans="1:2" x14ac:dyDescent="0.25">
      <c r="A8182">
        <f ca="1">34476.2801196276*((RANDBETWEEN(1587,2416)))</f>
        <v>76778675.826410741</v>
      </c>
      <c r="B8182">
        <v>225299861.32358283</v>
      </c>
    </row>
    <row r="8183" spans="1:2" x14ac:dyDescent="0.25">
      <c r="A8183">
        <f ca="1">28412.8884098895*((RANDBETWEEN(1587,2416)))</f>
        <v>61315013.188541509</v>
      </c>
      <c r="B8183">
        <v>204042553.59744006</v>
      </c>
    </row>
    <row r="8184" spans="1:2" x14ac:dyDescent="0.25">
      <c r="A8184">
        <f ca="1">40666.3908208966*((RANDBETWEEN(1587,2416)))</f>
        <v>90808050.703062057</v>
      </c>
      <c r="B8184">
        <v>264857672.25907832</v>
      </c>
    </row>
    <row r="8185" spans="1:2" x14ac:dyDescent="0.25">
      <c r="A8185">
        <f ca="1">33949.2012493339*((RANDBETWEEN(1587,2416)))</f>
        <v>67864453.297418416</v>
      </c>
      <c r="B8185">
        <v>254720632.03862929</v>
      </c>
    </row>
    <row r="8186" spans="1:2" x14ac:dyDescent="0.25">
      <c r="A8186">
        <f ca="1">30371.1692555655*((RANDBETWEEN(1587,2416)))</f>
        <v>56490374.815351784</v>
      </c>
      <c r="B8186">
        <v>218280638.2833693</v>
      </c>
    </row>
    <row r="8187" spans="1:2" x14ac:dyDescent="0.25">
      <c r="A8187">
        <f ca="1">31808.1997525899*((RANDBETWEEN(1587,2416)))</f>
        <v>61644291.120519318</v>
      </c>
      <c r="B8187">
        <v>219588886.30850333</v>
      </c>
    </row>
    <row r="8188" spans="1:2" x14ac:dyDescent="0.25">
      <c r="A8188">
        <f ca="1">30125.8661511432*((RANDBETWEEN(1587,2416)))</f>
        <v>57148768.088718578</v>
      </c>
      <c r="B8188">
        <v>239750780.4332546</v>
      </c>
    </row>
    <row r="8189" spans="1:2" x14ac:dyDescent="0.25">
      <c r="A8189">
        <f ca="1">31401.9744080407*((RANDBETWEEN(1587,2416)))</f>
        <v>66352371.924189985</v>
      </c>
      <c r="B8189">
        <v>246835245.66791752</v>
      </c>
    </row>
    <row r="8190" spans="1:2" x14ac:dyDescent="0.25">
      <c r="A8190">
        <f ca="1">32260.3774908542*((RANDBETWEEN(1587,2416)))</f>
        <v>77360385.223068446</v>
      </c>
      <c r="B8190">
        <v>235626167.38891274</v>
      </c>
    </row>
    <row r="8191" spans="1:2" x14ac:dyDescent="0.25">
      <c r="A8191">
        <f ca="1">40131.4830536235*((RANDBETWEEN(1587,2416)))</f>
        <v>66457735.936800547</v>
      </c>
      <c r="B8191">
        <v>242296705.23470396</v>
      </c>
    </row>
    <row r="8192" spans="1:2" x14ac:dyDescent="0.25">
      <c r="A8192">
        <f ca="1">40795.0198352897*((RANDBETWEEN(1587,2416)))</f>
        <v>74981246.457262471</v>
      </c>
      <c r="B8192">
        <v>220293618.83161721</v>
      </c>
    </row>
    <row r="8193" spans="1:2" x14ac:dyDescent="0.25">
      <c r="A8193">
        <f ca="1">37210.0176669675*((RANDBETWEEN(1587,2416)))</f>
        <v>73713044.998262703</v>
      </c>
      <c r="B8193">
        <v>256590319.7604273</v>
      </c>
    </row>
    <row r="8194" spans="1:2" x14ac:dyDescent="0.25">
      <c r="A8194">
        <f ca="1">33910.5811269412*((RANDBETWEEN(1587,2416)))</f>
        <v>53850002.829582661</v>
      </c>
      <c r="B8194">
        <v>243532257.05510747</v>
      </c>
    </row>
    <row r="8195" spans="1:2" x14ac:dyDescent="0.25">
      <c r="A8195">
        <f ca="1">32363.9462801478*((RANDBETWEEN(1587,2416)))</f>
        <v>56151446.796056367</v>
      </c>
      <c r="B8195">
        <v>204331453.05002761</v>
      </c>
    </row>
    <row r="8196" spans="1:2" x14ac:dyDescent="0.25">
      <c r="A8196">
        <f ca="1">31545.6270775252*((RANDBETWEEN(1587,2416)))</f>
        <v>72775761.667850628</v>
      </c>
      <c r="B8196">
        <v>265579702.50193092</v>
      </c>
    </row>
    <row r="8197" spans="1:2" x14ac:dyDescent="0.25">
      <c r="A8197">
        <f ca="1">37316.4448295116*((RANDBETWEEN(1587,2416)))</f>
        <v>75006054.107318342</v>
      </c>
      <c r="B8197">
        <v>237237014.52751231</v>
      </c>
    </row>
    <row r="8198" spans="1:2" x14ac:dyDescent="0.25">
      <c r="A8198">
        <f ca="1">38562.7794377128*((RANDBETWEEN(1587,2416)))</f>
        <v>73076467.0344657</v>
      </c>
      <c r="B8198">
        <v>209512032.24806377</v>
      </c>
    </row>
    <row r="8199" spans="1:2" x14ac:dyDescent="0.25">
      <c r="A8199">
        <f ca="1">32230.3457151261*((RANDBETWEEN(1587,2416)))</f>
        <v>59271605.770116806</v>
      </c>
      <c r="B8199">
        <v>221260241.22803593</v>
      </c>
    </row>
    <row r="8200" spans="1:2" x14ac:dyDescent="0.25">
      <c r="A8200">
        <f ca="1">37747.5424094596*((RANDBETWEEN(1587,2416)))</f>
        <v>66095946.758963764</v>
      </c>
      <c r="B8200">
        <v>211360789.64481059</v>
      </c>
    </row>
    <row r="8201" spans="1:2" x14ac:dyDescent="0.25">
      <c r="A8201">
        <f ca="1">39017.6173221284*((RANDBETWEEN(1587,2416)))</f>
        <v>66290931.830296196</v>
      </c>
      <c r="B8201">
        <v>228228610.54368603</v>
      </c>
    </row>
    <row r="8202" spans="1:2" x14ac:dyDescent="0.25">
      <c r="A8202">
        <f ca="1">39539.0686935413*((RANDBETWEEN(1587,2416)))</f>
        <v>70774932.961438879</v>
      </c>
      <c r="B8202">
        <v>227248933.80937085</v>
      </c>
    </row>
    <row r="8203" spans="1:2" x14ac:dyDescent="0.25">
      <c r="A8203">
        <f ca="1">34909.1598487658*((RANDBETWEEN(1587,2416)))</f>
        <v>84026347.755979165</v>
      </c>
      <c r="B8203">
        <v>206787753.96869162</v>
      </c>
    </row>
    <row r="8204" spans="1:2" x14ac:dyDescent="0.25">
      <c r="A8204">
        <f ca="1">30041.4405787569*((RANDBETWEEN(1587,2416)))</f>
        <v>48637092.297007449</v>
      </c>
      <c r="B8204">
        <v>215108758.81790063</v>
      </c>
    </row>
    <row r="8205" spans="1:2" x14ac:dyDescent="0.25">
      <c r="A8205">
        <f ca="1">28954.7476373512*((RANDBETWEEN(1587,2416)))</f>
        <v>67088150.275742911</v>
      </c>
      <c r="B8205">
        <v>217402641.35664234</v>
      </c>
    </row>
    <row r="8206" spans="1:2" x14ac:dyDescent="0.25">
      <c r="A8206">
        <f ca="1">40131.7577981096*((RANDBETWEEN(1587,2416)))</f>
        <v>81347073.056768209</v>
      </c>
      <c r="B8206">
        <v>232027264.72315389</v>
      </c>
    </row>
    <row r="8207" spans="1:2" x14ac:dyDescent="0.25">
      <c r="A8207">
        <f ca="1">32963.8769075304*((RANDBETWEEN(1587,2416)))</f>
        <v>72026071.042953983</v>
      </c>
      <c r="B8207">
        <v>264972831.57939467</v>
      </c>
    </row>
    <row r="8208" spans="1:2" x14ac:dyDescent="0.25">
      <c r="A8208">
        <f ca="1">34393.0788106068*((RANDBETWEEN(1587,2416)))</f>
        <v>73119685.551350057</v>
      </c>
      <c r="B8208">
        <v>241478888.79114825</v>
      </c>
    </row>
    <row r="8209" spans="1:2" x14ac:dyDescent="0.25">
      <c r="A8209">
        <f ca="1">33377.3887588124*((RANDBETWEEN(1587,2416)))</f>
        <v>62782868.255326055</v>
      </c>
      <c r="B8209">
        <v>214306256.37726298</v>
      </c>
    </row>
    <row r="8210" spans="1:2" x14ac:dyDescent="0.25">
      <c r="A8210">
        <f ca="1">28731.2557839027*((RANDBETWEEN(1587,2416)))</f>
        <v>47090528.229816549</v>
      </c>
      <c r="B8210">
        <v>242551182.31871903</v>
      </c>
    </row>
    <row r="8211" spans="1:2" x14ac:dyDescent="0.25">
      <c r="A8211">
        <f ca="1">40791.1305196827*((RANDBETWEEN(1587,2416)))</f>
        <v>80440109.384814277</v>
      </c>
      <c r="B8211">
        <v>215853432.96491009</v>
      </c>
    </row>
    <row r="8212" spans="1:2" x14ac:dyDescent="0.25">
      <c r="A8212">
        <f ca="1">41239.4419405339*((RANDBETWEEN(1587,2416)))</f>
        <v>76911559.219095737</v>
      </c>
      <c r="B8212">
        <v>259559282.13219005</v>
      </c>
    </row>
    <row r="8213" spans="1:2" x14ac:dyDescent="0.25">
      <c r="A8213">
        <f ca="1">41742.8230402349*((RANDBETWEEN(1587,2416)))</f>
        <v>87576442.738412857</v>
      </c>
      <c r="B8213">
        <v>204968209.97279483</v>
      </c>
    </row>
    <row r="8214" spans="1:2" x14ac:dyDescent="0.25">
      <c r="A8214">
        <f ca="1">32797.5839724728*((RANDBETWEEN(1587,2416)))</f>
        <v>74876884.209155321</v>
      </c>
      <c r="B8214">
        <v>206775328.23752975</v>
      </c>
    </row>
    <row r="8215" spans="1:2" x14ac:dyDescent="0.25">
      <c r="A8215">
        <f ca="1">39651.9296042487*((RANDBETWEEN(1587,2416)))</f>
        <v>83824179.183381826</v>
      </c>
      <c r="B8215">
        <v>257946544.69239604</v>
      </c>
    </row>
    <row r="8216" spans="1:2" x14ac:dyDescent="0.25">
      <c r="A8216">
        <f ca="1">29388.539553138*((RANDBETWEEN(1587,2416)))</f>
        <v>66036048.375901073</v>
      </c>
      <c r="B8216">
        <v>252680415.92752799</v>
      </c>
    </row>
    <row r="8217" spans="1:2" x14ac:dyDescent="0.25">
      <c r="A8217">
        <f ca="1">39309.916691583*((RANDBETWEEN(1587,2416)))</f>
        <v>91788655.474846229</v>
      </c>
      <c r="B8217">
        <v>238559142.52098924</v>
      </c>
    </row>
    <row r="8218" spans="1:2" x14ac:dyDescent="0.25">
      <c r="A8218">
        <f ca="1">29975.1120296524*((RANDBETWEEN(1587,2416)))</f>
        <v>54254952.773670815</v>
      </c>
      <c r="B8218">
        <v>236217733.23146224</v>
      </c>
    </row>
    <row r="8219" spans="1:2" x14ac:dyDescent="0.25">
      <c r="A8219">
        <f ca="1">31717.4209858573*((RANDBETWEEN(1587,2416)))</f>
        <v>61785536.080450095</v>
      </c>
      <c r="B8219">
        <v>242875548.35946459</v>
      </c>
    </row>
    <row r="8220" spans="1:2" x14ac:dyDescent="0.25">
      <c r="A8220">
        <f ca="1">30898.0449985373*((RANDBETWEEN(1587,2416)))</f>
        <v>69273416.886720538</v>
      </c>
      <c r="B8220">
        <v>204045760.95391142</v>
      </c>
    </row>
    <row r="8221" spans="1:2" x14ac:dyDescent="0.25">
      <c r="A8221">
        <f ca="1">40207.6298337689*((RANDBETWEEN(1587,2416)))</f>
        <v>81701903.822218344</v>
      </c>
      <c r="B8221">
        <v>260191708.11264819</v>
      </c>
    </row>
    <row r="8222" spans="1:2" x14ac:dyDescent="0.25">
      <c r="A8222">
        <f ca="1">32515.6023483384*((RANDBETWEEN(1587,2416)))</f>
        <v>66299313.188261949</v>
      </c>
      <c r="B8222">
        <v>216738514.40271029</v>
      </c>
    </row>
    <row r="8223" spans="1:2" x14ac:dyDescent="0.25">
      <c r="A8223">
        <f ca="1">36189.1369065273*((RANDBETWEEN(1587,2416)))</f>
        <v>75309593.902483299</v>
      </c>
      <c r="B8223">
        <v>254746711.88299584</v>
      </c>
    </row>
    <row r="8224" spans="1:2" x14ac:dyDescent="0.25">
      <c r="A8224">
        <f ca="1">37063.2526969408*((RANDBETWEEN(1587,2416)))</f>
        <v>85801429.993417904</v>
      </c>
      <c r="B8224">
        <v>245791816.0882169</v>
      </c>
    </row>
    <row r="8225" spans="1:2" x14ac:dyDescent="0.25">
      <c r="A8225">
        <f ca="1">36706.9549861824*((RANDBETWEEN(1587,2416)))</f>
        <v>63759980.81099885</v>
      </c>
      <c r="B8225">
        <v>233543480.55388483</v>
      </c>
    </row>
    <row r="8226" spans="1:2" x14ac:dyDescent="0.25">
      <c r="A8226">
        <f ca="1">30585.5506530764*((RANDBETWEEN(1587,2416)))</f>
        <v>52545976.021985263</v>
      </c>
      <c r="B8226">
        <v>217072114.71166646</v>
      </c>
    </row>
    <row r="8227" spans="1:2" x14ac:dyDescent="0.25">
      <c r="A8227">
        <f ca="1">31346.1079847101*((RANDBETWEEN(1587,2416)))</f>
        <v>53507806.329900123</v>
      </c>
      <c r="B8227">
        <v>265224714.60383257</v>
      </c>
    </row>
    <row r="8228" spans="1:2" x14ac:dyDescent="0.25">
      <c r="A8228">
        <f ca="1">32462.4886458744*((RANDBETWEEN(1587,2416)))</f>
        <v>61354103.540702626</v>
      </c>
      <c r="B8228">
        <v>253609753.11360505</v>
      </c>
    </row>
    <row r="8229" spans="1:2" x14ac:dyDescent="0.25">
      <c r="A8229">
        <f ca="1">31880.5122211629*((RANDBETWEEN(1587,2416)))</f>
        <v>69563277.666577458</v>
      </c>
      <c r="B8229">
        <v>204077054.29325789</v>
      </c>
    </row>
    <row r="8230" spans="1:2" x14ac:dyDescent="0.25">
      <c r="A8230">
        <f ca="1">33589.9983909104*((RANDBETWEEN(1587,2416)))</f>
        <v>60394817.10685692</v>
      </c>
      <c r="B8230">
        <v>246531205.82501343</v>
      </c>
    </row>
    <row r="8231" spans="1:2" x14ac:dyDescent="0.25">
      <c r="A8231">
        <f ca="1">31796.7497759776*((RANDBETWEEN(1587,2416)))</f>
        <v>73005337.485644475</v>
      </c>
      <c r="B8231">
        <v>226225164.00776243</v>
      </c>
    </row>
    <row r="8232" spans="1:2" x14ac:dyDescent="0.25">
      <c r="A8232">
        <f ca="1">33112.2693920032*((RANDBETWEEN(1587,2416)))</f>
        <v>63178209.999942057</v>
      </c>
      <c r="B8232">
        <v>239590966.12041923</v>
      </c>
    </row>
    <row r="8233" spans="1:2" x14ac:dyDescent="0.25">
      <c r="A8233">
        <f ca="1">31002.6996487204*((RANDBETWEEN(1587,2416)))</f>
        <v>65167674.66161035</v>
      </c>
      <c r="B8233">
        <v>239844928.16392803</v>
      </c>
    </row>
    <row r="8234" spans="1:2" x14ac:dyDescent="0.25">
      <c r="A8234">
        <f ca="1">36701.3472535928*((RANDBETWEEN(1587,2416)))</f>
        <v>58648752.911241345</v>
      </c>
      <c r="B8234">
        <v>266157199.62737817</v>
      </c>
    </row>
    <row r="8235" spans="1:2" x14ac:dyDescent="0.25">
      <c r="A8235">
        <f ca="1">42639.0621361056*((RANDBETWEEN(1587,2416)))</f>
        <v>69203197.84689939</v>
      </c>
      <c r="B8235">
        <v>232663497.30590224</v>
      </c>
    </row>
    <row r="8236" spans="1:2" x14ac:dyDescent="0.25">
      <c r="A8236">
        <f ca="1">31642.3737816166*((RANDBETWEEN(1587,2416)))</f>
        <v>50564513.303023286</v>
      </c>
      <c r="B8236">
        <v>242148198.24926269</v>
      </c>
    </row>
    <row r="8237" spans="1:2" x14ac:dyDescent="0.25">
      <c r="A8237">
        <f ca="1">31666.7137019683*((RANDBETWEEN(1587,2416)))</f>
        <v>65455097.221968502</v>
      </c>
      <c r="B8237">
        <v>262722787.86141539</v>
      </c>
    </row>
    <row r="8238" spans="1:2" x14ac:dyDescent="0.25">
      <c r="A8238">
        <f ca="1">30697.80972741*((RANDBETWEEN(1587,2416)))</f>
        <v>73521254.297146976</v>
      </c>
      <c r="B8238">
        <v>228521335.04360935</v>
      </c>
    </row>
    <row r="8239" spans="1:2" x14ac:dyDescent="0.25">
      <c r="A8239">
        <f ca="1">31273.5293852801*((RANDBETWEEN(1587,2416)))</f>
        <v>53946838.189608172</v>
      </c>
      <c r="B8239">
        <v>209224249.05117279</v>
      </c>
    </row>
    <row r="8240" spans="1:2" x14ac:dyDescent="0.25">
      <c r="A8240">
        <f ca="1">36798.7733306946*((RANDBETWEEN(1587,2416)))</f>
        <v>73781540.528042704</v>
      </c>
      <c r="B8240">
        <v>215527380.46168453</v>
      </c>
    </row>
    <row r="8241" spans="1:2" x14ac:dyDescent="0.25">
      <c r="A8241">
        <f ca="1">33485.6354959665*((RANDBETWEEN(1587,2416)))</f>
        <v>67239156.075900778</v>
      </c>
      <c r="B8241">
        <v>248482560.54708415</v>
      </c>
    </row>
    <row r="8242" spans="1:2" x14ac:dyDescent="0.25">
      <c r="A8242">
        <f ca="1">34958.4267788289*((RANDBETWEEN(1587,2416)))</f>
        <v>63414586.176795691</v>
      </c>
      <c r="B8242">
        <v>208447890.35682926</v>
      </c>
    </row>
    <row r="8243" spans="1:2" x14ac:dyDescent="0.25">
      <c r="A8243">
        <f ca="1">30610.2912762255*((RANDBETWEEN(1587,2416)))</f>
        <v>50353929.149390951</v>
      </c>
      <c r="B8243">
        <v>231012687.94596484</v>
      </c>
    </row>
    <row r="8244" spans="1:2" x14ac:dyDescent="0.25">
      <c r="A8244">
        <f ca="1">27733.8115249213*((RANDBETWEEN(1587,2416)))</f>
        <v>54330536.777320832</v>
      </c>
      <c r="B8244">
        <v>233549257.285835</v>
      </c>
    </row>
    <row r="8245" spans="1:2" x14ac:dyDescent="0.25">
      <c r="A8245">
        <f ca="1">31540.9575837807*((RANDBETWEEN(1587,2416)))</f>
        <v>66929911.99278269</v>
      </c>
      <c r="B8245">
        <v>229157740.39462227</v>
      </c>
    </row>
    <row r="8246" spans="1:2" x14ac:dyDescent="0.25">
      <c r="A8246">
        <f ca="1">31317.7489974212*((RANDBETWEEN(1587,2416)))</f>
        <v>63167899.727798603</v>
      </c>
      <c r="B8246">
        <v>227719629.87819523</v>
      </c>
    </row>
    <row r="8247" spans="1:2" x14ac:dyDescent="0.25">
      <c r="A8247">
        <f ca="1">32825.9890999669*((RANDBETWEEN(1587,2416)))</f>
        <v>74941733.115224361</v>
      </c>
      <c r="B8247">
        <v>248928709.08985114</v>
      </c>
    </row>
    <row r="8248" spans="1:2" x14ac:dyDescent="0.25">
      <c r="A8248">
        <f ca="1">28809.9495217306*((RANDBETWEEN(1587,2416)))</f>
        <v>64851196.373415597</v>
      </c>
      <c r="B8248">
        <v>219730311.44752437</v>
      </c>
    </row>
    <row r="8249" spans="1:2" x14ac:dyDescent="0.25">
      <c r="A8249">
        <f ca="1">30051.9163480796*((RANDBETWEEN(1587,2416)))</f>
        <v>70321484.254506156</v>
      </c>
      <c r="B8249">
        <v>246651436.51772892</v>
      </c>
    </row>
    <row r="8250" spans="1:2" x14ac:dyDescent="0.25">
      <c r="A8250">
        <f ca="1">32246.3017302582*((RANDBETWEEN(1587,2416)))</f>
        <v>67040061.297206715</v>
      </c>
      <c r="B8250">
        <v>213853609.90989482</v>
      </c>
    </row>
    <row r="8251" spans="1:2" x14ac:dyDescent="0.25">
      <c r="A8251">
        <f ca="1">34251.0679666269*((RANDBETWEEN(1587,2416)))</f>
        <v>56411508.941034511</v>
      </c>
      <c r="B8251">
        <v>208563859.11992443</v>
      </c>
    </row>
    <row r="8252" spans="1:2" x14ac:dyDescent="0.25">
      <c r="A8252">
        <f ca="1">39227.2261208467*((RANDBETWEEN(1587,2416)))</f>
        <v>76140045.900563389</v>
      </c>
      <c r="B8252">
        <v>220882502.95194808</v>
      </c>
    </row>
    <row r="8253" spans="1:2" x14ac:dyDescent="0.25">
      <c r="A8253">
        <f ca="1">37916.1373561668*((RANDBETWEEN(1587,2416)))</f>
        <v>89709580.984690651</v>
      </c>
      <c r="B8253">
        <v>259485997.73689178</v>
      </c>
    </row>
    <row r="8254" spans="1:2" x14ac:dyDescent="0.25">
      <c r="A8254">
        <f ca="1">38467.6797968668*((RANDBETWEEN(1587,2416)))</f>
        <v>62163770.55173672</v>
      </c>
      <c r="B8254">
        <v>263898372.22369152</v>
      </c>
    </row>
    <row r="8255" spans="1:2" x14ac:dyDescent="0.25">
      <c r="A8255">
        <f ca="1">36706.9359834741*((RANDBETWEEN(1587,2416)))</f>
        <v>76864323.949394733</v>
      </c>
      <c r="B8255">
        <v>266134373.21891877</v>
      </c>
    </row>
    <row r="8256" spans="1:2" x14ac:dyDescent="0.25">
      <c r="A8256">
        <f ca="1">40311.1899032474*((RANDBETWEEN(1587,2416)))</f>
        <v>95174719.36156714</v>
      </c>
      <c r="B8256">
        <v>216091292.38038266</v>
      </c>
    </row>
    <row r="8257" spans="1:2" x14ac:dyDescent="0.25">
      <c r="A8257">
        <f ca="1">31320.4648319519*((RANDBETWEEN(1587,2416)))</f>
        <v>71191416.563026726</v>
      </c>
      <c r="B8257">
        <v>254173784.18557799</v>
      </c>
    </row>
    <row r="8258" spans="1:2" x14ac:dyDescent="0.25">
      <c r="A8258">
        <f ca="1">29846.7239066574*((RANDBETWEEN(1587,2416)))</f>
        <v>62767660.375700422</v>
      </c>
      <c r="B8258">
        <v>204384124.28229254</v>
      </c>
    </row>
    <row r="8259" spans="1:2" x14ac:dyDescent="0.25">
      <c r="A8259">
        <f ca="1">32903.9790823002*((RANDBETWEEN(1587,2416)))</f>
        <v>57647771.352190033</v>
      </c>
      <c r="B8259">
        <v>208995493.47607473</v>
      </c>
    </row>
    <row r="8260" spans="1:2" x14ac:dyDescent="0.25">
      <c r="A8260">
        <f ca="1">31764.6180906867*((RANDBETWEEN(1587,2416)))</f>
        <v>62131592.985383272</v>
      </c>
      <c r="B8260">
        <v>206977703.17796513</v>
      </c>
    </row>
    <row r="8261" spans="1:2" x14ac:dyDescent="0.25">
      <c r="A8261">
        <f ca="1">31683.4549187839*((RANDBETWEEN(1587,2416)))</f>
        <v>56618333.939866774</v>
      </c>
      <c r="B8261">
        <v>254933658.61728203</v>
      </c>
    </row>
    <row r="8262" spans="1:2" x14ac:dyDescent="0.25">
      <c r="A8262">
        <f ca="1">32869.7202340983*((RANDBETWEEN(1587,2416)))</f>
        <v>69913894.937927008</v>
      </c>
      <c r="B8262">
        <v>231662259.25287634</v>
      </c>
    </row>
    <row r="8263" spans="1:2" x14ac:dyDescent="0.25">
      <c r="A8263">
        <f ca="1">31403.6882446332*((RANDBETWEEN(1587,2416)))</f>
        <v>62964394.930489473</v>
      </c>
      <c r="B8263">
        <v>254164677.96753645</v>
      </c>
    </row>
    <row r="8264" spans="1:2" x14ac:dyDescent="0.25">
      <c r="A8264">
        <f ca="1">33921.7119519068*((RANDBETWEEN(1587,2416)))</f>
        <v>72897758.984647661</v>
      </c>
      <c r="B8264">
        <v>231422496.4673565</v>
      </c>
    </row>
    <row r="8265" spans="1:2" x14ac:dyDescent="0.25">
      <c r="A8265">
        <f ca="1">35609.4807083945*((RANDBETWEEN(1587,2416)))</f>
        <v>77521839.502174854</v>
      </c>
      <c r="B8265">
        <v>242207200.02618045</v>
      </c>
    </row>
    <row r="8266" spans="1:2" x14ac:dyDescent="0.25">
      <c r="A8266">
        <f ca="1">32062.2272777381*((RANDBETWEEN(1587,2416)))</f>
        <v>67523050.64691636</v>
      </c>
      <c r="B8266">
        <v>217999868.39426604</v>
      </c>
    </row>
    <row r="8267" spans="1:2" x14ac:dyDescent="0.25">
      <c r="A8267">
        <f ca="1">32575.4810812221*((RANDBETWEEN(1587,2416)))</f>
        <v>62642650.119190052</v>
      </c>
      <c r="B8267">
        <v>221169668.13010973</v>
      </c>
    </row>
    <row r="8268" spans="1:2" x14ac:dyDescent="0.25">
      <c r="A8268">
        <f ca="1">31093.6373970383*((RANDBETWEEN(1587,2416)))</f>
        <v>51864187.178259924</v>
      </c>
      <c r="B8268">
        <v>206348425.97460783</v>
      </c>
    </row>
    <row r="8269" spans="1:2" x14ac:dyDescent="0.25">
      <c r="A8269">
        <f ca="1">34174.7206498098*((RANDBETWEEN(1587,2416)))</f>
        <v>63530805.68799641</v>
      </c>
      <c r="B8269">
        <v>246354144.91070753</v>
      </c>
    </row>
    <row r="8270" spans="1:2" x14ac:dyDescent="0.25">
      <c r="A8270">
        <f ca="1">30860.9916781603*((RANDBETWEEN(1587,2416)))</f>
        <v>70702531.934665352</v>
      </c>
      <c r="B8270">
        <v>212691324.93398979</v>
      </c>
    </row>
    <row r="8271" spans="1:2" x14ac:dyDescent="0.25">
      <c r="A8271">
        <f ca="1">32714.1136780681*((RANDBETWEEN(1587,2416)))</f>
        <v>67292931.835786149</v>
      </c>
      <c r="B8271">
        <v>250340304.29491463</v>
      </c>
    </row>
    <row r="8272" spans="1:2" x14ac:dyDescent="0.25">
      <c r="A8272">
        <f ca="1">32293.9606018371*((RANDBETWEEN(1587,2416)))</f>
        <v>64361863.479461268</v>
      </c>
      <c r="B8272">
        <v>248633333.5140608</v>
      </c>
    </row>
    <row r="8273" spans="1:2" x14ac:dyDescent="0.25">
      <c r="A8273">
        <f ca="1">32397.6063543095*((RANDBETWEEN(1587,2416)))</f>
        <v>63499308.454446629</v>
      </c>
      <c r="B8273">
        <v>250391219.97085673</v>
      </c>
    </row>
    <row r="8274" spans="1:2" x14ac:dyDescent="0.25">
      <c r="A8274">
        <f ca="1">28014.1095264404*((RANDBETWEEN(1587,2416)))</f>
        <v>65693086.839502648</v>
      </c>
      <c r="B8274">
        <v>250655130.84946594</v>
      </c>
    </row>
    <row r="8275" spans="1:2" x14ac:dyDescent="0.25">
      <c r="A8275">
        <f ca="1">34801.2514882378*((RANDBETWEEN(1587,2416)))</f>
        <v>68106049.162481457</v>
      </c>
      <c r="B8275">
        <v>206597902.84282997</v>
      </c>
    </row>
    <row r="8276" spans="1:2" x14ac:dyDescent="0.25">
      <c r="A8276">
        <f ca="1">31606.334536644*((RANDBETWEEN(1587,2416)))</f>
        <v>64824592.134656943</v>
      </c>
      <c r="B8276">
        <v>204239444.96876743</v>
      </c>
    </row>
    <row r="8277" spans="1:2" x14ac:dyDescent="0.25">
      <c r="A8277">
        <f ca="1">36822.19062601*((RANDBETWEEN(1587,2416)))</f>
        <v>74564936.017670274</v>
      </c>
      <c r="B8277">
        <v>219105013.03103071</v>
      </c>
    </row>
    <row r="8278" spans="1:2" x14ac:dyDescent="0.25">
      <c r="A8278">
        <f ca="1">33506.2003423826*((RANDBETWEEN(1587,2416)))</f>
        <v>77131273.188164756</v>
      </c>
      <c r="B8278">
        <v>205639769.28699535</v>
      </c>
    </row>
    <row r="8279" spans="1:2" x14ac:dyDescent="0.25">
      <c r="A8279">
        <f ca="1">31249.7982703486*((RANDBETWEEN(1587,2416)))</f>
        <v>70593294.292717487</v>
      </c>
      <c r="B8279">
        <v>248033574.01371875</v>
      </c>
    </row>
    <row r="8280" spans="1:2" x14ac:dyDescent="0.25">
      <c r="A8280">
        <f ca="1">36425.9789115976*((RANDBETWEEN(1587,2416)))</f>
        <v>76931667.461294025</v>
      </c>
      <c r="B8280">
        <v>247983451.58759359</v>
      </c>
    </row>
    <row r="8281" spans="1:2" x14ac:dyDescent="0.25">
      <c r="A8281">
        <f ca="1">32942.0381798037*((RANDBETWEEN(1587,2416)))</f>
        <v>60250987.830861017</v>
      </c>
      <c r="B8281">
        <v>260158080.08714679</v>
      </c>
    </row>
    <row r="8282" spans="1:2" x14ac:dyDescent="0.25">
      <c r="A8282">
        <f ca="1">30192.1432099097*((RANDBETWEEN(1587,2416)))</f>
        <v>61652356.434635654</v>
      </c>
      <c r="B8282">
        <v>235239965.2281214</v>
      </c>
    </row>
    <row r="8283" spans="1:2" x14ac:dyDescent="0.25">
      <c r="A8283">
        <f ca="1">31385.507563169*((RANDBETWEEN(1587,2416)))</f>
        <v>58408429.575057447</v>
      </c>
      <c r="B8283">
        <v>212046902.94631511</v>
      </c>
    </row>
    <row r="8284" spans="1:2" x14ac:dyDescent="0.25">
      <c r="A8284">
        <f ca="1">33414.7612401032*((RANDBETWEEN(1587,2416)))</f>
        <v>67531232.466248602</v>
      </c>
      <c r="B8284">
        <v>263308527.55369389</v>
      </c>
    </row>
    <row r="8285" spans="1:2" x14ac:dyDescent="0.25">
      <c r="A8285">
        <f ca="1">34122.907868159*((RANDBETWEEN(1587,2416)))</f>
        <v>67392743.039613947</v>
      </c>
      <c r="B8285">
        <v>230435345.17636704</v>
      </c>
    </row>
    <row r="8286" spans="1:2" x14ac:dyDescent="0.25">
      <c r="A8286">
        <f ca="1">31340.4146412787*((RANDBETWEEN(1587,2416)))</f>
        <v>55347172.25649818</v>
      </c>
      <c r="B8286">
        <v>206422637.91198918</v>
      </c>
    </row>
    <row r="8287" spans="1:2" x14ac:dyDescent="0.25">
      <c r="A8287">
        <f ca="1">38717.9219388019*((RANDBETWEEN(1587,2416)))</f>
        <v>85334299.953119412</v>
      </c>
      <c r="B8287">
        <v>266496191.74071038</v>
      </c>
    </row>
    <row r="8288" spans="1:2" x14ac:dyDescent="0.25">
      <c r="A8288">
        <f ca="1">35499.7998497322*((RANDBETWEEN(1587,2416)))</f>
        <v>80655545.258591622</v>
      </c>
      <c r="B8288">
        <v>250993412.56142226</v>
      </c>
    </row>
    <row r="8289" spans="1:2" x14ac:dyDescent="0.25">
      <c r="A8289">
        <f ca="1">39442.9169677025*((RANDBETWEEN(1587,2416)))</f>
        <v>82396253.545530602</v>
      </c>
      <c r="B8289">
        <v>212279024.10305136</v>
      </c>
    </row>
    <row r="8290" spans="1:2" x14ac:dyDescent="0.25">
      <c r="A8290">
        <f ca="1">42052.0876907689*((RANDBETWEEN(1587,2416)))</f>
        <v>85491894.275333211</v>
      </c>
      <c r="B8290">
        <v>253961291.72872418</v>
      </c>
    </row>
    <row r="8291" spans="1:2" x14ac:dyDescent="0.25">
      <c r="A8291">
        <f ca="1">33866.2338984505*((RANDBETWEEN(1587,2416)))</f>
        <v>78671261.346100599</v>
      </c>
      <c r="B8291">
        <v>230832387.38539913</v>
      </c>
    </row>
    <row r="8292" spans="1:2" x14ac:dyDescent="0.25">
      <c r="A8292">
        <f ca="1">36477.2421383151*((RANDBETWEEN(1587,2416)))</f>
        <v>58983700.53765545</v>
      </c>
      <c r="B8292">
        <v>223646599.75343356</v>
      </c>
    </row>
    <row r="8293" spans="1:2" x14ac:dyDescent="0.25">
      <c r="A8293">
        <f ca="1">32645.9273319158*((RANDBETWEEN(1587,2416)))</f>
        <v>72016915.694206238</v>
      </c>
      <c r="B8293">
        <v>208968159.32171673</v>
      </c>
    </row>
    <row r="8294" spans="1:2" x14ac:dyDescent="0.25">
      <c r="A8294">
        <f ca="1">40317.3082864036*((RANDBETWEEN(1587,2416)))</f>
        <v>84948568.5594524</v>
      </c>
      <c r="B8294">
        <v>235520117.09916645</v>
      </c>
    </row>
    <row r="8295" spans="1:2" x14ac:dyDescent="0.25">
      <c r="A8295">
        <f ca="1">34699.4805513273*((RANDBETWEEN(1587,2416)))</f>
        <v>68878468.894384682</v>
      </c>
      <c r="B8295">
        <v>212531876.08831823</v>
      </c>
    </row>
    <row r="8296" spans="1:2" x14ac:dyDescent="0.25">
      <c r="A8296">
        <f ca="1">36625.3107785459*((RANDBETWEEN(1587,2416)))</f>
        <v>58673747.867230579</v>
      </c>
      <c r="B8296">
        <v>256016661.08883473</v>
      </c>
    </row>
    <row r="8297" spans="1:2" x14ac:dyDescent="0.25">
      <c r="A8297">
        <f ca="1">30813.4359220549*((RANDBETWEEN(1587,2416)))</f>
        <v>61103043.433434933</v>
      </c>
      <c r="B8297">
        <v>254958801.2017107</v>
      </c>
    </row>
    <row r="8298" spans="1:2" x14ac:dyDescent="0.25">
      <c r="A8298">
        <f ca="1">38731.7104251233*((RANDBETWEEN(1587,2416)))</f>
        <v>79903518.607029364</v>
      </c>
      <c r="B8298">
        <v>212571283.79474139</v>
      </c>
    </row>
    <row r="8299" spans="1:2" x14ac:dyDescent="0.25">
      <c r="A8299">
        <f ca="1">31726.4446138167*((RANDBETWEEN(1587,2416)))</f>
        <v>61009952.992369547</v>
      </c>
      <c r="B8299">
        <v>248982009.12785378</v>
      </c>
    </row>
    <row r="8300" spans="1:2" x14ac:dyDescent="0.25">
      <c r="A8300">
        <f ca="1">37316.2799001267*((RANDBETWEEN(1587,2416)))</f>
        <v>67505150.339329243</v>
      </c>
      <c r="B8300">
        <v>216155332.26730597</v>
      </c>
    </row>
    <row r="8301" spans="1:2" x14ac:dyDescent="0.25">
      <c r="A8301">
        <f ca="1">31885.1224728902*((RANDBETWEEN(1587,2416)))</f>
        <v>72251687.523569077</v>
      </c>
      <c r="B8301">
        <v>257282120.23879084</v>
      </c>
    </row>
    <row r="8302" spans="1:2" x14ac:dyDescent="0.25">
      <c r="A8302">
        <f ca="1">34128.5128815739*((RANDBETWEEN(1587,2416)))</f>
        <v>79075764.346606717</v>
      </c>
      <c r="B8302">
        <v>208173683.9821662</v>
      </c>
    </row>
    <row r="8303" spans="1:2" x14ac:dyDescent="0.25">
      <c r="A8303">
        <f ca="1">34876.4778766604*((RANDBETWEEN(1587,2416)))</f>
        <v>58731988.744296186</v>
      </c>
      <c r="B8303">
        <v>228476918.31755692</v>
      </c>
    </row>
    <row r="8304" spans="1:2" x14ac:dyDescent="0.25">
      <c r="A8304">
        <f ca="1">28072.6400103449*((RANDBETWEEN(1587,2416)))</f>
        <v>67795425.624982834</v>
      </c>
      <c r="B8304">
        <v>262829442.37030834</v>
      </c>
    </row>
    <row r="8305" spans="1:2" x14ac:dyDescent="0.25">
      <c r="A8305">
        <f ca="1">38663.3244379397*((RANDBETWEEN(1587,2416)))</f>
        <v>63098545.482717648</v>
      </c>
      <c r="B8305">
        <v>258398832.73527107</v>
      </c>
    </row>
    <row r="8306" spans="1:2" x14ac:dyDescent="0.25">
      <c r="A8306">
        <f ca="1">32436.2244089393*((RANDBETWEEN(1587,2416)))</f>
        <v>62699221.782479577</v>
      </c>
      <c r="B8306">
        <v>234513458.13065797</v>
      </c>
    </row>
    <row r="8307" spans="1:2" x14ac:dyDescent="0.25">
      <c r="A8307">
        <f ca="1">28987.3488091486*((RANDBETWEEN(1587,2416)))</f>
        <v>67511535.376507014</v>
      </c>
      <c r="B8307">
        <v>210951378.60245645</v>
      </c>
    </row>
    <row r="8308" spans="1:2" x14ac:dyDescent="0.25">
      <c r="A8308">
        <f ca="1">36971.4542261319*((RANDBETWEEN(1587,2416)))</f>
        <v>80191084.216480047</v>
      </c>
      <c r="B8308">
        <v>221899743.81451255</v>
      </c>
    </row>
    <row r="8309" spans="1:2" x14ac:dyDescent="0.25">
      <c r="A8309">
        <f ca="1">33277.3421681997*((RANDBETWEEN(1587,2416)))</f>
        <v>65789305.466530889</v>
      </c>
      <c r="B8309">
        <v>227834692.2542302</v>
      </c>
    </row>
    <row r="8310" spans="1:2" x14ac:dyDescent="0.25">
      <c r="A8310">
        <f ca="1">32787.1239280912*((RANDBETWEEN(1587,2416)))</f>
        <v>73377583.351068169</v>
      </c>
      <c r="B8310">
        <v>210152484.19542021</v>
      </c>
    </row>
    <row r="8311" spans="1:2" x14ac:dyDescent="0.25">
      <c r="A8311">
        <f ca="1">31571.3151765448*((RANDBETWEEN(1587,2416)))</f>
        <v>61500921.963909268</v>
      </c>
      <c r="B8311">
        <v>245460248.20464349</v>
      </c>
    </row>
    <row r="8312" spans="1:2" x14ac:dyDescent="0.25">
      <c r="A8312">
        <f ca="1">33518.1854537416*((RANDBETWEEN(1587,2416)))</f>
        <v>67706734.616557956</v>
      </c>
      <c r="B8312">
        <v>263735629.51090044</v>
      </c>
    </row>
    <row r="8313" spans="1:2" x14ac:dyDescent="0.25">
      <c r="A8313">
        <f ca="1">31859.170612164*((RANDBETWEEN(1587,2416)))</f>
        <v>61997946.011271179</v>
      </c>
      <c r="B8313">
        <v>266879649.49988878</v>
      </c>
    </row>
    <row r="8314" spans="1:2" x14ac:dyDescent="0.25">
      <c r="A8314">
        <f ca="1">40327.0149192183*((RANDBETWEEN(1587,2416)))</f>
        <v>69967370.884843796</v>
      </c>
      <c r="B8314">
        <v>226404231.05152479</v>
      </c>
    </row>
    <row r="8315" spans="1:2" x14ac:dyDescent="0.25">
      <c r="A8315">
        <f ca="1">32920.2900891317*((RANDBETWEEN(1587,2416)))</f>
        <v>56326616.342504382</v>
      </c>
      <c r="B8315">
        <v>228504757.77530354</v>
      </c>
    </row>
    <row r="8316" spans="1:2" x14ac:dyDescent="0.25">
      <c r="A8316">
        <f ca="1">34074.4983566263*((RANDBETWEEN(1587,2416)))</f>
        <v>65184515.356226176</v>
      </c>
      <c r="B8316">
        <v>216941209.48316589</v>
      </c>
    </row>
    <row r="8317" spans="1:2" x14ac:dyDescent="0.25">
      <c r="A8317">
        <f ca="1">36382.3929841871*((RANDBETWEEN(1587,2416)))</f>
        <v>87026684.018175468</v>
      </c>
      <c r="B8317">
        <v>219149146.50445563</v>
      </c>
    </row>
    <row r="8318" spans="1:2" x14ac:dyDescent="0.25">
      <c r="A8318">
        <f ca="1">30565.446624244*((RANDBETWEEN(1587,2416)))</f>
        <v>64309699.697409399</v>
      </c>
      <c r="B8318">
        <v>213123008.31414044</v>
      </c>
    </row>
    <row r="8319" spans="1:2" x14ac:dyDescent="0.25">
      <c r="A8319">
        <f ca="1">40126.6345001337*((RANDBETWEEN(1587,2416)))</f>
        <v>90485560.79780142</v>
      </c>
      <c r="B8319">
        <v>224239262.84155953</v>
      </c>
    </row>
    <row r="8320" spans="1:2" x14ac:dyDescent="0.25">
      <c r="A8320">
        <f ca="1">27662.7692189121*((RANDBETWEEN(1587,2416)))</f>
        <v>50263251.670763344</v>
      </c>
      <c r="B8320">
        <v>253108360.62576103</v>
      </c>
    </row>
    <row r="8321" spans="1:2" x14ac:dyDescent="0.25">
      <c r="A8321">
        <f ca="1">32024.8407127219*((RANDBETWEEN(1587,2416)))</f>
        <v>58093061.052877441</v>
      </c>
      <c r="B8321">
        <v>267748602.91442123</v>
      </c>
    </row>
    <row r="8322" spans="1:2" x14ac:dyDescent="0.25">
      <c r="A8322">
        <f ca="1">37016.4923881601*((RANDBETWEEN(1587,2416)))</f>
        <v>64038531.831517011</v>
      </c>
      <c r="B8322">
        <v>256984902.50344694</v>
      </c>
    </row>
    <row r="8323" spans="1:2" x14ac:dyDescent="0.25">
      <c r="A8323">
        <f ca="1">32119.4952281367*((RANDBETWEEN(1587,2416)))</f>
        <v>72429461.739448309</v>
      </c>
      <c r="B8323">
        <v>249827865.55813783</v>
      </c>
    </row>
    <row r="8324" spans="1:2" x14ac:dyDescent="0.25">
      <c r="A8324">
        <f ca="1">33708.6258013128*((RANDBETWEEN(1587,2416)))</f>
        <v>66304866.951182269</v>
      </c>
      <c r="B8324">
        <v>233075523.08476937</v>
      </c>
    </row>
    <row r="8325" spans="1:2" x14ac:dyDescent="0.25">
      <c r="A8325">
        <f ca="1">31600.4841223841*((RANDBETWEEN(1587,2416)))</f>
        <v>61494542.102159441</v>
      </c>
      <c r="B8325">
        <v>220957181.00891554</v>
      </c>
    </row>
    <row r="8326" spans="1:2" x14ac:dyDescent="0.25">
      <c r="A8326">
        <f ca="1">36094.1157677082*((RANDBETWEEN(1587,2416)))</f>
        <v>81536607.519252852</v>
      </c>
      <c r="B8326">
        <v>222333625.39263937</v>
      </c>
    </row>
    <row r="8327" spans="1:2" x14ac:dyDescent="0.25">
      <c r="A8327">
        <f ca="1">41543.7930546034*((RANDBETWEEN(1587,2416)))</f>
        <v>69170415.43591471</v>
      </c>
      <c r="B8327">
        <v>204963759.9081735</v>
      </c>
    </row>
    <row r="8328" spans="1:2" x14ac:dyDescent="0.25">
      <c r="A8328">
        <f ca="1">35800.4842744755*((RANDBETWEEN(1587,2416)))</f>
        <v>76469834.410279587</v>
      </c>
      <c r="B8328">
        <v>261688484.88544327</v>
      </c>
    </row>
    <row r="8329" spans="1:2" x14ac:dyDescent="0.25">
      <c r="A8329">
        <f ca="1">30564.7260694984*((RANDBETWEEN(1587,2416)))</f>
        <v>56330790.146085635</v>
      </c>
      <c r="B8329">
        <v>205040303.25819728</v>
      </c>
    </row>
    <row r="8330" spans="1:2" x14ac:dyDescent="0.25">
      <c r="A8330">
        <f ca="1">31121.0411671802*((RANDBETWEEN(1587,2416)))</f>
        <v>70924852.820003718</v>
      </c>
      <c r="B8330">
        <v>204572068.83068621</v>
      </c>
    </row>
    <row r="8331" spans="1:2" x14ac:dyDescent="0.25">
      <c r="A8331">
        <f ca="1">40924.2827839682*((RANDBETWEEN(1587,2416)))</f>
        <v>97809035.853683889</v>
      </c>
      <c r="B8331">
        <v>210114663.49874064</v>
      </c>
    </row>
    <row r="8332" spans="1:2" x14ac:dyDescent="0.25">
      <c r="A8332">
        <f ca="1">32495.9591564138*((RANDBETWEEN(1587,2416)))</f>
        <v>57842807.298416607</v>
      </c>
      <c r="B8332">
        <v>231982284.82035649</v>
      </c>
    </row>
    <row r="8333" spans="1:2" x14ac:dyDescent="0.25">
      <c r="A8333">
        <f ca="1">32554.4319090092*((RANDBETWEEN(1587,2416)))</f>
        <v>75558836.460810348</v>
      </c>
      <c r="B8333">
        <v>207129136.75843263</v>
      </c>
    </row>
    <row r="8334" spans="1:2" x14ac:dyDescent="0.25">
      <c r="A8334">
        <f ca="1">31688.1302625118*((RANDBETWEEN(1587,2416)))</f>
        <v>72692570.822202101</v>
      </c>
      <c r="B8334">
        <v>233585727.95372918</v>
      </c>
    </row>
    <row r="8335" spans="1:2" x14ac:dyDescent="0.25">
      <c r="A8335">
        <f ca="1">34582.0376559963*((RANDBETWEEN(1587,2416)))</f>
        <v>76668377.483343735</v>
      </c>
      <c r="B8335">
        <v>216386028.00113145</v>
      </c>
    </row>
    <row r="8336" spans="1:2" x14ac:dyDescent="0.25">
      <c r="A8336">
        <f ca="1">39275.475358799*((RANDBETWEEN(1587,2416)))</f>
        <v>80357622.584102809</v>
      </c>
      <c r="B8336">
        <v>227749887.55866501</v>
      </c>
    </row>
    <row r="8337" spans="1:2" x14ac:dyDescent="0.25">
      <c r="A8337">
        <f ca="1">38550.3669464747*((RANDBETWEEN(1587,2416)))</f>
        <v>92251028.10291405</v>
      </c>
      <c r="B8337">
        <v>230745190.99107894</v>
      </c>
    </row>
    <row r="8338" spans="1:2" x14ac:dyDescent="0.25">
      <c r="A8338">
        <f ca="1">40205.3245567478*((RANDBETWEEN(1587,2416)))</f>
        <v>65896526.948509634</v>
      </c>
      <c r="B8338">
        <v>247388010.50260186</v>
      </c>
    </row>
    <row r="8339" spans="1:2" x14ac:dyDescent="0.25">
      <c r="A8339">
        <f ca="1">34019.5722413647*((RANDBETWEEN(1587,2416)))</f>
        <v>57186900.937733993</v>
      </c>
      <c r="B8339">
        <v>245632598.39323372</v>
      </c>
    </row>
    <row r="8340" spans="1:2" x14ac:dyDescent="0.25">
      <c r="A8340">
        <f ca="1">34053.3177999617*((RANDBETWEEN(1587,2416)))</f>
        <v>71511967.379919514</v>
      </c>
      <c r="B8340">
        <v>214177524.19802663</v>
      </c>
    </row>
    <row r="8341" spans="1:2" x14ac:dyDescent="0.25">
      <c r="A8341">
        <f ca="1">30740.710612666*((RANDBETWEEN(1587,2416)))</f>
        <v>52136245.199081525</v>
      </c>
      <c r="B8341">
        <v>228574220.47671539</v>
      </c>
    </row>
    <row r="8342" spans="1:2" x14ac:dyDescent="0.25">
      <c r="A8342">
        <f ca="1">32137.041230142*((RANDBETWEEN(1587,2416)))</f>
        <v>55082888.668463416</v>
      </c>
      <c r="B8342">
        <v>210463594.38829947</v>
      </c>
    </row>
    <row r="8343" spans="1:2" x14ac:dyDescent="0.25">
      <c r="A8343">
        <f ca="1">28833.9770981318*((RANDBETWEEN(1587,2416)))</f>
        <v>51266811.280478388</v>
      </c>
      <c r="B8343">
        <v>267082457.18237364</v>
      </c>
    </row>
    <row r="8344" spans="1:2" x14ac:dyDescent="0.25">
      <c r="A8344">
        <f ca="1">38583.9518894524*((RANDBETWEEN(1587,2416)))</f>
        <v>68139259.036772937</v>
      </c>
      <c r="B8344">
        <v>238434061.09570673</v>
      </c>
    </row>
    <row r="8345" spans="1:2" x14ac:dyDescent="0.25">
      <c r="A8345">
        <f ca="1">36302.8168956738*((RANDBETWEEN(1587,2416)))</f>
        <v>72387816.889973506</v>
      </c>
      <c r="B8345">
        <v>261075517.68218285</v>
      </c>
    </row>
    <row r="8346" spans="1:2" x14ac:dyDescent="0.25">
      <c r="A8346">
        <f ca="1">30051.6098105744*((RANDBETWEEN(1587,2416)))</f>
        <v>60884561.476223812</v>
      </c>
      <c r="B8346">
        <v>213661935.08330828</v>
      </c>
    </row>
    <row r="8347" spans="1:2" x14ac:dyDescent="0.25">
      <c r="A8347">
        <f ca="1">31310.3508717138*((RANDBETWEEN(1587,2416)))</f>
        <v>51568147.885712601</v>
      </c>
      <c r="B8347">
        <v>222588682.05661741</v>
      </c>
    </row>
    <row r="8348" spans="1:2" x14ac:dyDescent="0.25">
      <c r="A8348">
        <f ca="1">33885.2363637298*((RANDBETWEEN(1587,2416)))</f>
        <v>58045409.891069226</v>
      </c>
      <c r="B8348">
        <v>224565328.0954259</v>
      </c>
    </row>
    <row r="8349" spans="1:2" x14ac:dyDescent="0.25">
      <c r="A8349">
        <f ca="1">36353.3446686667*((RANDBETWEEN(1587,2416)))</f>
        <v>73361049.541369334</v>
      </c>
      <c r="B8349">
        <v>248951474.98689681</v>
      </c>
    </row>
    <row r="8350" spans="1:2" x14ac:dyDescent="0.25">
      <c r="A8350">
        <f ca="1">35711.0617922098*((RANDBETWEEN(1587,2416)))</f>
        <v>65851197.944834851</v>
      </c>
      <c r="B8350">
        <v>209987109.90008342</v>
      </c>
    </row>
    <row r="8351" spans="1:2" x14ac:dyDescent="0.25">
      <c r="A8351">
        <f ca="1">27824.1623846361*((RANDBETWEEN(1587,2416)))</f>
        <v>64273815.108509332</v>
      </c>
      <c r="B8351">
        <v>213544632.50024951</v>
      </c>
    </row>
    <row r="8352" spans="1:2" x14ac:dyDescent="0.25">
      <c r="A8352">
        <f ca="1">32534.6290814664*((RANDBETWEEN(1587,2416)))</f>
        <v>62336349.320089661</v>
      </c>
      <c r="B8352">
        <v>266980181.38465434</v>
      </c>
    </row>
    <row r="8353" spans="1:2" x14ac:dyDescent="0.25">
      <c r="A8353">
        <f ca="1">40058.4699655819*((RANDBETWEEN(1587,2416)))</f>
        <v>71985070.528150678</v>
      </c>
      <c r="B8353">
        <v>216334022.31263527</v>
      </c>
    </row>
    <row r="8354" spans="1:2" x14ac:dyDescent="0.25">
      <c r="A8354">
        <f ca="1">35228.030202078*((RANDBETWEEN(1587,2416)))</f>
        <v>81341521.736598119</v>
      </c>
      <c r="B8354">
        <v>249744806.21617842</v>
      </c>
    </row>
    <row r="8355" spans="1:2" x14ac:dyDescent="0.25">
      <c r="A8355">
        <f ca="1">32419.1941225552*((RANDBETWEEN(1587,2416)))</f>
        <v>66491767.145360634</v>
      </c>
      <c r="B8355">
        <v>247148119.41989264</v>
      </c>
    </row>
    <row r="8356" spans="1:2" x14ac:dyDescent="0.25">
      <c r="A8356">
        <f ca="1">41481.0634313705*((RANDBETWEEN(1587,2416)))</f>
        <v>88976881.060289785</v>
      </c>
      <c r="B8356">
        <v>215320171.0446173</v>
      </c>
    </row>
    <row r="8357" spans="1:2" x14ac:dyDescent="0.25">
      <c r="A8357">
        <f ca="1">34402.9340086376*((RANDBETWEEN(1587,2416)))</f>
        <v>71798923.276026741</v>
      </c>
      <c r="B8357">
        <v>209072884.77380085</v>
      </c>
    </row>
    <row r="8358" spans="1:2" x14ac:dyDescent="0.25">
      <c r="A8358">
        <f ca="1">36630.2230449697*((RANDBETWEEN(1587,2416)))</f>
        <v>74139571.4430186</v>
      </c>
      <c r="B8358">
        <v>225022722.96350887</v>
      </c>
    </row>
    <row r="8359" spans="1:2" x14ac:dyDescent="0.25">
      <c r="A8359">
        <f ca="1">29108.8405855667*((RANDBETWEEN(1587,2416)))</f>
        <v>66921224.506217942</v>
      </c>
      <c r="B8359">
        <v>254051246.28463584</v>
      </c>
    </row>
    <row r="8360" spans="1:2" x14ac:dyDescent="0.25">
      <c r="A8360">
        <f ca="1">33210.1936184224*((RANDBETWEEN(1587,2416)))</f>
        <v>68579049.822042227</v>
      </c>
      <c r="B8360">
        <v>256243138.2083264</v>
      </c>
    </row>
    <row r="8361" spans="1:2" x14ac:dyDescent="0.25">
      <c r="A8361">
        <f ca="1">40062.1121744683*((RANDBETWEEN(1587,2416)))</f>
        <v>91141305.196915329</v>
      </c>
      <c r="B8361">
        <v>222227527.00234157</v>
      </c>
    </row>
    <row r="8362" spans="1:2" x14ac:dyDescent="0.25">
      <c r="A8362">
        <f ca="1">34330.7570972884*((RANDBETWEEN(1587,2416)))</f>
        <v>67116630.125198826</v>
      </c>
      <c r="B8362">
        <v>215506689.52557227</v>
      </c>
    </row>
    <row r="8363" spans="1:2" x14ac:dyDescent="0.25">
      <c r="A8363">
        <f ca="1">31555.9186582091*((RANDBETWEEN(1587,2416)))</f>
        <v>63963847.120189831</v>
      </c>
      <c r="B8363">
        <v>265036492.86656523</v>
      </c>
    </row>
    <row r="8364" spans="1:2" x14ac:dyDescent="0.25">
      <c r="A8364">
        <f ca="1">42897.891641234*((RANDBETWEEN(1587,2416)))</f>
        <v>91115121.845981032</v>
      </c>
      <c r="B8364">
        <v>258111007.23918974</v>
      </c>
    </row>
    <row r="8365" spans="1:2" x14ac:dyDescent="0.25">
      <c r="A8365">
        <f ca="1">31829.9685246397*((RANDBETWEEN(1587,2416)))</f>
        <v>71490109.30634068</v>
      </c>
      <c r="B8365">
        <v>248196758.42222533</v>
      </c>
    </row>
    <row r="8366" spans="1:2" x14ac:dyDescent="0.25">
      <c r="A8366">
        <f ca="1">30814.5648914811*((RANDBETWEEN(1587,2416)))</f>
        <v>65758281.478420734</v>
      </c>
      <c r="B8366">
        <v>209559152.94977626</v>
      </c>
    </row>
    <row r="8367" spans="1:2" x14ac:dyDescent="0.25">
      <c r="A8367">
        <f ca="1">28957.5944049874*((RANDBETWEEN(1587,2416)))</f>
        <v>62982767.830847673</v>
      </c>
      <c r="B8367">
        <v>243949708.7790443</v>
      </c>
    </row>
    <row r="8368" spans="1:2" x14ac:dyDescent="0.25">
      <c r="A8368">
        <f ca="1">35869.2883588135*((RANDBETWEEN(1587,2416)))</f>
        <v>65066889.082887664</v>
      </c>
      <c r="B8368">
        <v>258125532.72760317</v>
      </c>
    </row>
    <row r="8369" spans="1:2" x14ac:dyDescent="0.25">
      <c r="A8369">
        <f ca="1">36751.8259975885*((RANDBETWEEN(1587,2416)))</f>
        <v>80854017.194694638</v>
      </c>
      <c r="B8369">
        <v>211392577.42849445</v>
      </c>
    </row>
    <row r="8370" spans="1:2" x14ac:dyDescent="0.25">
      <c r="A8370">
        <f ca="1">31647.2404393705*((RANDBETWEEN(1587,2416)))</f>
        <v>56965032.790866889</v>
      </c>
      <c r="B8370">
        <v>223598794.72065762</v>
      </c>
    </row>
    <row r="8371" spans="1:2" x14ac:dyDescent="0.25">
      <c r="A8371">
        <f ca="1">41692.0941022923*((RANDBETWEEN(1587,2416)))</f>
        <v>75629458.701558277</v>
      </c>
      <c r="B8371">
        <v>219579774.94588307</v>
      </c>
    </row>
    <row r="8372" spans="1:2" x14ac:dyDescent="0.25">
      <c r="A8372">
        <f ca="1">39687.167776601*((RANDBETWEEN(1587,2416)))</f>
        <v>79731520.063191354</v>
      </c>
      <c r="B8372">
        <v>203746810.56413722</v>
      </c>
    </row>
    <row r="8373" spans="1:2" x14ac:dyDescent="0.25">
      <c r="A8373">
        <f ca="1">32370.4698903917*((RANDBETWEEN(1587,2416)))</f>
        <v>52602013.571886465</v>
      </c>
      <c r="B8373">
        <v>226262983.58198613</v>
      </c>
    </row>
    <row r="8374" spans="1:2" x14ac:dyDescent="0.25">
      <c r="A8374">
        <f ca="1">31156.6270782184*((RANDBETWEEN(1587,2416)))</f>
        <v>52125037.101859406</v>
      </c>
      <c r="B8374">
        <v>262255921.64424118</v>
      </c>
    </row>
    <row r="8375" spans="1:2" x14ac:dyDescent="0.25">
      <c r="A8375">
        <f ca="1">34611.938924379*((RANDBETWEEN(1587,2416)))</f>
        <v>72615847.863347158</v>
      </c>
      <c r="B8375">
        <v>255409274.32734299</v>
      </c>
    </row>
    <row r="8376" spans="1:2" x14ac:dyDescent="0.25">
      <c r="A8376">
        <f ca="1">31236.0137881764*((RANDBETWEEN(1587,2416)))</f>
        <v>59660786.33541692</v>
      </c>
      <c r="B8376">
        <v>211921098.92516577</v>
      </c>
    </row>
    <row r="8377" spans="1:2" x14ac:dyDescent="0.25">
      <c r="A8377">
        <f ca="1">30660.6004397947*((RANDBETWEEN(1587,2416)))</f>
        <v>62854230.901579216</v>
      </c>
      <c r="B8377">
        <v>259877803.0703823</v>
      </c>
    </row>
    <row r="8378" spans="1:2" x14ac:dyDescent="0.25">
      <c r="A8378">
        <f ca="1">36036.9310383297*((RANDBETWEEN(1587,2416)))</f>
        <v>62812370.799808703</v>
      </c>
      <c r="B8378">
        <v>222103688.26711297</v>
      </c>
    </row>
    <row r="8379" spans="1:2" x14ac:dyDescent="0.25">
      <c r="A8379">
        <f ca="1">31934.9229592773*((RANDBETWEEN(1587,2416)))</f>
        <v>63710171.303758189</v>
      </c>
      <c r="B8379">
        <v>243058331.78420115</v>
      </c>
    </row>
    <row r="8380" spans="1:2" x14ac:dyDescent="0.25">
      <c r="A8380">
        <f ca="1">28100.2272486736*((RANDBETWEEN(1587,2416)))</f>
        <v>62663506.76454214</v>
      </c>
      <c r="B8380">
        <v>224599107.11271921</v>
      </c>
    </row>
    <row r="8381" spans="1:2" x14ac:dyDescent="0.25">
      <c r="A8381">
        <f ca="1">28387.2503146823*((RANDBETWEEN(1587,2416)))</f>
        <v>52346089.580274194</v>
      </c>
      <c r="B8381">
        <v>237564125.23404908</v>
      </c>
    </row>
    <row r="8382" spans="1:2" x14ac:dyDescent="0.25">
      <c r="A8382">
        <f ca="1">36437.7560003116*((RANDBETWEEN(1587,2416)))</f>
        <v>70361306.836601719</v>
      </c>
      <c r="B8382">
        <v>247424295.48152572</v>
      </c>
    </row>
    <row r="8383" spans="1:2" x14ac:dyDescent="0.25">
      <c r="A8383">
        <f ca="1">33597.8708629031*((RANDBETWEEN(1587,2416)))</f>
        <v>79794943.299394831</v>
      </c>
      <c r="B8383">
        <v>226436021.85329875</v>
      </c>
    </row>
    <row r="8384" spans="1:2" x14ac:dyDescent="0.25">
      <c r="A8384">
        <f ca="1">31324.0121205757*((RANDBETWEEN(1587,2416)))</f>
        <v>49711207.235353671</v>
      </c>
      <c r="B8384">
        <v>253321929.78018144</v>
      </c>
    </row>
    <row r="8385" spans="1:2" x14ac:dyDescent="0.25">
      <c r="A8385">
        <f ca="1">31533.2556960337*((RANDBETWEEN(1587,2416)))</f>
        <v>72337288.566701353</v>
      </c>
      <c r="B8385">
        <v>222743249.33717525</v>
      </c>
    </row>
    <row r="8386" spans="1:2" x14ac:dyDescent="0.25">
      <c r="A8386">
        <f ca="1">43489.9769769514*((RANDBETWEEN(1587,2416)))</f>
        <v>72410811.666624054</v>
      </c>
      <c r="B8386">
        <v>246641921.96124598</v>
      </c>
    </row>
    <row r="8387" spans="1:2" x14ac:dyDescent="0.25">
      <c r="A8387">
        <f ca="1">30321.2383118243*((RANDBETWEEN(1587,2416)))</f>
        <v>61521792.534691446</v>
      </c>
      <c r="B8387">
        <v>216550360.55271906</v>
      </c>
    </row>
    <row r="8388" spans="1:2" x14ac:dyDescent="0.25">
      <c r="A8388">
        <f ca="1">31705.9239097605*((RANDBETWEEN(1587,2416)))</f>
        <v>62460670.102228247</v>
      </c>
      <c r="B8388">
        <v>205895568.40189934</v>
      </c>
    </row>
    <row r="8389" spans="1:2" x14ac:dyDescent="0.25">
      <c r="A8389">
        <f ca="1">34189.7730514348*((RANDBETWEEN(1587,2416)))</f>
        <v>57609767.591667697</v>
      </c>
      <c r="B8389">
        <v>257123991.09378767</v>
      </c>
    </row>
    <row r="8390" spans="1:2" x14ac:dyDescent="0.25">
      <c r="A8390">
        <f ca="1">32488.4282364717*((RANDBETWEEN(1587,2416)))</f>
        <v>72091822.256730795</v>
      </c>
      <c r="B8390">
        <v>228954984.14252079</v>
      </c>
    </row>
    <row r="8391" spans="1:2" x14ac:dyDescent="0.25">
      <c r="A8391">
        <f ca="1">33800.6200212643*((RANDBETWEEN(1587,2416)))</f>
        <v>76693606.828248635</v>
      </c>
      <c r="B8391">
        <v>229544155.51697248</v>
      </c>
    </row>
    <row r="8392" spans="1:2" x14ac:dyDescent="0.25">
      <c r="A8392">
        <f ca="1">33944.7569615875*((RANDBETWEEN(1587,2416)))</f>
        <v>69756475.556062222</v>
      </c>
      <c r="B8392">
        <v>224798066.00290513</v>
      </c>
    </row>
    <row r="8393" spans="1:2" x14ac:dyDescent="0.25">
      <c r="A8393">
        <f ca="1">30880.0144269593*((RANDBETWEEN(1587,2416)))</f>
        <v>54781145.593425803</v>
      </c>
      <c r="B8393">
        <v>244358873.36559701</v>
      </c>
    </row>
    <row r="8394" spans="1:2" x14ac:dyDescent="0.25">
      <c r="A8394">
        <f ca="1">30918.7189503972*((RANDBETWEEN(1587,2416)))</f>
        <v>68515881.194080263</v>
      </c>
      <c r="B8394">
        <v>235793890.23880279</v>
      </c>
    </row>
    <row r="8395" spans="1:2" x14ac:dyDescent="0.25">
      <c r="A8395">
        <f ca="1">31659.8892998705*((RANDBETWEEN(1587,2416)))</f>
        <v>58222536.422461934</v>
      </c>
      <c r="B8395">
        <v>265529384.94176686</v>
      </c>
    </row>
    <row r="8396" spans="1:2" x14ac:dyDescent="0.25">
      <c r="A8396">
        <f ca="1">33368.0803991954*((RANDBETWEEN(1587,2416)))</f>
        <v>61363899.854120247</v>
      </c>
      <c r="B8396">
        <v>232868164.33857232</v>
      </c>
    </row>
    <row r="8397" spans="1:2" x14ac:dyDescent="0.25">
      <c r="A8397">
        <f ca="1">31025.0915849969*((RANDBETWEEN(1587,2416)))</f>
        <v>59661251.117948942</v>
      </c>
      <c r="B8397">
        <v>259953724.53079778</v>
      </c>
    </row>
    <row r="8398" spans="1:2" x14ac:dyDescent="0.25">
      <c r="A8398">
        <f ca="1">34251.7979235953*((RANDBETWEEN(1587,2416)))</f>
        <v>73333099.354417518</v>
      </c>
      <c r="B8398">
        <v>214329642.90688977</v>
      </c>
    </row>
    <row r="8399" spans="1:2" x14ac:dyDescent="0.25">
      <c r="A8399">
        <f ca="1">32780.9427122245*((RANDBETWEEN(1587,2416)))</f>
        <v>75297825.409979686</v>
      </c>
      <c r="B8399">
        <v>254696127.56418055</v>
      </c>
    </row>
    <row r="8400" spans="1:2" x14ac:dyDescent="0.25">
      <c r="A8400">
        <f ca="1">39541.1257166949*((RANDBETWEEN(1587,2416)))</f>
        <v>90707342.394098088</v>
      </c>
      <c r="B8400">
        <v>233028729.46426603</v>
      </c>
    </row>
    <row r="8401" spans="1:2" x14ac:dyDescent="0.25">
      <c r="A8401">
        <f ca="1">38915.1868751432*((RANDBETWEEN(1587,2416)))</f>
        <v>83045008.791555583</v>
      </c>
      <c r="B8401">
        <v>233561703.85251403</v>
      </c>
    </row>
    <row r="8402" spans="1:2" x14ac:dyDescent="0.25">
      <c r="A8402">
        <f ca="1">31729.8786756692*((RANDBETWEEN(1587,2416)))</f>
        <v>62793429.899149366</v>
      </c>
      <c r="B8402">
        <v>251579481.86148483</v>
      </c>
    </row>
    <row r="8403" spans="1:2" x14ac:dyDescent="0.25">
      <c r="A8403">
        <f ca="1">32227.5603422641*((RANDBETWEEN(1587,2416)))</f>
        <v>51402958.745911166</v>
      </c>
      <c r="B8403">
        <v>229166855.48766473</v>
      </c>
    </row>
    <row r="8404" spans="1:2" x14ac:dyDescent="0.25">
      <c r="A8404">
        <f ca="1">30762.5455704245*((RANDBETWEEN(1587,2416)))</f>
        <v>74168497.370293483</v>
      </c>
      <c r="B8404">
        <v>205807950.93964422</v>
      </c>
    </row>
    <row r="8405" spans="1:2" x14ac:dyDescent="0.25">
      <c r="A8405">
        <f ca="1">35617.2927511582*((RANDBETWEEN(1587,2416)))</f>
        <v>84270514.649240181</v>
      </c>
      <c r="B8405">
        <v>220807470.94117564</v>
      </c>
    </row>
    <row r="8406" spans="1:2" x14ac:dyDescent="0.25">
      <c r="A8406">
        <f ca="1">31924.9962622288*((RANDBETWEEN(1587,2416)))</f>
        <v>60050917.969252452</v>
      </c>
      <c r="B8406">
        <v>214003900.79189038</v>
      </c>
    </row>
    <row r="8407" spans="1:2" x14ac:dyDescent="0.25">
      <c r="A8407">
        <f ca="1">36125.6186847769*((RANDBETWEEN(1587,2416)))</f>
        <v>64556480.589696288</v>
      </c>
      <c r="B8407">
        <v>204734891.67746836</v>
      </c>
    </row>
    <row r="8408" spans="1:2" x14ac:dyDescent="0.25">
      <c r="A8408">
        <f ca="1">39591.7928840545*((RANDBETWEEN(1587,2416)))</f>
        <v>74392978.829138398</v>
      </c>
      <c r="B8408">
        <v>215975330.91685209</v>
      </c>
    </row>
    <row r="8409" spans="1:2" x14ac:dyDescent="0.25">
      <c r="A8409">
        <f ca="1">33678.0165324056*((RANDBETWEEN(1587,2416)))</f>
        <v>60148937.526876353</v>
      </c>
      <c r="B8409">
        <v>238540962.75151148</v>
      </c>
    </row>
    <row r="8410" spans="1:2" x14ac:dyDescent="0.25">
      <c r="A8410">
        <f ca="1">30876.244143731*((RANDBETWEEN(1587,2416)))</f>
        <v>49679876.827263229</v>
      </c>
      <c r="B8410">
        <v>208873972.48645765</v>
      </c>
    </row>
    <row r="8411" spans="1:2" x14ac:dyDescent="0.25">
      <c r="A8411">
        <f ca="1">29954.3654871262*((RANDBETWEEN(1587,2416)))</f>
        <v>69434219.199158624</v>
      </c>
      <c r="B8411">
        <v>248788501.56208417</v>
      </c>
    </row>
    <row r="8412" spans="1:2" x14ac:dyDescent="0.25">
      <c r="A8412">
        <f ca="1">29460.3012098149*((RANDBETWEEN(1587,2416)))</f>
        <v>66963264.649909154</v>
      </c>
      <c r="B8412">
        <v>204904432.58847773</v>
      </c>
    </row>
    <row r="8413" spans="1:2" x14ac:dyDescent="0.25">
      <c r="A8413">
        <f ca="1">35883.9942754195*((RANDBETWEEN(1587,2416)))</f>
        <v>80128959.217011645</v>
      </c>
      <c r="B8413">
        <v>249673360.59692457</v>
      </c>
    </row>
    <row r="8414" spans="1:2" x14ac:dyDescent="0.25">
      <c r="A8414">
        <f ca="1">30169.1160399734*((RANDBETWEEN(1587,2416)))</f>
        <v>54666438.26443179</v>
      </c>
      <c r="B8414">
        <v>212210267.2596257</v>
      </c>
    </row>
    <row r="8415" spans="1:2" x14ac:dyDescent="0.25">
      <c r="A8415">
        <f ca="1">33683.9325125287*((RANDBETWEEN(1587,2416)))</f>
        <v>80470914.772430956</v>
      </c>
      <c r="B8415">
        <v>236233656.02738184</v>
      </c>
    </row>
    <row r="8416" spans="1:2" x14ac:dyDescent="0.25">
      <c r="A8416">
        <f ca="1">38190.7633408122*((RANDBETWEEN(1587,2416)))</f>
        <v>77832775.688575193</v>
      </c>
      <c r="B8416">
        <v>248258355.04376686</v>
      </c>
    </row>
    <row r="8417" spans="1:2" x14ac:dyDescent="0.25">
      <c r="A8417">
        <f ca="1">36844.1742753515*((RANDBETWEEN(1587,2416)))</f>
        <v>81425625.148526907</v>
      </c>
      <c r="B8417">
        <v>224469299.20054811</v>
      </c>
    </row>
    <row r="8418" spans="1:2" x14ac:dyDescent="0.25">
      <c r="A8418">
        <f ca="1">38123.2132433999*((RANDBETWEEN(1587,2416)))</f>
        <v>79601269.252219036</v>
      </c>
      <c r="B8418">
        <v>228339626.67040735</v>
      </c>
    </row>
    <row r="8419" spans="1:2" x14ac:dyDescent="0.25">
      <c r="A8419">
        <f ca="1">39885.2777716715*((RANDBETWEEN(1587,2416)))</f>
        <v>74106846.099765629</v>
      </c>
      <c r="B8419">
        <v>210647270.96877608</v>
      </c>
    </row>
    <row r="8420" spans="1:2" x14ac:dyDescent="0.25">
      <c r="A8420">
        <f ca="1">33309.2477486875*((RANDBETWEEN(1587,2416)))</f>
        <v>64853105.366694592</v>
      </c>
      <c r="B8420">
        <v>214230118.44645238</v>
      </c>
    </row>
    <row r="8421" spans="1:2" x14ac:dyDescent="0.25">
      <c r="A8421">
        <f ca="1">32241.6553081811*((RANDBETWEEN(1587,2416)))</f>
        <v>63387094.335883997</v>
      </c>
      <c r="B8421">
        <v>264725613.78560632</v>
      </c>
    </row>
    <row r="8422" spans="1:2" x14ac:dyDescent="0.25">
      <c r="A8422">
        <f ca="1">32592.2087429099*((RANDBETWEEN(1587,2416)))</f>
        <v>75548739.866065025</v>
      </c>
      <c r="B8422">
        <v>266579520.02265641</v>
      </c>
    </row>
    <row r="8423" spans="1:2" x14ac:dyDescent="0.25">
      <c r="A8423">
        <f ca="1">37173.7750118304*((RANDBETWEEN(1587,2416)))</f>
        <v>73269510.548317686</v>
      </c>
      <c r="B8423">
        <v>228902875.25164497</v>
      </c>
    </row>
    <row r="8424" spans="1:2" x14ac:dyDescent="0.25">
      <c r="A8424">
        <f ca="1">42469.7581977141*((RANDBETWEEN(1587,2416)))</f>
        <v>84599758.329846442</v>
      </c>
      <c r="B8424">
        <v>244627833.73291245</v>
      </c>
    </row>
    <row r="8425" spans="1:2" x14ac:dyDescent="0.25">
      <c r="A8425">
        <f ca="1">31297.4753204391*((RANDBETWEEN(1587,2416)))</f>
        <v>61687323.856585421</v>
      </c>
      <c r="B8425">
        <v>216623426.51654929</v>
      </c>
    </row>
    <row r="8426" spans="1:2" x14ac:dyDescent="0.25">
      <c r="A8426">
        <f ca="1">30456.905037541*((RANDBETWEEN(1587,2416)))</f>
        <v>63502647.00327304</v>
      </c>
      <c r="B8426">
        <v>217748820.06087226</v>
      </c>
    </row>
    <row r="8427" spans="1:2" x14ac:dyDescent="0.25">
      <c r="A8427">
        <f ca="1">35645.5966896853*((RANDBETWEEN(1587,2416)))</f>
        <v>73144764.407234251</v>
      </c>
      <c r="B8427">
        <v>252179940.86836609</v>
      </c>
    </row>
    <row r="8428" spans="1:2" x14ac:dyDescent="0.25">
      <c r="A8428">
        <f ca="1">33662.88589826*((RANDBETWEEN(1587,2416)))</f>
        <v>73755383.003087565</v>
      </c>
      <c r="B8428">
        <v>222332726.29330736</v>
      </c>
    </row>
    <row r="8429" spans="1:2" x14ac:dyDescent="0.25">
      <c r="A8429">
        <f ca="1">36640.2453261735*((RANDBETWEEN(1587,2416)))</f>
        <v>84089363.023568124</v>
      </c>
      <c r="B8429">
        <v>253213388.69187063</v>
      </c>
    </row>
    <row r="8430" spans="1:2" x14ac:dyDescent="0.25">
      <c r="A8430">
        <f ca="1">38192.2643800888*((RANDBETWEEN(1587,2416)))</f>
        <v>84404904.279996142</v>
      </c>
      <c r="B8430">
        <v>233549477.22483724</v>
      </c>
    </row>
    <row r="8431" spans="1:2" x14ac:dyDescent="0.25">
      <c r="A8431">
        <f ca="1">42448.2544228222*((RANDBETWEEN(1587,2416)))</f>
        <v>89905402.867537439</v>
      </c>
      <c r="B8431">
        <v>256531487.7860015</v>
      </c>
    </row>
    <row r="8432" spans="1:2" x14ac:dyDescent="0.25">
      <c r="A8432">
        <f ca="1">34544.2152576748*((RANDBETWEEN(1587,2416)))</f>
        <v>76100906.212657586</v>
      </c>
      <c r="B8432">
        <v>258824995.90912607</v>
      </c>
    </row>
    <row r="8433" spans="1:2" x14ac:dyDescent="0.25">
      <c r="A8433">
        <f ca="1">33614.2776246339*((RANDBETWEEN(1587,2416)))</f>
        <v>64841941.537918821</v>
      </c>
      <c r="B8433">
        <v>255045294.57870013</v>
      </c>
    </row>
    <row r="8434" spans="1:2" x14ac:dyDescent="0.25">
      <c r="A8434">
        <f ca="1">33313.8611813536*((RANDBETWEEN(1587,2416)))</f>
        <v>56600250.14711982</v>
      </c>
      <c r="B8434">
        <v>209547805.37023762</v>
      </c>
    </row>
    <row r="8435" spans="1:2" x14ac:dyDescent="0.25">
      <c r="A8435">
        <f ca="1">30680.2083990819*((RANDBETWEEN(1587,2416)))</f>
        <v>69183869.939929694</v>
      </c>
      <c r="B8435">
        <v>231213438.7711404</v>
      </c>
    </row>
    <row r="8436" spans="1:2" x14ac:dyDescent="0.25">
      <c r="A8436">
        <f ca="1">37292.0372546814*((RANDBETWEEN(1587,2416)))</f>
        <v>88717756.628887147</v>
      </c>
      <c r="B8436">
        <v>259697839.9490135</v>
      </c>
    </row>
    <row r="8437" spans="1:2" x14ac:dyDescent="0.25">
      <c r="A8437">
        <f ca="1">35573.5024205379*((RANDBETWEEN(1587,2416)))</f>
        <v>59158734.525354594</v>
      </c>
      <c r="B8437">
        <v>205736984.68809903</v>
      </c>
    </row>
    <row r="8438" spans="1:2" x14ac:dyDescent="0.25">
      <c r="A8438">
        <f ca="1">32424.3375144226*((RANDBETWEEN(1587,2416)))</f>
        <v>77429317.984441102</v>
      </c>
      <c r="B8438">
        <v>209771432.07533932</v>
      </c>
    </row>
    <row r="8439" spans="1:2" x14ac:dyDescent="0.25">
      <c r="A8439">
        <f ca="1">39471.5625972447*((RANDBETWEEN(1587,2416)))</f>
        <v>78390523.318127975</v>
      </c>
      <c r="B8439">
        <v>227933705.48833638</v>
      </c>
    </row>
    <row r="8440" spans="1:2" x14ac:dyDescent="0.25">
      <c r="A8440">
        <f ca="1">37429.5910541774*((RANDBETWEEN(1587,2416)))</f>
        <v>65090058.843214534</v>
      </c>
      <c r="B8440">
        <v>219914401.54896939</v>
      </c>
    </row>
    <row r="8441" spans="1:2" x14ac:dyDescent="0.25">
      <c r="A8441">
        <f ca="1">33325.4087249862*((RANDBETWEEN(1587,2416)))</f>
        <v>57719607.911676086</v>
      </c>
      <c r="B8441">
        <v>210427888.05012074</v>
      </c>
    </row>
    <row r="8442" spans="1:2" x14ac:dyDescent="0.25">
      <c r="A8442">
        <f ca="1">37455.0179392469*((RANDBETWEEN(1587,2416)))</f>
        <v>81090113.838469595</v>
      </c>
      <c r="B8442">
        <v>213552563.677939</v>
      </c>
    </row>
    <row r="8443" spans="1:2" x14ac:dyDescent="0.25">
      <c r="A8443">
        <f ca="1">32109.5077395714*((RANDBETWEEN(1587,2416)))</f>
        <v>67975827.884672567</v>
      </c>
      <c r="B8443">
        <v>222434068.81911582</v>
      </c>
    </row>
    <row r="8444" spans="1:2" x14ac:dyDescent="0.25">
      <c r="A8444">
        <f ca="1">31875.739910851*((RANDBETWEEN(1587,2416)))</f>
        <v>73856089.373441875</v>
      </c>
      <c r="B8444">
        <v>254564437.36106038</v>
      </c>
    </row>
    <row r="8445" spans="1:2" x14ac:dyDescent="0.25">
      <c r="A8445">
        <f ca="1">33774.2767944428*((RANDBETWEEN(1587,2416)))</f>
        <v>55795105.264419585</v>
      </c>
      <c r="B8445">
        <v>205737744.85944226</v>
      </c>
    </row>
    <row r="8446" spans="1:2" x14ac:dyDescent="0.25">
      <c r="A8446">
        <f ca="1">41032.4044712054*((RANDBETWEEN(1587,2416)))</f>
        <v>98518803.135364115</v>
      </c>
      <c r="B8446">
        <v>232797153.19256961</v>
      </c>
    </row>
    <row r="8447" spans="1:2" x14ac:dyDescent="0.25">
      <c r="A8447">
        <f ca="1">40110.7131447471*((RANDBETWEEN(1587,2416)))</f>
        <v>65460683.852227241</v>
      </c>
      <c r="B8447">
        <v>221355079.32974327</v>
      </c>
    </row>
    <row r="8448" spans="1:2" x14ac:dyDescent="0.25">
      <c r="A8448">
        <f ca="1">34038.5779222094*((RANDBETWEEN(1587,2416)))</f>
        <v>64537143.740509048</v>
      </c>
      <c r="B8448">
        <v>235441854.0628143</v>
      </c>
    </row>
    <row r="8449" spans="1:2" x14ac:dyDescent="0.25">
      <c r="A8449">
        <f ca="1">30813.7446654106*((RANDBETWEEN(1587,2416)))</f>
        <v>52968827.079840861</v>
      </c>
      <c r="B8449">
        <v>235596714.02717167</v>
      </c>
    </row>
    <row r="8450" spans="1:2" x14ac:dyDescent="0.25">
      <c r="A8450">
        <f ca="1">29723.4511750435*((RANDBETWEEN(1587,2416)))</f>
        <v>71395729.722454503</v>
      </c>
      <c r="B8450">
        <v>215354348.32107058</v>
      </c>
    </row>
    <row r="8451" spans="1:2" x14ac:dyDescent="0.25">
      <c r="A8451">
        <f ca="1">35747.516211252*((RANDBETWEEN(1587,2416)))</f>
        <v>65739682.312492438</v>
      </c>
      <c r="B8451">
        <v>255375445.12487662</v>
      </c>
    </row>
    <row r="8452" spans="1:2" x14ac:dyDescent="0.25">
      <c r="A8452">
        <f ca="1">39346.9000663847*((RANDBETWEEN(1587,2416)))</f>
        <v>70824420.119492397</v>
      </c>
      <c r="B8452">
        <v>235962696.54105431</v>
      </c>
    </row>
    <row r="8453" spans="1:2" x14ac:dyDescent="0.25">
      <c r="A8453">
        <f ca="1">31361.1496622209*((RANDBETWEEN(1587,2416)))</f>
        <v>64854857.501472779</v>
      </c>
      <c r="B8453">
        <v>216895010.34939161</v>
      </c>
    </row>
    <row r="8454" spans="1:2" x14ac:dyDescent="0.25">
      <c r="A8454">
        <f ca="1">36496.4961018044*((RANDBETWEEN(1587,2416)))</f>
        <v>72153572.793267384</v>
      </c>
      <c r="B8454">
        <v>242683245.56757578</v>
      </c>
    </row>
    <row r="8455" spans="1:2" x14ac:dyDescent="0.25">
      <c r="A8455">
        <f ca="1">38496.5295607982*((RANDBETWEEN(1587,2416)))</f>
        <v>86347715.804870382</v>
      </c>
      <c r="B8455">
        <v>214430223.6134176</v>
      </c>
    </row>
    <row r="8456" spans="1:2" x14ac:dyDescent="0.25">
      <c r="A8456">
        <f ca="1">32777.9734104873*((RANDBETWEEN(1587,2416)))</f>
        <v>56148668.452164806</v>
      </c>
      <c r="B8456">
        <v>229091262.21631303</v>
      </c>
    </row>
    <row r="8457" spans="1:2" x14ac:dyDescent="0.25">
      <c r="A8457">
        <f ca="1">30240.2408293449*((RANDBETWEEN(1587,2416)))</f>
        <v>67163574.881974936</v>
      </c>
      <c r="B8457">
        <v>218363217.71302342</v>
      </c>
    </row>
    <row r="8458" spans="1:2" x14ac:dyDescent="0.25">
      <c r="A8458">
        <f ca="1">31669.6581123181*((RANDBETWEEN(1587,2416)))</f>
        <v>52349944.85966184</v>
      </c>
      <c r="B8458">
        <v>227219671.13491908</v>
      </c>
    </row>
    <row r="8459" spans="1:2" x14ac:dyDescent="0.25">
      <c r="A8459">
        <f ca="1">30526.4220198396*((RANDBETWEEN(1587,2416)))</f>
        <v>54672821.837532721</v>
      </c>
      <c r="B8459">
        <v>214289697.83730155</v>
      </c>
    </row>
    <row r="8460" spans="1:2" x14ac:dyDescent="0.25">
      <c r="A8460">
        <f ca="1">36291.7682743753*((RANDBETWEEN(1587,2416)))</f>
        <v>74289249.657646239</v>
      </c>
      <c r="B8460">
        <v>228375648.00413632</v>
      </c>
    </row>
    <row r="8461" spans="1:2" x14ac:dyDescent="0.25">
      <c r="A8461">
        <f ca="1">32836.7184124693*((RANDBETWEEN(1587,2416)))</f>
        <v>78085716.384852082</v>
      </c>
      <c r="B8461">
        <v>205203341.0436177</v>
      </c>
    </row>
    <row r="8462" spans="1:2" x14ac:dyDescent="0.25">
      <c r="A8462">
        <f ca="1">38739.7083040444*((RANDBETWEEN(1587,2416)))</f>
        <v>83212893.437087342</v>
      </c>
      <c r="B8462">
        <v>238154618.55077845</v>
      </c>
    </row>
    <row r="8463" spans="1:2" x14ac:dyDescent="0.25">
      <c r="A8463">
        <f ca="1">30780.177077308*((RANDBETWEEN(1587,2416)))</f>
        <v>61160211.852611013</v>
      </c>
      <c r="B8463">
        <v>208626748.90393618</v>
      </c>
    </row>
    <row r="8464" spans="1:2" x14ac:dyDescent="0.25">
      <c r="A8464">
        <f ca="1">32353.7462455386*((RANDBETWEEN(1587,2416)))</f>
        <v>72051792.888814375</v>
      </c>
      <c r="B8464">
        <v>260696377.80035603</v>
      </c>
    </row>
    <row r="8465" spans="1:2" x14ac:dyDescent="0.25">
      <c r="A8465">
        <f ca="1">37178.1084716892*((RANDBETWEEN(1587,2416)))</f>
        <v>65842430.10336151</v>
      </c>
      <c r="B8465">
        <v>230760204.4806549</v>
      </c>
    </row>
    <row r="8466" spans="1:2" x14ac:dyDescent="0.25">
      <c r="A8466">
        <f ca="1">30058.6706611535*((RANDBETWEEN(1587,2416)))</f>
        <v>71599753.514867559</v>
      </c>
      <c r="B8466">
        <v>254467901.52927822</v>
      </c>
    </row>
    <row r="8467" spans="1:2" x14ac:dyDescent="0.25">
      <c r="A8467">
        <f ca="1">40525.8049835387*((RANDBETWEEN(1587,2416)))</f>
        <v>69663858.766703054</v>
      </c>
      <c r="B8467">
        <v>242281214.57821566</v>
      </c>
    </row>
    <row r="8468" spans="1:2" x14ac:dyDescent="0.25">
      <c r="A8468">
        <f ca="1">31512.1812640504*((RANDBETWEEN(1587,2416)))</f>
        <v>63244947.796949081</v>
      </c>
      <c r="B8468">
        <v>236321303.33689004</v>
      </c>
    </row>
    <row r="8469" spans="1:2" x14ac:dyDescent="0.25">
      <c r="A8469">
        <f ca="1">28551.3529552889*((RANDBETWEEN(1587,2416)))</f>
        <v>49365289.259694457</v>
      </c>
      <c r="B8469">
        <v>258046021.25537515</v>
      </c>
    </row>
    <row r="8470" spans="1:2" x14ac:dyDescent="0.25">
      <c r="A8470">
        <f ca="1">32618.3886142918*((RANDBETWEEN(1587,2416)))</f>
        <v>70260009.075184435</v>
      </c>
      <c r="B8470">
        <v>257297273.11801895</v>
      </c>
    </row>
    <row r="8471" spans="1:2" x14ac:dyDescent="0.25">
      <c r="A8471">
        <f ca="1">42479.7789458663*((RANDBETWEEN(1587,2416)))</f>
        <v>88272980.6495101</v>
      </c>
      <c r="B8471">
        <v>258147133.6584672</v>
      </c>
    </row>
    <row r="8472" spans="1:2" x14ac:dyDescent="0.25">
      <c r="A8472">
        <f ca="1">31771.5207992192*((RANDBETWEEN(1587,2416)))</f>
        <v>60397661.039315648</v>
      </c>
      <c r="B8472">
        <v>221286017.17492977</v>
      </c>
    </row>
    <row r="8473" spans="1:2" x14ac:dyDescent="0.25">
      <c r="A8473">
        <f ca="1">29885.712372508*((RANDBETWEEN(1587,2416)))</f>
        <v>62640453.132776737</v>
      </c>
      <c r="B8473">
        <v>238621493.42277887</v>
      </c>
    </row>
    <row r="8474" spans="1:2" x14ac:dyDescent="0.25">
      <c r="A8474">
        <f ca="1">31253.0819296373*((RANDBETWEEN(1587,2416)))</f>
        <v>60599725.86156673</v>
      </c>
      <c r="B8474">
        <v>263311026.01682949</v>
      </c>
    </row>
    <row r="8475" spans="1:2" x14ac:dyDescent="0.25">
      <c r="A8475">
        <f ca="1">32080.637357068*((RANDBETWEEN(1587,2416)))</f>
        <v>53350099.924804106</v>
      </c>
      <c r="B8475">
        <v>235214993.4470976</v>
      </c>
    </row>
    <row r="8476" spans="1:2" x14ac:dyDescent="0.25">
      <c r="A8476">
        <f ca="1">33061.6808568848*((RANDBETWEEN(1587,2416)))</f>
        <v>63412303.883505061</v>
      </c>
      <c r="B8476">
        <v>263733647.01118392</v>
      </c>
    </row>
    <row r="8477" spans="1:2" x14ac:dyDescent="0.25">
      <c r="A8477">
        <f ca="1">34156.7207103865*((RANDBETWEEN(1587,2416)))</f>
        <v>78492144.192468107</v>
      </c>
      <c r="B8477">
        <v>245137654.04638624</v>
      </c>
    </row>
    <row r="8478" spans="1:2" x14ac:dyDescent="0.25">
      <c r="A8478">
        <f ca="1">39353.6198949052*((RANDBETWEEN(1587,2416)))</f>
        <v>79533665.807603434</v>
      </c>
      <c r="B8478">
        <v>215955768.9303658</v>
      </c>
    </row>
    <row r="8479" spans="1:2" x14ac:dyDescent="0.25">
      <c r="A8479">
        <f ca="1">41426.294635778*((RANDBETWEEN(1587,2416)))</f>
        <v>91676390.028976813</v>
      </c>
      <c r="B8479">
        <v>262061916.60870633</v>
      </c>
    </row>
    <row r="8480" spans="1:2" x14ac:dyDescent="0.25">
      <c r="A8480">
        <f ca="1">33678.7811877695*((RANDBETWEEN(1587,2416)))</f>
        <v>66212483.815154918</v>
      </c>
      <c r="B8480">
        <v>217005865.16467911</v>
      </c>
    </row>
    <row r="8481" spans="1:2" x14ac:dyDescent="0.25">
      <c r="A8481">
        <f ca="1">37416.0309644347*((RANDBETWEEN(1587,2416)))</f>
        <v>70117642.027350649</v>
      </c>
      <c r="B8481">
        <v>207932272.299137</v>
      </c>
    </row>
    <row r="8482" spans="1:2" x14ac:dyDescent="0.25">
      <c r="A8482">
        <f ca="1">30471.2850353304*((RANDBETWEEN(1587,2416)))</f>
        <v>52898150.82133355</v>
      </c>
      <c r="B8482">
        <v>243614255.45627996</v>
      </c>
    </row>
    <row r="8483" spans="1:2" x14ac:dyDescent="0.25">
      <c r="A8483">
        <f ca="1">35997.9223191549*((RANDBETWEEN(1587,2416)))</f>
        <v>72499815.550777987</v>
      </c>
      <c r="B8483">
        <v>238713435.7844474</v>
      </c>
    </row>
    <row r="8484" spans="1:2" x14ac:dyDescent="0.25">
      <c r="A8484">
        <f ca="1">29801.5875986909*((RANDBETWEEN(1587,2416)))</f>
        <v>61748889.504487745</v>
      </c>
      <c r="B8484">
        <v>214191623.14269191</v>
      </c>
    </row>
    <row r="8485" spans="1:2" x14ac:dyDescent="0.25">
      <c r="A8485">
        <f ca="1">33585.5928338952*((RANDBETWEEN(1587,2416)))</f>
        <v>60017454.394170761</v>
      </c>
      <c r="B8485">
        <v>253300554.87053648</v>
      </c>
    </row>
    <row r="8486" spans="1:2" x14ac:dyDescent="0.25">
      <c r="A8486">
        <f ca="1">33829.205958666*((RANDBETWEEN(1587,2416)))</f>
        <v>70838357.277446523</v>
      </c>
      <c r="B8486">
        <v>228101964.48978931</v>
      </c>
    </row>
    <row r="8487" spans="1:2" x14ac:dyDescent="0.25">
      <c r="A8487">
        <f ca="1">29223.8006484652*((RANDBETWEEN(1587,2416)))</f>
        <v>49505118.298500113</v>
      </c>
      <c r="B8487">
        <v>203769692.01933178</v>
      </c>
    </row>
    <row r="8488" spans="1:2" x14ac:dyDescent="0.25">
      <c r="A8488">
        <f ca="1">33999.6649286614*((RANDBETWEEN(1587,2416)))</f>
        <v>57153436.7450798</v>
      </c>
      <c r="B8488">
        <v>239194453.02789953</v>
      </c>
    </row>
    <row r="8489" spans="1:2" x14ac:dyDescent="0.25">
      <c r="A8489">
        <f ca="1">33403.0666663879*((RANDBETWEEN(1587,2416)))</f>
        <v>58989815.732841074</v>
      </c>
      <c r="B8489">
        <v>243825177.5926618</v>
      </c>
    </row>
    <row r="8490" spans="1:2" x14ac:dyDescent="0.25">
      <c r="A8490">
        <f ca="1">36953.5976762307*((RANDBETWEEN(1587,2416)))</f>
        <v>81445729.278412357</v>
      </c>
      <c r="B8490">
        <v>229566482.00528377</v>
      </c>
    </row>
    <row r="8491" spans="1:2" x14ac:dyDescent="0.25">
      <c r="A8491">
        <f ca="1">32742.7829219234*((RANDBETWEEN(1587,2416)))</f>
        <v>59035237.608227856</v>
      </c>
      <c r="B8491">
        <v>264724635.90070152</v>
      </c>
    </row>
    <row r="8492" spans="1:2" x14ac:dyDescent="0.25">
      <c r="A8492">
        <f ca="1">29861.4760667353*((RANDBETWEEN(1587,2416)))</f>
        <v>68173749.860356688</v>
      </c>
      <c r="B8492">
        <v>220384564.69716901</v>
      </c>
    </row>
    <row r="8493" spans="1:2" x14ac:dyDescent="0.25">
      <c r="A8493">
        <f ca="1">30226.8341065485*((RANDBETWEEN(1587,2416)))</f>
        <v>58368016.65974512</v>
      </c>
      <c r="B8493">
        <v>259536178.71026838</v>
      </c>
    </row>
    <row r="8494" spans="1:2" x14ac:dyDescent="0.25">
      <c r="A8494">
        <f ca="1">29710.5973648281*((RANDBETWEEN(1587,2416)))</f>
        <v>70414115.754642487</v>
      </c>
      <c r="B8494">
        <v>248562464.61696839</v>
      </c>
    </row>
    <row r="8495" spans="1:2" x14ac:dyDescent="0.25">
      <c r="A8495">
        <f ca="1">33050.4042041762*((RANDBETWEEN(1587,2416)))</f>
        <v>63159322.434180774</v>
      </c>
      <c r="B8495">
        <v>213140124.86837798</v>
      </c>
    </row>
    <row r="8496" spans="1:2" x14ac:dyDescent="0.25">
      <c r="A8496">
        <f ca="1">35925.0617562407*((RANDBETWEEN(1587,2416)))</f>
        <v>62689232.76464007</v>
      </c>
      <c r="B8496">
        <v>227593552.99200895</v>
      </c>
    </row>
    <row r="8497" spans="1:2" x14ac:dyDescent="0.25">
      <c r="A8497">
        <f ca="1">32157.5085599743*((RANDBETWEEN(1587,2416)))</f>
        <v>73672852.110901043</v>
      </c>
      <c r="B8497">
        <v>267357123.32077268</v>
      </c>
    </row>
    <row r="8498" spans="1:2" x14ac:dyDescent="0.25">
      <c r="A8498">
        <f ca="1">30899.4126840086*((RANDBETWEEN(1587,2416)))</f>
        <v>55031853.990219317</v>
      </c>
      <c r="B8498">
        <v>240346284.03005177</v>
      </c>
    </row>
    <row r="8499" spans="1:2" x14ac:dyDescent="0.25">
      <c r="A8499">
        <f ca="1">32267.7363448687*((RANDBETWEEN(1587,2416)))</f>
        <v>62438069.827320859</v>
      </c>
      <c r="B8499">
        <v>239200840.16051707</v>
      </c>
    </row>
    <row r="8500" spans="1:2" x14ac:dyDescent="0.25">
      <c r="A8500">
        <f ca="1">31111.8110143053*((RANDBETWEEN(1587,2416)))</f>
        <v>67948195.25524281</v>
      </c>
      <c r="B8500">
        <v>211625006.75074917</v>
      </c>
    </row>
    <row r="8501" spans="1:2" x14ac:dyDescent="0.25">
      <c r="A8501">
        <f ca="1">35432.651538262*((RANDBETWEEN(1587,2416)))</f>
        <v>85144661.646443501</v>
      </c>
      <c r="B8501">
        <v>244435074.82082969</v>
      </c>
    </row>
    <row r="8502" spans="1:2" x14ac:dyDescent="0.25">
      <c r="A8502">
        <f ca="1">29141.1961374485*((RANDBETWEEN(1587,2416)))</f>
        <v>60380558.396793202</v>
      </c>
      <c r="B8502">
        <v>213319041.91639745</v>
      </c>
    </row>
    <row r="8503" spans="1:2" x14ac:dyDescent="0.25">
      <c r="A8503">
        <f ca="1">30490.1704112202*((RANDBETWEEN(1587,2416)))</f>
        <v>67596707.80167526</v>
      </c>
      <c r="B8503">
        <v>237032334.81766397</v>
      </c>
    </row>
    <row r="8504" spans="1:2" x14ac:dyDescent="0.25">
      <c r="A8504">
        <f ca="1">32475.8255783965*((RANDBETWEEN(1587,2416)))</f>
        <v>72680897.64445132</v>
      </c>
      <c r="B8504">
        <v>221412654.61111972</v>
      </c>
    </row>
    <row r="8505" spans="1:2" x14ac:dyDescent="0.25">
      <c r="A8505">
        <f ca="1">34164.9579619435*((RANDBETWEEN(1587,2416)))</f>
        <v>62795192.734052077</v>
      </c>
      <c r="B8505">
        <v>247387961.78416449</v>
      </c>
    </row>
    <row r="8506" spans="1:2" x14ac:dyDescent="0.25">
      <c r="A8506">
        <f ca="1">32432.207792196*((RANDBETWEEN(1587,2416)))</f>
        <v>71123831.688285917</v>
      </c>
      <c r="B8506">
        <v>233806202.01133186</v>
      </c>
    </row>
    <row r="8507" spans="1:2" x14ac:dyDescent="0.25">
      <c r="A8507">
        <f ca="1">38391.432364202*((RANDBETWEEN(1587,2416)))</f>
        <v>73941898.73345305</v>
      </c>
      <c r="B8507">
        <v>237573141.9113071</v>
      </c>
    </row>
    <row r="8508" spans="1:2" x14ac:dyDescent="0.25">
      <c r="A8508">
        <f ca="1">29737.9424876578*((RANDBETWEEN(1587,2416)))</f>
        <v>63520245.153637059</v>
      </c>
      <c r="B8508">
        <v>264660042.82612053</v>
      </c>
    </row>
    <row r="8509" spans="1:2" x14ac:dyDescent="0.25">
      <c r="A8509">
        <f ca="1">32077.2776044947*((RANDBETWEEN(1587,2416)))</f>
        <v>73745661.212733239</v>
      </c>
      <c r="B8509">
        <v>250567782.69947204</v>
      </c>
    </row>
    <row r="8510" spans="1:2" x14ac:dyDescent="0.25">
      <c r="A8510">
        <f ca="1">30337.9006904143*((RANDBETWEEN(1587,2416)))</f>
        <v>53819435.824794903</v>
      </c>
      <c r="B8510">
        <v>257365510.03189564</v>
      </c>
    </row>
    <row r="8511" spans="1:2" x14ac:dyDescent="0.25">
      <c r="A8511">
        <f ca="1">39456.2532982465*((RANDBETWEEN(1587,2416)))</f>
        <v>82187375.620247409</v>
      </c>
      <c r="B8511">
        <v>233981436.9188945</v>
      </c>
    </row>
    <row r="8512" spans="1:2" x14ac:dyDescent="0.25">
      <c r="A8512">
        <f ca="1">32267.8706298397*((RANDBETWEEN(1587,2416)))</f>
        <v>77055675.064057186</v>
      </c>
      <c r="B8512">
        <v>248983391.15833899</v>
      </c>
    </row>
    <row r="8513" spans="1:2" x14ac:dyDescent="0.25">
      <c r="A8513">
        <f ca="1">30727.7358461858*((RANDBETWEEN(1587,2416)))</f>
        <v>52605883.768670157</v>
      </c>
      <c r="B8513">
        <v>232925974.11015815</v>
      </c>
    </row>
    <row r="8514" spans="1:2" x14ac:dyDescent="0.25">
      <c r="A8514">
        <f ca="1">36603.6329349703*((RANDBETWEEN(1587,2416)))</f>
        <v>83968733.952821866</v>
      </c>
      <c r="B8514">
        <v>211698756.96342289</v>
      </c>
    </row>
    <row r="8515" spans="1:2" x14ac:dyDescent="0.25">
      <c r="A8515">
        <f ca="1">30283.8569171617*((RANDBETWEEN(1587,2416)))</f>
        <v>55903999.869080417</v>
      </c>
      <c r="B8515">
        <v>254877754.00541735</v>
      </c>
    </row>
    <row r="8516" spans="1:2" x14ac:dyDescent="0.25">
      <c r="A8516">
        <f ca="1">40718.9735584435*((RANDBETWEEN(1587,2416)))</f>
        <v>77936115.390860766</v>
      </c>
      <c r="B8516">
        <v>267902307.93505713</v>
      </c>
    </row>
    <row r="8517" spans="1:2" x14ac:dyDescent="0.25">
      <c r="A8517">
        <f ca="1">39367.137194716*((RANDBETWEEN(1587,2416)))</f>
        <v>63341723.746298082</v>
      </c>
      <c r="B8517">
        <v>262324180.88395804</v>
      </c>
    </row>
    <row r="8518" spans="1:2" x14ac:dyDescent="0.25">
      <c r="A8518">
        <f ca="1">29929.4594077437*((RANDBETWEEN(1587,2416)))</f>
        <v>47557910.998904683</v>
      </c>
      <c r="B8518">
        <v>241360670.81674412</v>
      </c>
    </row>
    <row r="8519" spans="1:2" x14ac:dyDescent="0.25">
      <c r="A8519">
        <f ca="1">33917.858229298*((RANDBETWEEN(1587,2416)))</f>
        <v>81368941.892085999</v>
      </c>
      <c r="B8519">
        <v>222617404.26679108</v>
      </c>
    </row>
    <row r="8520" spans="1:2" x14ac:dyDescent="0.25">
      <c r="A8520">
        <f ca="1">36952.4810981741*((RANDBETWEEN(1587,2416)))</f>
        <v>58865302.389391288</v>
      </c>
      <c r="B8520">
        <v>243708664.03267765</v>
      </c>
    </row>
    <row r="8521" spans="1:2" x14ac:dyDescent="0.25">
      <c r="A8521">
        <f ca="1">39214.1861351222*((RANDBETWEEN(1587,2416)))</f>
        <v>70938462.718436033</v>
      </c>
      <c r="B8521">
        <v>215834538.41278341</v>
      </c>
    </row>
    <row r="8522" spans="1:2" x14ac:dyDescent="0.25">
      <c r="A8522">
        <f ca="1">37146.1631643649*((RANDBETWEEN(1587,2416)))</f>
        <v>71766387.233553007</v>
      </c>
      <c r="B8522">
        <v>256153345.61909649</v>
      </c>
    </row>
    <row r="8523" spans="1:2" x14ac:dyDescent="0.25">
      <c r="A8523">
        <f ca="1">31721.7312035115*((RANDBETWEEN(1587,2416)))</f>
        <v>73689581.585757285</v>
      </c>
      <c r="B8523">
        <v>206129409.75162894</v>
      </c>
    </row>
    <row r="8524" spans="1:2" x14ac:dyDescent="0.25">
      <c r="A8524">
        <f ca="1">31721.0731861847*((RANDBETWEEN(1587,2416)))</f>
        <v>53576892.611466028</v>
      </c>
      <c r="B8524">
        <v>255395497.20295706</v>
      </c>
    </row>
    <row r="8525" spans="1:2" x14ac:dyDescent="0.25">
      <c r="A8525">
        <f ca="1">30491.1452110324*((RANDBETWEEN(1587,2416)))</f>
        <v>55067008.251124553</v>
      </c>
      <c r="B8525">
        <v>234405418.89658558</v>
      </c>
    </row>
    <row r="8526" spans="1:2" x14ac:dyDescent="0.25">
      <c r="A8526">
        <f ca="1">31808.7182405486*((RANDBETWEEN(1587,2416)))</f>
        <v>61454443.640739836</v>
      </c>
      <c r="B8526">
        <v>264941112.42992321</v>
      </c>
    </row>
    <row r="8527" spans="1:2" x14ac:dyDescent="0.25">
      <c r="A8527">
        <f ca="1">37115.5662066487*((RANDBETWEEN(1587,2416)))</f>
        <v>86219460.298044994</v>
      </c>
      <c r="B8527">
        <v>240703374.18426353</v>
      </c>
    </row>
    <row r="8528" spans="1:2" x14ac:dyDescent="0.25">
      <c r="A8528">
        <f ca="1">36960.4618977252*((RANDBETWEEN(1587,2416)))</f>
        <v>58767134.417383</v>
      </c>
      <c r="B8528">
        <v>210096577.91826892</v>
      </c>
    </row>
    <row r="8529" spans="1:2" x14ac:dyDescent="0.25">
      <c r="A8529">
        <f ca="1">38386.6708198263*((RANDBETWEEN(1587,2416)))</f>
        <v>71975007.78717424</v>
      </c>
      <c r="B8529">
        <v>245477784.67138934</v>
      </c>
    </row>
    <row r="8530" spans="1:2" x14ac:dyDescent="0.25">
      <c r="A8530">
        <f ca="1">32365.8667698773*((RANDBETWEEN(1587,2416)))</f>
        <v>73276322.367002189</v>
      </c>
      <c r="B8530">
        <v>210688290.66410461</v>
      </c>
    </row>
    <row r="8531" spans="1:2" x14ac:dyDescent="0.25">
      <c r="A8531">
        <f ca="1">31263.1282596373*((RANDBETWEEN(1587,2416)))</f>
        <v>58993523.025935642</v>
      </c>
      <c r="B8531">
        <v>218248266.11947724</v>
      </c>
    </row>
    <row r="8532" spans="1:2" x14ac:dyDescent="0.25">
      <c r="A8532">
        <f ca="1">30953.9926951903*((RANDBETWEEN(1587,2416)))</f>
        <v>54757613.077791654</v>
      </c>
      <c r="B8532">
        <v>258173453.11170989</v>
      </c>
    </row>
    <row r="8533" spans="1:2" x14ac:dyDescent="0.25">
      <c r="A8533">
        <f ca="1">34049.6792494895*((RANDBETWEEN(1587,2416)))</f>
        <v>72730114.876909554</v>
      </c>
      <c r="B8533">
        <v>255449970.72105575</v>
      </c>
    </row>
    <row r="8534" spans="1:2" x14ac:dyDescent="0.25">
      <c r="A8534">
        <f ca="1">36789.9141753163*((RANDBETWEEN(1587,2416)))</f>
        <v>75824013.115326986</v>
      </c>
      <c r="B8534">
        <v>237368798.72543997</v>
      </c>
    </row>
    <row r="8535" spans="1:2" x14ac:dyDescent="0.25">
      <c r="A8535">
        <f ca="1">36634.8087290497*((RANDBETWEEN(1587,2416)))</f>
        <v>78251951.445250243</v>
      </c>
      <c r="B8535">
        <v>251846443.51499802</v>
      </c>
    </row>
    <row r="8536" spans="1:2" x14ac:dyDescent="0.25">
      <c r="A8536">
        <f ca="1">30316.8395283676*((RANDBETWEEN(1587,2416)))</f>
        <v>55782984.732196324</v>
      </c>
      <c r="B8536">
        <v>252670445.55568498</v>
      </c>
    </row>
    <row r="8537" spans="1:2" x14ac:dyDescent="0.25">
      <c r="A8537">
        <f ca="1">39398.1331503702*((RANDBETWEEN(1587,2416)))</f>
        <v>89118577.186137393</v>
      </c>
      <c r="B8537">
        <v>263300839.29295945</v>
      </c>
    </row>
    <row r="8538" spans="1:2" x14ac:dyDescent="0.25">
      <c r="A8538">
        <f ca="1">34037.485145051*((RANDBETWEEN(1587,2416)))</f>
        <v>65556196.389368147</v>
      </c>
      <c r="B8538">
        <v>208790463.78830612</v>
      </c>
    </row>
    <row r="8539" spans="1:2" x14ac:dyDescent="0.25">
      <c r="A8539">
        <f ca="1">32197.9053815068*((RANDBETWEEN(1587,2416)))</f>
        <v>69966048.394014373</v>
      </c>
      <c r="B8539">
        <v>255096960.16334295</v>
      </c>
    </row>
    <row r="8540" spans="1:2" x14ac:dyDescent="0.25">
      <c r="A8540">
        <f ca="1">33848.9918601496*((RANDBETWEEN(1587,2416)))</f>
        <v>58186417.007597141</v>
      </c>
      <c r="B8540">
        <v>244366432.59781983</v>
      </c>
    </row>
    <row r="8541" spans="1:2" x14ac:dyDescent="0.25">
      <c r="A8541">
        <f ca="1">30744.4829734155*((RANDBETWEEN(1587,2416)))</f>
        <v>52450087.952646896</v>
      </c>
      <c r="B8541">
        <v>229186904.43238601</v>
      </c>
    </row>
    <row r="8542" spans="1:2" x14ac:dyDescent="0.25">
      <c r="A8542">
        <f ca="1">37444.9797893607*((RANDBETWEEN(1587,2416)))</f>
        <v>75002294.518089563</v>
      </c>
      <c r="B8542">
        <v>209374785.07481796</v>
      </c>
    </row>
    <row r="8543" spans="1:2" x14ac:dyDescent="0.25">
      <c r="A8543">
        <f ca="1">32968.4925551669*((RANDBETWEEN(1587,2416)))</f>
        <v>73091147.994805112</v>
      </c>
      <c r="B8543">
        <v>248483686.12377608</v>
      </c>
    </row>
    <row r="8544" spans="1:2" x14ac:dyDescent="0.25">
      <c r="A8544">
        <f ca="1">33223.312279751*((RANDBETWEEN(1587,2416)))</f>
        <v>60931554.721063256</v>
      </c>
      <c r="B8544">
        <v>263997630.6556749</v>
      </c>
    </row>
    <row r="8545" spans="1:2" x14ac:dyDescent="0.25">
      <c r="A8545">
        <f ca="1">29351.2538764872*((RANDBETWEEN(1587,2416)))</f>
        <v>60228772.954551816</v>
      </c>
      <c r="B8545">
        <v>263631331.73707396</v>
      </c>
    </row>
    <row r="8546" spans="1:2" x14ac:dyDescent="0.25">
      <c r="A8546">
        <f ca="1">37219.6799731369*((RANDBETWEEN(1587,2416)))</f>
        <v>82590469.860390827</v>
      </c>
      <c r="B8546">
        <v>228716637.40344879</v>
      </c>
    </row>
    <row r="8547" spans="1:2" x14ac:dyDescent="0.25">
      <c r="A8547">
        <f ca="1">37866.5984356265*((RANDBETWEEN(1587,2416)))</f>
        <v>64865483.120228261</v>
      </c>
      <c r="B8547">
        <v>210735578.59964389</v>
      </c>
    </row>
    <row r="8548" spans="1:2" x14ac:dyDescent="0.25">
      <c r="A8548">
        <f ca="1">31338.7228253315*((RANDBETWEEN(1587,2416)))</f>
        <v>50267311.411831677</v>
      </c>
      <c r="B8548">
        <v>211298307.40002587</v>
      </c>
    </row>
    <row r="8549" spans="1:2" x14ac:dyDescent="0.25">
      <c r="A8549">
        <f ca="1">31629.6118304423*((RANDBETWEEN(1587,2416)))</f>
        <v>58103596.932522528</v>
      </c>
      <c r="B8549">
        <v>238767143.21745807</v>
      </c>
    </row>
    <row r="8550" spans="1:2" x14ac:dyDescent="0.25">
      <c r="A8550">
        <f ca="1">35921.0084643169*((RANDBETWEEN(1587,2416)))</f>
        <v>65555840.447378308</v>
      </c>
      <c r="B8550">
        <v>257946550.42812672</v>
      </c>
    </row>
    <row r="8551" spans="1:2" x14ac:dyDescent="0.25">
      <c r="A8551">
        <f ca="1">39005.1938912772*((RANDBETWEEN(1587,2416)))</f>
        <v>66581865.972410187</v>
      </c>
      <c r="B8551">
        <v>265483958.6993309</v>
      </c>
    </row>
    <row r="8552" spans="1:2" x14ac:dyDescent="0.25">
      <c r="A8552">
        <f ca="1">33288.661454446*((RANDBETWEEN(1587,2416)))</f>
        <v>72868879.923782349</v>
      </c>
      <c r="B8552">
        <v>249724423.56923816</v>
      </c>
    </row>
    <row r="8553" spans="1:2" x14ac:dyDescent="0.25">
      <c r="A8553">
        <f ca="1">32778.1646239904*((RANDBETWEEN(1587,2416)))</f>
        <v>58869583.664686732</v>
      </c>
      <c r="B8553">
        <v>218473342.94705606</v>
      </c>
    </row>
    <row r="8554" spans="1:2" x14ac:dyDescent="0.25">
      <c r="A8554">
        <f ca="1">41920.1982812191*((RANDBETWEEN(1587,2416)))</f>
        <v>72144661.241978079</v>
      </c>
      <c r="B8554">
        <v>204887967.05514541</v>
      </c>
    </row>
    <row r="8555" spans="1:2" x14ac:dyDescent="0.25">
      <c r="A8555">
        <f ca="1">36008.3879850918*((RANDBETWEEN(1587,2416)))</f>
        <v>63446779.629731677</v>
      </c>
      <c r="B8555">
        <v>232240037.91362083</v>
      </c>
    </row>
    <row r="8556" spans="1:2" x14ac:dyDescent="0.25">
      <c r="A8556">
        <f ca="1">31968.852733421*((RANDBETWEEN(1587,2416)))</f>
        <v>62658951.35750515</v>
      </c>
      <c r="B8556">
        <v>267202438.61428767</v>
      </c>
    </row>
    <row r="8557" spans="1:2" x14ac:dyDescent="0.25">
      <c r="A8557">
        <f ca="1">35467.4263234785*((RANDBETWEEN(1587,2416)))</f>
        <v>74446127.852981374</v>
      </c>
      <c r="B8557">
        <v>240176991.36887127</v>
      </c>
    </row>
    <row r="8558" spans="1:2" x14ac:dyDescent="0.25">
      <c r="A8558">
        <f ca="1">35361.0357292477*((RANDBETWEEN(1587,2416)))</f>
        <v>65064305.741815858</v>
      </c>
      <c r="B8558">
        <v>239898880.69413596</v>
      </c>
    </row>
    <row r="8559" spans="1:2" x14ac:dyDescent="0.25">
      <c r="A8559">
        <f ca="1">31761.6728092069*((RANDBETWEEN(1587,2416)))</f>
        <v>68414643.231031686</v>
      </c>
      <c r="B8559">
        <v>244303485.69237462</v>
      </c>
    </row>
    <row r="8560" spans="1:2" x14ac:dyDescent="0.25">
      <c r="A8560">
        <f ca="1">36970.1037694124*((RANDBETWEEN(1587,2416)))</f>
        <v>65141322.841704682</v>
      </c>
      <c r="B8560">
        <v>214199762.28900325</v>
      </c>
    </row>
    <row r="8561" spans="1:2" x14ac:dyDescent="0.25">
      <c r="A8561">
        <f ca="1">31442.6244823958*((RANDBETWEEN(1587,2416)))</f>
        <v>72946888.799158275</v>
      </c>
      <c r="B8561">
        <v>215237046.43952507</v>
      </c>
    </row>
    <row r="8562" spans="1:2" x14ac:dyDescent="0.25">
      <c r="A8562">
        <f ca="1">31228.8648402852*((RANDBETWEEN(1587,2416)))</f>
        <v>61489634.870521493</v>
      </c>
      <c r="B8562">
        <v>240504606.16923934</v>
      </c>
    </row>
    <row r="8563" spans="1:2" x14ac:dyDescent="0.25">
      <c r="A8563">
        <f ca="1">34375.9771734623*((RANDBETWEEN(1587,2416)))</f>
        <v>63595557.770905197</v>
      </c>
      <c r="B8563">
        <v>239104416.68372196</v>
      </c>
    </row>
    <row r="8564" spans="1:2" x14ac:dyDescent="0.25">
      <c r="A8564">
        <f ca="1">40250.4528497329*((RANDBETWEEN(1587,2416)))</f>
        <v>79655646.189621404</v>
      </c>
      <c r="B8564">
        <v>205447821.62409949</v>
      </c>
    </row>
    <row r="8565" spans="1:2" x14ac:dyDescent="0.25">
      <c r="A8565">
        <f ca="1">29964.8351016353*((RANDBETWEEN(1587,2416)))</f>
        <v>51539516.37481267</v>
      </c>
      <c r="B8565">
        <v>240811169.55439252</v>
      </c>
    </row>
    <row r="8566" spans="1:2" x14ac:dyDescent="0.25">
      <c r="A8566">
        <f ca="1">33824.1610059778*((RANDBETWEEN(1587,2416)))</f>
        <v>80467679.033221155</v>
      </c>
      <c r="B8566">
        <v>245026034.26181379</v>
      </c>
    </row>
    <row r="8567" spans="1:2" x14ac:dyDescent="0.25">
      <c r="A8567">
        <f ca="1">31785.5311263418*((RANDBETWEEN(1587,2416)))</f>
        <v>66336403.460675344</v>
      </c>
      <c r="B8567">
        <v>216627347.65569323</v>
      </c>
    </row>
    <row r="8568" spans="1:2" x14ac:dyDescent="0.25">
      <c r="A8568">
        <f ca="1">38064.5162050996*((RANDBETWEEN(1587,2416)))</f>
        <v>76661935.637070671</v>
      </c>
      <c r="B8568">
        <v>264537715.91224664</v>
      </c>
    </row>
    <row r="8569" spans="1:2" x14ac:dyDescent="0.25">
      <c r="A8569">
        <f ca="1">31731.5051694482*((RANDBETWEEN(1587,2416)))</f>
        <v>64859196.56635204</v>
      </c>
      <c r="B8569">
        <v>217157437.76107883</v>
      </c>
    </row>
    <row r="8570" spans="1:2" x14ac:dyDescent="0.25">
      <c r="A8570">
        <f ca="1">35823.2832340706*((RANDBETWEEN(1587,2416)))</f>
        <v>82286081.588660106</v>
      </c>
      <c r="B8570">
        <v>259588571.08806995</v>
      </c>
    </row>
    <row r="8571" spans="1:2" x14ac:dyDescent="0.25">
      <c r="A8571">
        <f ca="1">30459.9527882466*((RANDBETWEEN(1587,2416)))</f>
        <v>66920516.275777824</v>
      </c>
      <c r="B8571">
        <v>261041564.98829797</v>
      </c>
    </row>
    <row r="8572" spans="1:2" x14ac:dyDescent="0.25">
      <c r="A8572">
        <f ca="1">30523.6996389216*((RANDBETWEEN(1587,2416)))</f>
        <v>72005407.448216036</v>
      </c>
      <c r="B8572">
        <v>255047594.19855472</v>
      </c>
    </row>
    <row r="8573" spans="1:2" x14ac:dyDescent="0.25">
      <c r="A8573">
        <f ca="1">30354.8703794606*((RANDBETWEEN(1587,2416)))</f>
        <v>71941042.799321681</v>
      </c>
      <c r="B8573">
        <v>215545166.87581486</v>
      </c>
    </row>
    <row r="8574" spans="1:2" x14ac:dyDescent="0.25">
      <c r="A8574">
        <f ca="1">32340.6361745365*((RANDBETWEEN(1587,2416)))</f>
        <v>56466750.760740712</v>
      </c>
      <c r="B8574">
        <v>225213755.43449837</v>
      </c>
    </row>
    <row r="8575" spans="1:2" x14ac:dyDescent="0.25">
      <c r="A8575">
        <f ca="1">31810.7328381092*((RANDBETWEEN(1587,2416)))</f>
        <v>72369417.206698418</v>
      </c>
      <c r="B8575">
        <v>259286491.35936689</v>
      </c>
    </row>
    <row r="8576" spans="1:2" x14ac:dyDescent="0.25">
      <c r="A8576">
        <f ca="1">38593.275470785*((RANDBETWEEN(1587,2416)))</f>
        <v>86140190.850792229</v>
      </c>
      <c r="B8576">
        <v>205955756.23402584</v>
      </c>
    </row>
    <row r="8577" spans="1:2" x14ac:dyDescent="0.25">
      <c r="A8577">
        <f ca="1">31771.5918683914*((RANDBETWEEN(1587,2416)))</f>
        <v>67800577.047147274</v>
      </c>
      <c r="B8577">
        <v>265618630.40753758</v>
      </c>
    </row>
    <row r="8578" spans="1:2" x14ac:dyDescent="0.25">
      <c r="A8578">
        <f ca="1">42103.1887823342*((RANDBETWEEN(1587,2416)))</f>
        <v>101258169.02151382</v>
      </c>
      <c r="B8578">
        <v>237428766.43784082</v>
      </c>
    </row>
    <row r="8579" spans="1:2" x14ac:dyDescent="0.25">
      <c r="A8579">
        <f ca="1">34473.1320868603*((RANDBETWEEN(1587,2416)))</f>
        <v>63258197.379388705</v>
      </c>
      <c r="B8579">
        <v>265397636.88776049</v>
      </c>
    </row>
    <row r="8580" spans="1:2" x14ac:dyDescent="0.25">
      <c r="A8580">
        <f ca="1">37860.6747099263*((RANDBETWEEN(1587,2416)))</f>
        <v>66029016.694111548</v>
      </c>
      <c r="B8580">
        <v>233400104.60841063</v>
      </c>
    </row>
    <row r="8581" spans="1:2" x14ac:dyDescent="0.25">
      <c r="A8581">
        <f ca="1">34478.2496713233*((RANDBETWEEN(1587,2416)))</f>
        <v>67887673.602835611</v>
      </c>
      <c r="B8581">
        <v>212554259.84809229</v>
      </c>
    </row>
    <row r="8582" spans="1:2" x14ac:dyDescent="0.25">
      <c r="A8582">
        <f ca="1">31398.1169540409*((RANDBETWEEN(1587,2416)))</f>
        <v>67851330.737682402</v>
      </c>
      <c r="B8582">
        <v>265113516.8405779</v>
      </c>
    </row>
    <row r="8583" spans="1:2" x14ac:dyDescent="0.25">
      <c r="A8583">
        <f ca="1">33020.4290281756*((RANDBETWEEN(1587,2416)))</f>
        <v>75748864.190634832</v>
      </c>
      <c r="B8583">
        <v>215457016.39735731</v>
      </c>
    </row>
    <row r="8584" spans="1:2" x14ac:dyDescent="0.25">
      <c r="A8584">
        <f ca="1">34295.1094595273*((RANDBETWEEN(1587,2416)))</f>
        <v>71505303.223114446</v>
      </c>
      <c r="B8584">
        <v>205175156.21105775</v>
      </c>
    </row>
    <row r="8585" spans="1:2" x14ac:dyDescent="0.25">
      <c r="A8585">
        <f ca="1">33139.3301997601*((RANDBETWEEN(1587,2416)))</f>
        <v>65383898.484126724</v>
      </c>
      <c r="B8585">
        <v>207879207.26862663</v>
      </c>
    </row>
    <row r="8586" spans="1:2" x14ac:dyDescent="0.25">
      <c r="A8586">
        <f ca="1">42521.093845814*((RANDBETWEEN(1587,2416)))</f>
        <v>100817513.5084251</v>
      </c>
      <c r="B8586">
        <v>225287864.88038525</v>
      </c>
    </row>
    <row r="8587" spans="1:2" x14ac:dyDescent="0.25">
      <c r="A8587">
        <f ca="1">28500.3553243584*((RANDBETWEEN(1587,2416)))</f>
        <v>51528642.426439993</v>
      </c>
      <c r="B8587">
        <v>211456928.12385684</v>
      </c>
    </row>
    <row r="8588" spans="1:2" x14ac:dyDescent="0.25">
      <c r="A8588">
        <f ca="1">29554.4300128533*((RANDBETWEEN(1587,2416)))</f>
        <v>56921832.204755478</v>
      </c>
      <c r="B8588">
        <v>222431084.47523868</v>
      </c>
    </row>
    <row r="8589" spans="1:2" x14ac:dyDescent="0.25">
      <c r="A8589">
        <f ca="1">37817.7802241429*((RANDBETWEEN(1587,2416)))</f>
        <v>86111085.57037349</v>
      </c>
      <c r="B8589">
        <v>210941515.74611154</v>
      </c>
    </row>
    <row r="8590" spans="1:2" x14ac:dyDescent="0.25">
      <c r="A8590">
        <f ca="1">30363.6944484084*((RANDBETWEEN(1587,2416)))</f>
        <v>55231560.201654866</v>
      </c>
      <c r="B8590">
        <v>262235640.85063204</v>
      </c>
    </row>
    <row r="8591" spans="1:2" x14ac:dyDescent="0.25">
      <c r="A8591">
        <f ca="1">29460.1837415834*((RANDBETWEEN(1587,2416)))</f>
        <v>53116711.28607481</v>
      </c>
      <c r="B8591">
        <v>224853585.96864977</v>
      </c>
    </row>
    <row r="8592" spans="1:2" x14ac:dyDescent="0.25">
      <c r="A8592">
        <f ca="1">33621.5785903225*((RANDBETWEEN(1587,2416)))</f>
        <v>61090408.29861594</v>
      </c>
      <c r="B8592">
        <v>242294111.82863426</v>
      </c>
    </row>
    <row r="8593" spans="1:2" x14ac:dyDescent="0.25">
      <c r="A8593">
        <f ca="1">32766.249657523*((RANDBETWEEN(1587,2416)))</f>
        <v>71528723.002372801</v>
      </c>
      <c r="B8593">
        <v>234713413.77402732</v>
      </c>
    </row>
    <row r="8594" spans="1:2" x14ac:dyDescent="0.25">
      <c r="A8594">
        <f ca="1">33320.3595839209*((RANDBETWEEN(1587,2416)))</f>
        <v>64574856.873638704</v>
      </c>
      <c r="B8594">
        <v>258449136.50816715</v>
      </c>
    </row>
    <row r="8595" spans="1:2" x14ac:dyDescent="0.25">
      <c r="A8595">
        <f ca="1">38482.5827516918*((RANDBETWEEN(1587,2416)))</f>
        <v>80659493.447546005</v>
      </c>
      <c r="B8595">
        <v>220003724.08501744</v>
      </c>
    </row>
    <row r="8596" spans="1:2" x14ac:dyDescent="0.25">
      <c r="A8596">
        <f ca="1">30768.1621680032*((RANDBETWEEN(1587,2416)))</f>
        <v>58336435.470534161</v>
      </c>
      <c r="B8596">
        <v>238972620.37809104</v>
      </c>
    </row>
    <row r="8597" spans="1:2" x14ac:dyDescent="0.25">
      <c r="A8597">
        <f ca="1">35842.9193876245*((RANDBETWEEN(1587,2416)))</f>
        <v>63621181.913033545</v>
      </c>
      <c r="B8597">
        <v>249242291.92540994</v>
      </c>
    </row>
    <row r="8598" spans="1:2" x14ac:dyDescent="0.25">
      <c r="A8598">
        <f ca="1">32226.4317461951*((RANDBETWEEN(1587,2416)))</f>
        <v>51658970.08915069</v>
      </c>
      <c r="B8598">
        <v>230366993.38280192</v>
      </c>
    </row>
    <row r="8599" spans="1:2" x14ac:dyDescent="0.25">
      <c r="A8599">
        <f ca="1">37135.5745273168*((RANDBETWEEN(1587,2416)))</f>
        <v>64244543.932258025</v>
      </c>
      <c r="B8599">
        <v>204149335.37619537</v>
      </c>
    </row>
    <row r="8600" spans="1:2" x14ac:dyDescent="0.25">
      <c r="A8600">
        <f ca="1">30200.4452625986*((RANDBETWEEN(1587,2416)))</f>
        <v>70457638.797642559</v>
      </c>
      <c r="B8600">
        <v>208380667.84834984</v>
      </c>
    </row>
    <row r="8601" spans="1:2" x14ac:dyDescent="0.25">
      <c r="A8601">
        <f ca="1">39176.4751185026*((RANDBETWEEN(1587,2416)))</f>
        <v>63661772.067566752</v>
      </c>
      <c r="B8601">
        <v>260046703.74837962</v>
      </c>
    </row>
    <row r="8602" spans="1:2" x14ac:dyDescent="0.25">
      <c r="A8602">
        <f ca="1">37850.0669047312*((RANDBETWEEN(1587,2416)))</f>
        <v>60749357.382093593</v>
      </c>
      <c r="B8602">
        <v>211082373.91275382</v>
      </c>
    </row>
    <row r="8603" spans="1:2" x14ac:dyDescent="0.25">
      <c r="A8603">
        <f ca="1">38773.3093722174*((RANDBETWEEN(1587,2416)))</f>
        <v>72932594.929140866</v>
      </c>
      <c r="B8603">
        <v>233559400.17069769</v>
      </c>
    </row>
    <row r="8604" spans="1:2" x14ac:dyDescent="0.25">
      <c r="A8604">
        <f ca="1">43492.8200924595*((RANDBETWEEN(1587,2416)))</f>
        <v>97206452.906646982</v>
      </c>
      <c r="B8604">
        <v>262459970.34855905</v>
      </c>
    </row>
    <row r="8605" spans="1:2" x14ac:dyDescent="0.25">
      <c r="A8605">
        <f ca="1">30401.2574258234*((RANDBETWEEN(1587,2416)))</f>
        <v>55877511.148663394</v>
      </c>
      <c r="B8605">
        <v>232364488.90383172</v>
      </c>
    </row>
    <row r="8606" spans="1:2" x14ac:dyDescent="0.25">
      <c r="A8606">
        <f ca="1">30922.6888204379*((RANDBETWEEN(1587,2416)))</f>
        <v>58474804.559448011</v>
      </c>
      <c r="B8606">
        <v>249827001.58432961</v>
      </c>
    </row>
    <row r="8607" spans="1:2" x14ac:dyDescent="0.25">
      <c r="A8607">
        <f ca="1">37069.0705481347*((RANDBETWEEN(1587,2416)))</f>
        <v>77919186.292179212</v>
      </c>
      <c r="B8607">
        <v>205675121.01389289</v>
      </c>
    </row>
    <row r="8608" spans="1:2" x14ac:dyDescent="0.25">
      <c r="A8608">
        <f ca="1">27753.4156767595*((RANDBETWEEN(1587,2416)))</f>
        <v>65803348.569596812</v>
      </c>
      <c r="B8608">
        <v>208315348.43199694</v>
      </c>
    </row>
    <row r="8609" spans="1:2" x14ac:dyDescent="0.25">
      <c r="A8609">
        <f ca="1">32346.4065350163*((RANDBETWEEN(1587,2416)))</f>
        <v>65889630.111828275</v>
      </c>
      <c r="B8609">
        <v>247686993.78280902</v>
      </c>
    </row>
    <row r="8610" spans="1:2" x14ac:dyDescent="0.25">
      <c r="A8610">
        <f ca="1">30606.3571819939*((RANDBETWEEN(1587,2416)))</f>
        <v>51969594.49502565</v>
      </c>
      <c r="B8610">
        <v>244118893.77385014</v>
      </c>
    </row>
    <row r="8611" spans="1:2" x14ac:dyDescent="0.25">
      <c r="A8611">
        <f ca="1">32575.5293954472*((RANDBETWEEN(1587,2416)))</f>
        <v>59841247.499436483</v>
      </c>
      <c r="B8611">
        <v>228160238.60544008</v>
      </c>
    </row>
    <row r="8612" spans="1:2" x14ac:dyDescent="0.25">
      <c r="A8612">
        <f ca="1">36864.6600021695*((RANDBETWEEN(1587,2416)))</f>
        <v>63628403.163744479</v>
      </c>
      <c r="B8612">
        <v>210428373.07802591</v>
      </c>
    </row>
    <row r="8613" spans="1:2" x14ac:dyDescent="0.25">
      <c r="A8613">
        <f ca="1">32093.5797699667*((RANDBETWEEN(1587,2416)))</f>
        <v>70702156.233236611</v>
      </c>
      <c r="B8613">
        <v>261832489.60967931</v>
      </c>
    </row>
    <row r="8614" spans="1:2" x14ac:dyDescent="0.25">
      <c r="A8614">
        <f ca="1">37896.2778113339*((RANDBETWEEN(1587,2416)))</f>
        <v>84395010.685840562</v>
      </c>
      <c r="B8614">
        <v>254180575.29922751</v>
      </c>
    </row>
    <row r="8615" spans="1:2" x14ac:dyDescent="0.25">
      <c r="A8615">
        <f ca="1">32975.0891964415*((RANDBETWEEN(1587,2416)))</f>
        <v>64894975.538596913</v>
      </c>
      <c r="B8615">
        <v>212135793.55424008</v>
      </c>
    </row>
    <row r="8616" spans="1:2" x14ac:dyDescent="0.25">
      <c r="A8616">
        <f ca="1">36460.5220417706*((RANDBETWEEN(1587,2416)))</f>
        <v>81343424.67519024</v>
      </c>
      <c r="B8616">
        <v>224639035.59750462</v>
      </c>
    </row>
    <row r="8617" spans="1:2" x14ac:dyDescent="0.25">
      <c r="A8617">
        <f ca="1">32484.3657176446*((RANDBETWEEN(1587,2416)))</f>
        <v>67112699.572653711</v>
      </c>
      <c r="B8617">
        <v>204851958.49794713</v>
      </c>
    </row>
    <row r="8618" spans="1:2" x14ac:dyDescent="0.25">
      <c r="A8618">
        <f ca="1">35829.207878914*((RANDBETWEEN(1587,2416)))</f>
        <v>71515098.926312432</v>
      </c>
      <c r="B8618">
        <v>262498220.99410269</v>
      </c>
    </row>
    <row r="8619" spans="1:2" x14ac:dyDescent="0.25">
      <c r="A8619">
        <f ca="1">34268.8516047062*((RANDBETWEEN(1587,2416)))</f>
        <v>57160444.476650015</v>
      </c>
      <c r="B8619">
        <v>224905811.67301008</v>
      </c>
    </row>
    <row r="8620" spans="1:2" x14ac:dyDescent="0.25">
      <c r="A8620">
        <f ca="1">39403.8214924888*((RANDBETWEEN(1587,2416)))</f>
        <v>92795999.614811063</v>
      </c>
      <c r="B8620">
        <v>217001904.38239735</v>
      </c>
    </row>
    <row r="8621" spans="1:2" x14ac:dyDescent="0.25">
      <c r="A8621">
        <f ca="1">38791.5938506884*((RANDBETWEEN(1587,2416)))</f>
        <v>81345972.304893628</v>
      </c>
      <c r="B8621">
        <v>226912410.3740384</v>
      </c>
    </row>
    <row r="8622" spans="1:2" x14ac:dyDescent="0.25">
      <c r="A8622">
        <f ca="1">35646.5463600737*((RANDBETWEEN(1587,2416)))</f>
        <v>74323049.160753682</v>
      </c>
      <c r="B8622">
        <v>208151817.844506</v>
      </c>
    </row>
    <row r="8623" spans="1:2" x14ac:dyDescent="0.25">
      <c r="A8623">
        <f ca="1">34138.3805032035*((RANDBETWEEN(1587,2416)))</f>
        <v>81420037.500140399</v>
      </c>
      <c r="B8623">
        <v>251226551.05749989</v>
      </c>
    </row>
    <row r="8624" spans="1:2" x14ac:dyDescent="0.25">
      <c r="A8624">
        <f ca="1">30584.7289305107*((RANDBETWEEN(1587,2416)))</f>
        <v>54838418.972405672</v>
      </c>
      <c r="B8624">
        <v>233999041.79527542</v>
      </c>
    </row>
    <row r="8625" spans="1:2" x14ac:dyDescent="0.25">
      <c r="A8625">
        <f ca="1">30359.3547689632*((RANDBETWEEN(1587,2416)))</f>
        <v>49303592.144796297</v>
      </c>
      <c r="B8625">
        <v>206796207.11356318</v>
      </c>
    </row>
    <row r="8626" spans="1:2" x14ac:dyDescent="0.25">
      <c r="A8626">
        <f ca="1">37678.3998232423*((RANDBETWEEN(1587,2416)))</f>
        <v>87376209.190098971</v>
      </c>
      <c r="B8626">
        <v>221650661.64030126</v>
      </c>
    </row>
    <row r="8627" spans="1:2" x14ac:dyDescent="0.25">
      <c r="A8627">
        <f ca="1">29398.7669236264*((RANDBETWEEN(1587,2416)))</f>
        <v>50389486.507095717</v>
      </c>
      <c r="B8627">
        <v>267215121.8780247</v>
      </c>
    </row>
    <row r="8628" spans="1:2" x14ac:dyDescent="0.25">
      <c r="A8628">
        <f ca="1">34723.0477875679*((RANDBETWEEN(1587,2416)))</f>
        <v>63751515.737974606</v>
      </c>
      <c r="B8628">
        <v>254054650.45782495</v>
      </c>
    </row>
    <row r="8629" spans="1:2" x14ac:dyDescent="0.25">
      <c r="A8629">
        <f ca="1">31781.3593690169*((RANDBETWEEN(1587,2416)))</f>
        <v>76211699.766902566</v>
      </c>
      <c r="B8629">
        <v>221778887.70910645</v>
      </c>
    </row>
    <row r="8630" spans="1:2" x14ac:dyDescent="0.25">
      <c r="A8630">
        <f ca="1">34800.920843712*((RANDBETWEEN(1587,2416)))</f>
        <v>63302875.01471208</v>
      </c>
      <c r="B8630">
        <v>226026576.05378765</v>
      </c>
    </row>
    <row r="8631" spans="1:2" x14ac:dyDescent="0.25">
      <c r="A8631">
        <f ca="1">32836.5487973193*((RANDBETWEEN(1587,2416)))</f>
        <v>62487952.36129871</v>
      </c>
      <c r="B8631">
        <v>250465493.91372329</v>
      </c>
    </row>
    <row r="8632" spans="1:2" x14ac:dyDescent="0.25">
      <c r="A8632">
        <f ca="1">32414.1531226174*((RANDBETWEEN(1587,2416)))</f>
        <v>69431115.988646537</v>
      </c>
      <c r="B8632">
        <v>239161981.62495506</v>
      </c>
    </row>
    <row r="8633" spans="1:2" x14ac:dyDescent="0.25">
      <c r="A8633">
        <f ca="1">38855.8031282518*((RANDBETWEEN(1587,2416)))</f>
        <v>88668942.738670602</v>
      </c>
      <c r="B8633">
        <v>209262131.46888998</v>
      </c>
    </row>
    <row r="8634" spans="1:2" x14ac:dyDescent="0.25">
      <c r="A8634">
        <f ca="1">36056.1277740019*((RANDBETWEEN(1587,2416)))</f>
        <v>72472816.825743735</v>
      </c>
      <c r="B8634">
        <v>244401832.2923941</v>
      </c>
    </row>
    <row r="8635" spans="1:2" x14ac:dyDescent="0.25">
      <c r="A8635">
        <f ca="1">37250.9081589606*((RANDBETWEEN(1587,2416)))</f>
        <v>78077903.501181483</v>
      </c>
      <c r="B8635">
        <v>249094093.92127118</v>
      </c>
    </row>
    <row r="8636" spans="1:2" x14ac:dyDescent="0.25">
      <c r="A8636">
        <f ca="1">31734.3800325724*((RANDBETWEEN(1587,2416)))</f>
        <v>76162512.078173697</v>
      </c>
      <c r="B8636">
        <v>259525253.36662757</v>
      </c>
    </row>
    <row r="8637" spans="1:2" x14ac:dyDescent="0.25">
      <c r="A8637">
        <f ca="1">38853.3170836953*((RANDBETWEEN(1587,2416)))</f>
        <v>84972204.462041661</v>
      </c>
      <c r="B8637">
        <v>216778050.36829105</v>
      </c>
    </row>
    <row r="8638" spans="1:2" x14ac:dyDescent="0.25">
      <c r="A8638">
        <f ca="1">32353.4976265108*((RANDBETWEEN(1587,2416)))</f>
        <v>72213006.702372089</v>
      </c>
      <c r="B8638">
        <v>257344050.33130789</v>
      </c>
    </row>
    <row r="8639" spans="1:2" x14ac:dyDescent="0.25">
      <c r="A8639">
        <f ca="1">34230.6810880071*((RANDBETWEEN(1587,2416)))</f>
        <v>77224416.534544051</v>
      </c>
      <c r="B8639">
        <v>257282276.69617826</v>
      </c>
    </row>
    <row r="8640" spans="1:2" x14ac:dyDescent="0.25">
      <c r="A8640">
        <f ca="1">31406.3905691544*((RANDBETWEEN(1587,2416)))</f>
        <v>56500096.633908764</v>
      </c>
      <c r="B8640">
        <v>215795442.89181295</v>
      </c>
    </row>
    <row r="8641" spans="1:2" x14ac:dyDescent="0.25">
      <c r="A8641">
        <f ca="1">31225.8481507194*((RANDBETWEEN(1587,2416)))</f>
        <v>72725000.343025595</v>
      </c>
      <c r="B8641">
        <v>225232745.97268569</v>
      </c>
    </row>
    <row r="8642" spans="1:2" x14ac:dyDescent="0.25">
      <c r="A8642">
        <f ca="1">28414.5034827725*((RANDBETWEEN(1587,2416)))</f>
        <v>49157091.025196463</v>
      </c>
      <c r="B8642">
        <v>254120846.45472533</v>
      </c>
    </row>
    <row r="8643" spans="1:2" x14ac:dyDescent="0.25">
      <c r="A8643">
        <f ca="1">38042.2812937884*((RANDBETWEEN(1587,2416)))</f>
        <v>87459204.694419637</v>
      </c>
      <c r="B8643">
        <v>210859672.8431356</v>
      </c>
    </row>
    <row r="8644" spans="1:2" x14ac:dyDescent="0.25">
      <c r="A8644">
        <f ca="1">32719.4769225757*((RANDBETWEEN(1587,2416)))</f>
        <v>60923666.029836036</v>
      </c>
      <c r="B8644">
        <v>216281311.60320982</v>
      </c>
    </row>
    <row r="8645" spans="1:2" x14ac:dyDescent="0.25">
      <c r="A8645">
        <f ca="1">32955.9414142301*((RANDBETWEEN(1587,2416)))</f>
        <v>68449490.317355856</v>
      </c>
      <c r="B8645">
        <v>259808980.61146593</v>
      </c>
    </row>
    <row r="8646" spans="1:2" x14ac:dyDescent="0.25">
      <c r="A8646">
        <f ca="1">40291.4953901101*((RANDBETWEEN(1587,2416)))</f>
        <v>65916886.458220117</v>
      </c>
      <c r="B8646">
        <v>251741105.03736109</v>
      </c>
    </row>
    <row r="8647" spans="1:2" x14ac:dyDescent="0.25">
      <c r="A8647">
        <f ca="1">40286.1748629968*((RANDBETWEEN(1587,2416)))</f>
        <v>90523034.91715382</v>
      </c>
      <c r="B8647">
        <v>204443325.70793548</v>
      </c>
    </row>
    <row r="8648" spans="1:2" x14ac:dyDescent="0.25">
      <c r="A8648">
        <f ca="1">32127.0872139655*((RANDBETWEEN(1587,2416)))</f>
        <v>59756382.217975758</v>
      </c>
      <c r="B8648">
        <v>258666079.31183508</v>
      </c>
    </row>
    <row r="8649" spans="1:2" x14ac:dyDescent="0.25">
      <c r="A8649">
        <f ca="1">30576.7459815838*((RANDBETWEEN(1587,2416)))</f>
        <v>49442598.252221011</v>
      </c>
      <c r="B8649">
        <v>267092985.90628967</v>
      </c>
    </row>
    <row r="8650" spans="1:2" x14ac:dyDescent="0.25">
      <c r="A8650">
        <f ca="1">30769.4033054103*((RANDBETWEEN(1587,2416)))</f>
        <v>68892694.000813559</v>
      </c>
      <c r="B8650">
        <v>205149563.9752619</v>
      </c>
    </row>
    <row r="8651" spans="1:2" x14ac:dyDescent="0.25">
      <c r="A8651">
        <f ca="1">29955.1074897452*((RANDBETWEEN(1587,2416)))</f>
        <v>51193278.699974529</v>
      </c>
      <c r="B8651">
        <v>205683669.59737921</v>
      </c>
    </row>
    <row r="8652" spans="1:2" x14ac:dyDescent="0.25">
      <c r="A8652">
        <f ca="1">39354.8605891016*((RANDBETWEEN(1587,2416)))</f>
        <v>94923923.740913033</v>
      </c>
      <c r="B8652">
        <v>254104391.41732642</v>
      </c>
    </row>
    <row r="8653" spans="1:2" x14ac:dyDescent="0.25">
      <c r="A8653">
        <f ca="1">38470.7964281339*((RANDBETWEEN(1587,2416)))</f>
        <v>72132743.30275099</v>
      </c>
      <c r="B8653">
        <v>227036862.09889734</v>
      </c>
    </row>
    <row r="8654" spans="1:2" x14ac:dyDescent="0.25">
      <c r="A8654">
        <f ca="1">31507.7671430811*((RANDBETWEEN(1587,2416)))</f>
        <v>63582674.094737664</v>
      </c>
      <c r="B8654">
        <v>227488713.47734594</v>
      </c>
    </row>
    <row r="8655" spans="1:2" x14ac:dyDescent="0.25">
      <c r="A8655">
        <f ca="1">32306.9535461747*((RANDBETWEEN(1587,2416)))</f>
        <v>70590693.498391688</v>
      </c>
      <c r="B8655">
        <v>259192050.62312239</v>
      </c>
    </row>
    <row r="8656" spans="1:2" x14ac:dyDescent="0.25">
      <c r="A8656">
        <f ca="1">30252.4232968717*((RANDBETWEEN(1587,2416)))</f>
        <v>67190632.142352089</v>
      </c>
      <c r="B8656">
        <v>222831723.4127261</v>
      </c>
    </row>
    <row r="8657" spans="1:2" x14ac:dyDescent="0.25">
      <c r="A8657">
        <f ca="1">30900.6861744065*((RANDBETWEEN(1587,2416)))</f>
        <v>55065022.762792371</v>
      </c>
      <c r="B8657">
        <v>215934896.74981564</v>
      </c>
    </row>
    <row r="8658" spans="1:2" x14ac:dyDescent="0.25">
      <c r="A8658">
        <f ca="1">41153.3937444091*((RANDBETWEEN(1587,2416)))</f>
        <v>89426324.606600925</v>
      </c>
      <c r="B8658">
        <v>219064623.82672533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ww20</vt:lpstr>
      <vt:lpstr>ww25</vt:lpstr>
      <vt:lpstr>w20</vt:lpstr>
      <vt:lpstr>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2022-01-12T07:53:53Z</dcterms:created>
  <dcterms:modified xsi:type="dcterms:W3CDTF">2022-02-22T12:46:29Z</dcterms:modified>
</cp:coreProperties>
</file>